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https://appriver3651005261-my.sharepoint.com/personal/robert_aycock_sreb_org/Documents/2023 Summary Files/"/>
    </mc:Choice>
  </mc:AlternateContent>
  <xr:revisionPtr revIDLastSave="7" documentId="8_{3A0EBA58-C6CA-4F0B-B564-EC4AE3761B21}" xr6:coauthVersionLast="47" xr6:coauthVersionMax="47" xr10:uidLastSave="{C27D0B80-180B-4B69-A9EC-413F970BECA3}"/>
  <bookViews>
    <workbookView xWindow="-120" yWindow="-16320" windowWidth="29040" windowHeight="15840" activeTab="1" xr2:uid="{00000000-000D-0000-FFFF-FFFF00000000}"/>
  </bookViews>
  <sheets>
    <sheet name="NEW-Tables 80-86" sheetId="16" r:id="rId1"/>
    <sheet name="OLD Tables" sheetId="18" r:id="rId2"/>
    <sheet name="Pivot-HS Student % of Undergrad" sheetId="17" r:id="rId3"/>
    <sheet name="FTE Pivot for regular counts" sheetId="12" r:id="rId4"/>
    <sheet name="04SCH_FTE" sheetId="6" r:id="rId5"/>
    <sheet name="Sheet1" sheetId="19" state="hidden" r:id="rId6"/>
    <sheet name="Format for FTE" sheetId="13" r:id="rId7"/>
    <sheet name="Format for HS%" sheetId="14" r:id="rId8"/>
  </sheets>
  <definedNames>
    <definedName name="APPHEAD" localSheetId="1">#REF!</definedName>
    <definedName name="CHHEAD" localSheetId="1">#REF!</definedName>
    <definedName name="Dual07_1" localSheetId="4">'04SCH_FTE'!$T$324:$T$339</definedName>
    <definedName name="Dual07_3" localSheetId="4">'04SCH_FTE'!$T$324:$T$339</definedName>
    <definedName name="Dual07_4" localSheetId="4">'04SCH_FTE'!$T$324:$T$339</definedName>
    <definedName name="Dual07_5" localSheetId="4">'04SCH_FTE'!$T$324:$T$339</definedName>
    <definedName name="PAGE_17" localSheetId="1">#REF!</definedName>
    <definedName name="PAGE1" localSheetId="1">#REF!</definedName>
    <definedName name="PAGE10" localSheetId="1">#REF!</definedName>
    <definedName name="PAGE11" localSheetId="1">#REF!</definedName>
    <definedName name="PAGE12" localSheetId="1">#REF!</definedName>
    <definedName name="PAGE13" localSheetId="1">#REF!</definedName>
    <definedName name="PAGE14" localSheetId="1">#REF!</definedName>
    <definedName name="PAGE15" localSheetId="1">#REF!</definedName>
    <definedName name="PAGE16" localSheetId="1">#REF!</definedName>
    <definedName name="PAGE17" localSheetId="1">#REF!</definedName>
    <definedName name="PAGE18" localSheetId="1">#REF!</definedName>
    <definedName name="PAGE19" localSheetId="1">#REF!</definedName>
    <definedName name="PAGE2" localSheetId="1">#REF!</definedName>
    <definedName name="PAGE20" localSheetId="1">#REF!</definedName>
    <definedName name="PAGE3" localSheetId="1">#REF!</definedName>
    <definedName name="PAGE4" localSheetId="1">#REF!</definedName>
    <definedName name="PAGE5" localSheetId="1">#REF!</definedName>
    <definedName name="PAGE6" localSheetId="1">#REF!</definedName>
    <definedName name="PAGE7" localSheetId="1">#REF!</definedName>
    <definedName name="PAGE8" localSheetId="1">#REF!</definedName>
    <definedName name="PAGE9" localSheetId="1">#REF!</definedName>
    <definedName name="PART1" localSheetId="1">#REF!</definedName>
    <definedName name="PART2" localSheetId="1">#REF!</definedName>
    <definedName name="PART3" localSheetId="1">#REF!</definedName>
    <definedName name="PART4A" localSheetId="1">#REF!</definedName>
    <definedName name="PART4B" localSheetId="1">#REF!</definedName>
    <definedName name="PART5" localSheetId="1">#REF!</definedName>
    <definedName name="PART6A" localSheetId="1">#REF!</definedName>
    <definedName name="PART6B" localSheetId="1">#REF!</definedName>
    <definedName name="PART6C" localSheetId="1">#REF!</definedName>
    <definedName name="PART7B" localSheetId="1">#REF!</definedName>
    <definedName name="PART7C" localSheetId="1">#REF!</definedName>
    <definedName name="PART8" localSheetId="1">#REF!</definedName>
    <definedName name="_xlnm.Print_Area" localSheetId="4">'04SCH_FTE'!$A$3:$A$3</definedName>
    <definedName name="_xlnm.Print_Area" localSheetId="0">'NEW-Tables 80-86'!$A$1:$O$216</definedName>
    <definedName name="_xlnm.Print_Area" localSheetId="1">'OLD Tables'!$A$1:$O$214</definedName>
    <definedName name="_xlnm.Print_Area" localSheetId="2">'Pivot-HS Student % of Undergrad'!$C$6:$T$101</definedName>
    <definedName name="_xlnm.Print_Area">#REF!</definedName>
    <definedName name="_xlnm.Print_Titles" localSheetId="4">'04SCH_FTE'!B:B</definedName>
    <definedName name="_xlnm.Print_Titles" localSheetId="2">'Pivot-HS Student % of Undergrad'!$A:$B,'Pivot-HS Student % of Undergrad'!$4:$5</definedName>
    <definedName name="RATIONALE" localSheetId="1">#REF!</definedName>
    <definedName name="RATIONALE2" localSheetId="1">#REF!</definedName>
    <definedName name="SALHEAD" localSheetId="1">#REF!</definedName>
    <definedName name="SCH15ug1" localSheetId="4">'04SCH_FTE'!$I$519:$I$580</definedName>
    <definedName name="SCH15ug1_1" localSheetId="4">'04SCH_FTE'!$I$519:$I$580</definedName>
  </definedNames>
  <calcPr calcId="191029"/>
  <pivotCaches>
    <pivotCache cacheId="902" r:id="rId9"/>
    <pivotCache cacheId="906"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8" i="6" l="1"/>
  <c r="AW8" i="6" s="1"/>
  <c r="AZ8" i="6" s="1"/>
  <c r="AX8" i="6"/>
  <c r="AY8" i="6" s="1"/>
  <c r="BA8" i="6" s="1"/>
  <c r="AV9" i="6"/>
  <c r="AW9" i="6" s="1"/>
  <c r="AZ9" i="6" s="1"/>
  <c r="AX9" i="6"/>
  <c r="AY9" i="6" s="1"/>
  <c r="BA9" i="6" s="1"/>
  <c r="AV10" i="6"/>
  <c r="AW10" i="6" s="1"/>
  <c r="AZ10" i="6" s="1"/>
  <c r="AX10" i="6"/>
  <c r="AY10" i="6" s="1"/>
  <c r="BA10" i="6" s="1"/>
  <c r="AV11" i="6"/>
  <c r="AW11" i="6" s="1"/>
  <c r="AZ11" i="6" s="1"/>
  <c r="AX11" i="6"/>
  <c r="AY11" i="6" s="1"/>
  <c r="BA11" i="6" s="1"/>
  <c r="AV12" i="6"/>
  <c r="AW12" i="6" s="1"/>
  <c r="AZ12" i="6" s="1"/>
  <c r="AX12" i="6"/>
  <c r="AY12" i="6" s="1"/>
  <c r="BA12" i="6" s="1"/>
  <c r="AV13" i="6"/>
  <c r="AW13" i="6" s="1"/>
  <c r="AZ13" i="6" s="1"/>
  <c r="AX13" i="6"/>
  <c r="AY13" i="6" s="1"/>
  <c r="BA13" i="6" s="1"/>
  <c r="AV14" i="6"/>
  <c r="AW14" i="6" s="1"/>
  <c r="AZ14" i="6" s="1"/>
  <c r="AX14" i="6"/>
  <c r="AY14" i="6" s="1"/>
  <c r="BA14" i="6" s="1"/>
  <c r="AV15" i="6"/>
  <c r="AW15" i="6" s="1"/>
  <c r="AZ15" i="6" s="1"/>
  <c r="AX15" i="6"/>
  <c r="AY15" i="6" s="1"/>
  <c r="BA15" i="6" s="1"/>
  <c r="AV16" i="6"/>
  <c r="AW16" i="6" s="1"/>
  <c r="AZ16" i="6" s="1"/>
  <c r="AX16" i="6"/>
  <c r="AY16" i="6" s="1"/>
  <c r="BA16" i="6" s="1"/>
  <c r="AV17" i="6"/>
  <c r="AW17" i="6" s="1"/>
  <c r="AZ17" i="6" s="1"/>
  <c r="AX17" i="6"/>
  <c r="AY17" i="6" s="1"/>
  <c r="BA17" i="6" s="1"/>
  <c r="AV18" i="6"/>
  <c r="AW18" i="6" s="1"/>
  <c r="AZ18" i="6" s="1"/>
  <c r="AX18" i="6"/>
  <c r="AY18" i="6" s="1"/>
  <c r="BA18" i="6" s="1"/>
  <c r="AV19" i="6"/>
  <c r="AW19" i="6" s="1"/>
  <c r="AZ19" i="6" s="1"/>
  <c r="AX19" i="6"/>
  <c r="AY19" i="6" s="1"/>
  <c r="BA19" i="6" s="1"/>
  <c r="AV20" i="6"/>
  <c r="AW20" i="6" s="1"/>
  <c r="AZ20" i="6" s="1"/>
  <c r="AX20" i="6"/>
  <c r="AY20" i="6" s="1"/>
  <c r="BA20" i="6" s="1"/>
  <c r="AV21" i="6"/>
  <c r="AW21" i="6" s="1"/>
  <c r="AZ21" i="6" s="1"/>
  <c r="AX21" i="6"/>
  <c r="AY21" i="6" s="1"/>
  <c r="BA21" i="6" s="1"/>
  <c r="AV22" i="6"/>
  <c r="AW22" i="6" s="1"/>
  <c r="AZ22" i="6" s="1"/>
  <c r="AX22" i="6"/>
  <c r="AY22" i="6" s="1"/>
  <c r="BA22" i="6" s="1"/>
  <c r="AV23" i="6"/>
  <c r="AW23" i="6" s="1"/>
  <c r="AZ23" i="6" s="1"/>
  <c r="AX23" i="6"/>
  <c r="AY23" i="6" s="1"/>
  <c r="BA23" i="6" s="1"/>
  <c r="AV24" i="6"/>
  <c r="AW24" i="6" s="1"/>
  <c r="AZ24" i="6" s="1"/>
  <c r="AX24" i="6"/>
  <c r="AY24" i="6" s="1"/>
  <c r="BA24" i="6" s="1"/>
  <c r="AV25" i="6"/>
  <c r="AW25" i="6" s="1"/>
  <c r="AZ25" i="6" s="1"/>
  <c r="AX25" i="6"/>
  <c r="AY25" i="6" s="1"/>
  <c r="BA25" i="6" s="1"/>
  <c r="AV26" i="6"/>
  <c r="AW26" i="6" s="1"/>
  <c r="AZ26" i="6" s="1"/>
  <c r="AX26" i="6"/>
  <c r="AY26" i="6" s="1"/>
  <c r="BA26" i="6" s="1"/>
  <c r="AV27" i="6"/>
  <c r="AW27" i="6" s="1"/>
  <c r="AZ27" i="6" s="1"/>
  <c r="AX27" i="6"/>
  <c r="AY27" i="6" s="1"/>
  <c r="BA27" i="6" s="1"/>
  <c r="AV28" i="6"/>
  <c r="AW28" i="6" s="1"/>
  <c r="AZ28" i="6" s="1"/>
  <c r="AX28" i="6"/>
  <c r="AY28" i="6" s="1"/>
  <c r="BA28" i="6" s="1"/>
  <c r="AV29" i="6"/>
  <c r="AW29" i="6" s="1"/>
  <c r="AZ29" i="6" s="1"/>
  <c r="AX29" i="6"/>
  <c r="AY29" i="6" s="1"/>
  <c r="BA29" i="6" s="1"/>
  <c r="AV30" i="6"/>
  <c r="AW30" i="6" s="1"/>
  <c r="AZ30" i="6" s="1"/>
  <c r="AX30" i="6"/>
  <c r="AY30" i="6" s="1"/>
  <c r="BA30" i="6" s="1"/>
  <c r="AV31" i="6"/>
  <c r="AW31" i="6" s="1"/>
  <c r="AZ31" i="6" s="1"/>
  <c r="AX31" i="6"/>
  <c r="AY31" i="6" s="1"/>
  <c r="BA31" i="6" s="1"/>
  <c r="AV32" i="6"/>
  <c r="AW32" i="6" s="1"/>
  <c r="AZ32" i="6" s="1"/>
  <c r="AX32" i="6"/>
  <c r="AY32" i="6" s="1"/>
  <c r="BA32" i="6" s="1"/>
  <c r="AV33" i="6"/>
  <c r="AW33" i="6" s="1"/>
  <c r="AZ33" i="6" s="1"/>
  <c r="AX33" i="6"/>
  <c r="AY33" i="6" s="1"/>
  <c r="BA33" i="6" s="1"/>
  <c r="AV34" i="6"/>
  <c r="AW34" i="6" s="1"/>
  <c r="AZ34" i="6" s="1"/>
  <c r="AX34" i="6"/>
  <c r="AY34" i="6" s="1"/>
  <c r="BA34" i="6" s="1"/>
  <c r="AV35" i="6"/>
  <c r="AW35" i="6" s="1"/>
  <c r="AZ35" i="6" s="1"/>
  <c r="AX35" i="6"/>
  <c r="AY35" i="6" s="1"/>
  <c r="BA35" i="6" s="1"/>
  <c r="AV36" i="6"/>
  <c r="AW36" i="6" s="1"/>
  <c r="AZ36" i="6" s="1"/>
  <c r="AX36" i="6"/>
  <c r="AY36" i="6" s="1"/>
  <c r="BA36" i="6" s="1"/>
  <c r="AV37" i="6"/>
  <c r="AW37" i="6" s="1"/>
  <c r="AZ37" i="6" s="1"/>
  <c r="AX37" i="6"/>
  <c r="AY37" i="6" s="1"/>
  <c r="BA37" i="6" s="1"/>
  <c r="AV38" i="6"/>
  <c r="AW38" i="6" s="1"/>
  <c r="AZ38" i="6" s="1"/>
  <c r="AX38" i="6"/>
  <c r="AY38" i="6" s="1"/>
  <c r="BA38" i="6" s="1"/>
  <c r="AV39" i="6"/>
  <c r="AW39" i="6" s="1"/>
  <c r="AZ39" i="6" s="1"/>
  <c r="AX39" i="6"/>
  <c r="AY39" i="6" s="1"/>
  <c r="BA39" i="6" s="1"/>
  <c r="AV40" i="6"/>
  <c r="AW40" i="6" s="1"/>
  <c r="AZ40" i="6" s="1"/>
  <c r="AX40" i="6"/>
  <c r="AY40" i="6" s="1"/>
  <c r="BA40" i="6" s="1"/>
  <c r="AV41" i="6"/>
  <c r="AW41" i="6" s="1"/>
  <c r="AZ41" i="6" s="1"/>
  <c r="AX41" i="6"/>
  <c r="AY41" i="6" s="1"/>
  <c r="BA41" i="6" s="1"/>
  <c r="AV42" i="6"/>
  <c r="AW42" i="6" s="1"/>
  <c r="AZ42" i="6" s="1"/>
  <c r="AX42" i="6"/>
  <c r="AY42" i="6" s="1"/>
  <c r="BA42" i="6" s="1"/>
  <c r="AV43" i="6"/>
  <c r="AW43" i="6" s="1"/>
  <c r="AZ43" i="6" s="1"/>
  <c r="AX43" i="6"/>
  <c r="AY43" i="6" s="1"/>
  <c r="BA43" i="6" s="1"/>
  <c r="AV44" i="6"/>
  <c r="AW44" i="6" s="1"/>
  <c r="AZ44" i="6" s="1"/>
  <c r="AX44" i="6"/>
  <c r="AY44" i="6" s="1"/>
  <c r="BA44" i="6" s="1"/>
  <c r="AV45" i="6"/>
  <c r="AW45" i="6" s="1"/>
  <c r="AZ45" i="6" s="1"/>
  <c r="AX45" i="6"/>
  <c r="AY45" i="6" s="1"/>
  <c r="BA45" i="6" s="1"/>
  <c r="AV46" i="6"/>
  <c r="AW46" i="6" s="1"/>
  <c r="AZ46" i="6" s="1"/>
  <c r="AX46" i="6"/>
  <c r="AY46" i="6" s="1"/>
  <c r="BA46" i="6" s="1"/>
  <c r="AV47" i="6"/>
  <c r="AW47" i="6" s="1"/>
  <c r="AZ47" i="6" s="1"/>
  <c r="AX47" i="6"/>
  <c r="AY47" i="6" s="1"/>
  <c r="BA47" i="6" s="1"/>
  <c r="AV48" i="6"/>
  <c r="AW48" i="6" s="1"/>
  <c r="AZ48" i="6" s="1"/>
  <c r="AX48" i="6"/>
  <c r="AY48" i="6" s="1"/>
  <c r="BA48" i="6" s="1"/>
  <c r="AV49" i="6"/>
  <c r="AW49" i="6" s="1"/>
  <c r="AZ49" i="6" s="1"/>
  <c r="AX49" i="6"/>
  <c r="AY49" i="6" s="1"/>
  <c r="BA49" i="6" s="1"/>
  <c r="AV50" i="6"/>
  <c r="AW50" i="6" s="1"/>
  <c r="AZ50" i="6" s="1"/>
  <c r="AX50" i="6"/>
  <c r="AY50" i="6" s="1"/>
  <c r="BA50" i="6" s="1"/>
  <c r="AV51" i="6"/>
  <c r="AW51" i="6" s="1"/>
  <c r="AZ51" i="6" s="1"/>
  <c r="AX51" i="6"/>
  <c r="AY51" i="6" s="1"/>
  <c r="BA51" i="6" s="1"/>
  <c r="AV52" i="6"/>
  <c r="AW52" i="6" s="1"/>
  <c r="AZ52" i="6" s="1"/>
  <c r="AX52" i="6"/>
  <c r="AY52" i="6" s="1"/>
  <c r="BA52" i="6" s="1"/>
  <c r="AV53" i="6"/>
  <c r="AW53" i="6" s="1"/>
  <c r="AZ53" i="6" s="1"/>
  <c r="AX53" i="6"/>
  <c r="AY53" i="6" s="1"/>
  <c r="BA53" i="6" s="1"/>
  <c r="AV54" i="6"/>
  <c r="AW54" i="6" s="1"/>
  <c r="AZ54" i="6" s="1"/>
  <c r="AX54" i="6"/>
  <c r="AY54" i="6" s="1"/>
  <c r="BA54" i="6" s="1"/>
  <c r="AV55" i="6"/>
  <c r="AW55" i="6" s="1"/>
  <c r="AZ55" i="6" s="1"/>
  <c r="AX55" i="6"/>
  <c r="AY55" i="6" s="1"/>
  <c r="BA55" i="6" s="1"/>
  <c r="AV56" i="6"/>
  <c r="AW56" i="6" s="1"/>
  <c r="AZ56" i="6" s="1"/>
  <c r="AX56" i="6"/>
  <c r="AY56" i="6" s="1"/>
  <c r="BA56" i="6" s="1"/>
  <c r="AV57" i="6"/>
  <c r="AW57" i="6" s="1"/>
  <c r="AZ57" i="6" s="1"/>
  <c r="AX57" i="6"/>
  <c r="AY57" i="6" s="1"/>
  <c r="BA57" i="6" s="1"/>
  <c r="AV58" i="6"/>
  <c r="AW58" i="6" s="1"/>
  <c r="AZ58" i="6" s="1"/>
  <c r="AX58" i="6"/>
  <c r="AY58" i="6" s="1"/>
  <c r="BA58" i="6" s="1"/>
  <c r="AV59" i="6"/>
  <c r="AW59" i="6" s="1"/>
  <c r="AZ59" i="6" s="1"/>
  <c r="AX59" i="6"/>
  <c r="AY59" i="6" s="1"/>
  <c r="BA59" i="6" s="1"/>
  <c r="AV60" i="6"/>
  <c r="AW60" i="6" s="1"/>
  <c r="AZ60" i="6" s="1"/>
  <c r="AX60" i="6"/>
  <c r="AY60" i="6" s="1"/>
  <c r="BA60" i="6" s="1"/>
  <c r="AV61" i="6"/>
  <c r="AW61" i="6" s="1"/>
  <c r="AZ61" i="6" s="1"/>
  <c r="AX61" i="6"/>
  <c r="AY61" i="6" s="1"/>
  <c r="BA61" i="6" s="1"/>
  <c r="AV62" i="6"/>
  <c r="AW62" i="6" s="1"/>
  <c r="AZ62" i="6" s="1"/>
  <c r="AX62" i="6"/>
  <c r="AY62" i="6" s="1"/>
  <c r="BA62" i="6" s="1"/>
  <c r="AV63" i="6"/>
  <c r="AW63" i="6" s="1"/>
  <c r="AZ63" i="6" s="1"/>
  <c r="AX63" i="6"/>
  <c r="AY63" i="6" s="1"/>
  <c r="BA63" i="6" s="1"/>
  <c r="AV64" i="6"/>
  <c r="AW64" i="6" s="1"/>
  <c r="AZ64" i="6" s="1"/>
  <c r="AX64" i="6"/>
  <c r="AY64" i="6" s="1"/>
  <c r="BA64" i="6" s="1"/>
  <c r="AV65" i="6"/>
  <c r="AW65" i="6" s="1"/>
  <c r="AZ65" i="6" s="1"/>
  <c r="AX65" i="6"/>
  <c r="AY65" i="6" s="1"/>
  <c r="BA65" i="6" s="1"/>
  <c r="AV66" i="6"/>
  <c r="AW66" i="6" s="1"/>
  <c r="AZ66" i="6" s="1"/>
  <c r="AX66" i="6"/>
  <c r="AY66" i="6" s="1"/>
  <c r="BA66" i="6" s="1"/>
  <c r="AV67" i="6"/>
  <c r="AW67" i="6" s="1"/>
  <c r="AZ67" i="6" s="1"/>
  <c r="AX67" i="6"/>
  <c r="AY67" i="6" s="1"/>
  <c r="BA67" i="6" s="1"/>
  <c r="AV68" i="6"/>
  <c r="AW68" i="6" s="1"/>
  <c r="AZ68" i="6" s="1"/>
  <c r="AX68" i="6"/>
  <c r="AY68" i="6" s="1"/>
  <c r="BA68" i="6" s="1"/>
  <c r="AV69" i="6"/>
  <c r="AW69" i="6" s="1"/>
  <c r="AZ69" i="6" s="1"/>
  <c r="AX69" i="6"/>
  <c r="AY69" i="6" s="1"/>
  <c r="BA69" i="6" s="1"/>
  <c r="AV70" i="6"/>
  <c r="AW70" i="6" s="1"/>
  <c r="AZ70" i="6" s="1"/>
  <c r="AX70" i="6"/>
  <c r="AY70" i="6" s="1"/>
  <c r="BA70" i="6" s="1"/>
  <c r="AV71" i="6"/>
  <c r="AW71" i="6" s="1"/>
  <c r="AZ71" i="6" s="1"/>
  <c r="AX71" i="6"/>
  <c r="AY71" i="6" s="1"/>
  <c r="BA71" i="6" s="1"/>
  <c r="AV72" i="6"/>
  <c r="AW72" i="6" s="1"/>
  <c r="AZ72" i="6" s="1"/>
  <c r="AX72" i="6"/>
  <c r="AY72" i="6" s="1"/>
  <c r="BA72" i="6" s="1"/>
  <c r="AV73" i="6"/>
  <c r="AW73" i="6" s="1"/>
  <c r="AZ73" i="6" s="1"/>
  <c r="AX73" i="6"/>
  <c r="AY73" i="6" s="1"/>
  <c r="BA73" i="6" s="1"/>
  <c r="AV74" i="6"/>
  <c r="AW74" i="6" s="1"/>
  <c r="AZ74" i="6" s="1"/>
  <c r="AX74" i="6"/>
  <c r="AY74" i="6" s="1"/>
  <c r="BA74" i="6" s="1"/>
  <c r="AV75" i="6"/>
  <c r="AW75" i="6" s="1"/>
  <c r="AZ75" i="6" s="1"/>
  <c r="AX75" i="6"/>
  <c r="AY75" i="6" s="1"/>
  <c r="BA75" i="6" s="1"/>
  <c r="AV76" i="6"/>
  <c r="AW76" i="6" s="1"/>
  <c r="AZ76" i="6" s="1"/>
  <c r="AX76" i="6"/>
  <c r="AY76" i="6" s="1"/>
  <c r="BA76" i="6" s="1"/>
  <c r="AV77" i="6"/>
  <c r="AW77" i="6" s="1"/>
  <c r="AX77" i="6"/>
  <c r="AY77" i="6" s="1"/>
  <c r="BA77" i="6" s="1"/>
  <c r="AZ77" i="6"/>
  <c r="AV78" i="6"/>
  <c r="AW78" i="6" s="1"/>
  <c r="AZ78" i="6" s="1"/>
  <c r="AX78" i="6"/>
  <c r="AY78" i="6" s="1"/>
  <c r="BA78" i="6" s="1"/>
  <c r="AV79" i="6"/>
  <c r="AW79" i="6" s="1"/>
  <c r="AX79" i="6"/>
  <c r="AY79" i="6" s="1"/>
  <c r="BA79" i="6" s="1"/>
  <c r="AZ79" i="6"/>
  <c r="AV80" i="6"/>
  <c r="AW80" i="6" s="1"/>
  <c r="AZ80" i="6" s="1"/>
  <c r="AX80" i="6"/>
  <c r="AY80" i="6" s="1"/>
  <c r="BA80" i="6" s="1"/>
  <c r="AV81" i="6"/>
  <c r="AW81" i="6" s="1"/>
  <c r="AX81" i="6"/>
  <c r="AY81" i="6" s="1"/>
  <c r="BA81" i="6" s="1"/>
  <c r="AZ81" i="6"/>
  <c r="AV82" i="6"/>
  <c r="AW82" i="6" s="1"/>
  <c r="AZ82" i="6" s="1"/>
  <c r="AX82" i="6"/>
  <c r="AY82" i="6" s="1"/>
  <c r="BA82" i="6" s="1"/>
  <c r="AV83" i="6"/>
  <c r="AW83" i="6" s="1"/>
  <c r="AX83" i="6"/>
  <c r="AY83" i="6" s="1"/>
  <c r="BA83" i="6" s="1"/>
  <c r="AZ83" i="6"/>
  <c r="AV84" i="6"/>
  <c r="AW84" i="6" s="1"/>
  <c r="AZ84" i="6" s="1"/>
  <c r="AX84" i="6"/>
  <c r="AY84" i="6" s="1"/>
  <c r="BA84" i="6" s="1"/>
  <c r="AV85" i="6"/>
  <c r="AW85" i="6" s="1"/>
  <c r="AZ85" i="6" s="1"/>
  <c r="AX85" i="6"/>
  <c r="AY85" i="6" s="1"/>
  <c r="BA85" i="6" s="1"/>
  <c r="AV86" i="6"/>
  <c r="AW86" i="6" s="1"/>
  <c r="AZ86" i="6" s="1"/>
  <c r="AX86" i="6"/>
  <c r="AY86" i="6" s="1"/>
  <c r="BA86" i="6" s="1"/>
  <c r="AV87" i="6"/>
  <c r="AW87" i="6" s="1"/>
  <c r="AX87" i="6"/>
  <c r="AY87" i="6" s="1"/>
  <c r="BA87" i="6" s="1"/>
  <c r="AZ87" i="6"/>
  <c r="AV88" i="6"/>
  <c r="AW88" i="6" s="1"/>
  <c r="AZ88" i="6" s="1"/>
  <c r="AX88" i="6"/>
  <c r="AY88" i="6" s="1"/>
  <c r="BA88" i="6" s="1"/>
  <c r="AV89" i="6"/>
  <c r="AW89" i="6" s="1"/>
  <c r="AZ89" i="6" s="1"/>
  <c r="AX89" i="6"/>
  <c r="AY89" i="6" s="1"/>
  <c r="BA89" i="6" s="1"/>
  <c r="AV90" i="6"/>
  <c r="AW90" i="6" s="1"/>
  <c r="AZ90" i="6" s="1"/>
  <c r="AX90" i="6"/>
  <c r="AY90" i="6" s="1"/>
  <c r="BA90" i="6" s="1"/>
  <c r="AV91" i="6"/>
  <c r="AW91" i="6" s="1"/>
  <c r="AZ91" i="6" s="1"/>
  <c r="AX91" i="6"/>
  <c r="AY91" i="6" s="1"/>
  <c r="BA91" i="6" s="1"/>
  <c r="AV92" i="6"/>
  <c r="AW92" i="6" s="1"/>
  <c r="AZ92" i="6" s="1"/>
  <c r="AX92" i="6"/>
  <c r="AY92" i="6" s="1"/>
  <c r="BA92" i="6" s="1"/>
  <c r="AV93" i="6"/>
  <c r="AW93" i="6" s="1"/>
  <c r="AZ93" i="6" s="1"/>
  <c r="AX93" i="6"/>
  <c r="AY93" i="6" s="1"/>
  <c r="BA93" i="6" s="1"/>
  <c r="AV94" i="6"/>
  <c r="AW94" i="6" s="1"/>
  <c r="AX94" i="6"/>
  <c r="AY94" i="6" s="1"/>
  <c r="BA94" i="6" s="1"/>
  <c r="AZ94" i="6"/>
  <c r="AV95" i="6"/>
  <c r="AW95" i="6" s="1"/>
  <c r="AZ95" i="6" s="1"/>
  <c r="AX95" i="6"/>
  <c r="AY95" i="6" s="1"/>
  <c r="BA95" i="6" s="1"/>
  <c r="AV96" i="6"/>
  <c r="AW96" i="6" s="1"/>
  <c r="AZ96" i="6" s="1"/>
  <c r="AX96" i="6"/>
  <c r="AY96" i="6" s="1"/>
  <c r="BA96" i="6" s="1"/>
  <c r="AV97" i="6"/>
  <c r="AW97" i="6" s="1"/>
  <c r="AX97" i="6"/>
  <c r="AY97" i="6" s="1"/>
  <c r="BA97" i="6" s="1"/>
  <c r="AZ97" i="6"/>
  <c r="AV98" i="6"/>
  <c r="AW98" i="6" s="1"/>
  <c r="AX98" i="6"/>
  <c r="AY98" i="6" s="1"/>
  <c r="BA98" i="6" s="1"/>
  <c r="AZ98" i="6"/>
  <c r="AV99" i="6"/>
  <c r="AW99" i="6" s="1"/>
  <c r="AZ99" i="6" s="1"/>
  <c r="AX99" i="6"/>
  <c r="AY99" i="6" s="1"/>
  <c r="BA99" i="6" s="1"/>
  <c r="AV100" i="6"/>
  <c r="AW100" i="6" s="1"/>
  <c r="AZ100" i="6" s="1"/>
  <c r="AX100" i="6"/>
  <c r="AY100" i="6" s="1"/>
  <c r="BA100" i="6" s="1"/>
  <c r="AV101" i="6"/>
  <c r="AW101" i="6" s="1"/>
  <c r="AZ101" i="6" s="1"/>
  <c r="AX101" i="6"/>
  <c r="AY101" i="6" s="1"/>
  <c r="BA101" i="6" s="1"/>
  <c r="AV102" i="6"/>
  <c r="AW102" i="6" s="1"/>
  <c r="AX102" i="6"/>
  <c r="AY102" i="6" s="1"/>
  <c r="BA102" i="6" s="1"/>
  <c r="AZ102" i="6"/>
  <c r="AV103" i="6"/>
  <c r="AW103" i="6" s="1"/>
  <c r="AZ103" i="6" s="1"/>
  <c r="AX103" i="6"/>
  <c r="AY103" i="6" s="1"/>
  <c r="BA103" i="6" s="1"/>
  <c r="AV104" i="6"/>
  <c r="AW104" i="6" s="1"/>
  <c r="AZ104" i="6" s="1"/>
  <c r="AX104" i="6"/>
  <c r="AY104" i="6" s="1"/>
  <c r="BA104" i="6" s="1"/>
  <c r="AV105" i="6"/>
  <c r="AW105" i="6" s="1"/>
  <c r="AX105" i="6"/>
  <c r="AY105" i="6" s="1"/>
  <c r="BA105" i="6" s="1"/>
  <c r="AZ105" i="6"/>
  <c r="AV106" i="6"/>
  <c r="AW106" i="6" s="1"/>
  <c r="AZ106" i="6" s="1"/>
  <c r="AX106" i="6"/>
  <c r="AY106" i="6" s="1"/>
  <c r="BA106" i="6" s="1"/>
  <c r="AV107" i="6"/>
  <c r="AW107" i="6" s="1"/>
  <c r="AZ107" i="6" s="1"/>
  <c r="AX107" i="6"/>
  <c r="AY107" i="6" s="1"/>
  <c r="BA107" i="6" s="1"/>
  <c r="AV108" i="6"/>
  <c r="AW108" i="6" s="1"/>
  <c r="AX108" i="6"/>
  <c r="AY108" i="6" s="1"/>
  <c r="BA108" i="6" s="1"/>
  <c r="AZ108" i="6"/>
  <c r="AV109" i="6"/>
  <c r="AW109" i="6" s="1"/>
  <c r="AZ109" i="6" s="1"/>
  <c r="AX109" i="6"/>
  <c r="AY109" i="6" s="1"/>
  <c r="BA109" i="6" s="1"/>
  <c r="AV110" i="6"/>
  <c r="AW110" i="6" s="1"/>
  <c r="AX110" i="6"/>
  <c r="AY110" i="6" s="1"/>
  <c r="BA110" i="6" s="1"/>
  <c r="AZ110" i="6"/>
  <c r="AV111" i="6"/>
  <c r="AW111" i="6" s="1"/>
  <c r="AZ111" i="6" s="1"/>
  <c r="AX111" i="6"/>
  <c r="AY111" i="6" s="1"/>
  <c r="BA111" i="6" s="1"/>
  <c r="AV112" i="6"/>
  <c r="AW112" i="6" s="1"/>
  <c r="AZ112" i="6" s="1"/>
  <c r="AX112" i="6"/>
  <c r="AY112" i="6" s="1"/>
  <c r="BA112" i="6" s="1"/>
  <c r="AV113" i="6"/>
  <c r="AW113" i="6" s="1"/>
  <c r="AX113" i="6"/>
  <c r="AY113" i="6" s="1"/>
  <c r="BA113" i="6" s="1"/>
  <c r="AZ113" i="6"/>
  <c r="AV114" i="6"/>
  <c r="AW114" i="6" s="1"/>
  <c r="AZ114" i="6" s="1"/>
  <c r="AX114" i="6"/>
  <c r="AY114" i="6" s="1"/>
  <c r="BA114" i="6" s="1"/>
  <c r="AV115" i="6"/>
  <c r="AW115" i="6" s="1"/>
  <c r="AX115" i="6"/>
  <c r="AY115" i="6" s="1"/>
  <c r="BA115" i="6" s="1"/>
  <c r="AZ115" i="6"/>
  <c r="AV116" i="6"/>
  <c r="AW116" i="6" s="1"/>
  <c r="AX116" i="6"/>
  <c r="AY116" i="6" s="1"/>
  <c r="BA116" i="6" s="1"/>
  <c r="AZ116" i="6"/>
  <c r="AV117" i="6"/>
  <c r="AW117" i="6" s="1"/>
  <c r="AZ117" i="6" s="1"/>
  <c r="AX117" i="6"/>
  <c r="AY117" i="6" s="1"/>
  <c r="BA117" i="6" s="1"/>
  <c r="AV118" i="6"/>
  <c r="AW118" i="6" s="1"/>
  <c r="AZ118" i="6" s="1"/>
  <c r="AX118" i="6"/>
  <c r="AY118" i="6" s="1"/>
  <c r="BA118" i="6" s="1"/>
  <c r="AV119" i="6"/>
  <c r="AW119" i="6" s="1"/>
  <c r="AZ119" i="6" s="1"/>
  <c r="AX119" i="6"/>
  <c r="AY119" i="6" s="1"/>
  <c r="BA119" i="6" s="1"/>
  <c r="AV120" i="6"/>
  <c r="AW120" i="6" s="1"/>
  <c r="AZ120" i="6" s="1"/>
  <c r="AX120" i="6"/>
  <c r="AY120" i="6" s="1"/>
  <c r="BA120" i="6" s="1"/>
  <c r="AV121" i="6"/>
  <c r="AW121" i="6" s="1"/>
  <c r="AZ121" i="6" s="1"/>
  <c r="AX121" i="6"/>
  <c r="AY121" i="6" s="1"/>
  <c r="BA121" i="6" s="1"/>
  <c r="AV122" i="6"/>
  <c r="AW122" i="6" s="1"/>
  <c r="AZ122" i="6" s="1"/>
  <c r="AX122" i="6"/>
  <c r="AY122" i="6" s="1"/>
  <c r="BA122" i="6" s="1"/>
  <c r="AV123" i="6"/>
  <c r="AW123" i="6" s="1"/>
  <c r="AZ123" i="6" s="1"/>
  <c r="AX123" i="6"/>
  <c r="AY123" i="6" s="1"/>
  <c r="BA123" i="6" s="1"/>
  <c r="AV124" i="6"/>
  <c r="AW124" i="6" s="1"/>
  <c r="AZ124" i="6" s="1"/>
  <c r="AX124" i="6"/>
  <c r="AY124" i="6" s="1"/>
  <c r="BA124" i="6" s="1"/>
  <c r="AV125" i="6"/>
  <c r="AW125" i="6" s="1"/>
  <c r="AZ125" i="6" s="1"/>
  <c r="AX125" i="6"/>
  <c r="AY125" i="6" s="1"/>
  <c r="BA125" i="6" s="1"/>
  <c r="AV126" i="6"/>
  <c r="AW126" i="6" s="1"/>
  <c r="AZ126" i="6" s="1"/>
  <c r="AX126" i="6"/>
  <c r="AY126" i="6" s="1"/>
  <c r="BA126" i="6" s="1"/>
  <c r="AV127" i="6"/>
  <c r="AW127" i="6" s="1"/>
  <c r="AZ127" i="6" s="1"/>
  <c r="AX127" i="6"/>
  <c r="AY127" i="6" s="1"/>
  <c r="BA127" i="6" s="1"/>
  <c r="AV128" i="6"/>
  <c r="AW128" i="6" s="1"/>
  <c r="AZ128" i="6" s="1"/>
  <c r="AX128" i="6"/>
  <c r="AY128" i="6" s="1"/>
  <c r="BA128" i="6" s="1"/>
  <c r="AV129" i="6"/>
  <c r="AW129" i="6" s="1"/>
  <c r="AZ129" i="6" s="1"/>
  <c r="AX129" i="6"/>
  <c r="AY129" i="6" s="1"/>
  <c r="BA129" i="6" s="1"/>
  <c r="AV130" i="6"/>
  <c r="AW130" i="6" s="1"/>
  <c r="AZ130" i="6" s="1"/>
  <c r="AX130" i="6"/>
  <c r="AY130" i="6" s="1"/>
  <c r="BA130" i="6" s="1"/>
  <c r="AV131" i="6"/>
  <c r="AW131" i="6" s="1"/>
  <c r="AZ131" i="6" s="1"/>
  <c r="AX131" i="6"/>
  <c r="AY131" i="6" s="1"/>
  <c r="BA131" i="6" s="1"/>
  <c r="AV132" i="6"/>
  <c r="AW132" i="6" s="1"/>
  <c r="AZ132" i="6" s="1"/>
  <c r="AX132" i="6"/>
  <c r="AY132" i="6" s="1"/>
  <c r="BA132" i="6" s="1"/>
  <c r="AV133" i="6"/>
  <c r="AW133" i="6" s="1"/>
  <c r="AZ133" i="6" s="1"/>
  <c r="AX133" i="6"/>
  <c r="AY133" i="6" s="1"/>
  <c r="BA133" i="6" s="1"/>
  <c r="AV134" i="6"/>
  <c r="AW134" i="6" s="1"/>
  <c r="AZ134" i="6" s="1"/>
  <c r="AX134" i="6"/>
  <c r="AY134" i="6" s="1"/>
  <c r="BA134" i="6" s="1"/>
  <c r="AV135" i="6"/>
  <c r="AW135" i="6" s="1"/>
  <c r="AZ135" i="6" s="1"/>
  <c r="AX135" i="6"/>
  <c r="AY135" i="6" s="1"/>
  <c r="BA135" i="6" s="1"/>
  <c r="AV136" i="6"/>
  <c r="AW136" i="6" s="1"/>
  <c r="AZ136" i="6" s="1"/>
  <c r="AX136" i="6"/>
  <c r="AY136" i="6" s="1"/>
  <c r="BA136" i="6" s="1"/>
  <c r="AV137" i="6"/>
  <c r="AW137" i="6" s="1"/>
  <c r="AZ137" i="6" s="1"/>
  <c r="AX137" i="6"/>
  <c r="AY137" i="6" s="1"/>
  <c r="BA137" i="6" s="1"/>
  <c r="AV138" i="6"/>
  <c r="AW138" i="6" s="1"/>
  <c r="AZ138" i="6" s="1"/>
  <c r="AX138" i="6"/>
  <c r="AY138" i="6" s="1"/>
  <c r="BA138" i="6" s="1"/>
  <c r="AV139" i="6"/>
  <c r="AW139" i="6" s="1"/>
  <c r="AZ139" i="6" s="1"/>
  <c r="AX139" i="6"/>
  <c r="AY139" i="6" s="1"/>
  <c r="BA139" i="6" s="1"/>
  <c r="AV140" i="6"/>
  <c r="AW140" i="6" s="1"/>
  <c r="AZ140" i="6" s="1"/>
  <c r="AX140" i="6"/>
  <c r="AY140" i="6" s="1"/>
  <c r="BA140" i="6" s="1"/>
  <c r="AV141" i="6"/>
  <c r="AW141" i="6" s="1"/>
  <c r="AZ141" i="6" s="1"/>
  <c r="AX141" i="6"/>
  <c r="AY141" i="6" s="1"/>
  <c r="BA141" i="6" s="1"/>
  <c r="AV142" i="6"/>
  <c r="AW142" i="6" s="1"/>
  <c r="AZ142" i="6" s="1"/>
  <c r="AX142" i="6"/>
  <c r="AY142" i="6" s="1"/>
  <c r="BA142" i="6" s="1"/>
  <c r="AV143" i="6"/>
  <c r="AW143" i="6" s="1"/>
  <c r="AZ143" i="6" s="1"/>
  <c r="AX143" i="6"/>
  <c r="AY143" i="6" s="1"/>
  <c r="BA143" i="6" s="1"/>
  <c r="AV144" i="6"/>
  <c r="AW144" i="6" s="1"/>
  <c r="AZ144" i="6" s="1"/>
  <c r="AX144" i="6"/>
  <c r="AY144" i="6" s="1"/>
  <c r="BA144" i="6" s="1"/>
  <c r="AV145" i="6"/>
  <c r="AW145" i="6" s="1"/>
  <c r="AZ145" i="6" s="1"/>
  <c r="AX145" i="6"/>
  <c r="AY145" i="6" s="1"/>
  <c r="BA145" i="6" s="1"/>
  <c r="AV146" i="6"/>
  <c r="AW146" i="6" s="1"/>
  <c r="AZ146" i="6" s="1"/>
  <c r="AX146" i="6"/>
  <c r="AY146" i="6" s="1"/>
  <c r="BA146" i="6" s="1"/>
  <c r="AV147" i="6"/>
  <c r="AW147" i="6" s="1"/>
  <c r="AZ147" i="6" s="1"/>
  <c r="AX147" i="6"/>
  <c r="AY147" i="6" s="1"/>
  <c r="BA147" i="6" s="1"/>
  <c r="AV148" i="6"/>
  <c r="AW148" i="6" s="1"/>
  <c r="AZ148" i="6" s="1"/>
  <c r="AX148" i="6"/>
  <c r="AY148" i="6" s="1"/>
  <c r="BA148" i="6" s="1"/>
  <c r="AV149" i="6"/>
  <c r="AW149" i="6" s="1"/>
  <c r="AZ149" i="6" s="1"/>
  <c r="AX149" i="6"/>
  <c r="AY149" i="6" s="1"/>
  <c r="BA149" i="6" s="1"/>
  <c r="AV150" i="6"/>
  <c r="AW150" i="6" s="1"/>
  <c r="AZ150" i="6" s="1"/>
  <c r="AX150" i="6"/>
  <c r="AY150" i="6" s="1"/>
  <c r="BA150" i="6" s="1"/>
  <c r="AV151" i="6"/>
  <c r="AW151" i="6" s="1"/>
  <c r="AZ151" i="6" s="1"/>
  <c r="AX151" i="6"/>
  <c r="AY151" i="6" s="1"/>
  <c r="BA151" i="6" s="1"/>
  <c r="AV152" i="6"/>
  <c r="AW152" i="6" s="1"/>
  <c r="AZ152" i="6" s="1"/>
  <c r="AX152" i="6"/>
  <c r="AY152" i="6" s="1"/>
  <c r="BA152" i="6" s="1"/>
  <c r="AV153" i="6"/>
  <c r="AW153" i="6" s="1"/>
  <c r="AZ153" i="6" s="1"/>
  <c r="AX153" i="6"/>
  <c r="AY153" i="6" s="1"/>
  <c r="BA153" i="6" s="1"/>
  <c r="AV154" i="6"/>
  <c r="AW154" i="6" s="1"/>
  <c r="AZ154" i="6" s="1"/>
  <c r="AX154" i="6"/>
  <c r="AY154" i="6" s="1"/>
  <c r="BA154" i="6" s="1"/>
  <c r="AV155" i="6"/>
  <c r="AW155" i="6" s="1"/>
  <c r="AZ155" i="6" s="1"/>
  <c r="AX155" i="6"/>
  <c r="AY155" i="6" s="1"/>
  <c r="BA155" i="6" s="1"/>
  <c r="AV156" i="6"/>
  <c r="AW156" i="6" s="1"/>
  <c r="AZ156" i="6" s="1"/>
  <c r="AX156" i="6"/>
  <c r="AY156" i="6" s="1"/>
  <c r="BA156" i="6" s="1"/>
  <c r="AV157" i="6"/>
  <c r="AW157" i="6" s="1"/>
  <c r="AZ157" i="6" s="1"/>
  <c r="AX157" i="6"/>
  <c r="AY157" i="6" s="1"/>
  <c r="BA157" i="6" s="1"/>
  <c r="AV158" i="6"/>
  <c r="AW158" i="6" s="1"/>
  <c r="AZ158" i="6" s="1"/>
  <c r="AX158" i="6"/>
  <c r="AY158" i="6" s="1"/>
  <c r="BA158" i="6" s="1"/>
  <c r="AV159" i="6"/>
  <c r="AW159" i="6" s="1"/>
  <c r="AZ159" i="6" s="1"/>
  <c r="AX159" i="6"/>
  <c r="AY159" i="6" s="1"/>
  <c r="BA159" i="6" s="1"/>
  <c r="AV160" i="6"/>
  <c r="AW160" i="6" s="1"/>
  <c r="AZ160" i="6" s="1"/>
  <c r="AX160" i="6"/>
  <c r="AY160" i="6" s="1"/>
  <c r="BA160" i="6" s="1"/>
  <c r="AV161" i="6"/>
  <c r="AW161" i="6" s="1"/>
  <c r="AZ161" i="6" s="1"/>
  <c r="AX161" i="6"/>
  <c r="AY161" i="6" s="1"/>
  <c r="BA161" i="6" s="1"/>
  <c r="AV162" i="6"/>
  <c r="AW162" i="6" s="1"/>
  <c r="AZ162" i="6" s="1"/>
  <c r="AX162" i="6"/>
  <c r="AY162" i="6" s="1"/>
  <c r="BA162" i="6" s="1"/>
  <c r="AV163" i="6"/>
  <c r="AW163" i="6" s="1"/>
  <c r="AZ163" i="6" s="1"/>
  <c r="AX163" i="6"/>
  <c r="AY163" i="6" s="1"/>
  <c r="BA163" i="6" s="1"/>
  <c r="AV164" i="6"/>
  <c r="AW164" i="6" s="1"/>
  <c r="AZ164" i="6" s="1"/>
  <c r="AX164" i="6"/>
  <c r="AY164" i="6" s="1"/>
  <c r="BA164" i="6" s="1"/>
  <c r="AV165" i="6"/>
  <c r="AW165" i="6" s="1"/>
  <c r="AZ165" i="6" s="1"/>
  <c r="AX165" i="6"/>
  <c r="AY165" i="6" s="1"/>
  <c r="BA165" i="6" s="1"/>
  <c r="AV166" i="6"/>
  <c r="AW166" i="6" s="1"/>
  <c r="AZ166" i="6" s="1"/>
  <c r="AX166" i="6"/>
  <c r="AY166" i="6" s="1"/>
  <c r="BA166" i="6" s="1"/>
  <c r="AV167" i="6"/>
  <c r="AW167" i="6" s="1"/>
  <c r="AZ167" i="6" s="1"/>
  <c r="AX167" i="6"/>
  <c r="AY167" i="6" s="1"/>
  <c r="BA167" i="6" s="1"/>
  <c r="AV168" i="6"/>
  <c r="AW168" i="6" s="1"/>
  <c r="AZ168" i="6" s="1"/>
  <c r="AX168" i="6"/>
  <c r="AY168" i="6" s="1"/>
  <c r="BA168" i="6" s="1"/>
  <c r="AV169" i="6"/>
  <c r="AW169" i="6" s="1"/>
  <c r="AZ169" i="6" s="1"/>
  <c r="AX169" i="6"/>
  <c r="AY169" i="6" s="1"/>
  <c r="BA169" i="6" s="1"/>
  <c r="AV170" i="6"/>
  <c r="AW170" i="6" s="1"/>
  <c r="AZ170" i="6" s="1"/>
  <c r="AX170" i="6"/>
  <c r="AY170" i="6" s="1"/>
  <c r="BA170" i="6" s="1"/>
  <c r="AV171" i="6"/>
  <c r="AW171" i="6" s="1"/>
  <c r="AZ171" i="6" s="1"/>
  <c r="AX171" i="6"/>
  <c r="AY171" i="6" s="1"/>
  <c r="BA171" i="6" s="1"/>
  <c r="AV172" i="6"/>
  <c r="AW172" i="6" s="1"/>
  <c r="AZ172" i="6" s="1"/>
  <c r="AX172" i="6"/>
  <c r="AY172" i="6" s="1"/>
  <c r="BA172" i="6" s="1"/>
  <c r="AV173" i="6"/>
  <c r="AW173" i="6" s="1"/>
  <c r="AZ173" i="6" s="1"/>
  <c r="AX173" i="6"/>
  <c r="AY173" i="6" s="1"/>
  <c r="BA173" i="6" s="1"/>
  <c r="AV174" i="6"/>
  <c r="AW174" i="6" s="1"/>
  <c r="AZ174" i="6" s="1"/>
  <c r="AX174" i="6"/>
  <c r="AY174" i="6" s="1"/>
  <c r="BA174" i="6" s="1"/>
  <c r="AV175" i="6"/>
  <c r="AW175" i="6" s="1"/>
  <c r="AZ175" i="6" s="1"/>
  <c r="AX175" i="6"/>
  <c r="AY175" i="6" s="1"/>
  <c r="BA175" i="6" s="1"/>
  <c r="AV176" i="6"/>
  <c r="AW176" i="6" s="1"/>
  <c r="AZ176" i="6" s="1"/>
  <c r="AX176" i="6"/>
  <c r="AY176" i="6" s="1"/>
  <c r="BA176" i="6" s="1"/>
  <c r="AV177" i="6"/>
  <c r="AW177" i="6" s="1"/>
  <c r="AZ177" i="6" s="1"/>
  <c r="AX177" i="6"/>
  <c r="AY177" i="6" s="1"/>
  <c r="BA177" i="6" s="1"/>
  <c r="AV178" i="6"/>
  <c r="AW178" i="6" s="1"/>
  <c r="AZ178" i="6" s="1"/>
  <c r="AX178" i="6"/>
  <c r="AY178" i="6" s="1"/>
  <c r="BA178" i="6" s="1"/>
  <c r="AV179" i="6"/>
  <c r="AW179" i="6" s="1"/>
  <c r="AZ179" i="6" s="1"/>
  <c r="AX179" i="6"/>
  <c r="AY179" i="6" s="1"/>
  <c r="BA179" i="6" s="1"/>
  <c r="AV180" i="6"/>
  <c r="AW180" i="6" s="1"/>
  <c r="AZ180" i="6" s="1"/>
  <c r="AX180" i="6"/>
  <c r="AY180" i="6" s="1"/>
  <c r="BA180" i="6" s="1"/>
  <c r="AV181" i="6"/>
  <c r="AW181" i="6" s="1"/>
  <c r="AZ181" i="6" s="1"/>
  <c r="AX181" i="6"/>
  <c r="AY181" i="6" s="1"/>
  <c r="BA181" i="6" s="1"/>
  <c r="AV182" i="6"/>
  <c r="AW182" i="6" s="1"/>
  <c r="AZ182" i="6" s="1"/>
  <c r="AX182" i="6"/>
  <c r="AY182" i="6" s="1"/>
  <c r="BA182" i="6" s="1"/>
  <c r="AV183" i="6"/>
  <c r="AW183" i="6" s="1"/>
  <c r="AZ183" i="6" s="1"/>
  <c r="AX183" i="6"/>
  <c r="AY183" i="6" s="1"/>
  <c r="BA183" i="6" s="1"/>
  <c r="AV184" i="6"/>
  <c r="AW184" i="6" s="1"/>
  <c r="AZ184" i="6" s="1"/>
  <c r="AX184" i="6"/>
  <c r="AY184" i="6" s="1"/>
  <c r="BA184" i="6" s="1"/>
  <c r="AV185" i="6"/>
  <c r="AW185" i="6" s="1"/>
  <c r="AZ185" i="6" s="1"/>
  <c r="AX185" i="6"/>
  <c r="AY185" i="6" s="1"/>
  <c r="BA185" i="6" s="1"/>
  <c r="AV186" i="6"/>
  <c r="AW186" i="6" s="1"/>
  <c r="AZ186" i="6" s="1"/>
  <c r="AX186" i="6"/>
  <c r="AY186" i="6" s="1"/>
  <c r="BA186" i="6" s="1"/>
  <c r="AV187" i="6"/>
  <c r="AW187" i="6" s="1"/>
  <c r="AZ187" i="6" s="1"/>
  <c r="AX187" i="6"/>
  <c r="AY187" i="6" s="1"/>
  <c r="BA187" i="6" s="1"/>
  <c r="AV188" i="6"/>
  <c r="AW188" i="6" s="1"/>
  <c r="AZ188" i="6" s="1"/>
  <c r="AX188" i="6"/>
  <c r="AY188" i="6" s="1"/>
  <c r="BA188" i="6" s="1"/>
  <c r="AV189" i="6"/>
  <c r="AW189" i="6" s="1"/>
  <c r="AZ189" i="6" s="1"/>
  <c r="AX189" i="6"/>
  <c r="AY189" i="6" s="1"/>
  <c r="BA189" i="6" s="1"/>
  <c r="AV190" i="6"/>
  <c r="AW190" i="6" s="1"/>
  <c r="AZ190" i="6" s="1"/>
  <c r="AX190" i="6"/>
  <c r="AY190" i="6" s="1"/>
  <c r="BA190" i="6" s="1"/>
  <c r="AV191" i="6"/>
  <c r="AW191" i="6" s="1"/>
  <c r="AZ191" i="6" s="1"/>
  <c r="AX191" i="6"/>
  <c r="AY191" i="6" s="1"/>
  <c r="BA191" i="6" s="1"/>
  <c r="AV192" i="6"/>
  <c r="AW192" i="6" s="1"/>
  <c r="AZ192" i="6" s="1"/>
  <c r="AX192" i="6"/>
  <c r="AY192" i="6" s="1"/>
  <c r="BA192" i="6" s="1"/>
  <c r="AV193" i="6"/>
  <c r="AW193" i="6" s="1"/>
  <c r="AZ193" i="6" s="1"/>
  <c r="AX193" i="6"/>
  <c r="AY193" i="6" s="1"/>
  <c r="BA193" i="6" s="1"/>
  <c r="AV194" i="6"/>
  <c r="AW194" i="6" s="1"/>
  <c r="AZ194" i="6" s="1"/>
  <c r="AX194" i="6"/>
  <c r="AY194" i="6" s="1"/>
  <c r="BA194" i="6" s="1"/>
  <c r="AV195" i="6"/>
  <c r="AW195" i="6" s="1"/>
  <c r="AZ195" i="6" s="1"/>
  <c r="AX195" i="6"/>
  <c r="AY195" i="6" s="1"/>
  <c r="BA195" i="6" s="1"/>
  <c r="AV196" i="6"/>
  <c r="AW196" i="6" s="1"/>
  <c r="AZ196" i="6" s="1"/>
  <c r="AX196" i="6"/>
  <c r="AY196" i="6" s="1"/>
  <c r="BA196" i="6" s="1"/>
  <c r="AV197" i="6"/>
  <c r="AW197" i="6" s="1"/>
  <c r="AZ197" i="6" s="1"/>
  <c r="AX197" i="6"/>
  <c r="AY197" i="6" s="1"/>
  <c r="BA197" i="6" s="1"/>
  <c r="AV198" i="6"/>
  <c r="AW198" i="6" s="1"/>
  <c r="AZ198" i="6" s="1"/>
  <c r="AX198" i="6"/>
  <c r="AY198" i="6" s="1"/>
  <c r="BA198" i="6" s="1"/>
  <c r="AV199" i="6"/>
  <c r="AW199" i="6" s="1"/>
  <c r="AZ199" i="6" s="1"/>
  <c r="AX199" i="6"/>
  <c r="AY199" i="6" s="1"/>
  <c r="BA199" i="6" s="1"/>
  <c r="AV200" i="6"/>
  <c r="AW200" i="6" s="1"/>
  <c r="AZ200" i="6" s="1"/>
  <c r="AX200" i="6"/>
  <c r="AY200" i="6" s="1"/>
  <c r="BA200" i="6" s="1"/>
  <c r="AV201" i="6"/>
  <c r="AW201" i="6" s="1"/>
  <c r="AZ201" i="6" s="1"/>
  <c r="AX201" i="6"/>
  <c r="AY201" i="6" s="1"/>
  <c r="BA201" i="6" s="1"/>
  <c r="AV202" i="6"/>
  <c r="AW202" i="6" s="1"/>
  <c r="AZ202" i="6" s="1"/>
  <c r="AX202" i="6"/>
  <c r="AY202" i="6" s="1"/>
  <c r="BA202" i="6" s="1"/>
  <c r="AV203" i="6"/>
  <c r="AW203" i="6" s="1"/>
  <c r="AZ203" i="6" s="1"/>
  <c r="AX203" i="6"/>
  <c r="AY203" i="6" s="1"/>
  <c r="BA203" i="6" s="1"/>
  <c r="AV204" i="6"/>
  <c r="AW204" i="6" s="1"/>
  <c r="AZ204" i="6" s="1"/>
  <c r="AX204" i="6"/>
  <c r="AY204" i="6" s="1"/>
  <c r="BA204" i="6" s="1"/>
  <c r="AV205" i="6"/>
  <c r="AW205" i="6" s="1"/>
  <c r="AZ205" i="6" s="1"/>
  <c r="AX205" i="6"/>
  <c r="AY205" i="6" s="1"/>
  <c r="BA205" i="6" s="1"/>
  <c r="AV206" i="6"/>
  <c r="AW206" i="6" s="1"/>
  <c r="AZ206" i="6" s="1"/>
  <c r="AX206" i="6"/>
  <c r="AY206" i="6" s="1"/>
  <c r="BA206" i="6" s="1"/>
  <c r="AV207" i="6"/>
  <c r="AW207" i="6" s="1"/>
  <c r="AZ207" i="6" s="1"/>
  <c r="AX207" i="6"/>
  <c r="AY207" i="6" s="1"/>
  <c r="BA207" i="6" s="1"/>
  <c r="AV208" i="6"/>
  <c r="AW208" i="6" s="1"/>
  <c r="AZ208" i="6" s="1"/>
  <c r="AX208" i="6"/>
  <c r="AY208" i="6" s="1"/>
  <c r="BA208" i="6" s="1"/>
  <c r="AV209" i="6"/>
  <c r="AW209" i="6" s="1"/>
  <c r="AZ209" i="6" s="1"/>
  <c r="AX209" i="6"/>
  <c r="AY209" i="6" s="1"/>
  <c r="BA209" i="6" s="1"/>
  <c r="AV210" i="6"/>
  <c r="AW210" i="6" s="1"/>
  <c r="AZ210" i="6" s="1"/>
  <c r="AX210" i="6"/>
  <c r="AY210" i="6" s="1"/>
  <c r="BA210" i="6" s="1"/>
  <c r="AV211" i="6"/>
  <c r="AW211" i="6" s="1"/>
  <c r="AZ211" i="6" s="1"/>
  <c r="AX211" i="6"/>
  <c r="AY211" i="6" s="1"/>
  <c r="BA211" i="6" s="1"/>
  <c r="AV212" i="6"/>
  <c r="AW212" i="6" s="1"/>
  <c r="AZ212" i="6" s="1"/>
  <c r="AX212" i="6"/>
  <c r="AY212" i="6" s="1"/>
  <c r="BA212" i="6" s="1"/>
  <c r="AV213" i="6"/>
  <c r="AW213" i="6" s="1"/>
  <c r="AZ213" i="6" s="1"/>
  <c r="AX213" i="6"/>
  <c r="AY213" i="6" s="1"/>
  <c r="BA213" i="6" s="1"/>
  <c r="AV214" i="6"/>
  <c r="AW214" i="6" s="1"/>
  <c r="AZ214" i="6" s="1"/>
  <c r="AX214" i="6"/>
  <c r="AY214" i="6" s="1"/>
  <c r="BA214" i="6" s="1"/>
  <c r="AV215" i="6"/>
  <c r="AW215" i="6" s="1"/>
  <c r="AZ215" i="6" s="1"/>
  <c r="AX215" i="6"/>
  <c r="AY215" i="6" s="1"/>
  <c r="BA215" i="6" s="1"/>
  <c r="AV216" i="6"/>
  <c r="AW216" i="6" s="1"/>
  <c r="AZ216" i="6" s="1"/>
  <c r="AX216" i="6"/>
  <c r="AY216" i="6" s="1"/>
  <c r="BA216" i="6" s="1"/>
  <c r="AV217" i="6"/>
  <c r="AW217" i="6" s="1"/>
  <c r="AX217" i="6"/>
  <c r="AY217" i="6" s="1"/>
  <c r="BA217" i="6" s="1"/>
  <c r="AZ217" i="6"/>
  <c r="AV218" i="6"/>
  <c r="AW218" i="6" s="1"/>
  <c r="AX218" i="6"/>
  <c r="AY218" i="6" s="1"/>
  <c r="BA218" i="6" s="1"/>
  <c r="AZ218" i="6"/>
  <c r="AV219" i="6"/>
  <c r="AW219" i="6" s="1"/>
  <c r="AX219" i="6"/>
  <c r="AY219" i="6" s="1"/>
  <c r="BA219" i="6" s="1"/>
  <c r="AZ219" i="6"/>
  <c r="AV220" i="6"/>
  <c r="AW220" i="6" s="1"/>
  <c r="AZ220" i="6" s="1"/>
  <c r="AX220" i="6"/>
  <c r="AY220" i="6" s="1"/>
  <c r="BA220" i="6" s="1"/>
  <c r="AV221" i="6"/>
  <c r="AW221" i="6" s="1"/>
  <c r="AX221" i="6"/>
  <c r="AY221" i="6" s="1"/>
  <c r="BA221" i="6" s="1"/>
  <c r="AZ221" i="6"/>
  <c r="AV222" i="6"/>
  <c r="AW222" i="6" s="1"/>
  <c r="AX222" i="6"/>
  <c r="AY222" i="6" s="1"/>
  <c r="BA222" i="6" s="1"/>
  <c r="AZ222" i="6"/>
  <c r="AV223" i="6"/>
  <c r="AW223" i="6" s="1"/>
  <c r="AZ223" i="6" s="1"/>
  <c r="AX223" i="6"/>
  <c r="AY223" i="6" s="1"/>
  <c r="BA223" i="6" s="1"/>
  <c r="AV224" i="6"/>
  <c r="AW224" i="6" s="1"/>
  <c r="AZ224" i="6" s="1"/>
  <c r="AX224" i="6"/>
  <c r="AY224" i="6" s="1"/>
  <c r="BA224" i="6" s="1"/>
  <c r="AV225" i="6"/>
  <c r="AW225" i="6" s="1"/>
  <c r="AX225" i="6"/>
  <c r="AY225" i="6" s="1"/>
  <c r="BA225" i="6" s="1"/>
  <c r="AZ225" i="6"/>
  <c r="AV226" i="6"/>
  <c r="AW226" i="6" s="1"/>
  <c r="AZ226" i="6" s="1"/>
  <c r="AX226" i="6"/>
  <c r="AY226" i="6" s="1"/>
  <c r="BA226" i="6" s="1"/>
  <c r="AV227" i="6"/>
  <c r="AW227" i="6"/>
  <c r="AX227" i="6"/>
  <c r="AY227" i="6" s="1"/>
  <c r="BA227" i="6" s="1"/>
  <c r="AZ227" i="6"/>
  <c r="AV228" i="6"/>
  <c r="AW228" i="6" s="1"/>
  <c r="AZ228" i="6" s="1"/>
  <c r="AX228" i="6"/>
  <c r="AY228" i="6" s="1"/>
  <c r="BA228" i="6" s="1"/>
  <c r="AV229" i="6"/>
  <c r="AW229" i="6"/>
  <c r="AZ229" i="6" s="1"/>
  <c r="AX229" i="6"/>
  <c r="AY229" i="6"/>
  <c r="BA229" i="6" s="1"/>
  <c r="AV230" i="6"/>
  <c r="AW230" i="6" s="1"/>
  <c r="AZ230" i="6" s="1"/>
  <c r="AX230" i="6"/>
  <c r="AY230" i="6"/>
  <c r="BA230" i="6"/>
  <c r="AV231" i="6"/>
  <c r="AW231" i="6" s="1"/>
  <c r="AZ231" i="6" s="1"/>
  <c r="AX231" i="6"/>
  <c r="AY231" i="6" s="1"/>
  <c r="BA231" i="6" s="1"/>
  <c r="AV232" i="6"/>
  <c r="AW232" i="6"/>
  <c r="AZ232" i="6" s="1"/>
  <c r="AX232" i="6"/>
  <c r="AY232" i="6" s="1"/>
  <c r="BA232" i="6" s="1"/>
  <c r="AV233" i="6"/>
  <c r="AW233" i="6" s="1"/>
  <c r="AZ233" i="6" s="1"/>
  <c r="AX233" i="6"/>
  <c r="AY233" i="6"/>
  <c r="BA233" i="6" s="1"/>
  <c r="AV234" i="6"/>
  <c r="AW234" i="6" s="1"/>
  <c r="AZ234" i="6" s="1"/>
  <c r="AX234" i="6"/>
  <c r="AY234" i="6" s="1"/>
  <c r="BA234" i="6" s="1"/>
  <c r="AV235" i="6"/>
  <c r="AW235" i="6" s="1"/>
  <c r="AZ235" i="6" s="1"/>
  <c r="AX235" i="6"/>
  <c r="AY235" i="6" s="1"/>
  <c r="BA235" i="6" s="1"/>
  <c r="AV236" i="6"/>
  <c r="AW236" i="6"/>
  <c r="AZ236" i="6" s="1"/>
  <c r="AX236" i="6"/>
  <c r="AY236" i="6" s="1"/>
  <c r="BA236" i="6" s="1"/>
  <c r="AV237" i="6"/>
  <c r="AW237" i="6" s="1"/>
  <c r="AZ237" i="6" s="1"/>
  <c r="AX237" i="6"/>
  <c r="AY237" i="6"/>
  <c r="BA237" i="6" s="1"/>
  <c r="AV238" i="6"/>
  <c r="AW238" i="6" s="1"/>
  <c r="AZ238" i="6" s="1"/>
  <c r="AX238" i="6"/>
  <c r="AY238" i="6" s="1"/>
  <c r="BA238" i="6"/>
  <c r="AV239" i="6"/>
  <c r="AW239" i="6" s="1"/>
  <c r="AZ239" i="6" s="1"/>
  <c r="AX239" i="6"/>
  <c r="AY239" i="6" s="1"/>
  <c r="BA239" i="6" s="1"/>
  <c r="AV240" i="6"/>
  <c r="AW240" i="6"/>
  <c r="AZ240" i="6" s="1"/>
  <c r="AX240" i="6"/>
  <c r="AY240" i="6" s="1"/>
  <c r="BA240" i="6" s="1"/>
  <c r="AV241" i="6"/>
  <c r="AW241" i="6" s="1"/>
  <c r="AZ241" i="6" s="1"/>
  <c r="AX241" i="6"/>
  <c r="AY241" i="6"/>
  <c r="BA241" i="6" s="1"/>
  <c r="AV242" i="6"/>
  <c r="AW242" i="6" s="1"/>
  <c r="AZ242" i="6" s="1"/>
  <c r="AX242" i="6"/>
  <c r="AY242" i="6" s="1"/>
  <c r="BA242" i="6"/>
  <c r="AV243" i="6"/>
  <c r="AW243" i="6" s="1"/>
  <c r="AZ243" i="6" s="1"/>
  <c r="AX243" i="6"/>
  <c r="AY243" i="6" s="1"/>
  <c r="BA243" i="6" s="1"/>
  <c r="AV244" i="6"/>
  <c r="AW244" i="6"/>
  <c r="AZ244" i="6" s="1"/>
  <c r="AX244" i="6"/>
  <c r="AY244" i="6" s="1"/>
  <c r="BA244" i="6" s="1"/>
  <c r="AV245" i="6"/>
  <c r="AW245" i="6" s="1"/>
  <c r="AZ245" i="6" s="1"/>
  <c r="AX245" i="6"/>
  <c r="AY245" i="6"/>
  <c r="BA245" i="6" s="1"/>
  <c r="AV246" i="6"/>
  <c r="AW246" i="6" s="1"/>
  <c r="AZ246" i="6" s="1"/>
  <c r="AX246" i="6"/>
  <c r="AY246" i="6" s="1"/>
  <c r="BA246" i="6"/>
  <c r="AV247" i="6"/>
  <c r="AW247" i="6" s="1"/>
  <c r="AZ247" i="6" s="1"/>
  <c r="AX247" i="6"/>
  <c r="AY247" i="6" s="1"/>
  <c r="BA247" i="6" s="1"/>
  <c r="AV248" i="6"/>
  <c r="AW248" i="6"/>
  <c r="AZ248" i="6" s="1"/>
  <c r="AX248" i="6"/>
  <c r="AY248" i="6" s="1"/>
  <c r="BA248" i="6" s="1"/>
  <c r="AV249" i="6"/>
  <c r="AW249" i="6" s="1"/>
  <c r="AZ249" i="6" s="1"/>
  <c r="AX249" i="6"/>
  <c r="AY249" i="6"/>
  <c r="BA249" i="6" s="1"/>
  <c r="AV250" i="6"/>
  <c r="AW250" i="6" s="1"/>
  <c r="AZ250" i="6" s="1"/>
  <c r="AX250" i="6"/>
  <c r="AY250" i="6" s="1"/>
  <c r="BA250" i="6"/>
  <c r="AV251" i="6"/>
  <c r="AW251" i="6" s="1"/>
  <c r="AZ251" i="6" s="1"/>
  <c r="AX251" i="6"/>
  <c r="AY251" i="6" s="1"/>
  <c r="BA251" i="6" s="1"/>
  <c r="AV252" i="6"/>
  <c r="AW252" i="6"/>
  <c r="AZ252" i="6" s="1"/>
  <c r="AX252" i="6"/>
  <c r="AY252" i="6" s="1"/>
  <c r="BA252" i="6" s="1"/>
  <c r="AV253" i="6"/>
  <c r="AW253" i="6" s="1"/>
  <c r="AZ253" i="6" s="1"/>
  <c r="AX253" i="6"/>
  <c r="AY253" i="6"/>
  <c r="BA253" i="6" s="1"/>
  <c r="AV254" i="6"/>
  <c r="AW254" i="6" s="1"/>
  <c r="AZ254" i="6" s="1"/>
  <c r="AX254" i="6"/>
  <c r="AY254" i="6" s="1"/>
  <c r="BA254" i="6"/>
  <c r="AV255" i="6"/>
  <c r="AW255" i="6" s="1"/>
  <c r="AZ255" i="6" s="1"/>
  <c r="AX255" i="6"/>
  <c r="AY255" i="6" s="1"/>
  <c r="BA255" i="6" s="1"/>
  <c r="AV256" i="6"/>
  <c r="AW256" i="6"/>
  <c r="AZ256" i="6" s="1"/>
  <c r="AX256" i="6"/>
  <c r="AY256" i="6" s="1"/>
  <c r="BA256" i="6" s="1"/>
  <c r="AV257" i="6"/>
  <c r="AW257" i="6" s="1"/>
  <c r="AZ257" i="6" s="1"/>
  <c r="AX257" i="6"/>
  <c r="AY257" i="6"/>
  <c r="BA257" i="6" s="1"/>
  <c r="AV258" i="6"/>
  <c r="AW258" i="6" s="1"/>
  <c r="AZ258" i="6" s="1"/>
  <c r="AX258" i="6"/>
  <c r="AY258" i="6" s="1"/>
  <c r="BA258" i="6"/>
  <c r="AV259" i="6"/>
  <c r="AW259" i="6" s="1"/>
  <c r="AZ259" i="6" s="1"/>
  <c r="AX259" i="6"/>
  <c r="AY259" i="6" s="1"/>
  <c r="BA259" i="6" s="1"/>
  <c r="AV260" i="6"/>
  <c r="AW260" i="6"/>
  <c r="AZ260" i="6" s="1"/>
  <c r="AX260" i="6"/>
  <c r="AY260" i="6" s="1"/>
  <c r="BA260" i="6" s="1"/>
  <c r="AV261" i="6"/>
  <c r="AW261" i="6" s="1"/>
  <c r="AZ261" i="6" s="1"/>
  <c r="AX261" i="6"/>
  <c r="AY261" i="6"/>
  <c r="BA261" i="6" s="1"/>
  <c r="AV262" i="6"/>
  <c r="AW262" i="6" s="1"/>
  <c r="AZ262" i="6" s="1"/>
  <c r="AX262" i="6"/>
  <c r="AY262" i="6" s="1"/>
  <c r="BA262" i="6" s="1"/>
  <c r="AV263" i="6"/>
  <c r="AW263" i="6" s="1"/>
  <c r="AZ263" i="6" s="1"/>
  <c r="AX263" i="6"/>
  <c r="AY263" i="6" s="1"/>
  <c r="BA263" i="6" s="1"/>
  <c r="AV264" i="6"/>
  <c r="AW264" i="6"/>
  <c r="AZ264" i="6" s="1"/>
  <c r="AX264" i="6"/>
  <c r="AY264" i="6" s="1"/>
  <c r="BA264" i="6" s="1"/>
  <c r="AV265" i="6"/>
  <c r="AW265" i="6" s="1"/>
  <c r="AZ265" i="6" s="1"/>
  <c r="AX265" i="6"/>
  <c r="AY265" i="6"/>
  <c r="BA265" i="6" s="1"/>
  <c r="AV266" i="6"/>
  <c r="AW266" i="6" s="1"/>
  <c r="AZ266" i="6" s="1"/>
  <c r="AX266" i="6"/>
  <c r="AY266" i="6" s="1"/>
  <c r="BA266" i="6" s="1"/>
  <c r="AV267" i="6"/>
  <c r="AW267" i="6" s="1"/>
  <c r="AZ267" i="6" s="1"/>
  <c r="AX267" i="6"/>
  <c r="AY267" i="6" s="1"/>
  <c r="BA267" i="6" s="1"/>
  <c r="AV268" i="6"/>
  <c r="AW268" i="6"/>
  <c r="AZ268" i="6" s="1"/>
  <c r="AX268" i="6"/>
  <c r="AY268" i="6" s="1"/>
  <c r="BA268" i="6" s="1"/>
  <c r="AV269" i="6"/>
  <c r="AW269" i="6" s="1"/>
  <c r="AZ269" i="6" s="1"/>
  <c r="AX269" i="6"/>
  <c r="AY269" i="6"/>
  <c r="BA269" i="6" s="1"/>
  <c r="AV270" i="6"/>
  <c r="AW270" i="6" s="1"/>
  <c r="AZ270" i="6" s="1"/>
  <c r="AX270" i="6"/>
  <c r="AY270" i="6" s="1"/>
  <c r="BA270" i="6"/>
  <c r="AV271" i="6"/>
  <c r="AW271" i="6" s="1"/>
  <c r="AZ271" i="6" s="1"/>
  <c r="AX271" i="6"/>
  <c r="AY271" i="6" s="1"/>
  <c r="BA271" i="6" s="1"/>
  <c r="AV272" i="6"/>
  <c r="AW272" i="6"/>
  <c r="AZ272" i="6" s="1"/>
  <c r="AX272" i="6"/>
  <c r="AY272" i="6" s="1"/>
  <c r="BA272" i="6" s="1"/>
  <c r="AV273" i="6"/>
  <c r="AW273" i="6" s="1"/>
  <c r="AZ273" i="6" s="1"/>
  <c r="AX273" i="6"/>
  <c r="AY273" i="6"/>
  <c r="BA273" i="6" s="1"/>
  <c r="AV274" i="6"/>
  <c r="AW274" i="6" s="1"/>
  <c r="AZ274" i="6" s="1"/>
  <c r="AX274" i="6"/>
  <c r="AY274" i="6" s="1"/>
  <c r="BA274" i="6"/>
  <c r="AV275" i="6"/>
  <c r="AW275" i="6" s="1"/>
  <c r="AZ275" i="6" s="1"/>
  <c r="AX275" i="6"/>
  <c r="AY275" i="6" s="1"/>
  <c r="BA275" i="6" s="1"/>
  <c r="AV276" i="6"/>
  <c r="AW276" i="6"/>
  <c r="AZ276" i="6" s="1"/>
  <c r="AX276" i="6"/>
  <c r="AY276" i="6" s="1"/>
  <c r="BA276" i="6" s="1"/>
  <c r="AV277" i="6"/>
  <c r="AW277" i="6" s="1"/>
  <c r="AZ277" i="6" s="1"/>
  <c r="AX277" i="6"/>
  <c r="AY277" i="6"/>
  <c r="BA277" i="6" s="1"/>
  <c r="AV278" i="6"/>
  <c r="AW278" i="6" s="1"/>
  <c r="AZ278" i="6" s="1"/>
  <c r="AX278" i="6"/>
  <c r="AY278" i="6" s="1"/>
  <c r="BA278" i="6"/>
  <c r="AV279" i="6"/>
  <c r="AW279" i="6" s="1"/>
  <c r="AZ279" i="6" s="1"/>
  <c r="AX279" i="6"/>
  <c r="AY279" i="6" s="1"/>
  <c r="BA279" i="6" s="1"/>
  <c r="AV280" i="6"/>
  <c r="AW280" i="6"/>
  <c r="AZ280" i="6" s="1"/>
  <c r="AX280" i="6"/>
  <c r="AY280" i="6" s="1"/>
  <c r="BA280" i="6" s="1"/>
  <c r="AV281" i="6"/>
  <c r="AW281" i="6" s="1"/>
  <c r="AZ281" i="6" s="1"/>
  <c r="AX281" i="6"/>
  <c r="AY281" i="6"/>
  <c r="BA281" i="6" s="1"/>
  <c r="AV282" i="6"/>
  <c r="AW282" i="6" s="1"/>
  <c r="AZ282" i="6" s="1"/>
  <c r="AX282" i="6"/>
  <c r="AY282" i="6" s="1"/>
  <c r="BA282" i="6"/>
  <c r="AV283" i="6"/>
  <c r="AW283" i="6" s="1"/>
  <c r="AZ283" i="6" s="1"/>
  <c r="AX283" i="6"/>
  <c r="AY283" i="6" s="1"/>
  <c r="BA283" i="6" s="1"/>
  <c r="AV284" i="6"/>
  <c r="AW284" i="6"/>
  <c r="AZ284" i="6" s="1"/>
  <c r="AX284" i="6"/>
  <c r="AY284" i="6" s="1"/>
  <c r="BA284" i="6" s="1"/>
  <c r="AV285" i="6"/>
  <c r="AW285" i="6" s="1"/>
  <c r="AZ285" i="6" s="1"/>
  <c r="AX285" i="6"/>
  <c r="AY285" i="6"/>
  <c r="BA285" i="6" s="1"/>
  <c r="AV286" i="6"/>
  <c r="AW286" i="6" s="1"/>
  <c r="AZ286" i="6" s="1"/>
  <c r="AX286" i="6"/>
  <c r="AY286" i="6" s="1"/>
  <c r="BA286" i="6"/>
  <c r="AV287" i="6"/>
  <c r="AW287" i="6" s="1"/>
  <c r="AZ287" i="6" s="1"/>
  <c r="AX287" i="6"/>
  <c r="AY287" i="6" s="1"/>
  <c r="BA287" i="6" s="1"/>
  <c r="AV288" i="6"/>
  <c r="AW288" i="6"/>
  <c r="AZ288" i="6" s="1"/>
  <c r="AX288" i="6"/>
  <c r="AY288" i="6" s="1"/>
  <c r="BA288" i="6" s="1"/>
  <c r="AV289" i="6"/>
  <c r="AW289" i="6" s="1"/>
  <c r="AZ289" i="6" s="1"/>
  <c r="AX289" i="6"/>
  <c r="AY289" i="6"/>
  <c r="BA289" i="6" s="1"/>
  <c r="AV290" i="6"/>
  <c r="AW290" i="6" s="1"/>
  <c r="AZ290" i="6" s="1"/>
  <c r="AX290" i="6"/>
  <c r="AY290" i="6" s="1"/>
  <c r="BA290" i="6"/>
  <c r="AV291" i="6"/>
  <c r="AW291" i="6" s="1"/>
  <c r="AZ291" i="6" s="1"/>
  <c r="AX291" i="6"/>
  <c r="AY291" i="6" s="1"/>
  <c r="BA291" i="6" s="1"/>
  <c r="AV292" i="6"/>
  <c r="AW292" i="6"/>
  <c r="AZ292" i="6" s="1"/>
  <c r="AX292" i="6"/>
  <c r="AY292" i="6" s="1"/>
  <c r="BA292" i="6" s="1"/>
  <c r="AV293" i="6"/>
  <c r="AW293" i="6" s="1"/>
  <c r="AZ293" i="6" s="1"/>
  <c r="AX293" i="6"/>
  <c r="AY293" i="6"/>
  <c r="BA293" i="6" s="1"/>
  <c r="AV294" i="6"/>
  <c r="AW294" i="6" s="1"/>
  <c r="AZ294" i="6" s="1"/>
  <c r="AX294" i="6"/>
  <c r="AY294" i="6" s="1"/>
  <c r="BA294" i="6" s="1"/>
  <c r="AV295" i="6"/>
  <c r="AW295" i="6" s="1"/>
  <c r="AZ295" i="6" s="1"/>
  <c r="AX295" i="6"/>
  <c r="AY295" i="6" s="1"/>
  <c r="BA295" i="6" s="1"/>
  <c r="AV296" i="6"/>
  <c r="AW296" i="6"/>
  <c r="AZ296" i="6" s="1"/>
  <c r="AX296" i="6"/>
  <c r="AY296" i="6" s="1"/>
  <c r="BA296" i="6" s="1"/>
  <c r="AV297" i="6"/>
  <c r="AW297" i="6" s="1"/>
  <c r="AZ297" i="6" s="1"/>
  <c r="AX297" i="6"/>
  <c r="AY297" i="6"/>
  <c r="BA297" i="6" s="1"/>
  <c r="AV298" i="6"/>
  <c r="AW298" i="6" s="1"/>
  <c r="AZ298" i="6" s="1"/>
  <c r="AX298" i="6"/>
  <c r="AY298" i="6" s="1"/>
  <c r="BA298" i="6"/>
  <c r="AV299" i="6"/>
  <c r="AW299" i="6" s="1"/>
  <c r="AZ299" i="6" s="1"/>
  <c r="AX299" i="6"/>
  <c r="AY299" i="6" s="1"/>
  <c r="BA299" i="6" s="1"/>
  <c r="AV300" i="6"/>
  <c r="AW300" i="6"/>
  <c r="AZ300" i="6" s="1"/>
  <c r="AX300" i="6"/>
  <c r="AY300" i="6" s="1"/>
  <c r="BA300" i="6" s="1"/>
  <c r="AV301" i="6"/>
  <c r="AW301" i="6" s="1"/>
  <c r="AZ301" i="6" s="1"/>
  <c r="AX301" i="6"/>
  <c r="AY301" i="6"/>
  <c r="BA301" i="6" s="1"/>
  <c r="AV302" i="6"/>
  <c r="AW302" i="6" s="1"/>
  <c r="AZ302" i="6" s="1"/>
  <c r="AX302" i="6"/>
  <c r="AY302" i="6" s="1"/>
  <c r="BA302" i="6"/>
  <c r="AV303" i="6"/>
  <c r="AW303" i="6" s="1"/>
  <c r="AZ303" i="6" s="1"/>
  <c r="AX303" i="6"/>
  <c r="AY303" i="6" s="1"/>
  <c r="BA303" i="6" s="1"/>
  <c r="AV304" i="6"/>
  <c r="AW304" i="6"/>
  <c r="AZ304" i="6" s="1"/>
  <c r="AX304" i="6"/>
  <c r="AY304" i="6" s="1"/>
  <c r="BA304" i="6" s="1"/>
  <c r="AV305" i="6"/>
  <c r="AW305" i="6" s="1"/>
  <c r="AZ305" i="6" s="1"/>
  <c r="AX305" i="6"/>
  <c r="AY305" i="6"/>
  <c r="BA305" i="6" s="1"/>
  <c r="AV306" i="6"/>
  <c r="AW306" i="6" s="1"/>
  <c r="AZ306" i="6" s="1"/>
  <c r="AX306" i="6"/>
  <c r="AY306" i="6" s="1"/>
  <c r="BA306" i="6"/>
  <c r="AV307" i="6"/>
  <c r="AW307" i="6" s="1"/>
  <c r="AZ307" i="6" s="1"/>
  <c r="AX307" i="6"/>
  <c r="AY307" i="6" s="1"/>
  <c r="BA307" i="6" s="1"/>
  <c r="AV308" i="6"/>
  <c r="AW308" i="6"/>
  <c r="AZ308" i="6" s="1"/>
  <c r="AX308" i="6"/>
  <c r="AY308" i="6" s="1"/>
  <c r="BA308" i="6" s="1"/>
  <c r="AV309" i="6"/>
  <c r="AW309" i="6" s="1"/>
  <c r="AZ309" i="6" s="1"/>
  <c r="AX309" i="6"/>
  <c r="AY309" i="6"/>
  <c r="BA309" i="6" s="1"/>
  <c r="AV310" i="6"/>
  <c r="AW310" i="6" s="1"/>
  <c r="AZ310" i="6" s="1"/>
  <c r="AX310" i="6"/>
  <c r="AY310" i="6" s="1"/>
  <c r="BA310" i="6" s="1"/>
  <c r="AV311" i="6"/>
  <c r="AW311" i="6" s="1"/>
  <c r="AZ311" i="6" s="1"/>
  <c r="AX311" i="6"/>
  <c r="AY311" i="6" s="1"/>
  <c r="BA311" i="6" s="1"/>
  <c r="AV312" i="6"/>
  <c r="AW312" i="6"/>
  <c r="AZ312" i="6" s="1"/>
  <c r="AX312" i="6"/>
  <c r="AY312" i="6" s="1"/>
  <c r="BA312" i="6" s="1"/>
  <c r="AV313" i="6"/>
  <c r="AW313" i="6" s="1"/>
  <c r="AZ313" i="6" s="1"/>
  <c r="AX313" i="6"/>
  <c r="AY313" i="6"/>
  <c r="BA313" i="6" s="1"/>
  <c r="AV314" i="6"/>
  <c r="AW314" i="6" s="1"/>
  <c r="AZ314" i="6" s="1"/>
  <c r="AX314" i="6"/>
  <c r="AY314" i="6" s="1"/>
  <c r="BA314" i="6"/>
  <c r="AV315" i="6"/>
  <c r="AW315" i="6" s="1"/>
  <c r="AZ315" i="6" s="1"/>
  <c r="AX315" i="6"/>
  <c r="AY315" i="6" s="1"/>
  <c r="BA315" i="6" s="1"/>
  <c r="AV316" i="6"/>
  <c r="AW316" i="6"/>
  <c r="AZ316" i="6" s="1"/>
  <c r="AX316" i="6"/>
  <c r="AY316" i="6" s="1"/>
  <c r="BA316" i="6" s="1"/>
  <c r="AV317" i="6"/>
  <c r="AW317" i="6" s="1"/>
  <c r="AZ317" i="6" s="1"/>
  <c r="AX317" i="6"/>
  <c r="AY317" i="6"/>
  <c r="BA317" i="6" s="1"/>
  <c r="AV318" i="6"/>
  <c r="AW318" i="6" s="1"/>
  <c r="AZ318" i="6" s="1"/>
  <c r="AX318" i="6"/>
  <c r="AY318" i="6" s="1"/>
  <c r="BA318" i="6"/>
  <c r="AV319" i="6"/>
  <c r="AW319" i="6" s="1"/>
  <c r="AZ319" i="6" s="1"/>
  <c r="AX319" i="6"/>
  <c r="AY319" i="6" s="1"/>
  <c r="BA319" i="6" s="1"/>
  <c r="AV320" i="6"/>
  <c r="AW320" i="6"/>
  <c r="AZ320" i="6" s="1"/>
  <c r="AX320" i="6"/>
  <c r="AY320" i="6" s="1"/>
  <c r="BA320" i="6" s="1"/>
  <c r="AV321" i="6"/>
  <c r="AW321" i="6" s="1"/>
  <c r="AZ321" i="6" s="1"/>
  <c r="AX321" i="6"/>
  <c r="AY321" i="6"/>
  <c r="BA321" i="6" s="1"/>
  <c r="AV322" i="6"/>
  <c r="AW322" i="6" s="1"/>
  <c r="AZ322" i="6" s="1"/>
  <c r="AX322" i="6"/>
  <c r="AY322" i="6" s="1"/>
  <c r="BA322" i="6" s="1"/>
  <c r="AV323" i="6"/>
  <c r="AW323" i="6" s="1"/>
  <c r="AZ323" i="6" s="1"/>
  <c r="AX323" i="6"/>
  <c r="AY323" i="6" s="1"/>
  <c r="BA323" i="6" s="1"/>
  <c r="AV324" i="6"/>
  <c r="AW324" i="6"/>
  <c r="AX324" i="6"/>
  <c r="AY324" i="6" s="1"/>
  <c r="BA324" i="6" s="1"/>
  <c r="AZ324" i="6"/>
  <c r="AV325" i="6"/>
  <c r="AW325" i="6" s="1"/>
  <c r="AZ325" i="6" s="1"/>
  <c r="AX325" i="6"/>
  <c r="AY325" i="6"/>
  <c r="BA325" i="6" s="1"/>
  <c r="AV326" i="6"/>
  <c r="AW326" i="6" s="1"/>
  <c r="AX326" i="6"/>
  <c r="AY326" i="6" s="1"/>
  <c r="AZ326" i="6"/>
  <c r="BA326" i="6"/>
  <c r="AV327" i="6"/>
  <c r="AW327" i="6" s="1"/>
  <c r="AX327" i="6"/>
  <c r="AY327" i="6" s="1"/>
  <c r="BA327" i="6" s="1"/>
  <c r="AZ327" i="6"/>
  <c r="AV328" i="6"/>
  <c r="AW328" i="6" s="1"/>
  <c r="AZ328" i="6" s="1"/>
  <c r="AX328" i="6"/>
  <c r="AY328" i="6" s="1"/>
  <c r="BA328" i="6" s="1"/>
  <c r="AV329" i="6"/>
  <c r="AW329" i="6" s="1"/>
  <c r="AX329" i="6"/>
  <c r="AY329" i="6"/>
  <c r="BA329" i="6" s="1"/>
  <c r="AZ329" i="6"/>
  <c r="AV330" i="6"/>
  <c r="AW330" i="6" s="1"/>
  <c r="AZ330" i="6" s="1"/>
  <c r="AX330" i="6"/>
  <c r="AY330" i="6" s="1"/>
  <c r="BA330" i="6"/>
  <c r="AV331" i="6"/>
  <c r="AW331" i="6" s="1"/>
  <c r="AX331" i="6"/>
  <c r="AY331" i="6" s="1"/>
  <c r="BA331" i="6" s="1"/>
  <c r="AZ331" i="6"/>
  <c r="AV332" i="6"/>
  <c r="AW332" i="6"/>
  <c r="AZ332" i="6" s="1"/>
  <c r="AX332" i="6"/>
  <c r="AY332" i="6" s="1"/>
  <c r="BA332" i="6" s="1"/>
  <c r="AV333" i="6"/>
  <c r="AW333" i="6" s="1"/>
  <c r="AX333" i="6"/>
  <c r="AY333" i="6" s="1"/>
  <c r="BA333" i="6" s="1"/>
  <c r="AZ333" i="6"/>
  <c r="AV334" i="6"/>
  <c r="AW334" i="6" s="1"/>
  <c r="AZ334" i="6" s="1"/>
  <c r="AX334" i="6"/>
  <c r="AY334" i="6" s="1"/>
  <c r="BA334" i="6" s="1"/>
  <c r="AV335" i="6"/>
  <c r="AW335" i="6" s="1"/>
  <c r="AX335" i="6"/>
  <c r="AY335" i="6" s="1"/>
  <c r="BA335" i="6" s="1"/>
  <c r="AZ335" i="6"/>
  <c r="AV336" i="6"/>
  <c r="AW336" i="6"/>
  <c r="AZ336" i="6" s="1"/>
  <c r="AX336" i="6"/>
  <c r="AY336" i="6" s="1"/>
  <c r="BA336" i="6" s="1"/>
  <c r="AV337" i="6"/>
  <c r="AW337" i="6" s="1"/>
  <c r="AZ337" i="6" s="1"/>
  <c r="AX337" i="6"/>
  <c r="AY337" i="6"/>
  <c r="BA337" i="6" s="1"/>
  <c r="AV338" i="6"/>
  <c r="AW338" i="6" s="1"/>
  <c r="AX338" i="6"/>
  <c r="AY338" i="6" s="1"/>
  <c r="BA338" i="6" s="1"/>
  <c r="AZ338" i="6"/>
  <c r="AV339" i="6"/>
  <c r="AW339" i="6" s="1"/>
  <c r="AX339" i="6"/>
  <c r="AY339" i="6" s="1"/>
  <c r="BA339" i="6" s="1"/>
  <c r="AZ339" i="6"/>
  <c r="AV340" i="6"/>
  <c r="AW340" i="6"/>
  <c r="AX340" i="6"/>
  <c r="AY340" i="6" s="1"/>
  <c r="BA340" i="6" s="1"/>
  <c r="AZ340" i="6"/>
  <c r="AV341" i="6"/>
  <c r="AW341" i="6" s="1"/>
  <c r="AX341" i="6"/>
  <c r="AY341" i="6" s="1"/>
  <c r="BA341" i="6" s="1"/>
  <c r="AZ341" i="6"/>
  <c r="AV342" i="6"/>
  <c r="AW342" i="6" s="1"/>
  <c r="AX342" i="6"/>
  <c r="AY342" i="6" s="1"/>
  <c r="AZ342" i="6"/>
  <c r="BA342" i="6"/>
  <c r="AV343" i="6"/>
  <c r="AW343" i="6" s="1"/>
  <c r="AX343" i="6"/>
  <c r="AY343" i="6" s="1"/>
  <c r="BA343" i="6" s="1"/>
  <c r="AZ343" i="6"/>
  <c r="AV344" i="6"/>
  <c r="AW344" i="6" s="1"/>
  <c r="AZ344" i="6" s="1"/>
  <c r="AX344" i="6"/>
  <c r="AY344" i="6" s="1"/>
  <c r="BA344" i="6" s="1"/>
  <c r="AV345" i="6"/>
  <c r="AW345" i="6" s="1"/>
  <c r="AZ345" i="6" s="1"/>
  <c r="AX345" i="6"/>
  <c r="AY345" i="6" s="1"/>
  <c r="BA345" i="6" s="1"/>
  <c r="AV346" i="6"/>
  <c r="AW346" i="6"/>
  <c r="AZ346" i="6" s="1"/>
  <c r="AX346" i="6"/>
  <c r="AY346" i="6"/>
  <c r="BA346" i="6" s="1"/>
  <c r="AV347" i="6"/>
  <c r="AW347" i="6"/>
  <c r="AX347" i="6"/>
  <c r="AY347" i="6"/>
  <c r="AZ347" i="6"/>
  <c r="BA347" i="6"/>
  <c r="AV348" i="6"/>
  <c r="AW348" i="6"/>
  <c r="AZ348" i="6" s="1"/>
  <c r="AX348" i="6"/>
  <c r="AY348" i="6"/>
  <c r="BA348" i="6"/>
  <c r="AV349" i="6"/>
  <c r="AW349" i="6"/>
  <c r="AZ349" i="6" s="1"/>
  <c r="AX349" i="6"/>
  <c r="AY349" i="6"/>
  <c r="BA349" i="6"/>
  <c r="AV350" i="6"/>
  <c r="AW350" i="6"/>
  <c r="AZ350" i="6" s="1"/>
  <c r="AX350" i="6"/>
  <c r="AY350" i="6"/>
  <c r="BA350" i="6" s="1"/>
  <c r="AV351" i="6"/>
  <c r="AW351" i="6"/>
  <c r="AX351" i="6"/>
  <c r="AY351" i="6"/>
  <c r="AZ351" i="6"/>
  <c r="BA351" i="6"/>
  <c r="AV352" i="6"/>
  <c r="AW352" i="6"/>
  <c r="AZ352" i="6" s="1"/>
  <c r="AX352" i="6"/>
  <c r="AY352" i="6"/>
  <c r="BA352" i="6"/>
  <c r="AV353" i="6"/>
  <c r="AW353" i="6"/>
  <c r="AZ353" i="6" s="1"/>
  <c r="AX353" i="6"/>
  <c r="AY353" i="6"/>
  <c r="BA353" i="6" s="1"/>
  <c r="AV354" i="6"/>
  <c r="AW354" i="6"/>
  <c r="AZ354" i="6" s="1"/>
  <c r="AX354" i="6"/>
  <c r="AY354" i="6"/>
  <c r="BA354" i="6" s="1"/>
  <c r="AV355" i="6"/>
  <c r="AW355" i="6" s="1"/>
  <c r="AZ355" i="6" s="1"/>
  <c r="AX355" i="6"/>
  <c r="AY355" i="6" s="1"/>
  <c r="BA355" i="6"/>
  <c r="AV356" i="6"/>
  <c r="AW356" i="6"/>
  <c r="AX356" i="6"/>
  <c r="AY356" i="6" s="1"/>
  <c r="BA356" i="6" s="1"/>
  <c r="AZ356" i="6"/>
  <c r="AV357" i="6"/>
  <c r="AW357" i="6"/>
  <c r="AZ357" i="6" s="1"/>
  <c r="AX357" i="6"/>
  <c r="AY357" i="6"/>
  <c r="BA357" i="6"/>
  <c r="AV358" i="6"/>
  <c r="AW358" i="6" s="1"/>
  <c r="AZ358" i="6" s="1"/>
  <c r="AX358" i="6"/>
  <c r="AY358" i="6"/>
  <c r="BA358" i="6" s="1"/>
  <c r="AV359" i="6"/>
  <c r="AW359" i="6" s="1"/>
  <c r="AZ359" i="6" s="1"/>
  <c r="AX359" i="6"/>
  <c r="AY359" i="6" s="1"/>
  <c r="BA359" i="6" s="1"/>
  <c r="AV360" i="6"/>
  <c r="AW360" i="6"/>
  <c r="AX360" i="6"/>
  <c r="AY360" i="6" s="1"/>
  <c r="BA360" i="6" s="1"/>
  <c r="AZ360" i="6"/>
  <c r="AV361" i="6"/>
  <c r="AW361" i="6"/>
  <c r="AZ361" i="6" s="1"/>
  <c r="AX361" i="6"/>
  <c r="AY361" i="6" s="1"/>
  <c r="BA361" i="6" s="1"/>
  <c r="AV362" i="6"/>
  <c r="AW362" i="6" s="1"/>
  <c r="AZ362" i="6" s="1"/>
  <c r="AX362" i="6"/>
  <c r="AY362" i="6"/>
  <c r="BA362" i="6" s="1"/>
  <c r="AV363" i="6"/>
  <c r="AW363" i="6" s="1"/>
  <c r="AZ363" i="6" s="1"/>
  <c r="AX363" i="6"/>
  <c r="AY363" i="6" s="1"/>
  <c r="BA363" i="6"/>
  <c r="AV364" i="6"/>
  <c r="AW364" i="6" s="1"/>
  <c r="AZ364" i="6" s="1"/>
  <c r="AX364" i="6"/>
  <c r="AY364" i="6" s="1"/>
  <c r="BA364" i="6" s="1"/>
  <c r="AV365" i="6"/>
  <c r="AW365" i="6"/>
  <c r="AZ365" i="6" s="1"/>
  <c r="AX365" i="6"/>
  <c r="AY365" i="6" s="1"/>
  <c r="BA365" i="6" s="1"/>
  <c r="AV366" i="6"/>
  <c r="AW366" i="6" s="1"/>
  <c r="AZ366" i="6" s="1"/>
  <c r="AX366" i="6"/>
  <c r="AY366" i="6"/>
  <c r="BA366" i="6" s="1"/>
  <c r="AV367" i="6"/>
  <c r="AW367" i="6" s="1"/>
  <c r="AZ367" i="6" s="1"/>
  <c r="AX367" i="6"/>
  <c r="AY367" i="6" s="1"/>
  <c r="BA367" i="6" s="1"/>
  <c r="AV368" i="6"/>
  <c r="AW368" i="6" s="1"/>
  <c r="AZ368" i="6" s="1"/>
  <c r="AX368" i="6"/>
  <c r="AY368" i="6" s="1"/>
  <c r="BA368" i="6" s="1"/>
  <c r="AV369" i="6"/>
  <c r="AW369" i="6"/>
  <c r="AZ369" i="6" s="1"/>
  <c r="AX369" i="6"/>
  <c r="AY369" i="6" s="1"/>
  <c r="BA369" i="6" s="1"/>
  <c r="AV370" i="6"/>
  <c r="AW370" i="6" s="1"/>
  <c r="AZ370" i="6" s="1"/>
  <c r="AX370" i="6"/>
  <c r="AY370" i="6"/>
  <c r="BA370" i="6" s="1"/>
  <c r="AV371" i="6"/>
  <c r="AW371" i="6" s="1"/>
  <c r="AZ371" i="6" s="1"/>
  <c r="AX371" i="6"/>
  <c r="AY371" i="6" s="1"/>
  <c r="BA371" i="6"/>
  <c r="AV372" i="6"/>
  <c r="AW372" i="6" s="1"/>
  <c r="AZ372" i="6" s="1"/>
  <c r="AX372" i="6"/>
  <c r="AY372" i="6" s="1"/>
  <c r="BA372" i="6" s="1"/>
  <c r="AV373" i="6"/>
  <c r="AW373" i="6"/>
  <c r="AZ373" i="6" s="1"/>
  <c r="AX373" i="6"/>
  <c r="AY373" i="6" s="1"/>
  <c r="BA373" i="6" s="1"/>
  <c r="AV374" i="6"/>
  <c r="AW374" i="6" s="1"/>
  <c r="AZ374" i="6" s="1"/>
  <c r="AX374" i="6"/>
  <c r="AY374" i="6"/>
  <c r="BA374" i="6" s="1"/>
  <c r="AV375" i="6"/>
  <c r="AW375" i="6" s="1"/>
  <c r="AZ375" i="6" s="1"/>
  <c r="AX375" i="6"/>
  <c r="AY375" i="6" s="1"/>
  <c r="BA375" i="6"/>
  <c r="AV376" i="6"/>
  <c r="AW376" i="6" s="1"/>
  <c r="AZ376" i="6" s="1"/>
  <c r="AX376" i="6"/>
  <c r="AY376" i="6" s="1"/>
  <c r="BA376" i="6" s="1"/>
  <c r="AV377" i="6"/>
  <c r="AW377" i="6"/>
  <c r="AZ377" i="6" s="1"/>
  <c r="AX377" i="6"/>
  <c r="AY377" i="6" s="1"/>
  <c r="BA377" i="6" s="1"/>
  <c r="AV378" i="6"/>
  <c r="AW378" i="6" s="1"/>
  <c r="AZ378" i="6" s="1"/>
  <c r="AX378" i="6"/>
  <c r="AY378" i="6"/>
  <c r="BA378" i="6" s="1"/>
  <c r="AV379" i="6"/>
  <c r="AW379" i="6" s="1"/>
  <c r="AZ379" i="6" s="1"/>
  <c r="AX379" i="6"/>
  <c r="AY379" i="6" s="1"/>
  <c r="BA379" i="6" s="1"/>
  <c r="AV380" i="6"/>
  <c r="AW380" i="6" s="1"/>
  <c r="AZ380" i="6" s="1"/>
  <c r="AX380" i="6"/>
  <c r="AY380" i="6" s="1"/>
  <c r="BA380" i="6" s="1"/>
  <c r="AV381" i="6"/>
  <c r="AW381" i="6"/>
  <c r="AZ381" i="6" s="1"/>
  <c r="AX381" i="6"/>
  <c r="AY381" i="6" s="1"/>
  <c r="BA381" i="6" s="1"/>
  <c r="AV382" i="6"/>
  <c r="AW382" i="6" s="1"/>
  <c r="AZ382" i="6" s="1"/>
  <c r="AX382" i="6"/>
  <c r="AY382" i="6"/>
  <c r="BA382" i="6" s="1"/>
  <c r="AV383" i="6"/>
  <c r="AW383" i="6" s="1"/>
  <c r="AZ383" i="6" s="1"/>
  <c r="AX383" i="6"/>
  <c r="AY383" i="6" s="1"/>
  <c r="BA383" i="6" s="1"/>
  <c r="AV384" i="6"/>
  <c r="AW384" i="6" s="1"/>
  <c r="AZ384" i="6" s="1"/>
  <c r="AX384" i="6"/>
  <c r="AY384" i="6" s="1"/>
  <c r="BA384" i="6" s="1"/>
  <c r="AV385" i="6"/>
  <c r="AW385" i="6"/>
  <c r="AZ385" i="6" s="1"/>
  <c r="AX385" i="6"/>
  <c r="AY385" i="6" s="1"/>
  <c r="BA385" i="6" s="1"/>
  <c r="AV386" i="6"/>
  <c r="AW386" i="6" s="1"/>
  <c r="AZ386" i="6" s="1"/>
  <c r="AX386" i="6"/>
  <c r="AY386" i="6"/>
  <c r="BA386" i="6" s="1"/>
  <c r="AV387" i="6"/>
  <c r="AW387" i="6" s="1"/>
  <c r="AZ387" i="6" s="1"/>
  <c r="AX387" i="6"/>
  <c r="AY387" i="6" s="1"/>
  <c r="BA387" i="6" s="1"/>
  <c r="AV388" i="6"/>
  <c r="AW388" i="6" s="1"/>
  <c r="AZ388" i="6" s="1"/>
  <c r="AX388" i="6"/>
  <c r="AY388" i="6" s="1"/>
  <c r="BA388" i="6" s="1"/>
  <c r="AV389" i="6"/>
  <c r="AW389" i="6"/>
  <c r="AZ389" i="6" s="1"/>
  <c r="AX389" i="6"/>
  <c r="AY389" i="6" s="1"/>
  <c r="BA389" i="6" s="1"/>
  <c r="AV390" i="6"/>
  <c r="AW390" i="6" s="1"/>
  <c r="AZ390" i="6" s="1"/>
  <c r="AX390" i="6"/>
  <c r="AY390" i="6"/>
  <c r="BA390" i="6" s="1"/>
  <c r="AV391" i="6"/>
  <c r="AW391" i="6" s="1"/>
  <c r="AZ391" i="6" s="1"/>
  <c r="AX391" i="6"/>
  <c r="AY391" i="6" s="1"/>
  <c r="BA391" i="6"/>
  <c r="AV392" i="6"/>
  <c r="AW392" i="6" s="1"/>
  <c r="AZ392" i="6" s="1"/>
  <c r="AX392" i="6"/>
  <c r="AY392" i="6" s="1"/>
  <c r="BA392" i="6" s="1"/>
  <c r="AV393" i="6"/>
  <c r="AW393" i="6"/>
  <c r="AZ393" i="6" s="1"/>
  <c r="AX393" i="6"/>
  <c r="AY393" i="6" s="1"/>
  <c r="BA393" i="6" s="1"/>
  <c r="AV394" i="6"/>
  <c r="AW394" i="6" s="1"/>
  <c r="AZ394" i="6" s="1"/>
  <c r="AX394" i="6"/>
  <c r="AY394" i="6"/>
  <c r="BA394" i="6" s="1"/>
  <c r="AV395" i="6"/>
  <c r="AW395" i="6" s="1"/>
  <c r="AZ395" i="6" s="1"/>
  <c r="AX395" i="6"/>
  <c r="AY395" i="6" s="1"/>
  <c r="BA395" i="6"/>
  <c r="AV396" i="6"/>
  <c r="AW396" i="6" s="1"/>
  <c r="AZ396" i="6" s="1"/>
  <c r="AX396" i="6"/>
  <c r="AY396" i="6" s="1"/>
  <c r="BA396" i="6" s="1"/>
  <c r="AV397" i="6"/>
  <c r="AW397" i="6"/>
  <c r="AZ397" i="6" s="1"/>
  <c r="AX397" i="6"/>
  <c r="AY397" i="6" s="1"/>
  <c r="BA397" i="6" s="1"/>
  <c r="AV398" i="6"/>
  <c r="AW398" i="6" s="1"/>
  <c r="AZ398" i="6" s="1"/>
  <c r="AX398" i="6"/>
  <c r="AY398" i="6"/>
  <c r="BA398" i="6" s="1"/>
  <c r="AV399" i="6"/>
  <c r="AW399" i="6" s="1"/>
  <c r="AZ399" i="6" s="1"/>
  <c r="AX399" i="6"/>
  <c r="AY399" i="6" s="1"/>
  <c r="BA399" i="6"/>
  <c r="AV400" i="6"/>
  <c r="AW400" i="6" s="1"/>
  <c r="AZ400" i="6" s="1"/>
  <c r="AX400" i="6"/>
  <c r="AY400" i="6" s="1"/>
  <c r="BA400" i="6" s="1"/>
  <c r="AV401" i="6"/>
  <c r="AW401" i="6"/>
  <c r="AZ401" i="6" s="1"/>
  <c r="AX401" i="6"/>
  <c r="AY401" i="6" s="1"/>
  <c r="BA401" i="6" s="1"/>
  <c r="AV402" i="6"/>
  <c r="AW402" i="6" s="1"/>
  <c r="AZ402" i="6" s="1"/>
  <c r="AX402" i="6"/>
  <c r="AY402" i="6"/>
  <c r="BA402" i="6" s="1"/>
  <c r="AV403" i="6"/>
  <c r="AW403" i="6" s="1"/>
  <c r="AZ403" i="6" s="1"/>
  <c r="AX403" i="6"/>
  <c r="AY403" i="6" s="1"/>
  <c r="BA403" i="6"/>
  <c r="AV404" i="6"/>
  <c r="AW404" i="6" s="1"/>
  <c r="AZ404" i="6" s="1"/>
  <c r="AX404" i="6"/>
  <c r="AY404" i="6" s="1"/>
  <c r="BA404" i="6" s="1"/>
  <c r="AV405" i="6"/>
  <c r="AW405" i="6"/>
  <c r="AZ405" i="6" s="1"/>
  <c r="AX405" i="6"/>
  <c r="AY405" i="6" s="1"/>
  <c r="BA405" i="6" s="1"/>
  <c r="AV406" i="6"/>
  <c r="AW406" i="6" s="1"/>
  <c r="AZ406" i="6" s="1"/>
  <c r="AX406" i="6"/>
  <c r="AY406" i="6"/>
  <c r="BA406" i="6" s="1"/>
  <c r="AV407" i="6"/>
  <c r="AW407" i="6" s="1"/>
  <c r="AZ407" i="6" s="1"/>
  <c r="AX407" i="6"/>
  <c r="AY407" i="6" s="1"/>
  <c r="BA407" i="6"/>
  <c r="AV408" i="6"/>
  <c r="AW408" i="6" s="1"/>
  <c r="AZ408" i="6" s="1"/>
  <c r="AX408" i="6"/>
  <c r="AY408" i="6" s="1"/>
  <c r="BA408" i="6" s="1"/>
  <c r="AV409" i="6"/>
  <c r="AW409" i="6"/>
  <c r="AZ409" i="6" s="1"/>
  <c r="AX409" i="6"/>
  <c r="AY409" i="6" s="1"/>
  <c r="BA409" i="6" s="1"/>
  <c r="AV410" i="6"/>
  <c r="AW410" i="6" s="1"/>
  <c r="AZ410" i="6" s="1"/>
  <c r="AX410" i="6"/>
  <c r="AY410" i="6"/>
  <c r="BA410" i="6" s="1"/>
  <c r="AV411" i="6"/>
  <c r="AW411" i="6" s="1"/>
  <c r="AZ411" i="6" s="1"/>
  <c r="AX411" i="6"/>
  <c r="AY411" i="6" s="1"/>
  <c r="BA411" i="6" s="1"/>
  <c r="AV412" i="6"/>
  <c r="AW412" i="6" s="1"/>
  <c r="AZ412" i="6" s="1"/>
  <c r="AX412" i="6"/>
  <c r="AY412" i="6" s="1"/>
  <c r="BA412" i="6" s="1"/>
  <c r="AV413" i="6"/>
  <c r="AW413" i="6"/>
  <c r="AZ413" i="6" s="1"/>
  <c r="AX413" i="6"/>
  <c r="AY413" i="6" s="1"/>
  <c r="BA413" i="6" s="1"/>
  <c r="AV414" i="6"/>
  <c r="AW414" i="6" s="1"/>
  <c r="AZ414" i="6" s="1"/>
  <c r="AX414" i="6"/>
  <c r="AY414" i="6"/>
  <c r="BA414" i="6" s="1"/>
  <c r="AV415" i="6"/>
  <c r="AW415" i="6" s="1"/>
  <c r="AZ415" i="6" s="1"/>
  <c r="AX415" i="6"/>
  <c r="AY415" i="6" s="1"/>
  <c r="BA415" i="6" s="1"/>
  <c r="AV416" i="6"/>
  <c r="AW416" i="6" s="1"/>
  <c r="AZ416" i="6" s="1"/>
  <c r="AX416" i="6"/>
  <c r="AY416" i="6" s="1"/>
  <c r="BA416" i="6" s="1"/>
  <c r="AV417" i="6"/>
  <c r="AW417" i="6" s="1"/>
  <c r="AZ417" i="6" s="1"/>
  <c r="AX417" i="6"/>
  <c r="AY417" i="6" s="1"/>
  <c r="BA417" i="6" s="1"/>
  <c r="AV418" i="6"/>
  <c r="AW418" i="6" s="1"/>
  <c r="AZ418" i="6" s="1"/>
  <c r="AX418" i="6"/>
  <c r="AY418" i="6" s="1"/>
  <c r="BA418" i="6" s="1"/>
  <c r="AV419" i="6"/>
  <c r="AW419" i="6" s="1"/>
  <c r="AZ419" i="6" s="1"/>
  <c r="AX419" i="6"/>
  <c r="AY419" i="6" s="1"/>
  <c r="BA419" i="6" s="1"/>
  <c r="AV420" i="6"/>
  <c r="AW420" i="6" s="1"/>
  <c r="AZ420" i="6" s="1"/>
  <c r="AX420" i="6"/>
  <c r="AY420" i="6" s="1"/>
  <c r="BA420" i="6" s="1"/>
  <c r="AV421" i="6"/>
  <c r="AW421" i="6" s="1"/>
  <c r="AZ421" i="6" s="1"/>
  <c r="AX421" i="6"/>
  <c r="AY421" i="6" s="1"/>
  <c r="BA421" i="6" s="1"/>
  <c r="AV422" i="6"/>
  <c r="AW422" i="6" s="1"/>
  <c r="AZ422" i="6" s="1"/>
  <c r="AX422" i="6"/>
  <c r="AY422" i="6" s="1"/>
  <c r="BA422" i="6" s="1"/>
  <c r="AV423" i="6"/>
  <c r="AW423" i="6" s="1"/>
  <c r="AX423" i="6"/>
  <c r="AY423" i="6" s="1"/>
  <c r="BA423" i="6" s="1"/>
  <c r="AZ423" i="6"/>
  <c r="AV424" i="6"/>
  <c r="AW424" i="6" s="1"/>
  <c r="AZ424" i="6" s="1"/>
  <c r="AX424" i="6"/>
  <c r="AY424" i="6" s="1"/>
  <c r="BA424" i="6" s="1"/>
  <c r="AV425" i="6"/>
  <c r="AW425" i="6" s="1"/>
  <c r="AZ425" i="6" s="1"/>
  <c r="AX425" i="6"/>
  <c r="AY425" i="6" s="1"/>
  <c r="BA425" i="6" s="1"/>
  <c r="AV426" i="6"/>
  <c r="AW426" i="6" s="1"/>
  <c r="AZ426" i="6" s="1"/>
  <c r="AX426" i="6"/>
  <c r="AY426" i="6" s="1"/>
  <c r="BA426" i="6" s="1"/>
  <c r="AV427" i="6"/>
  <c r="AW427" i="6" s="1"/>
  <c r="AZ427" i="6" s="1"/>
  <c r="AX427" i="6"/>
  <c r="AY427" i="6" s="1"/>
  <c r="BA427" i="6" s="1"/>
  <c r="AV428" i="6"/>
  <c r="AW428" i="6" s="1"/>
  <c r="AZ428" i="6" s="1"/>
  <c r="AX428" i="6"/>
  <c r="AY428" i="6" s="1"/>
  <c r="BA428" i="6" s="1"/>
  <c r="AV429" i="6"/>
  <c r="AW429" i="6" s="1"/>
  <c r="AZ429" i="6" s="1"/>
  <c r="AX429" i="6"/>
  <c r="AY429" i="6" s="1"/>
  <c r="BA429" i="6" s="1"/>
  <c r="AV430" i="6"/>
  <c r="AW430" i="6" s="1"/>
  <c r="AZ430" i="6" s="1"/>
  <c r="AX430" i="6"/>
  <c r="AY430" i="6" s="1"/>
  <c r="BA430" i="6" s="1"/>
  <c r="AV431" i="6"/>
  <c r="AW431" i="6" s="1"/>
  <c r="AX431" i="6"/>
  <c r="AY431" i="6" s="1"/>
  <c r="BA431" i="6" s="1"/>
  <c r="AZ431" i="6"/>
  <c r="AV432" i="6"/>
  <c r="AW432" i="6" s="1"/>
  <c r="AZ432" i="6" s="1"/>
  <c r="AX432" i="6"/>
  <c r="AY432" i="6" s="1"/>
  <c r="BA432" i="6" s="1"/>
  <c r="AV433" i="6"/>
  <c r="AW433" i="6" s="1"/>
  <c r="AZ433" i="6" s="1"/>
  <c r="AX433" i="6"/>
  <c r="AY433" i="6" s="1"/>
  <c r="BA433" i="6" s="1"/>
  <c r="AV434" i="6"/>
  <c r="AW434" i="6" s="1"/>
  <c r="AZ434" i="6" s="1"/>
  <c r="AX434" i="6"/>
  <c r="AY434" i="6" s="1"/>
  <c r="BA434" i="6" s="1"/>
  <c r="AV435" i="6"/>
  <c r="AW435" i="6" s="1"/>
  <c r="AZ435" i="6" s="1"/>
  <c r="AX435" i="6"/>
  <c r="AY435" i="6" s="1"/>
  <c r="BA435" i="6" s="1"/>
  <c r="AV436" i="6"/>
  <c r="AW436" i="6" s="1"/>
  <c r="AZ436" i="6" s="1"/>
  <c r="AX436" i="6"/>
  <c r="AY436" i="6" s="1"/>
  <c r="BA436" i="6" s="1"/>
  <c r="AV437" i="6"/>
  <c r="AW437" i="6" s="1"/>
  <c r="AZ437" i="6" s="1"/>
  <c r="AX437" i="6"/>
  <c r="AY437" i="6" s="1"/>
  <c r="BA437" i="6" s="1"/>
  <c r="AV438" i="6"/>
  <c r="AW438" i="6" s="1"/>
  <c r="AZ438" i="6" s="1"/>
  <c r="AX438" i="6"/>
  <c r="AY438" i="6" s="1"/>
  <c r="BA438" i="6" s="1"/>
  <c r="AV439" i="6"/>
  <c r="AW439" i="6" s="1"/>
  <c r="AX439" i="6"/>
  <c r="AY439" i="6" s="1"/>
  <c r="BA439" i="6" s="1"/>
  <c r="AZ439" i="6"/>
  <c r="AV440" i="6"/>
  <c r="AW440" i="6" s="1"/>
  <c r="AZ440" i="6" s="1"/>
  <c r="AX440" i="6"/>
  <c r="AY440" i="6" s="1"/>
  <c r="BA440" i="6" s="1"/>
  <c r="AV441" i="6"/>
  <c r="AW441" i="6" s="1"/>
  <c r="AZ441" i="6" s="1"/>
  <c r="AX441" i="6"/>
  <c r="AY441" i="6" s="1"/>
  <c r="BA441" i="6" s="1"/>
  <c r="AV442" i="6"/>
  <c r="AW442" i="6" s="1"/>
  <c r="AZ442" i="6" s="1"/>
  <c r="AX442" i="6"/>
  <c r="AY442" i="6" s="1"/>
  <c r="BA442" i="6" s="1"/>
  <c r="AV443" i="6"/>
  <c r="AW443" i="6" s="1"/>
  <c r="AZ443" i="6" s="1"/>
  <c r="AX443" i="6"/>
  <c r="AY443" i="6" s="1"/>
  <c r="BA443" i="6" s="1"/>
  <c r="AV444" i="6"/>
  <c r="AW444" i="6" s="1"/>
  <c r="AX444" i="6"/>
  <c r="AY444" i="6" s="1"/>
  <c r="BA444" i="6" s="1"/>
  <c r="AZ444" i="6"/>
  <c r="AV445" i="6"/>
  <c r="AW445" i="6"/>
  <c r="AZ445" i="6" s="1"/>
  <c r="AX445" i="6"/>
  <c r="AY445" i="6" s="1"/>
  <c r="BA445" i="6" s="1"/>
  <c r="AV446" i="6"/>
  <c r="AW446" i="6" s="1"/>
  <c r="AX446" i="6"/>
  <c r="AY446" i="6"/>
  <c r="BA446" i="6" s="1"/>
  <c r="AZ446" i="6"/>
  <c r="AV447" i="6"/>
  <c r="AW447" i="6" s="1"/>
  <c r="AX447" i="6"/>
  <c r="AY447" i="6" s="1"/>
  <c r="AZ447" i="6"/>
  <c r="BA447" i="6"/>
  <c r="AV448" i="6"/>
  <c r="AW448" i="6" s="1"/>
  <c r="AZ448" i="6" s="1"/>
  <c r="AX448" i="6"/>
  <c r="AY448" i="6" s="1"/>
  <c r="BA448" i="6" s="1"/>
  <c r="AV449" i="6"/>
  <c r="AW449" i="6"/>
  <c r="AX449" i="6"/>
  <c r="AY449" i="6" s="1"/>
  <c r="BA449" i="6" s="1"/>
  <c r="AZ449" i="6"/>
  <c r="AV450" i="6"/>
  <c r="AW450" i="6" s="1"/>
  <c r="AZ450" i="6" s="1"/>
  <c r="AX450" i="6"/>
  <c r="AY450" i="6" s="1"/>
  <c r="BA450" i="6" s="1"/>
  <c r="AV451" i="6"/>
  <c r="AW451" i="6" s="1"/>
  <c r="AZ451" i="6" s="1"/>
  <c r="AX451" i="6"/>
  <c r="AY451" i="6" s="1"/>
  <c r="BA451" i="6"/>
  <c r="AV452" i="6"/>
  <c r="AW452" i="6" s="1"/>
  <c r="AZ452" i="6" s="1"/>
  <c r="AX452" i="6"/>
  <c r="AY452" i="6" s="1"/>
  <c r="BA452" i="6" s="1"/>
  <c r="AV453" i="6"/>
  <c r="AW453" i="6"/>
  <c r="AZ453" i="6" s="1"/>
  <c r="AX453" i="6"/>
  <c r="AY453" i="6" s="1"/>
  <c r="BA453" i="6" s="1"/>
  <c r="AV454" i="6"/>
  <c r="AW454" i="6" s="1"/>
  <c r="AZ454" i="6" s="1"/>
  <c r="AX454" i="6"/>
  <c r="AY454" i="6" s="1"/>
  <c r="BA454" i="6" s="1"/>
  <c r="AV455" i="6"/>
  <c r="AW455" i="6" s="1"/>
  <c r="AX455" i="6"/>
  <c r="AY455" i="6" s="1"/>
  <c r="BA455" i="6" s="1"/>
  <c r="AZ455" i="6"/>
  <c r="AV456" i="6"/>
  <c r="AW456" i="6" s="1"/>
  <c r="AZ456" i="6" s="1"/>
  <c r="AX456" i="6"/>
  <c r="AY456" i="6" s="1"/>
  <c r="BA456" i="6" s="1"/>
  <c r="AV457" i="6"/>
  <c r="AW457" i="6" s="1"/>
  <c r="AZ457" i="6" s="1"/>
  <c r="AX457" i="6"/>
  <c r="AY457" i="6" s="1"/>
  <c r="BA457" i="6" s="1"/>
  <c r="AV458" i="6"/>
  <c r="AW458" i="6" s="1"/>
  <c r="AX458" i="6"/>
  <c r="AY458" i="6"/>
  <c r="BA458" i="6" s="1"/>
  <c r="AZ458" i="6"/>
  <c r="AV459" i="6"/>
  <c r="AW459" i="6" s="1"/>
  <c r="AX459" i="6"/>
  <c r="AY459" i="6" s="1"/>
  <c r="AZ459" i="6"/>
  <c r="BA459" i="6"/>
  <c r="AV460" i="6"/>
  <c r="AW460" i="6" s="1"/>
  <c r="AX460" i="6"/>
  <c r="AY460" i="6" s="1"/>
  <c r="BA460" i="6" s="1"/>
  <c r="AZ460" i="6"/>
  <c r="AV461" i="6"/>
  <c r="AW461" i="6" s="1"/>
  <c r="AZ461" i="6" s="1"/>
  <c r="AX461" i="6"/>
  <c r="AY461" i="6" s="1"/>
  <c r="BA461" i="6" s="1"/>
  <c r="AV462" i="6"/>
  <c r="AW462" i="6" s="1"/>
  <c r="AX462" i="6"/>
  <c r="AY462" i="6"/>
  <c r="BA462" i="6" s="1"/>
  <c r="AZ462" i="6"/>
  <c r="AV463" i="6"/>
  <c r="AW463" i="6" s="1"/>
  <c r="AZ463" i="6" s="1"/>
  <c r="AX463" i="6"/>
  <c r="AY463" i="6" s="1"/>
  <c r="BA463" i="6"/>
  <c r="AV464" i="6"/>
  <c r="AW464" i="6" s="1"/>
  <c r="AZ464" i="6" s="1"/>
  <c r="AX464" i="6"/>
  <c r="AY464" i="6" s="1"/>
  <c r="BA464" i="6" s="1"/>
  <c r="AV465" i="6"/>
  <c r="AW465" i="6" s="1"/>
  <c r="AZ465" i="6" s="1"/>
  <c r="AX465" i="6"/>
  <c r="AY465" i="6"/>
  <c r="BA465" i="6" s="1"/>
  <c r="AV466" i="6"/>
  <c r="AW466" i="6" s="1"/>
  <c r="AZ466" i="6" s="1"/>
  <c r="AX466" i="6"/>
  <c r="AY466" i="6"/>
  <c r="BA466" i="6" s="1"/>
  <c r="AV467" i="6"/>
  <c r="AW467" i="6"/>
  <c r="AX467" i="6"/>
  <c r="AY467" i="6" s="1"/>
  <c r="BA467" i="6" s="1"/>
  <c r="AZ467" i="6"/>
  <c r="AV468" i="6"/>
  <c r="AW468" i="6" s="1"/>
  <c r="AZ468" i="6" s="1"/>
  <c r="AX468" i="6"/>
  <c r="AY468" i="6"/>
  <c r="BA468" i="6" s="1"/>
  <c r="AV469" i="6"/>
  <c r="AW469" i="6"/>
  <c r="AZ469" i="6" s="1"/>
  <c r="AX469" i="6"/>
  <c r="AY469" i="6" s="1"/>
  <c r="BA469" i="6" s="1"/>
  <c r="AV470" i="6"/>
  <c r="AW470" i="6" s="1"/>
  <c r="AZ470" i="6" s="1"/>
  <c r="AX470" i="6"/>
  <c r="AY470" i="6"/>
  <c r="BA470" i="6" s="1"/>
  <c r="AV471" i="6"/>
  <c r="AW471" i="6"/>
  <c r="AX471" i="6"/>
  <c r="AY471" i="6" s="1"/>
  <c r="BA471" i="6" s="1"/>
  <c r="AZ471" i="6"/>
  <c r="AV472" i="6"/>
  <c r="AW472" i="6" s="1"/>
  <c r="AZ472" i="6" s="1"/>
  <c r="AX472" i="6"/>
  <c r="AY472" i="6" s="1"/>
  <c r="BA472" i="6" s="1"/>
  <c r="AV473" i="6"/>
  <c r="AW473" i="6"/>
  <c r="AZ473" i="6" s="1"/>
  <c r="AX473" i="6"/>
  <c r="AY473" i="6" s="1"/>
  <c r="BA473" i="6" s="1"/>
  <c r="AV474" i="6"/>
  <c r="AW474" i="6" s="1"/>
  <c r="AZ474" i="6" s="1"/>
  <c r="AX474" i="6"/>
  <c r="AY474" i="6"/>
  <c r="BA474" i="6" s="1"/>
  <c r="AV475" i="6"/>
  <c r="AW475" i="6" s="1"/>
  <c r="AZ475" i="6" s="1"/>
  <c r="AX475" i="6"/>
  <c r="AY475" i="6" s="1"/>
  <c r="BA475" i="6" s="1"/>
  <c r="AV476" i="6"/>
  <c r="AW476" i="6" s="1"/>
  <c r="AZ476" i="6" s="1"/>
  <c r="AX476" i="6"/>
  <c r="AY476" i="6" s="1"/>
  <c r="BA476" i="6" s="1"/>
  <c r="AV477" i="6"/>
  <c r="AW477" i="6"/>
  <c r="AZ477" i="6" s="1"/>
  <c r="AX477" i="6"/>
  <c r="AY477" i="6" s="1"/>
  <c r="BA477" i="6" s="1"/>
  <c r="AV478" i="6"/>
  <c r="AW478" i="6" s="1"/>
  <c r="AZ478" i="6" s="1"/>
  <c r="AX478" i="6"/>
  <c r="AY478" i="6"/>
  <c r="BA478" i="6" s="1"/>
  <c r="AV479" i="6"/>
  <c r="AW479" i="6" s="1"/>
  <c r="AZ479" i="6" s="1"/>
  <c r="AX479" i="6"/>
  <c r="AY479" i="6" s="1"/>
  <c r="BA479" i="6" s="1"/>
  <c r="AV480" i="6"/>
  <c r="AW480" i="6" s="1"/>
  <c r="AZ480" i="6" s="1"/>
  <c r="AX480" i="6"/>
  <c r="AY480" i="6" s="1"/>
  <c r="BA480" i="6" s="1"/>
  <c r="AV481" i="6"/>
  <c r="AW481" i="6"/>
  <c r="AZ481" i="6" s="1"/>
  <c r="AX481" i="6"/>
  <c r="AY481" i="6" s="1"/>
  <c r="BA481" i="6" s="1"/>
  <c r="AV482" i="6"/>
  <c r="AW482" i="6" s="1"/>
  <c r="AZ482" i="6" s="1"/>
  <c r="AX482" i="6"/>
  <c r="AY482" i="6"/>
  <c r="BA482" i="6" s="1"/>
  <c r="AV483" i="6"/>
  <c r="AW483" i="6" s="1"/>
  <c r="AZ483" i="6" s="1"/>
  <c r="AX483" i="6"/>
  <c r="AY483" i="6" s="1"/>
  <c r="BA483" i="6" s="1"/>
  <c r="AV484" i="6"/>
  <c r="AW484" i="6" s="1"/>
  <c r="AZ484" i="6" s="1"/>
  <c r="AX484" i="6"/>
  <c r="AY484" i="6" s="1"/>
  <c r="BA484" i="6" s="1"/>
  <c r="AV485" i="6"/>
  <c r="AW485" i="6"/>
  <c r="AZ485" i="6" s="1"/>
  <c r="AX485" i="6"/>
  <c r="AY485" i="6" s="1"/>
  <c r="BA485" i="6" s="1"/>
  <c r="AV486" i="6"/>
  <c r="AW486" i="6" s="1"/>
  <c r="AZ486" i="6" s="1"/>
  <c r="AX486" i="6"/>
  <c r="AY486" i="6"/>
  <c r="BA486" i="6" s="1"/>
  <c r="AV487" i="6"/>
  <c r="AW487" i="6" s="1"/>
  <c r="AZ487" i="6" s="1"/>
  <c r="AX487" i="6"/>
  <c r="AY487" i="6" s="1"/>
  <c r="BA487" i="6" s="1"/>
  <c r="AV488" i="6"/>
  <c r="AW488" i="6" s="1"/>
  <c r="AZ488" i="6" s="1"/>
  <c r="AX488" i="6"/>
  <c r="AY488" i="6" s="1"/>
  <c r="BA488" i="6" s="1"/>
  <c r="AV489" i="6"/>
  <c r="AW489" i="6"/>
  <c r="AZ489" i="6" s="1"/>
  <c r="AX489" i="6"/>
  <c r="AY489" i="6" s="1"/>
  <c r="BA489" i="6" s="1"/>
  <c r="AV490" i="6"/>
  <c r="AW490" i="6" s="1"/>
  <c r="AZ490" i="6" s="1"/>
  <c r="AX490" i="6"/>
  <c r="AY490" i="6"/>
  <c r="BA490" i="6" s="1"/>
  <c r="AV491" i="6"/>
  <c r="AW491" i="6" s="1"/>
  <c r="AZ491" i="6" s="1"/>
  <c r="AX491" i="6"/>
  <c r="AY491" i="6" s="1"/>
  <c r="BA491" i="6" s="1"/>
  <c r="AV492" i="6"/>
  <c r="AW492" i="6" s="1"/>
  <c r="AZ492" i="6" s="1"/>
  <c r="AX492" i="6"/>
  <c r="AY492" i="6" s="1"/>
  <c r="BA492" i="6" s="1"/>
  <c r="AV493" i="6"/>
  <c r="AW493" i="6"/>
  <c r="AZ493" i="6" s="1"/>
  <c r="AX493" i="6"/>
  <c r="AY493" i="6" s="1"/>
  <c r="BA493" i="6" s="1"/>
  <c r="AV494" i="6"/>
  <c r="AW494" i="6" s="1"/>
  <c r="AZ494" i="6" s="1"/>
  <c r="AX494" i="6"/>
  <c r="AY494" i="6"/>
  <c r="BA494" i="6" s="1"/>
  <c r="AV495" i="6"/>
  <c r="AW495" i="6" s="1"/>
  <c r="AZ495" i="6" s="1"/>
  <c r="AX495" i="6"/>
  <c r="AY495" i="6" s="1"/>
  <c r="BA495" i="6" s="1"/>
  <c r="AV496" i="6"/>
  <c r="AW496" i="6" s="1"/>
  <c r="AZ496" i="6" s="1"/>
  <c r="AX496" i="6"/>
  <c r="AY496" i="6" s="1"/>
  <c r="BA496" i="6" s="1"/>
  <c r="AV497" i="6"/>
  <c r="AW497" i="6"/>
  <c r="AZ497" i="6" s="1"/>
  <c r="AX497" i="6"/>
  <c r="AY497" i="6" s="1"/>
  <c r="BA497" i="6" s="1"/>
  <c r="AV498" i="6"/>
  <c r="AW498" i="6" s="1"/>
  <c r="AZ498" i="6" s="1"/>
  <c r="AX498" i="6"/>
  <c r="AY498" i="6"/>
  <c r="BA498" i="6" s="1"/>
  <c r="AV499" i="6"/>
  <c r="AW499" i="6" s="1"/>
  <c r="AZ499" i="6" s="1"/>
  <c r="AX499" i="6"/>
  <c r="AY499" i="6" s="1"/>
  <c r="BA499" i="6" s="1"/>
  <c r="AV500" i="6"/>
  <c r="AW500" i="6" s="1"/>
  <c r="AZ500" i="6" s="1"/>
  <c r="AX500" i="6"/>
  <c r="AY500" i="6" s="1"/>
  <c r="BA500" i="6" s="1"/>
  <c r="AV501" i="6"/>
  <c r="AW501" i="6"/>
  <c r="AZ501" i="6" s="1"/>
  <c r="AX501" i="6"/>
  <c r="AY501" i="6" s="1"/>
  <c r="BA501" i="6" s="1"/>
  <c r="AV502" i="6"/>
  <c r="AW502" i="6" s="1"/>
  <c r="AZ502" i="6" s="1"/>
  <c r="AX502" i="6"/>
  <c r="AY502" i="6"/>
  <c r="BA502" i="6" s="1"/>
  <c r="AV503" i="6"/>
  <c r="AW503" i="6" s="1"/>
  <c r="AZ503" i="6" s="1"/>
  <c r="AX503" i="6"/>
  <c r="AY503" i="6" s="1"/>
  <c r="BA503" i="6" s="1"/>
  <c r="AV504" i="6"/>
  <c r="AW504" i="6" s="1"/>
  <c r="AZ504" i="6" s="1"/>
  <c r="AX504" i="6"/>
  <c r="AY504" i="6" s="1"/>
  <c r="BA504" i="6" s="1"/>
  <c r="AV505" i="6"/>
  <c r="AW505" i="6"/>
  <c r="AZ505" i="6" s="1"/>
  <c r="AX505" i="6"/>
  <c r="AY505" i="6" s="1"/>
  <c r="BA505" i="6" s="1"/>
  <c r="AV506" i="6"/>
  <c r="AW506" i="6" s="1"/>
  <c r="AZ506" i="6" s="1"/>
  <c r="AX506" i="6"/>
  <c r="AY506" i="6"/>
  <c r="BA506" i="6" s="1"/>
  <c r="AV507" i="6"/>
  <c r="AW507" i="6" s="1"/>
  <c r="AZ507" i="6" s="1"/>
  <c r="AX507" i="6"/>
  <c r="AY507" i="6" s="1"/>
  <c r="BA507" i="6" s="1"/>
  <c r="AV508" i="6"/>
  <c r="AW508" i="6" s="1"/>
  <c r="AZ508" i="6" s="1"/>
  <c r="AX508" i="6"/>
  <c r="AY508" i="6" s="1"/>
  <c r="BA508" i="6" s="1"/>
  <c r="AV509" i="6"/>
  <c r="AW509" i="6"/>
  <c r="AZ509" i="6" s="1"/>
  <c r="AX509" i="6"/>
  <c r="AY509" i="6" s="1"/>
  <c r="BA509" i="6" s="1"/>
  <c r="AV510" i="6"/>
  <c r="AW510" i="6" s="1"/>
  <c r="AZ510" i="6" s="1"/>
  <c r="AX510" i="6"/>
  <c r="AY510" i="6"/>
  <c r="BA510" i="6" s="1"/>
  <c r="AV511" i="6"/>
  <c r="AW511" i="6" s="1"/>
  <c r="AZ511" i="6" s="1"/>
  <c r="AX511" i="6"/>
  <c r="AY511" i="6" s="1"/>
  <c r="BA511" i="6" s="1"/>
  <c r="AV512" i="6"/>
  <c r="AW512" i="6" s="1"/>
  <c r="AZ512" i="6" s="1"/>
  <c r="AX512" i="6"/>
  <c r="AY512" i="6" s="1"/>
  <c r="BA512" i="6" s="1"/>
  <c r="AV513" i="6"/>
  <c r="AW513" i="6"/>
  <c r="AZ513" i="6" s="1"/>
  <c r="AX513" i="6"/>
  <c r="AY513" i="6" s="1"/>
  <c r="BA513" i="6" s="1"/>
  <c r="AV514" i="6"/>
  <c r="AW514" i="6" s="1"/>
  <c r="AZ514" i="6" s="1"/>
  <c r="AX514" i="6"/>
  <c r="AY514" i="6"/>
  <c r="BA514" i="6" s="1"/>
  <c r="AV515" i="6"/>
  <c r="AW515" i="6" s="1"/>
  <c r="AZ515" i="6" s="1"/>
  <c r="AX515" i="6"/>
  <c r="AY515" i="6" s="1"/>
  <c r="BA515" i="6" s="1"/>
  <c r="AV516" i="6"/>
  <c r="AW516" i="6" s="1"/>
  <c r="AZ516" i="6" s="1"/>
  <c r="AX516" i="6"/>
  <c r="AY516" i="6" s="1"/>
  <c r="BA516" i="6" s="1"/>
  <c r="AV517" i="6"/>
  <c r="AW517" i="6"/>
  <c r="AZ517" i="6" s="1"/>
  <c r="AX517" i="6"/>
  <c r="AY517" i="6" s="1"/>
  <c r="BA517" i="6" s="1"/>
  <c r="AV518" i="6"/>
  <c r="AW518" i="6" s="1"/>
  <c r="AZ518" i="6" s="1"/>
  <c r="AX518" i="6"/>
  <c r="AY518" i="6"/>
  <c r="BA518" i="6" s="1"/>
  <c r="AV519" i="6"/>
  <c r="AW519" i="6" s="1"/>
  <c r="AZ519" i="6" s="1"/>
  <c r="AX519" i="6"/>
  <c r="AY519" i="6" s="1"/>
  <c r="BA519" i="6" s="1"/>
  <c r="AV520" i="6"/>
  <c r="AW520" i="6" s="1"/>
  <c r="AZ520" i="6" s="1"/>
  <c r="AX520" i="6"/>
  <c r="AY520" i="6" s="1"/>
  <c r="BA520" i="6" s="1"/>
  <c r="AV521" i="6"/>
  <c r="AW521" i="6"/>
  <c r="AZ521" i="6" s="1"/>
  <c r="AX521" i="6"/>
  <c r="AY521" i="6" s="1"/>
  <c r="BA521" i="6" s="1"/>
  <c r="AV522" i="6"/>
  <c r="AW522" i="6" s="1"/>
  <c r="AZ522" i="6" s="1"/>
  <c r="AX522" i="6"/>
  <c r="AY522" i="6"/>
  <c r="BA522" i="6" s="1"/>
  <c r="AV523" i="6"/>
  <c r="AW523" i="6" s="1"/>
  <c r="AZ523" i="6" s="1"/>
  <c r="AX523" i="6"/>
  <c r="AY523" i="6" s="1"/>
  <c r="BA523" i="6" s="1"/>
  <c r="AV524" i="6"/>
  <c r="AW524" i="6" s="1"/>
  <c r="AZ524" i="6" s="1"/>
  <c r="AX524" i="6"/>
  <c r="AY524" i="6" s="1"/>
  <c r="BA524" i="6" s="1"/>
  <c r="AV525" i="6"/>
  <c r="AW525" i="6"/>
  <c r="AZ525" i="6" s="1"/>
  <c r="AX525" i="6"/>
  <c r="AY525" i="6" s="1"/>
  <c r="BA525" i="6" s="1"/>
  <c r="AV526" i="6"/>
  <c r="AW526" i="6" s="1"/>
  <c r="AZ526" i="6" s="1"/>
  <c r="AX526" i="6"/>
  <c r="AY526" i="6"/>
  <c r="BA526" i="6" s="1"/>
  <c r="AV527" i="6"/>
  <c r="AW527" i="6" s="1"/>
  <c r="AZ527" i="6" s="1"/>
  <c r="AX527" i="6"/>
  <c r="AY527" i="6" s="1"/>
  <c r="BA527" i="6" s="1"/>
  <c r="AV528" i="6"/>
  <c r="AW528" i="6" s="1"/>
  <c r="AZ528" i="6" s="1"/>
  <c r="AX528" i="6"/>
  <c r="AY528" i="6" s="1"/>
  <c r="BA528" i="6" s="1"/>
  <c r="AV529" i="6"/>
  <c r="AW529" i="6"/>
  <c r="AZ529" i="6" s="1"/>
  <c r="AX529" i="6"/>
  <c r="AY529" i="6" s="1"/>
  <c r="BA529" i="6" s="1"/>
  <c r="AV530" i="6"/>
  <c r="AW530" i="6" s="1"/>
  <c r="AZ530" i="6" s="1"/>
  <c r="AX530" i="6"/>
  <c r="AY530" i="6"/>
  <c r="BA530" i="6" s="1"/>
  <c r="AV531" i="6"/>
  <c r="AW531" i="6" s="1"/>
  <c r="AZ531" i="6" s="1"/>
  <c r="AX531" i="6"/>
  <c r="AY531" i="6" s="1"/>
  <c r="BA531" i="6" s="1"/>
  <c r="AV532" i="6"/>
  <c r="AW532" i="6" s="1"/>
  <c r="AZ532" i="6" s="1"/>
  <c r="AX532" i="6"/>
  <c r="AY532" i="6" s="1"/>
  <c r="BA532" i="6" s="1"/>
  <c r="AV533" i="6"/>
  <c r="AW533" i="6"/>
  <c r="AZ533" i="6" s="1"/>
  <c r="AX533" i="6"/>
  <c r="AY533" i="6" s="1"/>
  <c r="BA533" i="6" s="1"/>
  <c r="AV534" i="6"/>
  <c r="AW534" i="6" s="1"/>
  <c r="AZ534" i="6" s="1"/>
  <c r="AX534" i="6"/>
  <c r="AY534" i="6"/>
  <c r="BA534" i="6" s="1"/>
  <c r="AV535" i="6"/>
  <c r="AW535" i="6" s="1"/>
  <c r="AZ535" i="6" s="1"/>
  <c r="AX535" i="6"/>
  <c r="AY535" i="6" s="1"/>
  <c r="BA535" i="6" s="1"/>
  <c r="AV536" i="6"/>
  <c r="AW536" i="6" s="1"/>
  <c r="AZ536" i="6" s="1"/>
  <c r="AX536" i="6"/>
  <c r="AY536" i="6" s="1"/>
  <c r="BA536" i="6" s="1"/>
  <c r="AV537" i="6"/>
  <c r="AW537" i="6"/>
  <c r="AZ537" i="6" s="1"/>
  <c r="AX537" i="6"/>
  <c r="AY537" i="6" s="1"/>
  <c r="BA537" i="6" s="1"/>
  <c r="AV538" i="6"/>
  <c r="AW538" i="6" s="1"/>
  <c r="AZ538" i="6" s="1"/>
  <c r="AX538" i="6"/>
  <c r="AY538" i="6"/>
  <c r="BA538" i="6" s="1"/>
  <c r="AV539" i="6"/>
  <c r="AW539" i="6" s="1"/>
  <c r="AZ539" i="6" s="1"/>
  <c r="AX539" i="6"/>
  <c r="AY539" i="6" s="1"/>
  <c r="BA539" i="6" s="1"/>
  <c r="AV540" i="6"/>
  <c r="AW540" i="6" s="1"/>
  <c r="AZ540" i="6" s="1"/>
  <c r="AX540" i="6"/>
  <c r="AY540" i="6" s="1"/>
  <c r="BA540" i="6" s="1"/>
  <c r="AV541" i="6"/>
  <c r="AW541" i="6"/>
  <c r="AZ541" i="6" s="1"/>
  <c r="AX541" i="6"/>
  <c r="AY541" i="6" s="1"/>
  <c r="BA541" i="6" s="1"/>
  <c r="AV542" i="6"/>
  <c r="AW542" i="6" s="1"/>
  <c r="AZ542" i="6" s="1"/>
  <c r="AX542" i="6"/>
  <c r="AY542" i="6"/>
  <c r="BA542" i="6" s="1"/>
  <c r="AV543" i="6"/>
  <c r="AW543" i="6" s="1"/>
  <c r="AZ543" i="6" s="1"/>
  <c r="AX543" i="6"/>
  <c r="AY543" i="6" s="1"/>
  <c r="BA543" i="6" s="1"/>
  <c r="AV544" i="6"/>
  <c r="AW544" i="6" s="1"/>
  <c r="AZ544" i="6" s="1"/>
  <c r="AX544" i="6"/>
  <c r="AY544" i="6" s="1"/>
  <c r="BA544" i="6" s="1"/>
  <c r="AV545" i="6"/>
  <c r="AW545" i="6"/>
  <c r="AZ545" i="6" s="1"/>
  <c r="AX545" i="6"/>
  <c r="AY545" i="6" s="1"/>
  <c r="BA545" i="6" s="1"/>
  <c r="AV546" i="6"/>
  <c r="AW546" i="6" s="1"/>
  <c r="AZ546" i="6" s="1"/>
  <c r="AX546" i="6"/>
  <c r="AY546" i="6"/>
  <c r="BA546" i="6" s="1"/>
  <c r="AV547" i="6"/>
  <c r="AW547" i="6" s="1"/>
  <c r="AZ547" i="6" s="1"/>
  <c r="AX547" i="6"/>
  <c r="AY547" i="6" s="1"/>
  <c r="BA547" i="6" s="1"/>
  <c r="AV548" i="6"/>
  <c r="AW548" i="6" s="1"/>
  <c r="AZ548" i="6" s="1"/>
  <c r="AX548" i="6"/>
  <c r="AY548" i="6" s="1"/>
  <c r="BA548" i="6" s="1"/>
  <c r="AV549" i="6"/>
  <c r="AW549" i="6"/>
  <c r="AZ549" i="6" s="1"/>
  <c r="AX549" i="6"/>
  <c r="AY549" i="6" s="1"/>
  <c r="BA549" i="6" s="1"/>
  <c r="AV550" i="6"/>
  <c r="AW550" i="6" s="1"/>
  <c r="AZ550" i="6" s="1"/>
  <c r="AX550" i="6"/>
  <c r="AY550" i="6"/>
  <c r="BA550" i="6" s="1"/>
  <c r="AV551" i="6"/>
  <c r="AW551" i="6" s="1"/>
  <c r="AZ551" i="6" s="1"/>
  <c r="AX551" i="6"/>
  <c r="AY551" i="6" s="1"/>
  <c r="BA551" i="6" s="1"/>
  <c r="AV552" i="6"/>
  <c r="AW552" i="6" s="1"/>
  <c r="AZ552" i="6" s="1"/>
  <c r="AX552" i="6"/>
  <c r="AY552" i="6" s="1"/>
  <c r="BA552" i="6" s="1"/>
  <c r="AV553" i="6"/>
  <c r="AW553" i="6"/>
  <c r="AZ553" i="6" s="1"/>
  <c r="AX553" i="6"/>
  <c r="AY553" i="6" s="1"/>
  <c r="BA553" i="6" s="1"/>
  <c r="AV554" i="6"/>
  <c r="AW554" i="6" s="1"/>
  <c r="AZ554" i="6" s="1"/>
  <c r="AX554" i="6"/>
  <c r="AY554" i="6"/>
  <c r="BA554" i="6" s="1"/>
  <c r="AV555" i="6"/>
  <c r="AW555" i="6" s="1"/>
  <c r="AZ555" i="6" s="1"/>
  <c r="AX555" i="6"/>
  <c r="AY555" i="6" s="1"/>
  <c r="BA555" i="6" s="1"/>
  <c r="AV556" i="6"/>
  <c r="AW556" i="6" s="1"/>
  <c r="AZ556" i="6" s="1"/>
  <c r="AX556" i="6"/>
  <c r="AY556" i="6" s="1"/>
  <c r="BA556" i="6" s="1"/>
  <c r="AV557" i="6"/>
  <c r="AW557" i="6"/>
  <c r="AZ557" i="6" s="1"/>
  <c r="AX557" i="6"/>
  <c r="AY557" i="6" s="1"/>
  <c r="BA557" i="6" s="1"/>
  <c r="AV558" i="6"/>
  <c r="AW558" i="6" s="1"/>
  <c r="AZ558" i="6" s="1"/>
  <c r="AX558" i="6"/>
  <c r="AY558" i="6"/>
  <c r="BA558" i="6" s="1"/>
  <c r="AV559" i="6"/>
  <c r="AW559" i="6" s="1"/>
  <c r="AZ559" i="6" s="1"/>
  <c r="AX559" i="6"/>
  <c r="AY559" i="6" s="1"/>
  <c r="BA559" i="6" s="1"/>
  <c r="AV560" i="6"/>
  <c r="AW560" i="6" s="1"/>
  <c r="AZ560" i="6" s="1"/>
  <c r="AX560" i="6"/>
  <c r="AY560" i="6" s="1"/>
  <c r="BA560" i="6" s="1"/>
  <c r="AV561" i="6"/>
  <c r="AW561" i="6"/>
  <c r="AZ561" i="6" s="1"/>
  <c r="AX561" i="6"/>
  <c r="AY561" i="6" s="1"/>
  <c r="BA561" i="6" s="1"/>
  <c r="AV562" i="6"/>
  <c r="AW562" i="6" s="1"/>
  <c r="AZ562" i="6" s="1"/>
  <c r="AX562" i="6"/>
  <c r="AY562" i="6"/>
  <c r="BA562" i="6" s="1"/>
  <c r="AV563" i="6"/>
  <c r="AW563" i="6" s="1"/>
  <c r="AZ563" i="6" s="1"/>
  <c r="AX563" i="6"/>
  <c r="AY563" i="6" s="1"/>
  <c r="BA563" i="6" s="1"/>
  <c r="AV564" i="6"/>
  <c r="AW564" i="6" s="1"/>
  <c r="AZ564" i="6" s="1"/>
  <c r="AX564" i="6"/>
  <c r="AY564" i="6" s="1"/>
  <c r="BA564" i="6" s="1"/>
  <c r="AV565" i="6"/>
  <c r="AW565" i="6"/>
  <c r="AZ565" i="6" s="1"/>
  <c r="AX565" i="6"/>
  <c r="AY565" i="6" s="1"/>
  <c r="BA565" i="6" s="1"/>
  <c r="AV566" i="6"/>
  <c r="AW566" i="6" s="1"/>
  <c r="AZ566" i="6" s="1"/>
  <c r="AX566" i="6"/>
  <c r="AY566" i="6"/>
  <c r="BA566" i="6" s="1"/>
  <c r="AV567" i="6"/>
  <c r="AW567" i="6" s="1"/>
  <c r="AZ567" i="6" s="1"/>
  <c r="AX567" i="6"/>
  <c r="AY567" i="6" s="1"/>
  <c r="BA567" i="6" s="1"/>
  <c r="AV568" i="6"/>
  <c r="AW568" i="6" s="1"/>
  <c r="AZ568" i="6" s="1"/>
  <c r="AX568" i="6"/>
  <c r="AY568" i="6" s="1"/>
  <c r="BA568" i="6" s="1"/>
  <c r="AV569" i="6"/>
  <c r="AW569" i="6"/>
  <c r="AZ569" i="6" s="1"/>
  <c r="AX569" i="6"/>
  <c r="AY569" i="6" s="1"/>
  <c r="BA569" i="6" s="1"/>
  <c r="AV570" i="6"/>
  <c r="AW570" i="6" s="1"/>
  <c r="AZ570" i="6" s="1"/>
  <c r="AX570" i="6"/>
  <c r="AY570" i="6"/>
  <c r="BA570" i="6" s="1"/>
  <c r="AV571" i="6"/>
  <c r="AW571" i="6" s="1"/>
  <c r="AZ571" i="6" s="1"/>
  <c r="AX571" i="6"/>
  <c r="AY571" i="6" s="1"/>
  <c r="BA571" i="6" s="1"/>
  <c r="AV572" i="6"/>
  <c r="AW572" i="6" s="1"/>
  <c r="AZ572" i="6" s="1"/>
  <c r="AX572" i="6"/>
  <c r="AY572" i="6" s="1"/>
  <c r="BA572" i="6" s="1"/>
  <c r="AV573" i="6"/>
  <c r="AW573" i="6"/>
  <c r="AZ573" i="6" s="1"/>
  <c r="AX573" i="6"/>
  <c r="AY573" i="6" s="1"/>
  <c r="BA573" i="6" s="1"/>
  <c r="AV574" i="6"/>
  <c r="AW574" i="6" s="1"/>
  <c r="AZ574" i="6" s="1"/>
  <c r="AX574" i="6"/>
  <c r="AY574" i="6"/>
  <c r="BA574" i="6" s="1"/>
  <c r="AV575" i="6"/>
  <c r="AW575" i="6" s="1"/>
  <c r="AZ575" i="6" s="1"/>
  <c r="AX575" i="6"/>
  <c r="AY575" i="6" s="1"/>
  <c r="BA575" i="6" s="1"/>
  <c r="AV576" i="6"/>
  <c r="AW576" i="6" s="1"/>
  <c r="AZ576" i="6" s="1"/>
  <c r="AX576" i="6"/>
  <c r="AY576" i="6" s="1"/>
  <c r="BA576" i="6" s="1"/>
  <c r="AV577" i="6"/>
  <c r="AW577" i="6"/>
  <c r="AZ577" i="6" s="1"/>
  <c r="AX577" i="6"/>
  <c r="AY577" i="6" s="1"/>
  <c r="BA577" i="6" s="1"/>
  <c r="AV578" i="6"/>
  <c r="AW578" i="6" s="1"/>
  <c r="AZ578" i="6" s="1"/>
  <c r="AX578" i="6"/>
  <c r="AY578" i="6"/>
  <c r="BA578" i="6" s="1"/>
  <c r="AV579" i="6"/>
  <c r="AW579" i="6" s="1"/>
  <c r="AZ579" i="6" s="1"/>
  <c r="AX579" i="6"/>
  <c r="AY579" i="6" s="1"/>
  <c r="BA579" i="6" s="1"/>
  <c r="AV580" i="6"/>
  <c r="AW580" i="6" s="1"/>
  <c r="AZ580" i="6" s="1"/>
  <c r="AX580" i="6"/>
  <c r="AY580" i="6" s="1"/>
  <c r="BA580" i="6" s="1"/>
  <c r="AV581" i="6"/>
  <c r="AW581" i="6"/>
  <c r="AZ581" i="6" s="1"/>
  <c r="AX581" i="6"/>
  <c r="AY581" i="6" s="1"/>
  <c r="BA581" i="6" s="1"/>
  <c r="AV582" i="6"/>
  <c r="AW582" i="6" s="1"/>
  <c r="AZ582" i="6" s="1"/>
  <c r="AX582" i="6"/>
  <c r="AY582" i="6"/>
  <c r="BA582" i="6" s="1"/>
  <c r="AV583" i="6"/>
  <c r="AW583" i="6" s="1"/>
  <c r="AZ583" i="6" s="1"/>
  <c r="AX583" i="6"/>
  <c r="AY583" i="6" s="1"/>
  <c r="BA583" i="6" s="1"/>
  <c r="AV584" i="6"/>
  <c r="AW584" i="6" s="1"/>
  <c r="AZ584" i="6" s="1"/>
  <c r="AX584" i="6"/>
  <c r="AY584" i="6" s="1"/>
  <c r="BA584" i="6" s="1"/>
  <c r="AV585" i="6"/>
  <c r="AW585" i="6"/>
  <c r="AZ585" i="6" s="1"/>
  <c r="AX585" i="6"/>
  <c r="AY585" i="6" s="1"/>
  <c r="BA585" i="6" s="1"/>
  <c r="AV586" i="6"/>
  <c r="AW586" i="6" s="1"/>
  <c r="AZ586" i="6" s="1"/>
  <c r="AX586" i="6"/>
  <c r="AY586" i="6"/>
  <c r="BA586" i="6" s="1"/>
  <c r="AV587" i="6"/>
  <c r="AW587" i="6" s="1"/>
  <c r="AZ587" i="6" s="1"/>
  <c r="AX587" i="6"/>
  <c r="AY587" i="6" s="1"/>
  <c r="BA587" i="6" s="1"/>
  <c r="AV588" i="6"/>
  <c r="AW588" i="6" s="1"/>
  <c r="AZ588" i="6" s="1"/>
  <c r="AX588" i="6"/>
  <c r="AY588" i="6" s="1"/>
  <c r="BA588" i="6" s="1"/>
  <c r="AV589" i="6"/>
  <c r="AW589" i="6"/>
  <c r="AZ589" i="6" s="1"/>
  <c r="AX589" i="6"/>
  <c r="AY589" i="6" s="1"/>
  <c r="BA589" i="6" s="1"/>
  <c r="AV590" i="6"/>
  <c r="AW590" i="6" s="1"/>
  <c r="AZ590" i="6" s="1"/>
  <c r="AX590" i="6"/>
  <c r="AY590" i="6"/>
  <c r="BA590" i="6" s="1"/>
  <c r="AV591" i="6"/>
  <c r="AW591" i="6" s="1"/>
  <c r="AZ591" i="6" s="1"/>
  <c r="AX591" i="6"/>
  <c r="AY591" i="6" s="1"/>
  <c r="BA591" i="6" s="1"/>
  <c r="AV592" i="6"/>
  <c r="AW592" i="6" s="1"/>
  <c r="AZ592" i="6" s="1"/>
  <c r="AX592" i="6"/>
  <c r="AY592" i="6" s="1"/>
  <c r="BA592" i="6" s="1"/>
  <c r="AV593" i="6"/>
  <c r="AW593" i="6"/>
  <c r="AZ593" i="6" s="1"/>
  <c r="AX593" i="6"/>
  <c r="AY593" i="6" s="1"/>
  <c r="BA593" i="6" s="1"/>
  <c r="AV594" i="6"/>
  <c r="AW594" i="6" s="1"/>
  <c r="AZ594" i="6" s="1"/>
  <c r="AX594" i="6"/>
  <c r="AY594" i="6"/>
  <c r="BA594" i="6" s="1"/>
  <c r="AV595" i="6"/>
  <c r="AW595" i="6" s="1"/>
  <c r="AZ595" i="6" s="1"/>
  <c r="AX595" i="6"/>
  <c r="AY595" i="6" s="1"/>
  <c r="BA595" i="6" s="1"/>
  <c r="AV596" i="6"/>
  <c r="AW596" i="6" s="1"/>
  <c r="AZ596" i="6" s="1"/>
  <c r="AX596" i="6"/>
  <c r="AY596" i="6" s="1"/>
  <c r="BA596" i="6" s="1"/>
  <c r="AV597" i="6"/>
  <c r="AW597" i="6"/>
  <c r="AZ597" i="6" s="1"/>
  <c r="AX597" i="6"/>
  <c r="AY597" i="6" s="1"/>
  <c r="BA597" i="6" s="1"/>
  <c r="AV598" i="6"/>
  <c r="AW598" i="6" s="1"/>
  <c r="AZ598" i="6" s="1"/>
  <c r="AX598" i="6"/>
  <c r="AY598" i="6"/>
  <c r="BA598" i="6" s="1"/>
  <c r="AV599" i="6"/>
  <c r="AW599" i="6" s="1"/>
  <c r="AZ599" i="6" s="1"/>
  <c r="AX599" i="6"/>
  <c r="AY599" i="6" s="1"/>
  <c r="BA599" i="6" s="1"/>
  <c r="AV600" i="6"/>
  <c r="AW600" i="6" s="1"/>
  <c r="AZ600" i="6" s="1"/>
  <c r="AX600" i="6"/>
  <c r="AY600" i="6" s="1"/>
  <c r="BA600" i="6" s="1"/>
  <c r="AV601" i="6"/>
  <c r="AW601" i="6"/>
  <c r="AZ601" i="6" s="1"/>
  <c r="AX601" i="6"/>
  <c r="AY601" i="6" s="1"/>
  <c r="BA601" i="6" s="1"/>
  <c r="AV602" i="6"/>
  <c r="AW602" i="6" s="1"/>
  <c r="AZ602" i="6" s="1"/>
  <c r="AX602" i="6"/>
  <c r="AY602" i="6"/>
  <c r="BA602" i="6" s="1"/>
  <c r="AV603" i="6"/>
  <c r="AW603" i="6" s="1"/>
  <c r="AZ603" i="6" s="1"/>
  <c r="AX603" i="6"/>
  <c r="AY603" i="6" s="1"/>
  <c r="BA603" i="6" s="1"/>
  <c r="AV604" i="6"/>
  <c r="AW604" i="6" s="1"/>
  <c r="AZ604" i="6" s="1"/>
  <c r="AX604" i="6"/>
  <c r="AY604" i="6" s="1"/>
  <c r="BA604" i="6" s="1"/>
  <c r="AV605" i="6"/>
  <c r="AW605" i="6"/>
  <c r="AZ605" i="6" s="1"/>
  <c r="AX605" i="6"/>
  <c r="AY605" i="6" s="1"/>
  <c r="BA605" i="6" s="1"/>
  <c r="AV606" i="6"/>
  <c r="AW606" i="6" s="1"/>
  <c r="AZ606" i="6" s="1"/>
  <c r="AX606" i="6"/>
  <c r="AY606" i="6"/>
  <c r="BA606" i="6" s="1"/>
  <c r="AV607" i="6"/>
  <c r="AW607" i="6" s="1"/>
  <c r="AZ607" i="6" s="1"/>
  <c r="AX607" i="6"/>
  <c r="AY607" i="6" s="1"/>
  <c r="BA607" i="6" s="1"/>
  <c r="AV608" i="6"/>
  <c r="AW608" i="6" s="1"/>
  <c r="AZ608" i="6" s="1"/>
  <c r="AX608" i="6"/>
  <c r="AY608" i="6" s="1"/>
  <c r="BA608" i="6" s="1"/>
  <c r="AV609" i="6"/>
  <c r="AW609" i="6"/>
  <c r="AZ609" i="6" s="1"/>
  <c r="AX609" i="6"/>
  <c r="AY609" i="6" s="1"/>
  <c r="BA609" i="6" s="1"/>
  <c r="AV610" i="6"/>
  <c r="AW610" i="6" s="1"/>
  <c r="AZ610" i="6" s="1"/>
  <c r="AX610" i="6"/>
  <c r="AY610" i="6"/>
  <c r="BA610" i="6" s="1"/>
  <c r="AV611" i="6"/>
  <c r="AW611" i="6" s="1"/>
  <c r="AZ611" i="6" s="1"/>
  <c r="AX611" i="6"/>
  <c r="AY611" i="6" s="1"/>
  <c r="BA611" i="6" s="1"/>
  <c r="AV612" i="6"/>
  <c r="AW612" i="6" s="1"/>
  <c r="AZ612" i="6" s="1"/>
  <c r="AX612" i="6"/>
  <c r="AY612" i="6" s="1"/>
  <c r="BA612" i="6" s="1"/>
  <c r="AV613" i="6"/>
  <c r="AW613" i="6"/>
  <c r="AZ613" i="6" s="1"/>
  <c r="AX613" i="6"/>
  <c r="AY613" i="6" s="1"/>
  <c r="BA613" i="6" s="1"/>
  <c r="AV614" i="6"/>
  <c r="AW614" i="6" s="1"/>
  <c r="AZ614" i="6" s="1"/>
  <c r="AX614" i="6"/>
  <c r="AY614" i="6"/>
  <c r="BA614" i="6" s="1"/>
  <c r="AV615" i="6"/>
  <c r="AW615" i="6" s="1"/>
  <c r="AZ615" i="6" s="1"/>
  <c r="AX615" i="6"/>
  <c r="AY615" i="6" s="1"/>
  <c r="BA615" i="6" s="1"/>
  <c r="AV616" i="6"/>
  <c r="AW616" i="6" s="1"/>
  <c r="AZ616" i="6" s="1"/>
  <c r="AX616" i="6"/>
  <c r="AY616" i="6" s="1"/>
  <c r="BA616" i="6" s="1"/>
  <c r="AV617" i="6"/>
  <c r="AW617" i="6"/>
  <c r="AZ617" i="6" s="1"/>
  <c r="AX617" i="6"/>
  <c r="AY617" i="6" s="1"/>
  <c r="BA617" i="6" s="1"/>
  <c r="AV618" i="6"/>
  <c r="AW618" i="6" s="1"/>
  <c r="AZ618" i="6" s="1"/>
  <c r="AX618" i="6"/>
  <c r="AY618" i="6"/>
  <c r="BA618" i="6" s="1"/>
  <c r="AV619" i="6"/>
  <c r="AW619" i="6" s="1"/>
  <c r="AZ619" i="6" s="1"/>
  <c r="AX619" i="6"/>
  <c r="AY619" i="6" s="1"/>
  <c r="BA619" i="6" s="1"/>
  <c r="AV620" i="6"/>
  <c r="AW620" i="6" s="1"/>
  <c r="AZ620" i="6" s="1"/>
  <c r="AX620" i="6"/>
  <c r="AY620" i="6" s="1"/>
  <c r="BA620" i="6" s="1"/>
  <c r="AV621" i="6"/>
  <c r="AW621" i="6"/>
  <c r="AZ621" i="6" s="1"/>
  <c r="AX621" i="6"/>
  <c r="AY621" i="6" s="1"/>
  <c r="BA621" i="6" s="1"/>
  <c r="AV622" i="6"/>
  <c r="AW622" i="6" s="1"/>
  <c r="AZ622" i="6" s="1"/>
  <c r="AX622" i="6"/>
  <c r="AY622" i="6"/>
  <c r="BA622" i="6" s="1"/>
  <c r="AV623" i="6"/>
  <c r="AW623" i="6" s="1"/>
  <c r="AZ623" i="6" s="1"/>
  <c r="AX623" i="6"/>
  <c r="AY623" i="6" s="1"/>
  <c r="BA623" i="6" s="1"/>
  <c r="AV624" i="6"/>
  <c r="AW624" i="6" s="1"/>
  <c r="AZ624" i="6" s="1"/>
  <c r="AX624" i="6"/>
  <c r="AY624" i="6" s="1"/>
  <c r="BA624" i="6" s="1"/>
  <c r="AV625" i="6"/>
  <c r="AW625" i="6"/>
  <c r="AZ625" i="6" s="1"/>
  <c r="AX625" i="6"/>
  <c r="AY625" i="6" s="1"/>
  <c r="BA625" i="6" s="1"/>
  <c r="AV626" i="6"/>
  <c r="AW626" i="6" s="1"/>
  <c r="AZ626" i="6" s="1"/>
  <c r="AX626" i="6"/>
  <c r="AY626" i="6"/>
  <c r="BA626" i="6" s="1"/>
  <c r="AV627" i="6"/>
  <c r="AW627" i="6" s="1"/>
  <c r="AZ627" i="6" s="1"/>
  <c r="AX627" i="6"/>
  <c r="AY627" i="6" s="1"/>
  <c r="BA627" i="6" s="1"/>
  <c r="AV628" i="6"/>
  <c r="AW628" i="6" s="1"/>
  <c r="AZ628" i="6" s="1"/>
  <c r="AX628" i="6"/>
  <c r="AY628" i="6" s="1"/>
  <c r="BA628" i="6" s="1"/>
  <c r="AV629" i="6"/>
  <c r="AW629" i="6"/>
  <c r="AZ629" i="6" s="1"/>
  <c r="AX629" i="6"/>
  <c r="AY629" i="6" s="1"/>
  <c r="BA629" i="6" s="1"/>
  <c r="AV630" i="6"/>
  <c r="AW630" i="6" s="1"/>
  <c r="AZ630" i="6" s="1"/>
  <c r="AX630" i="6"/>
  <c r="AY630" i="6"/>
  <c r="BA630" i="6" s="1"/>
  <c r="AV631" i="6"/>
  <c r="AW631" i="6" s="1"/>
  <c r="AZ631" i="6" s="1"/>
  <c r="AX631" i="6"/>
  <c r="AY631" i="6" s="1"/>
  <c r="BA631" i="6" s="1"/>
  <c r="AV632" i="6"/>
  <c r="AW632" i="6" s="1"/>
  <c r="AZ632" i="6" s="1"/>
  <c r="AX632" i="6"/>
  <c r="AY632" i="6" s="1"/>
  <c r="BA632" i="6" s="1"/>
  <c r="AV633" i="6"/>
  <c r="AW633" i="6"/>
  <c r="AZ633" i="6" s="1"/>
  <c r="AX633" i="6"/>
  <c r="AY633" i="6" s="1"/>
  <c r="BA633" i="6" s="1"/>
  <c r="AV634" i="6"/>
  <c r="AW634" i="6" s="1"/>
  <c r="AZ634" i="6" s="1"/>
  <c r="AX634" i="6"/>
  <c r="AY634" i="6"/>
  <c r="BA634" i="6" s="1"/>
  <c r="AV635" i="6"/>
  <c r="AW635" i="6" s="1"/>
  <c r="AZ635" i="6" s="1"/>
  <c r="AX635" i="6"/>
  <c r="AY635" i="6" s="1"/>
  <c r="BA635" i="6" s="1"/>
  <c r="AV636" i="6"/>
  <c r="AW636" i="6" s="1"/>
  <c r="AZ636" i="6" s="1"/>
  <c r="AX636" i="6"/>
  <c r="AY636" i="6" s="1"/>
  <c r="BA636" i="6" s="1"/>
  <c r="AV637" i="6"/>
  <c r="AW637" i="6"/>
  <c r="AZ637" i="6" s="1"/>
  <c r="AX637" i="6"/>
  <c r="AY637" i="6" s="1"/>
  <c r="BA637" i="6" s="1"/>
  <c r="AV638" i="6"/>
  <c r="AW638" i="6" s="1"/>
  <c r="AZ638" i="6" s="1"/>
  <c r="AX638" i="6"/>
  <c r="AY638" i="6"/>
  <c r="BA638" i="6" s="1"/>
  <c r="AV639" i="6"/>
  <c r="AW639" i="6" s="1"/>
  <c r="AZ639" i="6" s="1"/>
  <c r="AX639" i="6"/>
  <c r="AY639" i="6" s="1"/>
  <c r="BA639" i="6" s="1"/>
  <c r="AV640" i="6"/>
  <c r="AW640" i="6" s="1"/>
  <c r="AZ640" i="6" s="1"/>
  <c r="AX640" i="6"/>
  <c r="AY640" i="6" s="1"/>
  <c r="BA640" i="6" s="1"/>
  <c r="AV641" i="6"/>
  <c r="AW641" i="6"/>
  <c r="AZ641" i="6" s="1"/>
  <c r="AX641" i="6"/>
  <c r="AY641" i="6" s="1"/>
  <c r="BA641" i="6" s="1"/>
  <c r="AV642" i="6"/>
  <c r="AW642" i="6" s="1"/>
  <c r="AZ642" i="6" s="1"/>
  <c r="AX642" i="6"/>
  <c r="AY642" i="6"/>
  <c r="BA642" i="6" s="1"/>
  <c r="AV643" i="6"/>
  <c r="AW643" i="6" s="1"/>
  <c r="AZ643" i="6" s="1"/>
  <c r="AX643" i="6"/>
  <c r="AY643" i="6" s="1"/>
  <c r="BA643" i="6" s="1"/>
  <c r="AV644" i="6"/>
  <c r="AW644" i="6" s="1"/>
  <c r="AZ644" i="6" s="1"/>
  <c r="AX644" i="6"/>
  <c r="AY644" i="6" s="1"/>
  <c r="BA644" i="6" s="1"/>
  <c r="AL8" i="6"/>
  <c r="AM8" i="6"/>
  <c r="AL9" i="6"/>
  <c r="AM9" i="6"/>
  <c r="AL10" i="6"/>
  <c r="AM10" i="6"/>
  <c r="AL11" i="6"/>
  <c r="AM11" i="6"/>
  <c r="AL12" i="6"/>
  <c r="AM12" i="6"/>
  <c r="AL13" i="6"/>
  <c r="AM13" i="6"/>
  <c r="AL14" i="6"/>
  <c r="AM14" i="6"/>
  <c r="AL15" i="6"/>
  <c r="AM15" i="6"/>
  <c r="AL16" i="6"/>
  <c r="AM16" i="6"/>
  <c r="AL17" i="6"/>
  <c r="AM17" i="6"/>
  <c r="AL18" i="6"/>
  <c r="AM18" i="6"/>
  <c r="AL19" i="6"/>
  <c r="AM19" i="6"/>
  <c r="AL20" i="6"/>
  <c r="AM20" i="6"/>
  <c r="AL21" i="6"/>
  <c r="AM21" i="6"/>
  <c r="AL22" i="6"/>
  <c r="AM22" i="6"/>
  <c r="AL23" i="6"/>
  <c r="AM23" i="6"/>
  <c r="AL24" i="6"/>
  <c r="AM24" i="6"/>
  <c r="AL25" i="6"/>
  <c r="AM25" i="6"/>
  <c r="AL26" i="6"/>
  <c r="AM26" i="6"/>
  <c r="AL27" i="6"/>
  <c r="AM27" i="6"/>
  <c r="AL28" i="6"/>
  <c r="AM28" i="6"/>
  <c r="AL29" i="6"/>
  <c r="AM29" i="6"/>
  <c r="AL30" i="6"/>
  <c r="AM30" i="6"/>
  <c r="AL31" i="6"/>
  <c r="AM31" i="6"/>
  <c r="AL32" i="6"/>
  <c r="AM32" i="6"/>
  <c r="AL33" i="6"/>
  <c r="AM33" i="6"/>
  <c r="AL34" i="6"/>
  <c r="AM34" i="6"/>
  <c r="AL35" i="6"/>
  <c r="AM35" i="6"/>
  <c r="AL36" i="6"/>
  <c r="AM36" i="6"/>
  <c r="AL37" i="6"/>
  <c r="AM37" i="6"/>
  <c r="AL38" i="6"/>
  <c r="AM38" i="6"/>
  <c r="AL39" i="6"/>
  <c r="AM39" i="6"/>
  <c r="AL40" i="6"/>
  <c r="AM40" i="6"/>
  <c r="AL41" i="6"/>
  <c r="AM41" i="6"/>
  <c r="AL42" i="6"/>
  <c r="AM42" i="6"/>
  <c r="AL43" i="6"/>
  <c r="AM43" i="6"/>
  <c r="AL44" i="6"/>
  <c r="AM44" i="6"/>
  <c r="AL45" i="6"/>
  <c r="AM45" i="6"/>
  <c r="AL46" i="6"/>
  <c r="AM46" i="6"/>
  <c r="AL47" i="6"/>
  <c r="AM47" i="6"/>
  <c r="AL48" i="6"/>
  <c r="AM48" i="6"/>
  <c r="AL49" i="6"/>
  <c r="AM49" i="6"/>
  <c r="AL50" i="6"/>
  <c r="AM50" i="6"/>
  <c r="AL51" i="6"/>
  <c r="AM51" i="6"/>
  <c r="AL52" i="6"/>
  <c r="AM52" i="6"/>
  <c r="AL53" i="6"/>
  <c r="AM53" i="6"/>
  <c r="AL54" i="6"/>
  <c r="AM54" i="6"/>
  <c r="AL55" i="6"/>
  <c r="AM55" i="6"/>
  <c r="AL56" i="6"/>
  <c r="AM56" i="6"/>
  <c r="AL57" i="6"/>
  <c r="AM57" i="6"/>
  <c r="AL58" i="6"/>
  <c r="AM58" i="6"/>
  <c r="AL59" i="6"/>
  <c r="AM59" i="6"/>
  <c r="AL60" i="6"/>
  <c r="AM60" i="6"/>
  <c r="AL61" i="6"/>
  <c r="AM61" i="6"/>
  <c r="AL62" i="6"/>
  <c r="AM62" i="6"/>
  <c r="AL63" i="6"/>
  <c r="AM63" i="6"/>
  <c r="AL64" i="6"/>
  <c r="AM64" i="6"/>
  <c r="AL65" i="6"/>
  <c r="AM65" i="6"/>
  <c r="AL66" i="6"/>
  <c r="AM66" i="6"/>
  <c r="AL67" i="6"/>
  <c r="AM67" i="6"/>
  <c r="AL68" i="6"/>
  <c r="AM68" i="6"/>
  <c r="AL69" i="6"/>
  <c r="AM69" i="6"/>
  <c r="AL70" i="6"/>
  <c r="AM70" i="6"/>
  <c r="AL71" i="6"/>
  <c r="AM71" i="6"/>
  <c r="AL72" i="6"/>
  <c r="AM72" i="6"/>
  <c r="AL73" i="6"/>
  <c r="AM73" i="6"/>
  <c r="AL74" i="6"/>
  <c r="AM74" i="6"/>
  <c r="AL75" i="6"/>
  <c r="AM75" i="6"/>
  <c r="AL76" i="6"/>
  <c r="AM76" i="6"/>
  <c r="AL77" i="6"/>
  <c r="AM77" i="6"/>
  <c r="AL78" i="6"/>
  <c r="AM78" i="6"/>
  <c r="AL79" i="6"/>
  <c r="AM79" i="6"/>
  <c r="AL80" i="6"/>
  <c r="AM80" i="6"/>
  <c r="AL81" i="6"/>
  <c r="AM81" i="6"/>
  <c r="AL82" i="6"/>
  <c r="AM82" i="6"/>
  <c r="AL83" i="6"/>
  <c r="AM83" i="6"/>
  <c r="AL84" i="6"/>
  <c r="AM84" i="6"/>
  <c r="AL85" i="6"/>
  <c r="AM85" i="6"/>
  <c r="AL86" i="6"/>
  <c r="AM86" i="6"/>
  <c r="AL87" i="6"/>
  <c r="AM87" i="6"/>
  <c r="AL88" i="6"/>
  <c r="AM88" i="6"/>
  <c r="AL89" i="6"/>
  <c r="AM89" i="6"/>
  <c r="AL90" i="6"/>
  <c r="AM90" i="6"/>
  <c r="AL91" i="6"/>
  <c r="AM91" i="6"/>
  <c r="AL92" i="6"/>
  <c r="AM92" i="6"/>
  <c r="AL93" i="6"/>
  <c r="AM93" i="6"/>
  <c r="AL94" i="6"/>
  <c r="AM94" i="6"/>
  <c r="AL95" i="6"/>
  <c r="AM95" i="6"/>
  <c r="AL96" i="6"/>
  <c r="AM96" i="6"/>
  <c r="AL97" i="6"/>
  <c r="AM97" i="6"/>
  <c r="AL98" i="6"/>
  <c r="AM98" i="6"/>
  <c r="AL99" i="6"/>
  <c r="AM99" i="6"/>
  <c r="AL100" i="6"/>
  <c r="AM100" i="6"/>
  <c r="AL101" i="6"/>
  <c r="AM101" i="6"/>
  <c r="AL102" i="6"/>
  <c r="AM102" i="6"/>
  <c r="AL103" i="6"/>
  <c r="AM103" i="6"/>
  <c r="AL104" i="6"/>
  <c r="AM104" i="6"/>
  <c r="AL105" i="6"/>
  <c r="AM105" i="6"/>
  <c r="AL106" i="6"/>
  <c r="AM106" i="6"/>
  <c r="AL107" i="6"/>
  <c r="AM107" i="6"/>
  <c r="AL108" i="6"/>
  <c r="AM108" i="6"/>
  <c r="AL109" i="6"/>
  <c r="AM109" i="6"/>
  <c r="AL110" i="6"/>
  <c r="AM110" i="6"/>
  <c r="AL111" i="6"/>
  <c r="AM111" i="6"/>
  <c r="AL112" i="6"/>
  <c r="AM112" i="6"/>
  <c r="AL113" i="6"/>
  <c r="AM113" i="6"/>
  <c r="AL114" i="6"/>
  <c r="AM114" i="6"/>
  <c r="AL115" i="6"/>
  <c r="AM115" i="6"/>
  <c r="AL116" i="6"/>
  <c r="AM116" i="6"/>
  <c r="AL117" i="6"/>
  <c r="AM117" i="6"/>
  <c r="AL118" i="6"/>
  <c r="AM118" i="6"/>
  <c r="AL119" i="6"/>
  <c r="AM119" i="6"/>
  <c r="AL120" i="6"/>
  <c r="AM120" i="6"/>
  <c r="AL121" i="6"/>
  <c r="AM121" i="6"/>
  <c r="AL122" i="6"/>
  <c r="AM122" i="6"/>
  <c r="AL123" i="6"/>
  <c r="AM123" i="6"/>
  <c r="AL124" i="6"/>
  <c r="AM124" i="6"/>
  <c r="AL125" i="6"/>
  <c r="AM125" i="6"/>
  <c r="AL126" i="6"/>
  <c r="AM126" i="6"/>
  <c r="AL127" i="6"/>
  <c r="AM127" i="6"/>
  <c r="AL128" i="6"/>
  <c r="AM128" i="6"/>
  <c r="AL129" i="6"/>
  <c r="AM129" i="6"/>
  <c r="AL130" i="6"/>
  <c r="AM130" i="6"/>
  <c r="AL131" i="6"/>
  <c r="AM131" i="6"/>
  <c r="AL132" i="6"/>
  <c r="AM132" i="6"/>
  <c r="AL133" i="6"/>
  <c r="AM133" i="6"/>
  <c r="AL134" i="6"/>
  <c r="AM134" i="6"/>
  <c r="AL135" i="6"/>
  <c r="AM135" i="6"/>
  <c r="AL136" i="6"/>
  <c r="AM136" i="6"/>
  <c r="AL137" i="6"/>
  <c r="AM137" i="6"/>
  <c r="AL138" i="6"/>
  <c r="AM138" i="6"/>
  <c r="AL139" i="6"/>
  <c r="AM139" i="6"/>
  <c r="AL140" i="6"/>
  <c r="AM140" i="6"/>
  <c r="AL141" i="6"/>
  <c r="AM141" i="6"/>
  <c r="AL142" i="6"/>
  <c r="AM142" i="6"/>
  <c r="AL143" i="6"/>
  <c r="AM143" i="6"/>
  <c r="AL144" i="6"/>
  <c r="AM144" i="6"/>
  <c r="AL145" i="6"/>
  <c r="AM145" i="6"/>
  <c r="AL146" i="6"/>
  <c r="AM146" i="6"/>
  <c r="AL147" i="6"/>
  <c r="AM147" i="6"/>
  <c r="AL148" i="6"/>
  <c r="AM148" i="6"/>
  <c r="AL149" i="6"/>
  <c r="AM149" i="6"/>
  <c r="AL150" i="6"/>
  <c r="AM150" i="6"/>
  <c r="AL151" i="6"/>
  <c r="AM151" i="6"/>
  <c r="AL152" i="6"/>
  <c r="AM152" i="6"/>
  <c r="AL153" i="6"/>
  <c r="AM153" i="6"/>
  <c r="AL154" i="6"/>
  <c r="AM154" i="6"/>
  <c r="AL155" i="6"/>
  <c r="AM155" i="6"/>
  <c r="AL156" i="6"/>
  <c r="AM156" i="6"/>
  <c r="AL157" i="6"/>
  <c r="AM157" i="6"/>
  <c r="AL158" i="6"/>
  <c r="AM158" i="6"/>
  <c r="AL159" i="6"/>
  <c r="AM159" i="6"/>
  <c r="AL160" i="6"/>
  <c r="AM160" i="6"/>
  <c r="AL161" i="6"/>
  <c r="AM161" i="6"/>
  <c r="AL162" i="6"/>
  <c r="AM162" i="6"/>
  <c r="AL163" i="6"/>
  <c r="AM163" i="6"/>
  <c r="AL164" i="6"/>
  <c r="AM164" i="6"/>
  <c r="AL165" i="6"/>
  <c r="AM165" i="6"/>
  <c r="AL166" i="6"/>
  <c r="AM166" i="6"/>
  <c r="AL167" i="6"/>
  <c r="AM167" i="6"/>
  <c r="AL168" i="6"/>
  <c r="AM168" i="6"/>
  <c r="AL169" i="6"/>
  <c r="AM169" i="6"/>
  <c r="AL170" i="6"/>
  <c r="AM170" i="6"/>
  <c r="AL171" i="6"/>
  <c r="AM171" i="6"/>
  <c r="AL172" i="6"/>
  <c r="AM172" i="6"/>
  <c r="AL173" i="6"/>
  <c r="AM173" i="6"/>
  <c r="AL174" i="6"/>
  <c r="AM174" i="6"/>
  <c r="AL175" i="6"/>
  <c r="AM175" i="6"/>
  <c r="AL176" i="6"/>
  <c r="AM176" i="6"/>
  <c r="AL177" i="6"/>
  <c r="AM177" i="6"/>
  <c r="AL178" i="6"/>
  <c r="AM178" i="6"/>
  <c r="AL179" i="6"/>
  <c r="AM179" i="6"/>
  <c r="AL180" i="6"/>
  <c r="AM180" i="6"/>
  <c r="AL181" i="6"/>
  <c r="AM181" i="6"/>
  <c r="AL182" i="6"/>
  <c r="AM182" i="6"/>
  <c r="AL183" i="6"/>
  <c r="AM183" i="6"/>
  <c r="AL184" i="6"/>
  <c r="AM184" i="6"/>
  <c r="AL185" i="6"/>
  <c r="AM185" i="6"/>
  <c r="AL186" i="6"/>
  <c r="AM186" i="6"/>
  <c r="AL187" i="6"/>
  <c r="AM187" i="6"/>
  <c r="AL188" i="6"/>
  <c r="AM188" i="6"/>
  <c r="AL189" i="6"/>
  <c r="AM189" i="6"/>
  <c r="AL190" i="6"/>
  <c r="AM190" i="6"/>
  <c r="AL191" i="6"/>
  <c r="AM191" i="6"/>
  <c r="AL192" i="6"/>
  <c r="AM192" i="6"/>
  <c r="AL193" i="6"/>
  <c r="AM193" i="6"/>
  <c r="AL194" i="6"/>
  <c r="AM194" i="6"/>
  <c r="AL195" i="6"/>
  <c r="AM195" i="6"/>
  <c r="AL196" i="6"/>
  <c r="AM196" i="6"/>
  <c r="AL197" i="6"/>
  <c r="AM197" i="6"/>
  <c r="AL198" i="6"/>
  <c r="AM198" i="6"/>
  <c r="AL199" i="6"/>
  <c r="AM199" i="6"/>
  <c r="AL200" i="6"/>
  <c r="AM200" i="6"/>
  <c r="AL201" i="6"/>
  <c r="AM201" i="6"/>
  <c r="AL202" i="6"/>
  <c r="AM202" i="6"/>
  <c r="AL203" i="6"/>
  <c r="AM203" i="6"/>
  <c r="AL204" i="6"/>
  <c r="AM204" i="6"/>
  <c r="AL205" i="6"/>
  <c r="AM205" i="6"/>
  <c r="AL206" i="6"/>
  <c r="AM206" i="6"/>
  <c r="AL207" i="6"/>
  <c r="AM207" i="6"/>
  <c r="AL208" i="6"/>
  <c r="AM208" i="6"/>
  <c r="AL209" i="6"/>
  <c r="AM209" i="6"/>
  <c r="AL210" i="6"/>
  <c r="AM210" i="6"/>
  <c r="AL211" i="6"/>
  <c r="AM211" i="6"/>
  <c r="AL212" i="6"/>
  <c r="AM212" i="6"/>
  <c r="AL213" i="6"/>
  <c r="AM213" i="6"/>
  <c r="AL214" i="6"/>
  <c r="AM214" i="6"/>
  <c r="AL215" i="6"/>
  <c r="AM215" i="6"/>
  <c r="AL216" i="6"/>
  <c r="AM216" i="6"/>
  <c r="AL217" i="6"/>
  <c r="AM217" i="6"/>
  <c r="AL218" i="6"/>
  <c r="AM218" i="6"/>
  <c r="AL219" i="6"/>
  <c r="AM219" i="6"/>
  <c r="AL220" i="6"/>
  <c r="AM220" i="6"/>
  <c r="AL221" i="6"/>
  <c r="AM221" i="6"/>
  <c r="AL222" i="6"/>
  <c r="AM222" i="6"/>
  <c r="AL223" i="6"/>
  <c r="AM223" i="6"/>
  <c r="AL224" i="6"/>
  <c r="AM224" i="6"/>
  <c r="AL225" i="6"/>
  <c r="AM225" i="6"/>
  <c r="AL226" i="6"/>
  <c r="AM226" i="6"/>
  <c r="AL227" i="6"/>
  <c r="AM227" i="6"/>
  <c r="AL228" i="6"/>
  <c r="AM228" i="6"/>
  <c r="AL229" i="6"/>
  <c r="AM229" i="6"/>
  <c r="AL230" i="6"/>
  <c r="AM230" i="6"/>
  <c r="AL231" i="6"/>
  <c r="AM231" i="6"/>
  <c r="AL232" i="6"/>
  <c r="AM232" i="6"/>
  <c r="AL233" i="6"/>
  <c r="AM233" i="6"/>
  <c r="AL234" i="6"/>
  <c r="AM234" i="6"/>
  <c r="AL235" i="6"/>
  <c r="AM235" i="6"/>
  <c r="AL236" i="6"/>
  <c r="AM236" i="6"/>
  <c r="AL237" i="6"/>
  <c r="AM237" i="6"/>
  <c r="AL238" i="6"/>
  <c r="AM238" i="6"/>
  <c r="AL239" i="6"/>
  <c r="AM239" i="6"/>
  <c r="AL240" i="6"/>
  <c r="AM240" i="6"/>
  <c r="AL241" i="6"/>
  <c r="AM241" i="6"/>
  <c r="AL242" i="6"/>
  <c r="AM242" i="6"/>
  <c r="AL243" i="6"/>
  <c r="AM243" i="6"/>
  <c r="AL244" i="6"/>
  <c r="AM244" i="6"/>
  <c r="AL245" i="6"/>
  <c r="AM245" i="6"/>
  <c r="AL246" i="6"/>
  <c r="AM246" i="6"/>
  <c r="AL247" i="6"/>
  <c r="AM247" i="6"/>
  <c r="AL248" i="6"/>
  <c r="AM248" i="6"/>
  <c r="AL249" i="6"/>
  <c r="AM249" i="6"/>
  <c r="AL250" i="6"/>
  <c r="AM250" i="6"/>
  <c r="AL251" i="6"/>
  <c r="AM251" i="6"/>
  <c r="AL252" i="6"/>
  <c r="AM252" i="6"/>
  <c r="AL253" i="6"/>
  <c r="AM253" i="6"/>
  <c r="AL254" i="6"/>
  <c r="AM254" i="6"/>
  <c r="AL255" i="6"/>
  <c r="AM255" i="6"/>
  <c r="AL256" i="6"/>
  <c r="AM256" i="6"/>
  <c r="AL257" i="6"/>
  <c r="AM257" i="6"/>
  <c r="AL258" i="6"/>
  <c r="AM258" i="6"/>
  <c r="AL259" i="6"/>
  <c r="AM259" i="6"/>
  <c r="AL260" i="6"/>
  <c r="AM260" i="6"/>
  <c r="AL261" i="6"/>
  <c r="AM261" i="6"/>
  <c r="AL262" i="6"/>
  <c r="AM262" i="6"/>
  <c r="AL263" i="6"/>
  <c r="AM263" i="6"/>
  <c r="AL264" i="6"/>
  <c r="AM264" i="6"/>
  <c r="AL265" i="6"/>
  <c r="AM265" i="6"/>
  <c r="AL266" i="6"/>
  <c r="AM266" i="6"/>
  <c r="AL267" i="6"/>
  <c r="AM267" i="6"/>
  <c r="AL268" i="6"/>
  <c r="AM268" i="6"/>
  <c r="AL269" i="6"/>
  <c r="AM269" i="6"/>
  <c r="AL270" i="6"/>
  <c r="AM270" i="6"/>
  <c r="AL271" i="6"/>
  <c r="AM271" i="6"/>
  <c r="AL272" i="6"/>
  <c r="AM272" i="6"/>
  <c r="AL273" i="6"/>
  <c r="AM273" i="6"/>
  <c r="AL274" i="6"/>
  <c r="AM274" i="6"/>
  <c r="AL275" i="6"/>
  <c r="AM275" i="6"/>
  <c r="AL276" i="6"/>
  <c r="AM276" i="6"/>
  <c r="AL277" i="6"/>
  <c r="AM277" i="6"/>
  <c r="AL278" i="6"/>
  <c r="AM278" i="6"/>
  <c r="AL279" i="6"/>
  <c r="AM279" i="6"/>
  <c r="AL280" i="6"/>
  <c r="AM280" i="6"/>
  <c r="AL281" i="6"/>
  <c r="AM281" i="6"/>
  <c r="AL282" i="6"/>
  <c r="AM282" i="6"/>
  <c r="AL283" i="6"/>
  <c r="AM283" i="6"/>
  <c r="AL284" i="6"/>
  <c r="AM284" i="6"/>
  <c r="AL285" i="6"/>
  <c r="AM285" i="6"/>
  <c r="AL286" i="6"/>
  <c r="AM286" i="6"/>
  <c r="AL287" i="6"/>
  <c r="AM287" i="6"/>
  <c r="AL288" i="6"/>
  <c r="AM288" i="6"/>
  <c r="AL289" i="6"/>
  <c r="AM289" i="6"/>
  <c r="AL290" i="6"/>
  <c r="AM290" i="6"/>
  <c r="AL291" i="6"/>
  <c r="AM291" i="6"/>
  <c r="AL292" i="6"/>
  <c r="AM292" i="6"/>
  <c r="AL293" i="6"/>
  <c r="AM293" i="6"/>
  <c r="AL294" i="6"/>
  <c r="AM294" i="6"/>
  <c r="AL295" i="6"/>
  <c r="AM295" i="6"/>
  <c r="AL296" i="6"/>
  <c r="AM296" i="6"/>
  <c r="AL297" i="6"/>
  <c r="AM297" i="6"/>
  <c r="AL298" i="6"/>
  <c r="AM298" i="6"/>
  <c r="AL299" i="6"/>
  <c r="AM299" i="6"/>
  <c r="AL300" i="6"/>
  <c r="AM300" i="6"/>
  <c r="AL301" i="6"/>
  <c r="AM301" i="6"/>
  <c r="AL302" i="6"/>
  <c r="AM302" i="6"/>
  <c r="AL303" i="6"/>
  <c r="AM303" i="6"/>
  <c r="AL304" i="6"/>
  <c r="AM304" i="6"/>
  <c r="AL305" i="6"/>
  <c r="AM305" i="6"/>
  <c r="AL306" i="6"/>
  <c r="AM306" i="6"/>
  <c r="AL307" i="6"/>
  <c r="AM307" i="6"/>
  <c r="AL308" i="6"/>
  <c r="AM308" i="6"/>
  <c r="AL309" i="6"/>
  <c r="AM309" i="6"/>
  <c r="AL310" i="6"/>
  <c r="AM310" i="6"/>
  <c r="AL311" i="6"/>
  <c r="AM311" i="6"/>
  <c r="AL312" i="6"/>
  <c r="AM312" i="6"/>
  <c r="AL313" i="6"/>
  <c r="AM313" i="6"/>
  <c r="AL314" i="6"/>
  <c r="AM314" i="6"/>
  <c r="AL315" i="6"/>
  <c r="AM315" i="6"/>
  <c r="AL316" i="6"/>
  <c r="AM316" i="6"/>
  <c r="AL317" i="6"/>
  <c r="AM317" i="6"/>
  <c r="AL318" i="6"/>
  <c r="AM318" i="6"/>
  <c r="AL319" i="6"/>
  <c r="AM319" i="6"/>
  <c r="AL320" i="6"/>
  <c r="AM320" i="6"/>
  <c r="AL321" i="6"/>
  <c r="AM321" i="6"/>
  <c r="AL322" i="6"/>
  <c r="AM322" i="6"/>
  <c r="AL323" i="6"/>
  <c r="AM323" i="6"/>
  <c r="AL324" i="6"/>
  <c r="AM324" i="6"/>
  <c r="AL325" i="6"/>
  <c r="AM325" i="6"/>
  <c r="AL326" i="6"/>
  <c r="AM326" i="6"/>
  <c r="AL327" i="6"/>
  <c r="AM327" i="6"/>
  <c r="AL328" i="6"/>
  <c r="AM328" i="6"/>
  <c r="AL329" i="6"/>
  <c r="AM329" i="6"/>
  <c r="AL330" i="6"/>
  <c r="AM330" i="6"/>
  <c r="AL331" i="6"/>
  <c r="AM331" i="6"/>
  <c r="AL332" i="6"/>
  <c r="AM332" i="6"/>
  <c r="AL333" i="6"/>
  <c r="AM333" i="6"/>
  <c r="AL334" i="6"/>
  <c r="AM334" i="6"/>
  <c r="AL335" i="6"/>
  <c r="AM335" i="6"/>
  <c r="AL336" i="6"/>
  <c r="AM336" i="6"/>
  <c r="AL337" i="6"/>
  <c r="AM337" i="6"/>
  <c r="AL338" i="6"/>
  <c r="AM338" i="6"/>
  <c r="AL339" i="6"/>
  <c r="AM339" i="6"/>
  <c r="AL340" i="6"/>
  <c r="AM340" i="6"/>
  <c r="AL341" i="6"/>
  <c r="AM341" i="6"/>
  <c r="AL342" i="6"/>
  <c r="AM342" i="6"/>
  <c r="AL343" i="6"/>
  <c r="AM343" i="6"/>
  <c r="AL344" i="6"/>
  <c r="AM344" i="6"/>
  <c r="AL345" i="6"/>
  <c r="AM345" i="6"/>
  <c r="AL346" i="6"/>
  <c r="AM346" i="6"/>
  <c r="AL347" i="6"/>
  <c r="AM347" i="6"/>
  <c r="AL348" i="6"/>
  <c r="AM348" i="6"/>
  <c r="AL349" i="6"/>
  <c r="AM349" i="6"/>
  <c r="AL350" i="6"/>
  <c r="AM350" i="6"/>
  <c r="AL351" i="6"/>
  <c r="AM351" i="6"/>
  <c r="AL352" i="6"/>
  <c r="AM352" i="6"/>
  <c r="AL353" i="6"/>
  <c r="AM353" i="6"/>
  <c r="AL354" i="6"/>
  <c r="AM354" i="6"/>
  <c r="AL355" i="6"/>
  <c r="AM355" i="6"/>
  <c r="AL356" i="6"/>
  <c r="AM356" i="6"/>
  <c r="AL357" i="6"/>
  <c r="AM357" i="6"/>
  <c r="AL358" i="6"/>
  <c r="AM358" i="6"/>
  <c r="AL359" i="6"/>
  <c r="AM359" i="6"/>
  <c r="AL360" i="6"/>
  <c r="AM360" i="6"/>
  <c r="AL361" i="6"/>
  <c r="AM361" i="6"/>
  <c r="AL362" i="6"/>
  <c r="AM362" i="6"/>
  <c r="AL363" i="6"/>
  <c r="AM363" i="6"/>
  <c r="AL364" i="6"/>
  <c r="AM364" i="6"/>
  <c r="AL365" i="6"/>
  <c r="AM365" i="6"/>
  <c r="AL366" i="6"/>
  <c r="AM366" i="6"/>
  <c r="AL367" i="6"/>
  <c r="AM367" i="6"/>
  <c r="AL368" i="6"/>
  <c r="AM368" i="6"/>
  <c r="AL369" i="6"/>
  <c r="AM369" i="6"/>
  <c r="AL370" i="6"/>
  <c r="AM370" i="6"/>
  <c r="AL371" i="6"/>
  <c r="AM371" i="6"/>
  <c r="AL372" i="6"/>
  <c r="AM372" i="6"/>
  <c r="AL373" i="6"/>
  <c r="AM373" i="6"/>
  <c r="AL374" i="6"/>
  <c r="AM374" i="6"/>
  <c r="AL375" i="6"/>
  <c r="AM375" i="6"/>
  <c r="AL376" i="6"/>
  <c r="AM376" i="6"/>
  <c r="AL377" i="6"/>
  <c r="AM377" i="6"/>
  <c r="AL378" i="6"/>
  <c r="AM378" i="6"/>
  <c r="AL379" i="6"/>
  <c r="AM379" i="6"/>
  <c r="AL380" i="6"/>
  <c r="AM380" i="6"/>
  <c r="AL381" i="6"/>
  <c r="AM381" i="6"/>
  <c r="AL382" i="6"/>
  <c r="AM382" i="6"/>
  <c r="AL383" i="6"/>
  <c r="AM383" i="6"/>
  <c r="AL384" i="6"/>
  <c r="AM384" i="6"/>
  <c r="AL385" i="6"/>
  <c r="AM385" i="6"/>
  <c r="AL386" i="6"/>
  <c r="AM386" i="6"/>
  <c r="AL387" i="6"/>
  <c r="AM387" i="6"/>
  <c r="AL388" i="6"/>
  <c r="AM388" i="6"/>
  <c r="AL389" i="6"/>
  <c r="AM389" i="6"/>
  <c r="AL390" i="6"/>
  <c r="AM390" i="6"/>
  <c r="AL391" i="6"/>
  <c r="AM391" i="6"/>
  <c r="AL392" i="6"/>
  <c r="AM392" i="6"/>
  <c r="AL393" i="6"/>
  <c r="AM393" i="6"/>
  <c r="AL394" i="6"/>
  <c r="AM394" i="6"/>
  <c r="AL395" i="6"/>
  <c r="AM395" i="6"/>
  <c r="AL396" i="6"/>
  <c r="AM396" i="6"/>
  <c r="AL397" i="6"/>
  <c r="AM397" i="6"/>
  <c r="AL398" i="6"/>
  <c r="AM398" i="6"/>
  <c r="AL399" i="6"/>
  <c r="AM399" i="6"/>
  <c r="AL400" i="6"/>
  <c r="AM400" i="6"/>
  <c r="AL401" i="6"/>
  <c r="AM401" i="6"/>
  <c r="AL402" i="6"/>
  <c r="AM402" i="6"/>
  <c r="AL403" i="6"/>
  <c r="AM403" i="6"/>
  <c r="AL404" i="6"/>
  <c r="AM404" i="6"/>
  <c r="AL405" i="6"/>
  <c r="AM405" i="6"/>
  <c r="AL406" i="6"/>
  <c r="AM406" i="6"/>
  <c r="AL407" i="6"/>
  <c r="AM407" i="6"/>
  <c r="AL408" i="6"/>
  <c r="AM408" i="6"/>
  <c r="AL409" i="6"/>
  <c r="AM409" i="6"/>
  <c r="AL410" i="6"/>
  <c r="AM410" i="6"/>
  <c r="AL411" i="6"/>
  <c r="AM411" i="6"/>
  <c r="AL412" i="6"/>
  <c r="AM412" i="6"/>
  <c r="AL413" i="6"/>
  <c r="AM413" i="6"/>
  <c r="AL414" i="6"/>
  <c r="AM414" i="6"/>
  <c r="AL415" i="6"/>
  <c r="AM415" i="6"/>
  <c r="AL416" i="6"/>
  <c r="AM416" i="6"/>
  <c r="AL417" i="6"/>
  <c r="AM417" i="6"/>
  <c r="AL418" i="6"/>
  <c r="AM418" i="6"/>
  <c r="AL419" i="6"/>
  <c r="AM419" i="6"/>
  <c r="AL420" i="6"/>
  <c r="AM420" i="6"/>
  <c r="AL421" i="6"/>
  <c r="AM421" i="6"/>
  <c r="AL422" i="6"/>
  <c r="AM422" i="6"/>
  <c r="AL423" i="6"/>
  <c r="AM423" i="6"/>
  <c r="AL424" i="6"/>
  <c r="AM424" i="6"/>
  <c r="AL425" i="6"/>
  <c r="AM425" i="6"/>
  <c r="AL426" i="6"/>
  <c r="AM426" i="6"/>
  <c r="AL427" i="6"/>
  <c r="AM427" i="6"/>
  <c r="AL428" i="6"/>
  <c r="AM428" i="6"/>
  <c r="AL429" i="6"/>
  <c r="AM429" i="6"/>
  <c r="AL430" i="6"/>
  <c r="AM430" i="6"/>
  <c r="AL431" i="6"/>
  <c r="AM431" i="6"/>
  <c r="AL432" i="6"/>
  <c r="AM432" i="6"/>
  <c r="AL433" i="6"/>
  <c r="AM433" i="6"/>
  <c r="AL434" i="6"/>
  <c r="AM434" i="6"/>
  <c r="AL435" i="6"/>
  <c r="AM435" i="6"/>
  <c r="AL436" i="6"/>
  <c r="AM436" i="6"/>
  <c r="AL437" i="6"/>
  <c r="AM437" i="6"/>
  <c r="AL438" i="6"/>
  <c r="AM438" i="6"/>
  <c r="AL439" i="6"/>
  <c r="AM439" i="6"/>
  <c r="AL440" i="6"/>
  <c r="AM440" i="6"/>
  <c r="AL441" i="6"/>
  <c r="AM441" i="6"/>
  <c r="AL442" i="6"/>
  <c r="AM442" i="6"/>
  <c r="AL443" i="6"/>
  <c r="AM443" i="6"/>
  <c r="AL444" i="6"/>
  <c r="AM444" i="6"/>
  <c r="AL445" i="6"/>
  <c r="AM445" i="6"/>
  <c r="AL446" i="6"/>
  <c r="AM446" i="6"/>
  <c r="AL447" i="6"/>
  <c r="AM447" i="6"/>
  <c r="AL448" i="6"/>
  <c r="AM448" i="6"/>
  <c r="AL449" i="6"/>
  <c r="AM449" i="6"/>
  <c r="AL450" i="6"/>
  <c r="AM450" i="6"/>
  <c r="AL451" i="6"/>
  <c r="AM451" i="6"/>
  <c r="AL452" i="6"/>
  <c r="AM452" i="6"/>
  <c r="AL453" i="6"/>
  <c r="AM453" i="6"/>
  <c r="AL454" i="6"/>
  <c r="AM454" i="6"/>
  <c r="AL455" i="6"/>
  <c r="AM455" i="6"/>
  <c r="AL456" i="6"/>
  <c r="AM456" i="6"/>
  <c r="AL457" i="6"/>
  <c r="AM457" i="6"/>
  <c r="AL458" i="6"/>
  <c r="AM458" i="6"/>
  <c r="AL459" i="6"/>
  <c r="AM459" i="6"/>
  <c r="AL460" i="6"/>
  <c r="AM460" i="6"/>
  <c r="AL461" i="6"/>
  <c r="AM461" i="6"/>
  <c r="AL462" i="6"/>
  <c r="AM462" i="6"/>
  <c r="AL463" i="6"/>
  <c r="AM463" i="6"/>
  <c r="AL464" i="6"/>
  <c r="AM464" i="6"/>
  <c r="AL465" i="6"/>
  <c r="AM465" i="6"/>
  <c r="AL466" i="6"/>
  <c r="AM466" i="6"/>
  <c r="AL467" i="6"/>
  <c r="AM467" i="6"/>
  <c r="AL468" i="6"/>
  <c r="AM468" i="6"/>
  <c r="AL469" i="6"/>
  <c r="AM469" i="6"/>
  <c r="AL470" i="6"/>
  <c r="AM470" i="6"/>
  <c r="AL471" i="6"/>
  <c r="AM471" i="6"/>
  <c r="AL472" i="6"/>
  <c r="AM472" i="6"/>
  <c r="AL473" i="6"/>
  <c r="AM473" i="6"/>
  <c r="AL474" i="6"/>
  <c r="AM474" i="6"/>
  <c r="AL475" i="6"/>
  <c r="AM475" i="6"/>
  <c r="AL476" i="6"/>
  <c r="AM476" i="6"/>
  <c r="AL477" i="6"/>
  <c r="AM477" i="6"/>
  <c r="AL478" i="6"/>
  <c r="AM478" i="6"/>
  <c r="AL479" i="6"/>
  <c r="AM479" i="6"/>
  <c r="AL480" i="6"/>
  <c r="AM480" i="6"/>
  <c r="AL481" i="6"/>
  <c r="AM481" i="6"/>
  <c r="AL482" i="6"/>
  <c r="AM482" i="6"/>
  <c r="AL483" i="6"/>
  <c r="AM483" i="6"/>
  <c r="AL484" i="6"/>
  <c r="AM484" i="6"/>
  <c r="AL485" i="6"/>
  <c r="AM485" i="6"/>
  <c r="AL486" i="6"/>
  <c r="AM486" i="6"/>
  <c r="AL487" i="6"/>
  <c r="AM487" i="6"/>
  <c r="AL488" i="6"/>
  <c r="AM488" i="6"/>
  <c r="AL489" i="6"/>
  <c r="AM489" i="6"/>
  <c r="AL490" i="6"/>
  <c r="AM490" i="6"/>
  <c r="AL491" i="6"/>
  <c r="AM491" i="6"/>
  <c r="AL492" i="6"/>
  <c r="AM492" i="6"/>
  <c r="AL493" i="6"/>
  <c r="AM493" i="6"/>
  <c r="AL494" i="6"/>
  <c r="AM494" i="6"/>
  <c r="AL495" i="6"/>
  <c r="AM495" i="6"/>
  <c r="AL496" i="6"/>
  <c r="AM496" i="6"/>
  <c r="AL497" i="6"/>
  <c r="AM497" i="6"/>
  <c r="AL498" i="6"/>
  <c r="AM498" i="6"/>
  <c r="AL499" i="6"/>
  <c r="AM499" i="6"/>
  <c r="AL500" i="6"/>
  <c r="AM500" i="6"/>
  <c r="AL501" i="6"/>
  <c r="AM501" i="6"/>
  <c r="AL502" i="6"/>
  <c r="AM502" i="6"/>
  <c r="AL503" i="6"/>
  <c r="AM503" i="6"/>
  <c r="AL504" i="6"/>
  <c r="AM504" i="6"/>
  <c r="AL505" i="6"/>
  <c r="AM505" i="6"/>
  <c r="AL506" i="6"/>
  <c r="AM506" i="6"/>
  <c r="AL507" i="6"/>
  <c r="AM507" i="6"/>
  <c r="AL508" i="6"/>
  <c r="AM508" i="6"/>
  <c r="AL509" i="6"/>
  <c r="AM509" i="6"/>
  <c r="AL510" i="6"/>
  <c r="AM510" i="6"/>
  <c r="AL511" i="6"/>
  <c r="AM511" i="6"/>
  <c r="AL512" i="6"/>
  <c r="AM512" i="6"/>
  <c r="AL513" i="6"/>
  <c r="AM513" i="6"/>
  <c r="AL514" i="6"/>
  <c r="AM514" i="6"/>
  <c r="AL515" i="6"/>
  <c r="AM515" i="6"/>
  <c r="AL516" i="6"/>
  <c r="AM516" i="6"/>
  <c r="AL517" i="6"/>
  <c r="AM517" i="6"/>
  <c r="AL518" i="6"/>
  <c r="AM518" i="6"/>
  <c r="AL519" i="6"/>
  <c r="AM519" i="6"/>
  <c r="AL520" i="6"/>
  <c r="AM520" i="6"/>
  <c r="AL521" i="6"/>
  <c r="AM521" i="6"/>
  <c r="AL522" i="6"/>
  <c r="AM522" i="6"/>
  <c r="AL523" i="6"/>
  <c r="AM523" i="6"/>
  <c r="AL524" i="6"/>
  <c r="AM524" i="6"/>
  <c r="AL525" i="6"/>
  <c r="AM525" i="6"/>
  <c r="AL526" i="6"/>
  <c r="AM526" i="6"/>
  <c r="AL527" i="6"/>
  <c r="AM527" i="6"/>
  <c r="AL528" i="6"/>
  <c r="AM528" i="6"/>
  <c r="AL529" i="6"/>
  <c r="AM529" i="6"/>
  <c r="AL530" i="6"/>
  <c r="AM530" i="6"/>
  <c r="AL531" i="6"/>
  <c r="AM531" i="6"/>
  <c r="AL532" i="6"/>
  <c r="AM532" i="6"/>
  <c r="AL533" i="6"/>
  <c r="AM533" i="6"/>
  <c r="AL534" i="6"/>
  <c r="AM534" i="6"/>
  <c r="AL535" i="6"/>
  <c r="AM535" i="6"/>
  <c r="AL536" i="6"/>
  <c r="AM536" i="6"/>
  <c r="AL537" i="6"/>
  <c r="AM537" i="6"/>
  <c r="AL538" i="6"/>
  <c r="AM538" i="6"/>
  <c r="AL539" i="6"/>
  <c r="AM539" i="6"/>
  <c r="AL540" i="6"/>
  <c r="AM540" i="6"/>
  <c r="AL541" i="6"/>
  <c r="AM541" i="6"/>
  <c r="AL542" i="6"/>
  <c r="AM542" i="6"/>
  <c r="AL543" i="6"/>
  <c r="AM543" i="6"/>
  <c r="AL544" i="6"/>
  <c r="AM544" i="6"/>
  <c r="AL545" i="6"/>
  <c r="AM545" i="6"/>
  <c r="AL546" i="6"/>
  <c r="AM546" i="6"/>
  <c r="AL547" i="6"/>
  <c r="AM547" i="6"/>
  <c r="AL548" i="6"/>
  <c r="AM548" i="6"/>
  <c r="AL549" i="6"/>
  <c r="AM549" i="6"/>
  <c r="AL550" i="6"/>
  <c r="AM550" i="6"/>
  <c r="AL551" i="6"/>
  <c r="AM551" i="6"/>
  <c r="AL552" i="6"/>
  <c r="AM552" i="6"/>
  <c r="AL553" i="6"/>
  <c r="AM553" i="6"/>
  <c r="AL554" i="6"/>
  <c r="AM554" i="6"/>
  <c r="AL555" i="6"/>
  <c r="AM555" i="6"/>
  <c r="AL556" i="6"/>
  <c r="AM556" i="6"/>
  <c r="AL557" i="6"/>
  <c r="AM557" i="6"/>
  <c r="AL558" i="6"/>
  <c r="AM558" i="6"/>
  <c r="AL559" i="6"/>
  <c r="AM559" i="6"/>
  <c r="AL560" i="6"/>
  <c r="AM560" i="6"/>
  <c r="AL561" i="6"/>
  <c r="AM561" i="6"/>
  <c r="AL562" i="6"/>
  <c r="AM562" i="6"/>
  <c r="AL563" i="6"/>
  <c r="AM563" i="6"/>
  <c r="AL564" i="6"/>
  <c r="AM564" i="6"/>
  <c r="AL565" i="6"/>
  <c r="AM565" i="6"/>
  <c r="AL566" i="6"/>
  <c r="AM566" i="6"/>
  <c r="AL567" i="6"/>
  <c r="AM567" i="6"/>
  <c r="AL568" i="6"/>
  <c r="AM568" i="6"/>
  <c r="AL569" i="6"/>
  <c r="AM569" i="6"/>
  <c r="AL570" i="6"/>
  <c r="AM570" i="6"/>
  <c r="AL571" i="6"/>
  <c r="AM571" i="6"/>
  <c r="AL572" i="6"/>
  <c r="AM572" i="6"/>
  <c r="AL573" i="6"/>
  <c r="AM573" i="6"/>
  <c r="AL574" i="6"/>
  <c r="AM574" i="6"/>
  <c r="AL575" i="6"/>
  <c r="AM575" i="6"/>
  <c r="AL576" i="6"/>
  <c r="AM576" i="6"/>
  <c r="AL577" i="6"/>
  <c r="AM577" i="6"/>
  <c r="AL578" i="6"/>
  <c r="AM578" i="6"/>
  <c r="AL579" i="6"/>
  <c r="AM579" i="6"/>
  <c r="AL580" i="6"/>
  <c r="AM580" i="6"/>
  <c r="AL581" i="6"/>
  <c r="AM581" i="6"/>
  <c r="AL582" i="6"/>
  <c r="AM582" i="6"/>
  <c r="AL583" i="6"/>
  <c r="AM583" i="6"/>
  <c r="AL584" i="6"/>
  <c r="AM584" i="6"/>
  <c r="AL585" i="6"/>
  <c r="AM585" i="6"/>
  <c r="AL586" i="6"/>
  <c r="AM586" i="6"/>
  <c r="AL587" i="6"/>
  <c r="AM587" i="6"/>
  <c r="AL588" i="6"/>
  <c r="AM588" i="6"/>
  <c r="AL589" i="6"/>
  <c r="AM589" i="6"/>
  <c r="AL590" i="6"/>
  <c r="AM590" i="6"/>
  <c r="AL591" i="6"/>
  <c r="AM591" i="6"/>
  <c r="AL592" i="6"/>
  <c r="AM592" i="6"/>
  <c r="AL593" i="6"/>
  <c r="AM593" i="6"/>
  <c r="AL594" i="6"/>
  <c r="AM594" i="6"/>
  <c r="AL595" i="6"/>
  <c r="AM595" i="6"/>
  <c r="AL596" i="6"/>
  <c r="AM596" i="6"/>
  <c r="AL597" i="6"/>
  <c r="AM597" i="6"/>
  <c r="AL598" i="6"/>
  <c r="AM598" i="6"/>
  <c r="AL599" i="6"/>
  <c r="AM599" i="6"/>
  <c r="AL600" i="6"/>
  <c r="AM600" i="6"/>
  <c r="AL601" i="6"/>
  <c r="AM601" i="6"/>
  <c r="AL602" i="6"/>
  <c r="AM602" i="6"/>
  <c r="AL603" i="6"/>
  <c r="AM603" i="6"/>
  <c r="AL604" i="6"/>
  <c r="AM604" i="6"/>
  <c r="AL605" i="6"/>
  <c r="AM605" i="6"/>
  <c r="AL606" i="6"/>
  <c r="AM606" i="6"/>
  <c r="AL607" i="6"/>
  <c r="AM607" i="6"/>
  <c r="AL608" i="6"/>
  <c r="AM608" i="6"/>
  <c r="AL609" i="6"/>
  <c r="AM609" i="6"/>
  <c r="AL610" i="6"/>
  <c r="AM610" i="6"/>
  <c r="AL611" i="6"/>
  <c r="AM611" i="6"/>
  <c r="AL612" i="6"/>
  <c r="AM612" i="6"/>
  <c r="AL613" i="6"/>
  <c r="AM613" i="6"/>
  <c r="AL614" i="6"/>
  <c r="AM614" i="6"/>
  <c r="AL615" i="6"/>
  <c r="AM615" i="6"/>
  <c r="AL616" i="6"/>
  <c r="AM616" i="6"/>
  <c r="AL617" i="6"/>
  <c r="AM617" i="6"/>
  <c r="AL618" i="6"/>
  <c r="AM618" i="6"/>
  <c r="AL619" i="6"/>
  <c r="AM619" i="6"/>
  <c r="AL620" i="6"/>
  <c r="AM620" i="6"/>
  <c r="AL621" i="6"/>
  <c r="AM621" i="6"/>
  <c r="AL622" i="6"/>
  <c r="AM622" i="6"/>
  <c r="AL623" i="6"/>
  <c r="AM623" i="6"/>
  <c r="AL624" i="6"/>
  <c r="AM624" i="6"/>
  <c r="AL625" i="6"/>
  <c r="AM625" i="6"/>
  <c r="AL626" i="6"/>
  <c r="AM626" i="6"/>
  <c r="AL627" i="6"/>
  <c r="AM627" i="6"/>
  <c r="AL628" i="6"/>
  <c r="AM628" i="6"/>
  <c r="AL629" i="6"/>
  <c r="AM629" i="6"/>
  <c r="AL630" i="6"/>
  <c r="AM630" i="6"/>
  <c r="AL631" i="6"/>
  <c r="AM631" i="6"/>
  <c r="AL632" i="6"/>
  <c r="AM632" i="6"/>
  <c r="AL633" i="6"/>
  <c r="AM633" i="6"/>
  <c r="AL634" i="6"/>
  <c r="AM634" i="6"/>
  <c r="AL635" i="6"/>
  <c r="AM635" i="6"/>
  <c r="AL636" i="6"/>
  <c r="AM636" i="6"/>
  <c r="AL637" i="6"/>
  <c r="AM637" i="6"/>
  <c r="AL638" i="6"/>
  <c r="AM638" i="6"/>
  <c r="AL639" i="6"/>
  <c r="AM639" i="6"/>
  <c r="AL640" i="6"/>
  <c r="AM640" i="6"/>
  <c r="AL641" i="6"/>
  <c r="AM641" i="6"/>
  <c r="AL642" i="6"/>
  <c r="AM642" i="6"/>
  <c r="AL643" i="6"/>
  <c r="AM643" i="6"/>
  <c r="AL644" i="6"/>
  <c r="AM644" i="6"/>
  <c r="AF8" i="6"/>
  <c r="AG8" i="6"/>
  <c r="AH8" i="6"/>
  <c r="AI8" i="6" s="1"/>
  <c r="AF9" i="6"/>
  <c r="AG9" i="6"/>
  <c r="AH9" i="6"/>
  <c r="AI9" i="6" s="1"/>
  <c r="AF10" i="6"/>
  <c r="AG10" i="6"/>
  <c r="AH10" i="6"/>
  <c r="AI10" i="6" s="1"/>
  <c r="AF11" i="6"/>
  <c r="AG11" i="6"/>
  <c r="AH11" i="6"/>
  <c r="AI11" i="6" s="1"/>
  <c r="AF12" i="6"/>
  <c r="AG12" i="6"/>
  <c r="AH12" i="6"/>
  <c r="AI12" i="6" s="1"/>
  <c r="AF13" i="6"/>
  <c r="AG13" i="6"/>
  <c r="AH13" i="6"/>
  <c r="AI13" i="6" s="1"/>
  <c r="AF14" i="6"/>
  <c r="AG14" i="6"/>
  <c r="AH14" i="6"/>
  <c r="AI14" i="6" s="1"/>
  <c r="AF15" i="6"/>
  <c r="AG15" i="6"/>
  <c r="AH15" i="6"/>
  <c r="AI15" i="6" s="1"/>
  <c r="AF16" i="6"/>
  <c r="AG16" i="6"/>
  <c r="AH16" i="6"/>
  <c r="AI16" i="6" s="1"/>
  <c r="AF17" i="6"/>
  <c r="AG17" i="6"/>
  <c r="AH17" i="6"/>
  <c r="AI17" i="6" s="1"/>
  <c r="AF18" i="6"/>
  <c r="AG18" i="6"/>
  <c r="AH18" i="6"/>
  <c r="AI18" i="6" s="1"/>
  <c r="AF19" i="6"/>
  <c r="AG19" i="6"/>
  <c r="AH19" i="6"/>
  <c r="AI19" i="6" s="1"/>
  <c r="AF20" i="6"/>
  <c r="AG20" i="6"/>
  <c r="AH20" i="6"/>
  <c r="AI20" i="6" s="1"/>
  <c r="AF21" i="6"/>
  <c r="AG21" i="6"/>
  <c r="AH21" i="6"/>
  <c r="AI21" i="6" s="1"/>
  <c r="AF22" i="6"/>
  <c r="AG22" i="6"/>
  <c r="AH22" i="6"/>
  <c r="AI22" i="6" s="1"/>
  <c r="AF23" i="6"/>
  <c r="AG23" i="6"/>
  <c r="AH23" i="6"/>
  <c r="AI23" i="6" s="1"/>
  <c r="AF24" i="6"/>
  <c r="AG24" i="6"/>
  <c r="AH24" i="6"/>
  <c r="AI24" i="6" s="1"/>
  <c r="AF25" i="6"/>
  <c r="AG25" i="6"/>
  <c r="AH25" i="6"/>
  <c r="AI25" i="6" s="1"/>
  <c r="AF26" i="6"/>
  <c r="AG26" i="6"/>
  <c r="AH26" i="6"/>
  <c r="AI26" i="6" s="1"/>
  <c r="AF27" i="6"/>
  <c r="AG27" i="6"/>
  <c r="AH27" i="6"/>
  <c r="AI27" i="6" s="1"/>
  <c r="AF28" i="6"/>
  <c r="AG28" i="6"/>
  <c r="AH28" i="6"/>
  <c r="AI28" i="6" s="1"/>
  <c r="AF29" i="6"/>
  <c r="AG29" i="6"/>
  <c r="AH29" i="6"/>
  <c r="AI29" i="6" s="1"/>
  <c r="AF30" i="6"/>
  <c r="AG30" i="6"/>
  <c r="AH30" i="6"/>
  <c r="AI30" i="6" s="1"/>
  <c r="AF31" i="6"/>
  <c r="AG31" i="6"/>
  <c r="AH31" i="6"/>
  <c r="AI31" i="6" s="1"/>
  <c r="AF32" i="6"/>
  <c r="AG32" i="6"/>
  <c r="AH32" i="6"/>
  <c r="AI32" i="6" s="1"/>
  <c r="AF33" i="6"/>
  <c r="AG33" i="6"/>
  <c r="AH33" i="6"/>
  <c r="AI33" i="6" s="1"/>
  <c r="AF34" i="6"/>
  <c r="AG34" i="6"/>
  <c r="AH34" i="6"/>
  <c r="AI34" i="6" s="1"/>
  <c r="AF35" i="6"/>
  <c r="AG35" i="6"/>
  <c r="AH35" i="6"/>
  <c r="AI35" i="6" s="1"/>
  <c r="AF36" i="6"/>
  <c r="AG36" i="6"/>
  <c r="AH36" i="6"/>
  <c r="AI36" i="6" s="1"/>
  <c r="AF37" i="6"/>
  <c r="AG37" i="6"/>
  <c r="AH37" i="6"/>
  <c r="AI37" i="6" s="1"/>
  <c r="AF38" i="6"/>
  <c r="AG38" i="6"/>
  <c r="AH38" i="6"/>
  <c r="AI38" i="6" s="1"/>
  <c r="AF39" i="6"/>
  <c r="AG39" i="6"/>
  <c r="AH39" i="6"/>
  <c r="AI39" i="6" s="1"/>
  <c r="AF40" i="6"/>
  <c r="AG40" i="6"/>
  <c r="AH40" i="6"/>
  <c r="AI40" i="6" s="1"/>
  <c r="AF41" i="6"/>
  <c r="AG41" i="6"/>
  <c r="AH41" i="6"/>
  <c r="AI41" i="6" s="1"/>
  <c r="AF42" i="6"/>
  <c r="AG42" i="6"/>
  <c r="AH42" i="6"/>
  <c r="AI42" i="6" s="1"/>
  <c r="AF43" i="6"/>
  <c r="AG43" i="6"/>
  <c r="AH43" i="6"/>
  <c r="AI43" i="6" s="1"/>
  <c r="AF44" i="6"/>
  <c r="AG44" i="6"/>
  <c r="AH44" i="6"/>
  <c r="AI44" i="6" s="1"/>
  <c r="AF45" i="6"/>
  <c r="AG45" i="6"/>
  <c r="AH45" i="6"/>
  <c r="AI45" i="6" s="1"/>
  <c r="AF46" i="6"/>
  <c r="AG46" i="6"/>
  <c r="AH46" i="6"/>
  <c r="AI46" i="6" s="1"/>
  <c r="AF47" i="6"/>
  <c r="AG47" i="6"/>
  <c r="AH47" i="6"/>
  <c r="AI47" i="6" s="1"/>
  <c r="AF48" i="6"/>
  <c r="AG48" i="6"/>
  <c r="AH48" i="6"/>
  <c r="AI48" i="6" s="1"/>
  <c r="AF49" i="6"/>
  <c r="AG49" i="6"/>
  <c r="AH49" i="6"/>
  <c r="AI49" i="6" s="1"/>
  <c r="AF50" i="6"/>
  <c r="AG50" i="6"/>
  <c r="AH50" i="6"/>
  <c r="AI50" i="6" s="1"/>
  <c r="AF51" i="6"/>
  <c r="AG51" i="6"/>
  <c r="AH51" i="6"/>
  <c r="AI51" i="6" s="1"/>
  <c r="AF52" i="6"/>
  <c r="AG52" i="6"/>
  <c r="AH52" i="6"/>
  <c r="AI52" i="6" s="1"/>
  <c r="AF53" i="6"/>
  <c r="AG53" i="6"/>
  <c r="AH53" i="6"/>
  <c r="AI53" i="6" s="1"/>
  <c r="AF54" i="6"/>
  <c r="AG54" i="6"/>
  <c r="AH54" i="6"/>
  <c r="AI54" i="6" s="1"/>
  <c r="AF55" i="6"/>
  <c r="AG55" i="6"/>
  <c r="AH55" i="6"/>
  <c r="AI55" i="6" s="1"/>
  <c r="AF56" i="6"/>
  <c r="AG56" i="6"/>
  <c r="AH56" i="6"/>
  <c r="AI56" i="6" s="1"/>
  <c r="AF57" i="6"/>
  <c r="AG57" i="6"/>
  <c r="AH57" i="6"/>
  <c r="AI57" i="6" s="1"/>
  <c r="AF58" i="6"/>
  <c r="AG58" i="6"/>
  <c r="AH58" i="6"/>
  <c r="AI58" i="6" s="1"/>
  <c r="AF59" i="6"/>
  <c r="AG59" i="6"/>
  <c r="AH59" i="6"/>
  <c r="AI59" i="6" s="1"/>
  <c r="AF60" i="6"/>
  <c r="AG60" i="6"/>
  <c r="AH60" i="6"/>
  <c r="AI60" i="6" s="1"/>
  <c r="AF61" i="6"/>
  <c r="AG61" i="6"/>
  <c r="AH61" i="6"/>
  <c r="AI61" i="6" s="1"/>
  <c r="AF62" i="6"/>
  <c r="AG62" i="6"/>
  <c r="AH62" i="6"/>
  <c r="AI62" i="6" s="1"/>
  <c r="AF63" i="6"/>
  <c r="AG63" i="6"/>
  <c r="AH63" i="6"/>
  <c r="AI63" i="6" s="1"/>
  <c r="AF64" i="6"/>
  <c r="AG64" i="6" s="1"/>
  <c r="AH64" i="6"/>
  <c r="AI64" i="6" s="1"/>
  <c r="AF65" i="6"/>
  <c r="AG65" i="6"/>
  <c r="AH65" i="6"/>
  <c r="AI65" i="6" s="1"/>
  <c r="AF66" i="6"/>
  <c r="AG66" i="6"/>
  <c r="AH66" i="6"/>
  <c r="AI66" i="6" s="1"/>
  <c r="AF67" i="6"/>
  <c r="AG67" i="6"/>
  <c r="AH67" i="6"/>
  <c r="AI67" i="6" s="1"/>
  <c r="AF68" i="6"/>
  <c r="AG68" i="6" s="1"/>
  <c r="AH68" i="6"/>
  <c r="AI68" i="6" s="1"/>
  <c r="AF69" i="6"/>
  <c r="AG69" i="6"/>
  <c r="AH69" i="6"/>
  <c r="AI69" i="6" s="1"/>
  <c r="AF70" i="6"/>
  <c r="AG70" i="6" s="1"/>
  <c r="AH70" i="6"/>
  <c r="AI70" i="6" s="1"/>
  <c r="AF71" i="6"/>
  <c r="AG71" i="6"/>
  <c r="AH71" i="6"/>
  <c r="AI71" i="6" s="1"/>
  <c r="AF72" i="6"/>
  <c r="AG72" i="6" s="1"/>
  <c r="AH72" i="6"/>
  <c r="AI72" i="6" s="1"/>
  <c r="AF73" i="6"/>
  <c r="AG73" i="6"/>
  <c r="AH73" i="6"/>
  <c r="AI73" i="6" s="1"/>
  <c r="AF74" i="6"/>
  <c r="AG74" i="6" s="1"/>
  <c r="AH74" i="6"/>
  <c r="AI74" i="6" s="1"/>
  <c r="AF75" i="6"/>
  <c r="AG75" i="6"/>
  <c r="AH75" i="6"/>
  <c r="AI75" i="6" s="1"/>
  <c r="AF76" i="6"/>
  <c r="AG76" i="6" s="1"/>
  <c r="AH76" i="6"/>
  <c r="AI76" i="6" s="1"/>
  <c r="AF77" i="6"/>
  <c r="AG77" i="6" s="1"/>
  <c r="AH77" i="6"/>
  <c r="AI77" i="6" s="1"/>
  <c r="AF78" i="6"/>
  <c r="AG78" i="6" s="1"/>
  <c r="AH78" i="6"/>
  <c r="AI78" i="6" s="1"/>
  <c r="AF79" i="6"/>
  <c r="AG79" i="6" s="1"/>
  <c r="AH79" i="6"/>
  <c r="AI79" i="6" s="1"/>
  <c r="AF80" i="6"/>
  <c r="AG80" i="6" s="1"/>
  <c r="AH80" i="6"/>
  <c r="AI80" i="6" s="1"/>
  <c r="AF81" i="6"/>
  <c r="AG81" i="6" s="1"/>
  <c r="AH81" i="6"/>
  <c r="AI81" i="6" s="1"/>
  <c r="AF82" i="6"/>
  <c r="AG82" i="6" s="1"/>
  <c r="AH82" i="6"/>
  <c r="AI82" i="6" s="1"/>
  <c r="AF83" i="6"/>
  <c r="AG83" i="6" s="1"/>
  <c r="AH83" i="6"/>
  <c r="AI83" i="6" s="1"/>
  <c r="AF84" i="6"/>
  <c r="AG84" i="6" s="1"/>
  <c r="AH84" i="6"/>
  <c r="AI84" i="6" s="1"/>
  <c r="AF85" i="6"/>
  <c r="AG85" i="6" s="1"/>
  <c r="AH85" i="6"/>
  <c r="AI85" i="6" s="1"/>
  <c r="AF86" i="6"/>
  <c r="AG86" i="6" s="1"/>
  <c r="AH86" i="6"/>
  <c r="AI86" i="6" s="1"/>
  <c r="AF87" i="6"/>
  <c r="AG87" i="6" s="1"/>
  <c r="AH87" i="6"/>
  <c r="AI87" i="6" s="1"/>
  <c r="AF88" i="6"/>
  <c r="AG88" i="6" s="1"/>
  <c r="AH88" i="6"/>
  <c r="AI88" i="6" s="1"/>
  <c r="AF89" i="6"/>
  <c r="AG89" i="6" s="1"/>
  <c r="AH89" i="6"/>
  <c r="AI89" i="6" s="1"/>
  <c r="AF90" i="6"/>
  <c r="AG90" i="6" s="1"/>
  <c r="AH90" i="6"/>
  <c r="AI90" i="6" s="1"/>
  <c r="AF91" i="6"/>
  <c r="AG91" i="6" s="1"/>
  <c r="AH91" i="6"/>
  <c r="AI91" i="6" s="1"/>
  <c r="AF92" i="6"/>
  <c r="AG92" i="6" s="1"/>
  <c r="AH92" i="6"/>
  <c r="AI92" i="6" s="1"/>
  <c r="AF93" i="6"/>
  <c r="AG93" i="6" s="1"/>
  <c r="AH93" i="6"/>
  <c r="AI93" i="6" s="1"/>
  <c r="AF94" i="6"/>
  <c r="AG94" i="6" s="1"/>
  <c r="AH94" i="6"/>
  <c r="AI94" i="6" s="1"/>
  <c r="AF95" i="6"/>
  <c r="AG95" i="6" s="1"/>
  <c r="AH95" i="6"/>
  <c r="AI95" i="6" s="1"/>
  <c r="AF96" i="6"/>
  <c r="AG96" i="6" s="1"/>
  <c r="AH96" i="6"/>
  <c r="AI96" i="6" s="1"/>
  <c r="AF97" i="6"/>
  <c r="AG97" i="6" s="1"/>
  <c r="AH97" i="6"/>
  <c r="AI97" i="6" s="1"/>
  <c r="AF98" i="6"/>
  <c r="AG98" i="6" s="1"/>
  <c r="AH98" i="6"/>
  <c r="AI98" i="6" s="1"/>
  <c r="AF99" i="6"/>
  <c r="AG99" i="6" s="1"/>
  <c r="AH99" i="6"/>
  <c r="AI99" i="6" s="1"/>
  <c r="AF100" i="6"/>
  <c r="AG100" i="6" s="1"/>
  <c r="AH100" i="6"/>
  <c r="AI100" i="6" s="1"/>
  <c r="AF101" i="6"/>
  <c r="AG101" i="6" s="1"/>
  <c r="AH101" i="6"/>
  <c r="AI101" i="6" s="1"/>
  <c r="AF102" i="6"/>
  <c r="AG102" i="6" s="1"/>
  <c r="AH102" i="6"/>
  <c r="AI102" i="6" s="1"/>
  <c r="AF103" i="6"/>
  <c r="AG103" i="6" s="1"/>
  <c r="AH103" i="6"/>
  <c r="AI103" i="6" s="1"/>
  <c r="AF104" i="6"/>
  <c r="AG104" i="6" s="1"/>
  <c r="AH104" i="6"/>
  <c r="AI104" i="6" s="1"/>
  <c r="AF105" i="6"/>
  <c r="AG105" i="6" s="1"/>
  <c r="AH105" i="6"/>
  <c r="AI105" i="6" s="1"/>
  <c r="AF106" i="6"/>
  <c r="AG106" i="6" s="1"/>
  <c r="AH106" i="6"/>
  <c r="AI106" i="6" s="1"/>
  <c r="AF107" i="6"/>
  <c r="AG107" i="6" s="1"/>
  <c r="AH107" i="6"/>
  <c r="AI107" i="6" s="1"/>
  <c r="AF108" i="6"/>
  <c r="AG108" i="6" s="1"/>
  <c r="AH108" i="6"/>
  <c r="AI108" i="6" s="1"/>
  <c r="AF109" i="6"/>
  <c r="AG109" i="6" s="1"/>
  <c r="AH109" i="6"/>
  <c r="AI109" i="6" s="1"/>
  <c r="AF110" i="6"/>
  <c r="AG110" i="6" s="1"/>
  <c r="AH110" i="6"/>
  <c r="AI110" i="6" s="1"/>
  <c r="AF111" i="6"/>
  <c r="AG111" i="6" s="1"/>
  <c r="AH111" i="6"/>
  <c r="AI111" i="6" s="1"/>
  <c r="AF112" i="6"/>
  <c r="AG112" i="6" s="1"/>
  <c r="AH112" i="6"/>
  <c r="AI112" i="6" s="1"/>
  <c r="AF113" i="6"/>
  <c r="AG113" i="6" s="1"/>
  <c r="AH113" i="6"/>
  <c r="AI113" i="6" s="1"/>
  <c r="AF114" i="6"/>
  <c r="AG114" i="6" s="1"/>
  <c r="AH114" i="6"/>
  <c r="AI114" i="6" s="1"/>
  <c r="AF115" i="6"/>
  <c r="AG115" i="6" s="1"/>
  <c r="AH115" i="6"/>
  <c r="AI115" i="6" s="1"/>
  <c r="AF116" i="6"/>
  <c r="AG116" i="6" s="1"/>
  <c r="AH116" i="6"/>
  <c r="AI116" i="6" s="1"/>
  <c r="AF117" i="6"/>
  <c r="AG117" i="6" s="1"/>
  <c r="AH117" i="6"/>
  <c r="AI117" i="6" s="1"/>
  <c r="AF118" i="6"/>
  <c r="AG118" i="6" s="1"/>
  <c r="AH118" i="6"/>
  <c r="AI118" i="6" s="1"/>
  <c r="AF119" i="6"/>
  <c r="AG119" i="6" s="1"/>
  <c r="AH119" i="6"/>
  <c r="AI119" i="6" s="1"/>
  <c r="AF120" i="6"/>
  <c r="AG120" i="6" s="1"/>
  <c r="AH120" i="6"/>
  <c r="AI120" i="6" s="1"/>
  <c r="AF121" i="6"/>
  <c r="AG121" i="6" s="1"/>
  <c r="AH121" i="6"/>
  <c r="AI121" i="6" s="1"/>
  <c r="AF122" i="6"/>
  <c r="AG122" i="6" s="1"/>
  <c r="AH122" i="6"/>
  <c r="AI122" i="6" s="1"/>
  <c r="AF123" i="6"/>
  <c r="AG123" i="6" s="1"/>
  <c r="AH123" i="6"/>
  <c r="AI123" i="6" s="1"/>
  <c r="AF124" i="6"/>
  <c r="AG124" i="6" s="1"/>
  <c r="AH124" i="6"/>
  <c r="AI124" i="6" s="1"/>
  <c r="AF125" i="6"/>
  <c r="AG125" i="6" s="1"/>
  <c r="AH125" i="6"/>
  <c r="AI125" i="6" s="1"/>
  <c r="AF126" i="6"/>
  <c r="AG126" i="6" s="1"/>
  <c r="AH126" i="6"/>
  <c r="AI126" i="6" s="1"/>
  <c r="AF127" i="6"/>
  <c r="AG127" i="6" s="1"/>
  <c r="AH127" i="6"/>
  <c r="AI127" i="6" s="1"/>
  <c r="AF128" i="6"/>
  <c r="AG128" i="6" s="1"/>
  <c r="AH128" i="6"/>
  <c r="AI128" i="6" s="1"/>
  <c r="AF129" i="6"/>
  <c r="AG129" i="6" s="1"/>
  <c r="AH129" i="6"/>
  <c r="AI129" i="6" s="1"/>
  <c r="AF130" i="6"/>
  <c r="AG130" i="6" s="1"/>
  <c r="AH130" i="6"/>
  <c r="AI130" i="6" s="1"/>
  <c r="AF131" i="6"/>
  <c r="AG131" i="6" s="1"/>
  <c r="AH131" i="6"/>
  <c r="AI131" i="6" s="1"/>
  <c r="AF132" i="6"/>
  <c r="AG132" i="6" s="1"/>
  <c r="AH132" i="6"/>
  <c r="AI132" i="6" s="1"/>
  <c r="AF133" i="6"/>
  <c r="AG133" i="6" s="1"/>
  <c r="AH133" i="6"/>
  <c r="AI133" i="6" s="1"/>
  <c r="AF134" i="6"/>
  <c r="AG134" i="6" s="1"/>
  <c r="AH134" i="6"/>
  <c r="AI134" i="6" s="1"/>
  <c r="AF135" i="6"/>
  <c r="AG135" i="6" s="1"/>
  <c r="AH135" i="6"/>
  <c r="AI135" i="6" s="1"/>
  <c r="AF136" i="6"/>
  <c r="AG136" i="6" s="1"/>
  <c r="AH136" i="6"/>
  <c r="AI136" i="6" s="1"/>
  <c r="AF137" i="6"/>
  <c r="AG137" i="6" s="1"/>
  <c r="AH137" i="6"/>
  <c r="AI137" i="6" s="1"/>
  <c r="AF138" i="6"/>
  <c r="AG138" i="6" s="1"/>
  <c r="AH138" i="6"/>
  <c r="AI138" i="6" s="1"/>
  <c r="AF139" i="6"/>
  <c r="AG139" i="6" s="1"/>
  <c r="AH139" i="6"/>
  <c r="AI139" i="6" s="1"/>
  <c r="AF140" i="6"/>
  <c r="AG140" i="6" s="1"/>
  <c r="AH140" i="6"/>
  <c r="AI140" i="6" s="1"/>
  <c r="AF141" i="6"/>
  <c r="AG141" i="6" s="1"/>
  <c r="AH141" i="6"/>
  <c r="AI141" i="6" s="1"/>
  <c r="AF142" i="6"/>
  <c r="AG142" i="6" s="1"/>
  <c r="AH142" i="6"/>
  <c r="AI142" i="6" s="1"/>
  <c r="AF143" i="6"/>
  <c r="AG143" i="6"/>
  <c r="AH143" i="6"/>
  <c r="AI143" i="6" s="1"/>
  <c r="AF144" i="6"/>
  <c r="AG144" i="6" s="1"/>
  <c r="AH144" i="6"/>
  <c r="AI144" i="6" s="1"/>
  <c r="AF145" i="6"/>
  <c r="AG145" i="6" s="1"/>
  <c r="AH145" i="6"/>
  <c r="AI145" i="6" s="1"/>
  <c r="AF146" i="6"/>
  <c r="AG146" i="6" s="1"/>
  <c r="AH146" i="6"/>
  <c r="AI146" i="6" s="1"/>
  <c r="AF147" i="6"/>
  <c r="AG147" i="6"/>
  <c r="AH147" i="6"/>
  <c r="AI147" i="6" s="1"/>
  <c r="AF148" i="6"/>
  <c r="AG148" i="6"/>
  <c r="AH148" i="6"/>
  <c r="AI148" i="6" s="1"/>
  <c r="AF149" i="6"/>
  <c r="AG149" i="6" s="1"/>
  <c r="AH149" i="6"/>
  <c r="AI149" i="6" s="1"/>
  <c r="AF150" i="6"/>
  <c r="AG150" i="6" s="1"/>
  <c r="AH150" i="6"/>
  <c r="AI150" i="6" s="1"/>
  <c r="AF151" i="6"/>
  <c r="AG151" i="6"/>
  <c r="AH151" i="6"/>
  <c r="AI151" i="6" s="1"/>
  <c r="AF152" i="6"/>
  <c r="AG152" i="6"/>
  <c r="AH152" i="6"/>
  <c r="AI152" i="6" s="1"/>
  <c r="AF153" i="6"/>
  <c r="AG153" i="6" s="1"/>
  <c r="AH153" i="6"/>
  <c r="AI153" i="6" s="1"/>
  <c r="AF154" i="6"/>
  <c r="AG154" i="6" s="1"/>
  <c r="AH154" i="6"/>
  <c r="AI154" i="6" s="1"/>
  <c r="AF155" i="6"/>
  <c r="AG155" i="6"/>
  <c r="AH155" i="6"/>
  <c r="AI155" i="6" s="1"/>
  <c r="AF156" i="6"/>
  <c r="AG156" i="6"/>
  <c r="AH156" i="6"/>
  <c r="AI156" i="6" s="1"/>
  <c r="AF157" i="6"/>
  <c r="AG157" i="6" s="1"/>
  <c r="AH157" i="6"/>
  <c r="AI157" i="6" s="1"/>
  <c r="AF158" i="6"/>
  <c r="AG158" i="6" s="1"/>
  <c r="AH158" i="6"/>
  <c r="AI158" i="6" s="1"/>
  <c r="AF159" i="6"/>
  <c r="AG159" i="6"/>
  <c r="AH159" i="6"/>
  <c r="AI159" i="6" s="1"/>
  <c r="AF160" i="6"/>
  <c r="AG160" i="6"/>
  <c r="AH160" i="6"/>
  <c r="AI160" i="6" s="1"/>
  <c r="AF161" i="6"/>
  <c r="AG161" i="6" s="1"/>
  <c r="AH161" i="6"/>
  <c r="AI161" i="6" s="1"/>
  <c r="AF162" i="6"/>
  <c r="AG162" i="6" s="1"/>
  <c r="AH162" i="6"/>
  <c r="AI162" i="6" s="1"/>
  <c r="AF163" i="6"/>
  <c r="AG163" i="6"/>
  <c r="AH163" i="6"/>
  <c r="AI163" i="6" s="1"/>
  <c r="AF164" i="6"/>
  <c r="AG164" i="6" s="1"/>
  <c r="AH164" i="6"/>
  <c r="AI164" i="6" s="1"/>
  <c r="AF165" i="6"/>
  <c r="AG165" i="6" s="1"/>
  <c r="AH165" i="6"/>
  <c r="AI165" i="6" s="1"/>
  <c r="AF166" i="6"/>
  <c r="AG166" i="6" s="1"/>
  <c r="AH166" i="6"/>
  <c r="AI166" i="6" s="1"/>
  <c r="AF167" i="6"/>
  <c r="AG167" i="6"/>
  <c r="AH167" i="6"/>
  <c r="AI167" i="6" s="1"/>
  <c r="AF168" i="6"/>
  <c r="AG168" i="6"/>
  <c r="AH168" i="6"/>
  <c r="AI168" i="6" s="1"/>
  <c r="AF169" i="6"/>
  <c r="AG169" i="6" s="1"/>
  <c r="AH169" i="6"/>
  <c r="AI169" i="6" s="1"/>
  <c r="AF170" i="6"/>
  <c r="AG170" i="6" s="1"/>
  <c r="AH170" i="6"/>
  <c r="AI170" i="6" s="1"/>
  <c r="AF171" i="6"/>
  <c r="AG171" i="6"/>
  <c r="AH171" i="6"/>
  <c r="AI171" i="6" s="1"/>
  <c r="AF172" i="6"/>
  <c r="AG172" i="6" s="1"/>
  <c r="AH172" i="6"/>
  <c r="AI172" i="6" s="1"/>
  <c r="AF173" i="6"/>
  <c r="AG173" i="6" s="1"/>
  <c r="AH173" i="6"/>
  <c r="AI173" i="6" s="1"/>
  <c r="AF174" i="6"/>
  <c r="AG174" i="6" s="1"/>
  <c r="AH174" i="6"/>
  <c r="AI174" i="6" s="1"/>
  <c r="AF175" i="6"/>
  <c r="AG175" i="6"/>
  <c r="AH175" i="6"/>
  <c r="AI175" i="6" s="1"/>
  <c r="AF176" i="6"/>
  <c r="AG176" i="6"/>
  <c r="AH176" i="6"/>
  <c r="AI176" i="6" s="1"/>
  <c r="AF177" i="6"/>
  <c r="AG177" i="6" s="1"/>
  <c r="AH177" i="6"/>
  <c r="AI177" i="6" s="1"/>
  <c r="AF178" i="6"/>
  <c r="AG178" i="6" s="1"/>
  <c r="AH178" i="6"/>
  <c r="AI178" i="6"/>
  <c r="AF179" i="6"/>
  <c r="AG179" i="6" s="1"/>
  <c r="AH179" i="6"/>
  <c r="AI179" i="6" s="1"/>
  <c r="AF180" i="6"/>
  <c r="AG180" i="6" s="1"/>
  <c r="AH180" i="6"/>
  <c r="AI180" i="6" s="1"/>
  <c r="AF181" i="6"/>
  <c r="AG181" i="6" s="1"/>
  <c r="AH181" i="6"/>
  <c r="AI181" i="6" s="1"/>
  <c r="AF182" i="6"/>
  <c r="AG182" i="6"/>
  <c r="AH182" i="6"/>
  <c r="AI182" i="6" s="1"/>
  <c r="AF183" i="6"/>
  <c r="AG183" i="6" s="1"/>
  <c r="AH183" i="6"/>
  <c r="AI183" i="6" s="1"/>
  <c r="AF184" i="6"/>
  <c r="AG184" i="6"/>
  <c r="AH184" i="6"/>
  <c r="AI184" i="6" s="1"/>
  <c r="AF185" i="6"/>
  <c r="AG185" i="6" s="1"/>
  <c r="AH185" i="6"/>
  <c r="AI185" i="6" s="1"/>
  <c r="AF186" i="6"/>
  <c r="AG186" i="6"/>
  <c r="AH186" i="6"/>
  <c r="AI186" i="6" s="1"/>
  <c r="AF187" i="6"/>
  <c r="AG187" i="6" s="1"/>
  <c r="AH187" i="6"/>
  <c r="AI187" i="6" s="1"/>
  <c r="AF188" i="6"/>
  <c r="AG188" i="6"/>
  <c r="AH188" i="6"/>
  <c r="AI188" i="6" s="1"/>
  <c r="AF189" i="6"/>
  <c r="AG189" i="6" s="1"/>
  <c r="AH189" i="6"/>
  <c r="AI189" i="6" s="1"/>
  <c r="AF190" i="6"/>
  <c r="AG190" i="6" s="1"/>
  <c r="AH190" i="6"/>
  <c r="AI190" i="6" s="1"/>
  <c r="AF191" i="6"/>
  <c r="AG191" i="6" s="1"/>
  <c r="AH191" i="6"/>
  <c r="AI191" i="6" s="1"/>
  <c r="AF192" i="6"/>
  <c r="AG192" i="6" s="1"/>
  <c r="AH192" i="6"/>
  <c r="AI192" i="6" s="1"/>
  <c r="AF193" i="6"/>
  <c r="AG193" i="6" s="1"/>
  <c r="AH193" i="6"/>
  <c r="AI193" i="6" s="1"/>
  <c r="AF194" i="6"/>
  <c r="AG194" i="6" s="1"/>
  <c r="AH194" i="6"/>
  <c r="AI194" i="6" s="1"/>
  <c r="AF195" i="6"/>
  <c r="AG195" i="6" s="1"/>
  <c r="AH195" i="6"/>
  <c r="AI195" i="6" s="1"/>
  <c r="AF196" i="6"/>
  <c r="AG196" i="6" s="1"/>
  <c r="AH196" i="6"/>
  <c r="AI196" i="6" s="1"/>
  <c r="AF197" i="6"/>
  <c r="AG197" i="6" s="1"/>
  <c r="AH197" i="6"/>
  <c r="AI197" i="6" s="1"/>
  <c r="AF198" i="6"/>
  <c r="AG198" i="6"/>
  <c r="AH198" i="6"/>
  <c r="AI198" i="6" s="1"/>
  <c r="AF199" i="6"/>
  <c r="AG199" i="6" s="1"/>
  <c r="AH199" i="6"/>
  <c r="AI199" i="6" s="1"/>
  <c r="AF200" i="6"/>
  <c r="AG200" i="6"/>
  <c r="AH200" i="6"/>
  <c r="AI200" i="6" s="1"/>
  <c r="AF201" i="6"/>
  <c r="AG201" i="6" s="1"/>
  <c r="AH201" i="6"/>
  <c r="AI201" i="6" s="1"/>
  <c r="AF202" i="6"/>
  <c r="AG202" i="6"/>
  <c r="AH202" i="6"/>
  <c r="AI202" i="6" s="1"/>
  <c r="AF203" i="6"/>
  <c r="AG203" i="6" s="1"/>
  <c r="AH203" i="6"/>
  <c r="AI203" i="6" s="1"/>
  <c r="AF204" i="6"/>
  <c r="AG204" i="6"/>
  <c r="AH204" i="6"/>
  <c r="AI204" i="6" s="1"/>
  <c r="AF205" i="6"/>
  <c r="AG205" i="6" s="1"/>
  <c r="AH205" i="6"/>
  <c r="AI205" i="6" s="1"/>
  <c r="AF206" i="6"/>
  <c r="AG206" i="6" s="1"/>
  <c r="AH206" i="6"/>
  <c r="AI206" i="6" s="1"/>
  <c r="AF207" i="6"/>
  <c r="AG207" i="6" s="1"/>
  <c r="AH207" i="6"/>
  <c r="AI207" i="6" s="1"/>
  <c r="AF208" i="6"/>
  <c r="AG208" i="6" s="1"/>
  <c r="AH208" i="6"/>
  <c r="AI208" i="6" s="1"/>
  <c r="AF209" i="6"/>
  <c r="AG209" i="6" s="1"/>
  <c r="AH209" i="6"/>
  <c r="AI209" i="6" s="1"/>
  <c r="AF210" i="6"/>
  <c r="AG210" i="6" s="1"/>
  <c r="AH210" i="6"/>
  <c r="AI210" i="6" s="1"/>
  <c r="AF211" i="6"/>
  <c r="AG211" i="6" s="1"/>
  <c r="AH211" i="6"/>
  <c r="AI211" i="6" s="1"/>
  <c r="AF212" i="6"/>
  <c r="AG212" i="6" s="1"/>
  <c r="AH212" i="6"/>
  <c r="AI212" i="6" s="1"/>
  <c r="AF213" i="6"/>
  <c r="AG213" i="6" s="1"/>
  <c r="AH213" i="6"/>
  <c r="AI213" i="6" s="1"/>
  <c r="AF214" i="6"/>
  <c r="AG214" i="6"/>
  <c r="AH214" i="6"/>
  <c r="AI214" i="6" s="1"/>
  <c r="AF215" i="6"/>
  <c r="AG215" i="6" s="1"/>
  <c r="AH215" i="6"/>
  <c r="AI215" i="6" s="1"/>
  <c r="AF216" i="6"/>
  <c r="AG216" i="6"/>
  <c r="AH216" i="6"/>
  <c r="AI216" i="6" s="1"/>
  <c r="AF217" i="6"/>
  <c r="AG217" i="6" s="1"/>
  <c r="AH217" i="6"/>
  <c r="AI217" i="6" s="1"/>
  <c r="AF218" i="6"/>
  <c r="AG218" i="6"/>
  <c r="AH218" i="6"/>
  <c r="AI218" i="6" s="1"/>
  <c r="AF219" i="6"/>
  <c r="AG219" i="6" s="1"/>
  <c r="AH219" i="6"/>
  <c r="AI219" i="6" s="1"/>
  <c r="AF220" i="6"/>
  <c r="AG220" i="6"/>
  <c r="AH220" i="6"/>
  <c r="AI220" i="6" s="1"/>
  <c r="AF221" i="6"/>
  <c r="AG221" i="6" s="1"/>
  <c r="AH221" i="6"/>
  <c r="AI221" i="6" s="1"/>
  <c r="AF222" i="6"/>
  <c r="AG222" i="6" s="1"/>
  <c r="AH222" i="6"/>
  <c r="AI222" i="6" s="1"/>
  <c r="AF223" i="6"/>
  <c r="AG223" i="6" s="1"/>
  <c r="AH223" i="6"/>
  <c r="AI223" i="6" s="1"/>
  <c r="AF224" i="6"/>
  <c r="AG224" i="6" s="1"/>
  <c r="AH224" i="6"/>
  <c r="AI224" i="6" s="1"/>
  <c r="AF225" i="6"/>
  <c r="AG225" i="6" s="1"/>
  <c r="AH225" i="6"/>
  <c r="AI225" i="6" s="1"/>
  <c r="AF226" i="6"/>
  <c r="AG226" i="6" s="1"/>
  <c r="AH226" i="6"/>
  <c r="AI226" i="6" s="1"/>
  <c r="AF227" i="6"/>
  <c r="AG227" i="6" s="1"/>
  <c r="AH227" i="6"/>
  <c r="AI227" i="6" s="1"/>
  <c r="AF228" i="6"/>
  <c r="AG228" i="6" s="1"/>
  <c r="AH228" i="6"/>
  <c r="AI228" i="6" s="1"/>
  <c r="AF229" i="6"/>
  <c r="AG229" i="6" s="1"/>
  <c r="AH229" i="6"/>
  <c r="AI229" i="6" s="1"/>
  <c r="AF230" i="6"/>
  <c r="AG230" i="6"/>
  <c r="AH230" i="6"/>
  <c r="AI230" i="6" s="1"/>
  <c r="AF231" i="6"/>
  <c r="AG231" i="6" s="1"/>
  <c r="AH231" i="6"/>
  <c r="AI231" i="6" s="1"/>
  <c r="AF232" i="6"/>
  <c r="AG232" i="6"/>
  <c r="AH232" i="6"/>
  <c r="AI232" i="6" s="1"/>
  <c r="AF233" i="6"/>
  <c r="AG233" i="6" s="1"/>
  <c r="AH233" i="6"/>
  <c r="AI233" i="6" s="1"/>
  <c r="AF234" i="6"/>
  <c r="AG234" i="6"/>
  <c r="AH234" i="6"/>
  <c r="AI234" i="6" s="1"/>
  <c r="AF235" i="6"/>
  <c r="AG235" i="6" s="1"/>
  <c r="AH235" i="6"/>
  <c r="AI235" i="6" s="1"/>
  <c r="AF236" i="6"/>
  <c r="AG236" i="6"/>
  <c r="AH236" i="6"/>
  <c r="AI236" i="6" s="1"/>
  <c r="AF237" i="6"/>
  <c r="AG237" i="6" s="1"/>
  <c r="AH237" i="6"/>
  <c r="AI237" i="6" s="1"/>
  <c r="AF238" i="6"/>
  <c r="AG238" i="6" s="1"/>
  <c r="AH238" i="6"/>
  <c r="AI238" i="6" s="1"/>
  <c r="AF239" i="6"/>
  <c r="AG239" i="6" s="1"/>
  <c r="AH239" i="6"/>
  <c r="AI239" i="6" s="1"/>
  <c r="AF240" i="6"/>
  <c r="AG240" i="6" s="1"/>
  <c r="AH240" i="6"/>
  <c r="AI240" i="6" s="1"/>
  <c r="AF241" i="6"/>
  <c r="AG241" i="6" s="1"/>
  <c r="AH241" i="6"/>
  <c r="AI241" i="6" s="1"/>
  <c r="AF242" i="6"/>
  <c r="AG242" i="6" s="1"/>
  <c r="AH242" i="6"/>
  <c r="AI242" i="6" s="1"/>
  <c r="AF243" i="6"/>
  <c r="AG243" i="6" s="1"/>
  <c r="AH243" i="6"/>
  <c r="AI243" i="6" s="1"/>
  <c r="AF244" i="6"/>
  <c r="AG244" i="6" s="1"/>
  <c r="AH244" i="6"/>
  <c r="AI244" i="6" s="1"/>
  <c r="AF245" i="6"/>
  <c r="AG245" i="6" s="1"/>
  <c r="AH245" i="6"/>
  <c r="AI245" i="6" s="1"/>
  <c r="AF246" i="6"/>
  <c r="AG246" i="6"/>
  <c r="AH246" i="6"/>
  <c r="AI246" i="6" s="1"/>
  <c r="AF247" i="6"/>
  <c r="AG247" i="6" s="1"/>
  <c r="AH247" i="6"/>
  <c r="AI247" i="6" s="1"/>
  <c r="AF248" i="6"/>
  <c r="AG248" i="6"/>
  <c r="AH248" i="6"/>
  <c r="AI248" i="6" s="1"/>
  <c r="AF249" i="6"/>
  <c r="AG249" i="6" s="1"/>
  <c r="AH249" i="6"/>
  <c r="AI249" i="6" s="1"/>
  <c r="AF250" i="6"/>
  <c r="AG250" i="6"/>
  <c r="AH250" i="6"/>
  <c r="AI250" i="6" s="1"/>
  <c r="AF251" i="6"/>
  <c r="AG251" i="6" s="1"/>
  <c r="AH251" i="6"/>
  <c r="AI251" i="6" s="1"/>
  <c r="AF252" i="6"/>
  <c r="AG252" i="6"/>
  <c r="AH252" i="6"/>
  <c r="AI252" i="6" s="1"/>
  <c r="AF253" i="6"/>
  <c r="AG253" i="6" s="1"/>
  <c r="AH253" i="6"/>
  <c r="AI253" i="6" s="1"/>
  <c r="AF254" i="6"/>
  <c r="AG254" i="6" s="1"/>
  <c r="AH254" i="6"/>
  <c r="AI254" i="6" s="1"/>
  <c r="AF255" i="6"/>
  <c r="AG255" i="6" s="1"/>
  <c r="AH255" i="6"/>
  <c r="AI255" i="6" s="1"/>
  <c r="AF256" i="6"/>
  <c r="AG256" i="6" s="1"/>
  <c r="AH256" i="6"/>
  <c r="AI256" i="6" s="1"/>
  <c r="AF257" i="6"/>
  <c r="AG257" i="6" s="1"/>
  <c r="AH257" i="6"/>
  <c r="AI257" i="6" s="1"/>
  <c r="AF258" i="6"/>
  <c r="AG258" i="6" s="1"/>
  <c r="AH258" i="6"/>
  <c r="AI258" i="6" s="1"/>
  <c r="AF259" i="6"/>
  <c r="AG259" i="6" s="1"/>
  <c r="AH259" i="6"/>
  <c r="AI259" i="6" s="1"/>
  <c r="AF260" i="6"/>
  <c r="AG260" i="6" s="1"/>
  <c r="AH260" i="6"/>
  <c r="AI260" i="6" s="1"/>
  <c r="AF261" i="6"/>
  <c r="AG261" i="6" s="1"/>
  <c r="AH261" i="6"/>
  <c r="AI261" i="6" s="1"/>
  <c r="AF262" i="6"/>
  <c r="AG262" i="6"/>
  <c r="AH262" i="6"/>
  <c r="AI262" i="6" s="1"/>
  <c r="AF263" i="6"/>
  <c r="AG263" i="6" s="1"/>
  <c r="AH263" i="6"/>
  <c r="AI263" i="6" s="1"/>
  <c r="AF264" i="6"/>
  <c r="AG264" i="6" s="1"/>
  <c r="AH264" i="6"/>
  <c r="AI264" i="6" s="1"/>
  <c r="AF265" i="6"/>
  <c r="AG265" i="6" s="1"/>
  <c r="AH265" i="6"/>
  <c r="AI265" i="6" s="1"/>
  <c r="AF266" i="6"/>
  <c r="AG266" i="6"/>
  <c r="AH266" i="6"/>
  <c r="AI266" i="6" s="1"/>
  <c r="AF267" i="6"/>
  <c r="AG267" i="6" s="1"/>
  <c r="AH267" i="6"/>
  <c r="AI267" i="6" s="1"/>
  <c r="AF268" i="6"/>
  <c r="AG268" i="6" s="1"/>
  <c r="AH268" i="6"/>
  <c r="AI268" i="6" s="1"/>
  <c r="AF269" i="6"/>
  <c r="AG269" i="6" s="1"/>
  <c r="AH269" i="6"/>
  <c r="AI269" i="6" s="1"/>
  <c r="AF270" i="6"/>
  <c r="AG270" i="6" s="1"/>
  <c r="AH270" i="6"/>
  <c r="AI270" i="6" s="1"/>
  <c r="AF271" i="6"/>
  <c r="AG271" i="6" s="1"/>
  <c r="AH271" i="6"/>
  <c r="AI271" i="6" s="1"/>
  <c r="AF272" i="6"/>
  <c r="AG272" i="6" s="1"/>
  <c r="AH272" i="6"/>
  <c r="AI272" i="6" s="1"/>
  <c r="AF273" i="6"/>
  <c r="AG273" i="6" s="1"/>
  <c r="AH273" i="6"/>
  <c r="AI273" i="6" s="1"/>
  <c r="AF274" i="6"/>
  <c r="AG274" i="6"/>
  <c r="AH274" i="6"/>
  <c r="AI274" i="6" s="1"/>
  <c r="AF275" i="6"/>
  <c r="AG275" i="6" s="1"/>
  <c r="AH275" i="6"/>
  <c r="AI275" i="6" s="1"/>
  <c r="AF276" i="6"/>
  <c r="AG276" i="6" s="1"/>
  <c r="AH276" i="6"/>
  <c r="AI276" i="6" s="1"/>
  <c r="AF277" i="6"/>
  <c r="AG277" i="6" s="1"/>
  <c r="AH277" i="6"/>
  <c r="AI277" i="6" s="1"/>
  <c r="AF278" i="6"/>
  <c r="AG278" i="6"/>
  <c r="AH278" i="6"/>
  <c r="AI278" i="6" s="1"/>
  <c r="AF279" i="6"/>
  <c r="AG279" i="6" s="1"/>
  <c r="AH279" i="6"/>
  <c r="AI279" i="6" s="1"/>
  <c r="AF280" i="6"/>
  <c r="AG280" i="6" s="1"/>
  <c r="AH280" i="6"/>
  <c r="AI280" i="6" s="1"/>
  <c r="AF281" i="6"/>
  <c r="AG281" i="6" s="1"/>
  <c r="AH281" i="6"/>
  <c r="AI281" i="6" s="1"/>
  <c r="AF282" i="6"/>
  <c r="AG282" i="6"/>
  <c r="AH282" i="6"/>
  <c r="AI282" i="6" s="1"/>
  <c r="AF283" i="6"/>
  <c r="AG283" i="6" s="1"/>
  <c r="AH283" i="6"/>
  <c r="AI283" i="6" s="1"/>
  <c r="AF284" i="6"/>
  <c r="AG284" i="6"/>
  <c r="AH284" i="6"/>
  <c r="AI284" i="6" s="1"/>
  <c r="AF285" i="6"/>
  <c r="AG285" i="6" s="1"/>
  <c r="AH285" i="6"/>
  <c r="AI285" i="6" s="1"/>
  <c r="AF286" i="6"/>
  <c r="AG286" i="6" s="1"/>
  <c r="AH286" i="6"/>
  <c r="AI286" i="6" s="1"/>
  <c r="AF287" i="6"/>
  <c r="AG287" i="6" s="1"/>
  <c r="AH287" i="6"/>
  <c r="AI287" i="6" s="1"/>
  <c r="AF288" i="6"/>
  <c r="AG288" i="6" s="1"/>
  <c r="AH288" i="6"/>
  <c r="AI288" i="6" s="1"/>
  <c r="AF289" i="6"/>
  <c r="AG289" i="6" s="1"/>
  <c r="AH289" i="6"/>
  <c r="AI289" i="6" s="1"/>
  <c r="AF290" i="6"/>
  <c r="AG290" i="6"/>
  <c r="AH290" i="6"/>
  <c r="AI290" i="6" s="1"/>
  <c r="AF291" i="6"/>
  <c r="AG291" i="6" s="1"/>
  <c r="AH291" i="6"/>
  <c r="AI291" i="6" s="1"/>
  <c r="AF292" i="6"/>
  <c r="AG292" i="6"/>
  <c r="AH292" i="6"/>
  <c r="AI292" i="6" s="1"/>
  <c r="AF293" i="6"/>
  <c r="AG293" i="6" s="1"/>
  <c r="AH293" i="6"/>
  <c r="AI293" i="6" s="1"/>
  <c r="AF294" i="6"/>
  <c r="AG294" i="6"/>
  <c r="AH294" i="6"/>
  <c r="AI294" i="6" s="1"/>
  <c r="AF295" i="6"/>
  <c r="AG295" i="6" s="1"/>
  <c r="AH295" i="6"/>
  <c r="AI295" i="6" s="1"/>
  <c r="AF296" i="6"/>
  <c r="AG296" i="6" s="1"/>
  <c r="AH296" i="6"/>
  <c r="AI296" i="6" s="1"/>
  <c r="AF297" i="6"/>
  <c r="AG297" i="6" s="1"/>
  <c r="AH297" i="6"/>
  <c r="AI297" i="6" s="1"/>
  <c r="AF298" i="6"/>
  <c r="AG298" i="6"/>
  <c r="AH298" i="6"/>
  <c r="AI298" i="6" s="1"/>
  <c r="AF299" i="6"/>
  <c r="AG299" i="6" s="1"/>
  <c r="AH299" i="6"/>
  <c r="AI299" i="6" s="1"/>
  <c r="AF300" i="6"/>
  <c r="AG300" i="6"/>
  <c r="AH300" i="6"/>
  <c r="AI300" i="6" s="1"/>
  <c r="AF301" i="6"/>
  <c r="AG301" i="6" s="1"/>
  <c r="AH301" i="6"/>
  <c r="AI301" i="6" s="1"/>
  <c r="AF302" i="6"/>
  <c r="AG302" i="6" s="1"/>
  <c r="AH302" i="6"/>
  <c r="AI302" i="6" s="1"/>
  <c r="AF303" i="6"/>
  <c r="AG303" i="6" s="1"/>
  <c r="AH303" i="6"/>
  <c r="AI303" i="6" s="1"/>
  <c r="AF304" i="6"/>
  <c r="AG304" i="6" s="1"/>
  <c r="AH304" i="6"/>
  <c r="AI304" i="6" s="1"/>
  <c r="AF305" i="6"/>
  <c r="AG305" i="6" s="1"/>
  <c r="AH305" i="6"/>
  <c r="AI305" i="6" s="1"/>
  <c r="AF306" i="6"/>
  <c r="AG306" i="6" s="1"/>
  <c r="AH306" i="6"/>
  <c r="AI306" i="6" s="1"/>
  <c r="AF307" i="6"/>
  <c r="AG307" i="6" s="1"/>
  <c r="AH307" i="6"/>
  <c r="AI307" i="6" s="1"/>
  <c r="AF308" i="6"/>
  <c r="AG308" i="6" s="1"/>
  <c r="AH308" i="6"/>
  <c r="AI308" i="6" s="1"/>
  <c r="AF309" i="6"/>
  <c r="AG309" i="6" s="1"/>
  <c r="AH309" i="6"/>
  <c r="AI309" i="6" s="1"/>
  <c r="AF310" i="6"/>
  <c r="AG310" i="6"/>
  <c r="AH310" i="6"/>
  <c r="AI310" i="6" s="1"/>
  <c r="AF311" i="6"/>
  <c r="AG311" i="6" s="1"/>
  <c r="AH311" i="6"/>
  <c r="AI311" i="6" s="1"/>
  <c r="AF312" i="6"/>
  <c r="AG312" i="6" s="1"/>
  <c r="AH312" i="6"/>
  <c r="AI312" i="6" s="1"/>
  <c r="AF313" i="6"/>
  <c r="AG313" i="6" s="1"/>
  <c r="AH313" i="6"/>
  <c r="AI313" i="6" s="1"/>
  <c r="AF314" i="6"/>
  <c r="AG314" i="6"/>
  <c r="AH314" i="6"/>
  <c r="AI314" i="6" s="1"/>
  <c r="AF315" i="6"/>
  <c r="AG315" i="6" s="1"/>
  <c r="AH315" i="6"/>
  <c r="AI315" i="6" s="1"/>
  <c r="AF316" i="6"/>
  <c r="AG316" i="6"/>
  <c r="AH316" i="6"/>
  <c r="AI316" i="6" s="1"/>
  <c r="AF317" i="6"/>
  <c r="AG317" i="6" s="1"/>
  <c r="AH317" i="6"/>
  <c r="AI317" i="6" s="1"/>
  <c r="AF318" i="6"/>
  <c r="AG318" i="6" s="1"/>
  <c r="AH318" i="6"/>
  <c r="AI318" i="6" s="1"/>
  <c r="AF319" i="6"/>
  <c r="AG319" i="6" s="1"/>
  <c r="AH319" i="6"/>
  <c r="AI319" i="6" s="1"/>
  <c r="AF320" i="6"/>
  <c r="AG320" i="6" s="1"/>
  <c r="AH320" i="6"/>
  <c r="AI320" i="6" s="1"/>
  <c r="AF321" i="6"/>
  <c r="AG321" i="6" s="1"/>
  <c r="AH321" i="6"/>
  <c r="AI321" i="6" s="1"/>
  <c r="AF322" i="6"/>
  <c r="AG322" i="6"/>
  <c r="AH322" i="6"/>
  <c r="AI322" i="6" s="1"/>
  <c r="AF323" i="6"/>
  <c r="AG323" i="6" s="1"/>
  <c r="AH323" i="6"/>
  <c r="AI323" i="6" s="1"/>
  <c r="AF324" i="6"/>
  <c r="AG324" i="6" s="1"/>
  <c r="AH324" i="6"/>
  <c r="AI324" i="6" s="1"/>
  <c r="AF325" i="6"/>
  <c r="AG325" i="6" s="1"/>
  <c r="AH325" i="6"/>
  <c r="AI325" i="6" s="1"/>
  <c r="AF326" i="6"/>
  <c r="AG326" i="6"/>
  <c r="AH326" i="6"/>
  <c r="AI326" i="6" s="1"/>
  <c r="AF327" i="6"/>
  <c r="AG327" i="6" s="1"/>
  <c r="AH327" i="6"/>
  <c r="AI327" i="6" s="1"/>
  <c r="AF328" i="6"/>
  <c r="AG328" i="6" s="1"/>
  <c r="AH328" i="6"/>
  <c r="AI328" i="6" s="1"/>
  <c r="AF329" i="6"/>
  <c r="AG329" i="6" s="1"/>
  <c r="AH329" i="6"/>
  <c r="AI329" i="6" s="1"/>
  <c r="AF330" i="6"/>
  <c r="AG330" i="6"/>
  <c r="AH330" i="6"/>
  <c r="AI330" i="6" s="1"/>
  <c r="AF331" i="6"/>
  <c r="AG331" i="6" s="1"/>
  <c r="AH331" i="6"/>
  <c r="AI331" i="6" s="1"/>
  <c r="AF332" i="6"/>
  <c r="AG332" i="6" s="1"/>
  <c r="AH332" i="6"/>
  <c r="AI332" i="6" s="1"/>
  <c r="AF333" i="6"/>
  <c r="AG333" i="6"/>
  <c r="AH333" i="6"/>
  <c r="AI333" i="6" s="1"/>
  <c r="AF334" i="6"/>
  <c r="AG334" i="6" s="1"/>
  <c r="AH334" i="6"/>
  <c r="AI334" i="6" s="1"/>
  <c r="AF335" i="6"/>
  <c r="AG335" i="6"/>
  <c r="AH335" i="6"/>
  <c r="AI335" i="6" s="1"/>
  <c r="AF336" i="6"/>
  <c r="AG336" i="6"/>
  <c r="AH336" i="6"/>
  <c r="AI336" i="6" s="1"/>
  <c r="AF337" i="6"/>
  <c r="AG337" i="6" s="1"/>
  <c r="AH337" i="6"/>
  <c r="AI337" i="6" s="1"/>
  <c r="AF338" i="6"/>
  <c r="AG338" i="6"/>
  <c r="AH338" i="6"/>
  <c r="AI338" i="6" s="1"/>
  <c r="AF339" i="6"/>
  <c r="AG339" i="6"/>
  <c r="AH339" i="6"/>
  <c r="AI339" i="6" s="1"/>
  <c r="AF340" i="6"/>
  <c r="AG340" i="6" s="1"/>
  <c r="AH340" i="6"/>
  <c r="AI340" i="6"/>
  <c r="AF341" i="6"/>
  <c r="AG341" i="6" s="1"/>
  <c r="AH341" i="6"/>
  <c r="AI341" i="6" s="1"/>
  <c r="AF342" i="6"/>
  <c r="AG342" i="6"/>
  <c r="AH342" i="6"/>
  <c r="AI342" i="6"/>
  <c r="AF343" i="6"/>
  <c r="AG343" i="6" s="1"/>
  <c r="AH343" i="6"/>
  <c r="AI343" i="6" s="1"/>
  <c r="AF344" i="6"/>
  <c r="AG344" i="6" s="1"/>
  <c r="AH344" i="6"/>
  <c r="AI344" i="6" s="1"/>
  <c r="AF345" i="6"/>
  <c r="AG345" i="6"/>
  <c r="AH345" i="6"/>
  <c r="AI345" i="6" s="1"/>
  <c r="AF346" i="6"/>
  <c r="AG346" i="6" s="1"/>
  <c r="AH346" i="6"/>
  <c r="AI346" i="6" s="1"/>
  <c r="AF347" i="6"/>
  <c r="AG347" i="6"/>
  <c r="AH347" i="6"/>
  <c r="AI347" i="6" s="1"/>
  <c r="AF348" i="6"/>
  <c r="AG348" i="6" s="1"/>
  <c r="AH348" i="6"/>
  <c r="AI348" i="6" s="1"/>
  <c r="AF349" i="6"/>
  <c r="AG349" i="6" s="1"/>
  <c r="AH349" i="6"/>
  <c r="AI349" i="6" s="1"/>
  <c r="AF350" i="6"/>
  <c r="AG350" i="6" s="1"/>
  <c r="AH350" i="6"/>
  <c r="AI350" i="6" s="1"/>
  <c r="AF351" i="6"/>
  <c r="AG351" i="6" s="1"/>
  <c r="AH351" i="6"/>
  <c r="AI351" i="6" s="1"/>
  <c r="AF352" i="6"/>
  <c r="AG352" i="6" s="1"/>
  <c r="AH352" i="6"/>
  <c r="AI352" i="6" s="1"/>
  <c r="AF353" i="6"/>
  <c r="AG353" i="6"/>
  <c r="AH353" i="6"/>
  <c r="AI353" i="6" s="1"/>
  <c r="AF354" i="6"/>
  <c r="AG354" i="6" s="1"/>
  <c r="AH354" i="6"/>
  <c r="AI354" i="6" s="1"/>
  <c r="AF355" i="6"/>
  <c r="AG355" i="6"/>
  <c r="AH355" i="6"/>
  <c r="AI355" i="6" s="1"/>
  <c r="AF356" i="6"/>
  <c r="AG356" i="6" s="1"/>
  <c r="AH356" i="6"/>
  <c r="AI356" i="6" s="1"/>
  <c r="AF357" i="6"/>
  <c r="AG357" i="6"/>
  <c r="AH357" i="6"/>
  <c r="AI357" i="6" s="1"/>
  <c r="AF358" i="6"/>
  <c r="AG358" i="6" s="1"/>
  <c r="AH358" i="6"/>
  <c r="AI358" i="6" s="1"/>
  <c r="AF359" i="6"/>
  <c r="AG359" i="6" s="1"/>
  <c r="AH359" i="6"/>
  <c r="AI359" i="6" s="1"/>
  <c r="AF360" i="6"/>
  <c r="AG360" i="6" s="1"/>
  <c r="AH360" i="6"/>
  <c r="AI360" i="6" s="1"/>
  <c r="AF361" i="6"/>
  <c r="AG361" i="6" s="1"/>
  <c r="AH361" i="6"/>
  <c r="AI361" i="6" s="1"/>
  <c r="AF362" i="6"/>
  <c r="AG362" i="6" s="1"/>
  <c r="AH362" i="6"/>
  <c r="AI362" i="6" s="1"/>
  <c r="AF363" i="6"/>
  <c r="AG363" i="6"/>
  <c r="AH363" i="6"/>
  <c r="AI363" i="6" s="1"/>
  <c r="AF364" i="6"/>
  <c r="AG364" i="6" s="1"/>
  <c r="AH364" i="6"/>
  <c r="AI364" i="6" s="1"/>
  <c r="AF365" i="6"/>
  <c r="AG365" i="6" s="1"/>
  <c r="AH365" i="6"/>
  <c r="AI365" i="6" s="1"/>
  <c r="AF366" i="6"/>
  <c r="AG366" i="6" s="1"/>
  <c r="AH366" i="6"/>
  <c r="AI366" i="6" s="1"/>
  <c r="AF367" i="6"/>
  <c r="AG367" i="6"/>
  <c r="AH367" i="6"/>
  <c r="AI367" i="6" s="1"/>
  <c r="AF368" i="6"/>
  <c r="AG368" i="6" s="1"/>
  <c r="AH368" i="6"/>
  <c r="AI368" i="6" s="1"/>
  <c r="AF369" i="6"/>
  <c r="AG369" i="6"/>
  <c r="AH369" i="6"/>
  <c r="AI369" i="6" s="1"/>
  <c r="AF370" i="6"/>
  <c r="AG370" i="6" s="1"/>
  <c r="AH370" i="6"/>
  <c r="AI370" i="6" s="1"/>
  <c r="AF371" i="6"/>
  <c r="AG371" i="6"/>
  <c r="AH371" i="6"/>
  <c r="AI371" i="6" s="1"/>
  <c r="AF372" i="6"/>
  <c r="AG372" i="6" s="1"/>
  <c r="AH372" i="6"/>
  <c r="AI372" i="6" s="1"/>
  <c r="AF373" i="6"/>
  <c r="AG373" i="6"/>
  <c r="AH373" i="6"/>
  <c r="AI373" i="6" s="1"/>
  <c r="AF374" i="6"/>
  <c r="AG374" i="6" s="1"/>
  <c r="AH374" i="6"/>
  <c r="AI374" i="6" s="1"/>
  <c r="AF375" i="6"/>
  <c r="AG375" i="6" s="1"/>
  <c r="AH375" i="6"/>
  <c r="AI375" i="6" s="1"/>
  <c r="AF376" i="6"/>
  <c r="AG376" i="6" s="1"/>
  <c r="AH376" i="6"/>
  <c r="AI376" i="6" s="1"/>
  <c r="AF377" i="6"/>
  <c r="AG377" i="6" s="1"/>
  <c r="AH377" i="6"/>
  <c r="AI377" i="6" s="1"/>
  <c r="AF378" i="6"/>
  <c r="AG378" i="6" s="1"/>
  <c r="AH378" i="6"/>
  <c r="AI378" i="6" s="1"/>
  <c r="AF379" i="6"/>
  <c r="AG379" i="6" s="1"/>
  <c r="AH379" i="6"/>
  <c r="AI379" i="6" s="1"/>
  <c r="AF380" i="6"/>
  <c r="AG380" i="6" s="1"/>
  <c r="AH380" i="6"/>
  <c r="AI380" i="6" s="1"/>
  <c r="AF381" i="6"/>
  <c r="AG381" i="6" s="1"/>
  <c r="AH381" i="6"/>
  <c r="AI381" i="6" s="1"/>
  <c r="AF382" i="6"/>
  <c r="AG382" i="6" s="1"/>
  <c r="AH382" i="6"/>
  <c r="AI382" i="6" s="1"/>
  <c r="AF383" i="6"/>
  <c r="AG383" i="6"/>
  <c r="AH383" i="6"/>
  <c r="AI383" i="6" s="1"/>
  <c r="AF384" i="6"/>
  <c r="AG384" i="6" s="1"/>
  <c r="AH384" i="6"/>
  <c r="AI384" i="6" s="1"/>
  <c r="AF385" i="6"/>
  <c r="AG385" i="6"/>
  <c r="AH385" i="6"/>
  <c r="AI385" i="6" s="1"/>
  <c r="AF386" i="6"/>
  <c r="AG386" i="6" s="1"/>
  <c r="AH386" i="6"/>
  <c r="AI386" i="6" s="1"/>
  <c r="AF387" i="6"/>
  <c r="AG387" i="6"/>
  <c r="AH387" i="6"/>
  <c r="AI387" i="6" s="1"/>
  <c r="AF388" i="6"/>
  <c r="AG388" i="6" s="1"/>
  <c r="AH388" i="6"/>
  <c r="AI388" i="6" s="1"/>
  <c r="AF389" i="6"/>
  <c r="AG389" i="6"/>
  <c r="AH389" i="6"/>
  <c r="AI389" i="6" s="1"/>
  <c r="AF390" i="6"/>
  <c r="AG390" i="6" s="1"/>
  <c r="AH390" i="6"/>
  <c r="AI390" i="6" s="1"/>
  <c r="AF391" i="6"/>
  <c r="AG391" i="6" s="1"/>
  <c r="AH391" i="6"/>
  <c r="AI391" i="6" s="1"/>
  <c r="AF392" i="6"/>
  <c r="AG392" i="6" s="1"/>
  <c r="AH392" i="6"/>
  <c r="AI392" i="6" s="1"/>
  <c r="AF393" i="6"/>
  <c r="AG393" i="6" s="1"/>
  <c r="AH393" i="6"/>
  <c r="AI393" i="6" s="1"/>
  <c r="AF394" i="6"/>
  <c r="AG394" i="6" s="1"/>
  <c r="AH394" i="6"/>
  <c r="AI394" i="6" s="1"/>
  <c r="AF395" i="6"/>
  <c r="AG395" i="6" s="1"/>
  <c r="AH395" i="6"/>
  <c r="AI395" i="6" s="1"/>
  <c r="AF396" i="6"/>
  <c r="AG396" i="6" s="1"/>
  <c r="AH396" i="6"/>
  <c r="AI396" i="6" s="1"/>
  <c r="AF397" i="6"/>
  <c r="AG397" i="6" s="1"/>
  <c r="AH397" i="6"/>
  <c r="AI397" i="6" s="1"/>
  <c r="AF398" i="6"/>
  <c r="AG398" i="6" s="1"/>
  <c r="AH398" i="6"/>
  <c r="AI398" i="6" s="1"/>
  <c r="AF399" i="6"/>
  <c r="AG399" i="6"/>
  <c r="AH399" i="6"/>
  <c r="AI399" i="6" s="1"/>
  <c r="AF400" i="6"/>
  <c r="AG400" i="6" s="1"/>
  <c r="AH400" i="6"/>
  <c r="AI400" i="6" s="1"/>
  <c r="AF401" i="6"/>
  <c r="AG401" i="6"/>
  <c r="AH401" i="6"/>
  <c r="AI401" i="6" s="1"/>
  <c r="AF402" i="6"/>
  <c r="AG402" i="6" s="1"/>
  <c r="AH402" i="6"/>
  <c r="AI402" i="6" s="1"/>
  <c r="AF403" i="6"/>
  <c r="AG403" i="6"/>
  <c r="AH403" i="6"/>
  <c r="AI403" i="6" s="1"/>
  <c r="AF404" i="6"/>
  <c r="AG404" i="6" s="1"/>
  <c r="AH404" i="6"/>
  <c r="AI404" i="6" s="1"/>
  <c r="AF405" i="6"/>
  <c r="AG405" i="6"/>
  <c r="AH405" i="6"/>
  <c r="AI405" i="6" s="1"/>
  <c r="AF406" i="6"/>
  <c r="AG406" i="6" s="1"/>
  <c r="AH406" i="6"/>
  <c r="AI406" i="6" s="1"/>
  <c r="AF407" i="6"/>
  <c r="AG407" i="6" s="1"/>
  <c r="AH407" i="6"/>
  <c r="AI407" i="6" s="1"/>
  <c r="AF408" i="6"/>
  <c r="AG408" i="6" s="1"/>
  <c r="AH408" i="6"/>
  <c r="AI408" i="6" s="1"/>
  <c r="AF409" i="6"/>
  <c r="AG409" i="6" s="1"/>
  <c r="AH409" i="6"/>
  <c r="AI409" i="6" s="1"/>
  <c r="AF410" i="6"/>
  <c r="AG410" i="6" s="1"/>
  <c r="AH410" i="6"/>
  <c r="AI410" i="6" s="1"/>
  <c r="AF411" i="6"/>
  <c r="AG411" i="6" s="1"/>
  <c r="AH411" i="6"/>
  <c r="AI411" i="6" s="1"/>
  <c r="AF412" i="6"/>
  <c r="AG412" i="6" s="1"/>
  <c r="AH412" i="6"/>
  <c r="AI412" i="6" s="1"/>
  <c r="AF413" i="6"/>
  <c r="AG413" i="6" s="1"/>
  <c r="AH413" i="6"/>
  <c r="AI413" i="6" s="1"/>
  <c r="AF414" i="6"/>
  <c r="AG414" i="6" s="1"/>
  <c r="AH414" i="6"/>
  <c r="AI414" i="6" s="1"/>
  <c r="AF415" i="6"/>
  <c r="AG415" i="6"/>
  <c r="AH415" i="6"/>
  <c r="AI415" i="6" s="1"/>
  <c r="AF416" i="6"/>
  <c r="AG416" i="6" s="1"/>
  <c r="AH416" i="6"/>
  <c r="AI416" i="6" s="1"/>
  <c r="AF417" i="6"/>
  <c r="AG417" i="6"/>
  <c r="AH417" i="6"/>
  <c r="AI417" i="6" s="1"/>
  <c r="AF418" i="6"/>
  <c r="AG418" i="6" s="1"/>
  <c r="AH418" i="6"/>
  <c r="AI418" i="6" s="1"/>
  <c r="AF419" i="6"/>
  <c r="AG419" i="6"/>
  <c r="AH419" i="6"/>
  <c r="AI419" i="6" s="1"/>
  <c r="AF420" i="6"/>
  <c r="AG420" i="6" s="1"/>
  <c r="AH420" i="6"/>
  <c r="AI420" i="6" s="1"/>
  <c r="AF421" i="6"/>
  <c r="AG421" i="6"/>
  <c r="AH421" i="6"/>
  <c r="AI421" i="6" s="1"/>
  <c r="AF422" i="6"/>
  <c r="AG422" i="6" s="1"/>
  <c r="AH422" i="6"/>
  <c r="AI422" i="6" s="1"/>
  <c r="AF423" i="6"/>
  <c r="AG423" i="6" s="1"/>
  <c r="AH423" i="6"/>
  <c r="AI423" i="6" s="1"/>
  <c r="AF424" i="6"/>
  <c r="AG424" i="6" s="1"/>
  <c r="AH424" i="6"/>
  <c r="AI424" i="6" s="1"/>
  <c r="AF425" i="6"/>
  <c r="AG425" i="6" s="1"/>
  <c r="AH425" i="6"/>
  <c r="AI425" i="6" s="1"/>
  <c r="AF426" i="6"/>
  <c r="AG426" i="6" s="1"/>
  <c r="AH426" i="6"/>
  <c r="AI426" i="6" s="1"/>
  <c r="AF427" i="6"/>
  <c r="AG427" i="6" s="1"/>
  <c r="AH427" i="6"/>
  <c r="AI427" i="6" s="1"/>
  <c r="AF428" i="6"/>
  <c r="AG428" i="6" s="1"/>
  <c r="AH428" i="6"/>
  <c r="AI428" i="6" s="1"/>
  <c r="AF429" i="6"/>
  <c r="AG429" i="6" s="1"/>
  <c r="AH429" i="6"/>
  <c r="AI429" i="6" s="1"/>
  <c r="AF430" i="6"/>
  <c r="AG430" i="6" s="1"/>
  <c r="AH430" i="6"/>
  <c r="AI430" i="6" s="1"/>
  <c r="AF431" i="6"/>
  <c r="AG431" i="6"/>
  <c r="AH431" i="6"/>
  <c r="AI431" i="6" s="1"/>
  <c r="AF432" i="6"/>
  <c r="AG432" i="6" s="1"/>
  <c r="AH432" i="6"/>
  <c r="AI432" i="6" s="1"/>
  <c r="AF433" i="6"/>
  <c r="AG433" i="6"/>
  <c r="AH433" i="6"/>
  <c r="AI433" i="6" s="1"/>
  <c r="AF434" i="6"/>
  <c r="AG434" i="6" s="1"/>
  <c r="AH434" i="6"/>
  <c r="AI434" i="6" s="1"/>
  <c r="AF435" i="6"/>
  <c r="AG435" i="6"/>
  <c r="AH435" i="6"/>
  <c r="AI435" i="6" s="1"/>
  <c r="AF436" i="6"/>
  <c r="AG436" i="6" s="1"/>
  <c r="AH436" i="6"/>
  <c r="AI436" i="6" s="1"/>
  <c r="AF437" i="6"/>
  <c r="AG437" i="6"/>
  <c r="AH437" i="6"/>
  <c r="AI437" i="6" s="1"/>
  <c r="AF438" i="6"/>
  <c r="AG438" i="6" s="1"/>
  <c r="AH438" i="6"/>
  <c r="AI438" i="6" s="1"/>
  <c r="AF439" i="6"/>
  <c r="AG439" i="6" s="1"/>
  <c r="AH439" i="6"/>
  <c r="AI439" i="6" s="1"/>
  <c r="AF440" i="6"/>
  <c r="AG440" i="6" s="1"/>
  <c r="AH440" i="6"/>
  <c r="AI440" i="6" s="1"/>
  <c r="AF441" i="6"/>
  <c r="AG441" i="6" s="1"/>
  <c r="AH441" i="6"/>
  <c r="AI441" i="6" s="1"/>
  <c r="AF442" i="6"/>
  <c r="AG442" i="6" s="1"/>
  <c r="AH442" i="6"/>
  <c r="AI442" i="6" s="1"/>
  <c r="AF443" i="6"/>
  <c r="AG443" i="6" s="1"/>
  <c r="AH443" i="6"/>
  <c r="AI443" i="6" s="1"/>
  <c r="AF444" i="6"/>
  <c r="AG444" i="6" s="1"/>
  <c r="AH444" i="6"/>
  <c r="AI444" i="6" s="1"/>
  <c r="AF445" i="6"/>
  <c r="AG445" i="6" s="1"/>
  <c r="AH445" i="6"/>
  <c r="AI445" i="6" s="1"/>
  <c r="AF446" i="6"/>
  <c r="AG446" i="6" s="1"/>
  <c r="AH446" i="6"/>
  <c r="AI446" i="6" s="1"/>
  <c r="AF447" i="6"/>
  <c r="AG447" i="6"/>
  <c r="AH447" i="6"/>
  <c r="AI447" i="6" s="1"/>
  <c r="AF448" i="6"/>
  <c r="AG448" i="6" s="1"/>
  <c r="AH448" i="6"/>
  <c r="AI448" i="6" s="1"/>
  <c r="AF449" i="6"/>
  <c r="AG449" i="6"/>
  <c r="AH449" i="6"/>
  <c r="AI449" i="6" s="1"/>
  <c r="AF450" i="6"/>
  <c r="AG450" i="6" s="1"/>
  <c r="AH450" i="6"/>
  <c r="AI450" i="6" s="1"/>
  <c r="AF451" i="6"/>
  <c r="AG451" i="6"/>
  <c r="AH451" i="6"/>
  <c r="AI451" i="6" s="1"/>
  <c r="AF452" i="6"/>
  <c r="AG452" i="6" s="1"/>
  <c r="AH452" i="6"/>
  <c r="AI452" i="6" s="1"/>
  <c r="AF453" i="6"/>
  <c r="AG453" i="6" s="1"/>
  <c r="AH453" i="6"/>
  <c r="AI453" i="6" s="1"/>
  <c r="AF454" i="6"/>
  <c r="AG454" i="6" s="1"/>
  <c r="AH454" i="6"/>
  <c r="AI454" i="6" s="1"/>
  <c r="AF455" i="6"/>
  <c r="AG455" i="6" s="1"/>
  <c r="AH455" i="6"/>
  <c r="AI455" i="6" s="1"/>
  <c r="AF456" i="6"/>
  <c r="AG456" i="6" s="1"/>
  <c r="AH456" i="6"/>
  <c r="AI456" i="6" s="1"/>
  <c r="AF457" i="6"/>
  <c r="AG457" i="6" s="1"/>
  <c r="AH457" i="6"/>
  <c r="AI457" i="6" s="1"/>
  <c r="AF458" i="6"/>
  <c r="AG458" i="6" s="1"/>
  <c r="AH458" i="6"/>
  <c r="AI458" i="6" s="1"/>
  <c r="AF459" i="6"/>
  <c r="AG459" i="6"/>
  <c r="AH459" i="6"/>
  <c r="AI459" i="6" s="1"/>
  <c r="AF460" i="6"/>
  <c r="AG460" i="6" s="1"/>
  <c r="AH460" i="6"/>
  <c r="AI460" i="6" s="1"/>
  <c r="AF461" i="6"/>
  <c r="AG461" i="6" s="1"/>
  <c r="AH461" i="6"/>
  <c r="AI461" i="6" s="1"/>
  <c r="AF462" i="6"/>
  <c r="AG462" i="6" s="1"/>
  <c r="AH462" i="6"/>
  <c r="AI462" i="6" s="1"/>
  <c r="AF463" i="6"/>
  <c r="AG463" i="6"/>
  <c r="AH463" i="6"/>
  <c r="AI463" i="6" s="1"/>
  <c r="AF464" i="6"/>
  <c r="AG464" i="6" s="1"/>
  <c r="AH464" i="6"/>
  <c r="AI464" i="6" s="1"/>
  <c r="AF465" i="6"/>
  <c r="AG465" i="6"/>
  <c r="AH465" i="6"/>
  <c r="AI465" i="6" s="1"/>
  <c r="AF466" i="6"/>
  <c r="AG466" i="6" s="1"/>
  <c r="AH466" i="6"/>
  <c r="AI466" i="6" s="1"/>
  <c r="AF467" i="6"/>
  <c r="AG467" i="6"/>
  <c r="AH467" i="6"/>
  <c r="AI467" i="6" s="1"/>
  <c r="AF468" i="6"/>
  <c r="AG468" i="6" s="1"/>
  <c r="AH468" i="6"/>
  <c r="AI468" i="6" s="1"/>
  <c r="AF469" i="6"/>
  <c r="AG469" i="6"/>
  <c r="AH469" i="6"/>
  <c r="AI469" i="6" s="1"/>
  <c r="AF470" i="6"/>
  <c r="AG470" i="6" s="1"/>
  <c r="AH470" i="6"/>
  <c r="AI470" i="6" s="1"/>
  <c r="AF471" i="6"/>
  <c r="AG471" i="6" s="1"/>
  <c r="AH471" i="6"/>
  <c r="AI471" i="6" s="1"/>
  <c r="AF472" i="6"/>
  <c r="AG472" i="6" s="1"/>
  <c r="AH472" i="6"/>
  <c r="AI472" i="6" s="1"/>
  <c r="AF473" i="6"/>
  <c r="AG473" i="6" s="1"/>
  <c r="AH473" i="6"/>
  <c r="AI473" i="6" s="1"/>
  <c r="AF474" i="6"/>
  <c r="AG474" i="6" s="1"/>
  <c r="AH474" i="6"/>
  <c r="AI474" i="6" s="1"/>
  <c r="AF475" i="6"/>
  <c r="AG475" i="6"/>
  <c r="AH475" i="6"/>
  <c r="AI475" i="6" s="1"/>
  <c r="AF476" i="6"/>
  <c r="AG476" i="6" s="1"/>
  <c r="AH476" i="6"/>
  <c r="AI476" i="6" s="1"/>
  <c r="AF477" i="6"/>
  <c r="AG477" i="6" s="1"/>
  <c r="AH477" i="6"/>
  <c r="AI477" i="6" s="1"/>
  <c r="AF478" i="6"/>
  <c r="AG478" i="6" s="1"/>
  <c r="AH478" i="6"/>
  <c r="AI478" i="6" s="1"/>
  <c r="AF479" i="6"/>
  <c r="AG479" i="6"/>
  <c r="AH479" i="6"/>
  <c r="AI479" i="6" s="1"/>
  <c r="AF480" i="6"/>
  <c r="AG480" i="6" s="1"/>
  <c r="AH480" i="6"/>
  <c r="AI480" i="6" s="1"/>
  <c r="AF481" i="6"/>
  <c r="AG481" i="6"/>
  <c r="AH481" i="6"/>
  <c r="AI481" i="6" s="1"/>
  <c r="AF482" i="6"/>
  <c r="AG482" i="6" s="1"/>
  <c r="AH482" i="6"/>
  <c r="AI482" i="6" s="1"/>
  <c r="AF483" i="6"/>
  <c r="AG483" i="6"/>
  <c r="AH483" i="6"/>
  <c r="AI483" i="6" s="1"/>
  <c r="AF484" i="6"/>
  <c r="AG484" i="6" s="1"/>
  <c r="AH484" i="6"/>
  <c r="AI484" i="6" s="1"/>
  <c r="AF485" i="6"/>
  <c r="AG485" i="6" s="1"/>
  <c r="AH485" i="6"/>
  <c r="AI485" i="6" s="1"/>
  <c r="AF486" i="6"/>
  <c r="AG486" i="6" s="1"/>
  <c r="AH486" i="6"/>
  <c r="AI486" i="6" s="1"/>
  <c r="AF487" i="6"/>
  <c r="AG487" i="6" s="1"/>
  <c r="AH487" i="6"/>
  <c r="AI487" i="6" s="1"/>
  <c r="AF488" i="6"/>
  <c r="AG488" i="6" s="1"/>
  <c r="AH488" i="6"/>
  <c r="AI488" i="6" s="1"/>
  <c r="AF489" i="6"/>
  <c r="AG489" i="6" s="1"/>
  <c r="AH489" i="6"/>
  <c r="AI489" i="6" s="1"/>
  <c r="AF490" i="6"/>
  <c r="AG490" i="6" s="1"/>
  <c r="AH490" i="6"/>
  <c r="AI490" i="6" s="1"/>
  <c r="AF491" i="6"/>
  <c r="AG491" i="6"/>
  <c r="AH491" i="6"/>
  <c r="AI491" i="6" s="1"/>
  <c r="AF492" i="6"/>
  <c r="AG492" i="6" s="1"/>
  <c r="AH492" i="6"/>
  <c r="AI492" i="6" s="1"/>
  <c r="AF493" i="6"/>
  <c r="AG493" i="6" s="1"/>
  <c r="AH493" i="6"/>
  <c r="AI493" i="6" s="1"/>
  <c r="AF494" i="6"/>
  <c r="AG494" i="6" s="1"/>
  <c r="AH494" i="6"/>
  <c r="AI494" i="6" s="1"/>
  <c r="AF495" i="6"/>
  <c r="AG495" i="6"/>
  <c r="AH495" i="6"/>
  <c r="AI495" i="6" s="1"/>
  <c r="AF496" i="6"/>
  <c r="AG496" i="6" s="1"/>
  <c r="AH496" i="6"/>
  <c r="AI496" i="6" s="1"/>
  <c r="AF497" i="6"/>
  <c r="AG497" i="6"/>
  <c r="AH497" i="6"/>
  <c r="AI497" i="6" s="1"/>
  <c r="AF498" i="6"/>
  <c r="AG498" i="6" s="1"/>
  <c r="AH498" i="6"/>
  <c r="AI498" i="6" s="1"/>
  <c r="AF499" i="6"/>
  <c r="AG499" i="6"/>
  <c r="AH499" i="6"/>
  <c r="AI499" i="6" s="1"/>
  <c r="AF500" i="6"/>
  <c r="AG500" i="6" s="1"/>
  <c r="AH500" i="6"/>
  <c r="AI500" i="6" s="1"/>
  <c r="AF501" i="6"/>
  <c r="AG501" i="6" s="1"/>
  <c r="AH501" i="6"/>
  <c r="AI501" i="6" s="1"/>
  <c r="AF502" i="6"/>
  <c r="AG502" i="6" s="1"/>
  <c r="AH502" i="6"/>
  <c r="AI502" i="6" s="1"/>
  <c r="AF503" i="6"/>
  <c r="AG503" i="6" s="1"/>
  <c r="AH503" i="6"/>
  <c r="AI503" i="6" s="1"/>
  <c r="AF504" i="6"/>
  <c r="AG504" i="6" s="1"/>
  <c r="AH504" i="6"/>
  <c r="AI504" i="6" s="1"/>
  <c r="AF505" i="6"/>
  <c r="AG505" i="6" s="1"/>
  <c r="AH505" i="6"/>
  <c r="AI505" i="6" s="1"/>
  <c r="AF506" i="6"/>
  <c r="AG506" i="6" s="1"/>
  <c r="AH506" i="6"/>
  <c r="AI506" i="6"/>
  <c r="AF507" i="6"/>
  <c r="AG507" i="6" s="1"/>
  <c r="AH507" i="6"/>
  <c r="AI507" i="6" s="1"/>
  <c r="AF508" i="6"/>
  <c r="AG508" i="6"/>
  <c r="AH508" i="6"/>
  <c r="AI508" i="6" s="1"/>
  <c r="AF509" i="6"/>
  <c r="AG509" i="6" s="1"/>
  <c r="AH509" i="6"/>
  <c r="AI509" i="6" s="1"/>
  <c r="AF510" i="6"/>
  <c r="AG510" i="6" s="1"/>
  <c r="AH510" i="6"/>
  <c r="AI510" i="6" s="1"/>
  <c r="AF511" i="6"/>
  <c r="AG511" i="6"/>
  <c r="AH511" i="6"/>
  <c r="AI511" i="6" s="1"/>
  <c r="AF512" i="6"/>
  <c r="AG512" i="6"/>
  <c r="AH512" i="6"/>
  <c r="AI512" i="6"/>
  <c r="AF513" i="6"/>
  <c r="AG513" i="6" s="1"/>
  <c r="AH513" i="6"/>
  <c r="AI513" i="6" s="1"/>
  <c r="AF514" i="6"/>
  <c r="AG514" i="6" s="1"/>
  <c r="AH514" i="6"/>
  <c r="AI514" i="6" s="1"/>
  <c r="AF515" i="6"/>
  <c r="AG515" i="6" s="1"/>
  <c r="AH515" i="6"/>
  <c r="AI515" i="6" s="1"/>
  <c r="AF516" i="6"/>
  <c r="AG516" i="6" s="1"/>
  <c r="AH516" i="6"/>
  <c r="AI516" i="6"/>
  <c r="AF517" i="6"/>
  <c r="AG517" i="6"/>
  <c r="AH517" i="6"/>
  <c r="AI517" i="6" s="1"/>
  <c r="AF518" i="6"/>
  <c r="AG518" i="6"/>
  <c r="AH518" i="6"/>
  <c r="AI518" i="6" s="1"/>
  <c r="AF519" i="6"/>
  <c r="AG519" i="6" s="1"/>
  <c r="AH519" i="6"/>
  <c r="AI519" i="6" s="1"/>
  <c r="AF520" i="6"/>
  <c r="AG520" i="6" s="1"/>
  <c r="AH520" i="6"/>
  <c r="AI520" i="6" s="1"/>
  <c r="AF521" i="6"/>
  <c r="AG521" i="6"/>
  <c r="AH521" i="6"/>
  <c r="AI521" i="6" s="1"/>
  <c r="AF522" i="6"/>
  <c r="AG522" i="6" s="1"/>
  <c r="AH522" i="6"/>
  <c r="AI522" i="6"/>
  <c r="AF523" i="6"/>
  <c r="AG523" i="6"/>
  <c r="AH523" i="6"/>
  <c r="AI523" i="6" s="1"/>
  <c r="AF524" i="6"/>
  <c r="AG524" i="6"/>
  <c r="AH524" i="6"/>
  <c r="AI524" i="6" s="1"/>
  <c r="AF525" i="6"/>
  <c r="AG525" i="6" s="1"/>
  <c r="AH525" i="6"/>
  <c r="AI525" i="6" s="1"/>
  <c r="AF526" i="6"/>
  <c r="AG526" i="6" s="1"/>
  <c r="AH526" i="6"/>
  <c r="AI526" i="6" s="1"/>
  <c r="AF527" i="6"/>
  <c r="AG527" i="6"/>
  <c r="AH527" i="6"/>
  <c r="AI527" i="6" s="1"/>
  <c r="AF528" i="6"/>
  <c r="AG528" i="6"/>
  <c r="AH528" i="6"/>
  <c r="AI528" i="6"/>
  <c r="AF529" i="6"/>
  <c r="AG529" i="6" s="1"/>
  <c r="AH529" i="6"/>
  <c r="AI529" i="6" s="1"/>
  <c r="AF530" i="6"/>
  <c r="AG530" i="6"/>
  <c r="AH530" i="6"/>
  <c r="AI530" i="6" s="1"/>
  <c r="AF531" i="6"/>
  <c r="AG531" i="6" s="1"/>
  <c r="AH531" i="6"/>
  <c r="AI531" i="6" s="1"/>
  <c r="AF532" i="6"/>
  <c r="AG532" i="6" s="1"/>
  <c r="AH532" i="6"/>
  <c r="AI532" i="6"/>
  <c r="AF533" i="6"/>
  <c r="AG533" i="6"/>
  <c r="AH533" i="6"/>
  <c r="AI533" i="6" s="1"/>
  <c r="AF534" i="6"/>
  <c r="AG534" i="6"/>
  <c r="AH534" i="6"/>
  <c r="AI534" i="6"/>
  <c r="AF535" i="6"/>
  <c r="AG535" i="6" s="1"/>
  <c r="AH535" i="6"/>
  <c r="AI535" i="6" s="1"/>
  <c r="AF536" i="6"/>
  <c r="AG536" i="6"/>
  <c r="AH536" i="6"/>
  <c r="AI536" i="6"/>
  <c r="AF537" i="6"/>
  <c r="AG537" i="6" s="1"/>
  <c r="AH537" i="6"/>
  <c r="AI537" i="6" s="1"/>
  <c r="AF538" i="6"/>
  <c r="AG538" i="6" s="1"/>
  <c r="AH538" i="6"/>
  <c r="AI538" i="6" s="1"/>
  <c r="AF539" i="6"/>
  <c r="AG539" i="6" s="1"/>
  <c r="AH539" i="6"/>
  <c r="AI539" i="6" s="1"/>
  <c r="AF540" i="6"/>
  <c r="AG540" i="6" s="1"/>
  <c r="AH540" i="6"/>
  <c r="AI540" i="6" s="1"/>
  <c r="AF541" i="6"/>
  <c r="AG541" i="6" s="1"/>
  <c r="AH541" i="6"/>
  <c r="AI541" i="6" s="1"/>
  <c r="AF542" i="6"/>
  <c r="AG542" i="6" s="1"/>
  <c r="AH542" i="6"/>
  <c r="AI542" i="6" s="1"/>
  <c r="AF543" i="6"/>
  <c r="AG543" i="6" s="1"/>
  <c r="AH543" i="6"/>
  <c r="AI543" i="6" s="1"/>
  <c r="AF544" i="6"/>
  <c r="AG544" i="6" s="1"/>
  <c r="AH544" i="6"/>
  <c r="AI544" i="6" s="1"/>
  <c r="AF545" i="6"/>
  <c r="AG545" i="6" s="1"/>
  <c r="AH545" i="6"/>
  <c r="AI545" i="6" s="1"/>
  <c r="AF546" i="6"/>
  <c r="AG546" i="6" s="1"/>
  <c r="AH546" i="6"/>
  <c r="AI546" i="6" s="1"/>
  <c r="AF547" i="6"/>
  <c r="AG547" i="6" s="1"/>
  <c r="AH547" i="6"/>
  <c r="AI547" i="6" s="1"/>
  <c r="AF548" i="6"/>
  <c r="AG548" i="6" s="1"/>
  <c r="AH548" i="6"/>
  <c r="AI548" i="6" s="1"/>
  <c r="AF549" i="6"/>
  <c r="AG549" i="6" s="1"/>
  <c r="AH549" i="6"/>
  <c r="AI549" i="6" s="1"/>
  <c r="AF550" i="6"/>
  <c r="AG550" i="6" s="1"/>
  <c r="AH550" i="6"/>
  <c r="AI550" i="6" s="1"/>
  <c r="AF551" i="6"/>
  <c r="AG551" i="6" s="1"/>
  <c r="AH551" i="6"/>
  <c r="AI551" i="6" s="1"/>
  <c r="AF552" i="6"/>
  <c r="AG552" i="6" s="1"/>
  <c r="AH552" i="6"/>
  <c r="AI552" i="6" s="1"/>
  <c r="AF553" i="6"/>
  <c r="AG553" i="6" s="1"/>
  <c r="AH553" i="6"/>
  <c r="AI553" i="6" s="1"/>
  <c r="AF554" i="6"/>
  <c r="AG554" i="6" s="1"/>
  <c r="AH554" i="6"/>
  <c r="AI554" i="6" s="1"/>
  <c r="AF555" i="6"/>
  <c r="AG555" i="6" s="1"/>
  <c r="AH555" i="6"/>
  <c r="AI555" i="6" s="1"/>
  <c r="AF556" i="6"/>
  <c r="AG556" i="6" s="1"/>
  <c r="AH556" i="6"/>
  <c r="AI556" i="6" s="1"/>
  <c r="AF557" i="6"/>
  <c r="AG557" i="6" s="1"/>
  <c r="AH557" i="6"/>
  <c r="AI557" i="6" s="1"/>
  <c r="AF558" i="6"/>
  <c r="AG558" i="6" s="1"/>
  <c r="AH558" i="6"/>
  <c r="AI558" i="6" s="1"/>
  <c r="AF559" i="6"/>
  <c r="AG559" i="6" s="1"/>
  <c r="AH559" i="6"/>
  <c r="AI559" i="6" s="1"/>
  <c r="AF560" i="6"/>
  <c r="AG560" i="6" s="1"/>
  <c r="AH560" i="6"/>
  <c r="AI560" i="6" s="1"/>
  <c r="AF561" i="6"/>
  <c r="AG561" i="6" s="1"/>
  <c r="AH561" i="6"/>
  <c r="AI561" i="6" s="1"/>
  <c r="AF562" i="6"/>
  <c r="AG562" i="6" s="1"/>
  <c r="AH562" i="6"/>
  <c r="AI562" i="6" s="1"/>
  <c r="AF563" i="6"/>
  <c r="AG563" i="6" s="1"/>
  <c r="AH563" i="6"/>
  <c r="AI563" i="6" s="1"/>
  <c r="AF564" i="6"/>
  <c r="AG564" i="6" s="1"/>
  <c r="AH564" i="6"/>
  <c r="AI564" i="6" s="1"/>
  <c r="AF565" i="6"/>
  <c r="AG565" i="6" s="1"/>
  <c r="AH565" i="6"/>
  <c r="AI565" i="6" s="1"/>
  <c r="AF566" i="6"/>
  <c r="AG566" i="6" s="1"/>
  <c r="AH566" i="6"/>
  <c r="AI566" i="6" s="1"/>
  <c r="AF567" i="6"/>
  <c r="AG567" i="6" s="1"/>
  <c r="AH567" i="6"/>
  <c r="AI567" i="6" s="1"/>
  <c r="AF568" i="6"/>
  <c r="AG568" i="6" s="1"/>
  <c r="AH568" i="6"/>
  <c r="AI568" i="6" s="1"/>
  <c r="AF569" i="6"/>
  <c r="AG569" i="6" s="1"/>
  <c r="AH569" i="6"/>
  <c r="AI569" i="6" s="1"/>
  <c r="AF570" i="6"/>
  <c r="AG570" i="6" s="1"/>
  <c r="AH570" i="6"/>
  <c r="AI570" i="6" s="1"/>
  <c r="AF571" i="6"/>
  <c r="AG571" i="6" s="1"/>
  <c r="AH571" i="6"/>
  <c r="AI571" i="6" s="1"/>
  <c r="AF572" i="6"/>
  <c r="AG572" i="6" s="1"/>
  <c r="AH572" i="6"/>
  <c r="AI572" i="6" s="1"/>
  <c r="AF573" i="6"/>
  <c r="AG573" i="6" s="1"/>
  <c r="AH573" i="6"/>
  <c r="AI573" i="6" s="1"/>
  <c r="AF574" i="6"/>
  <c r="AG574" i="6" s="1"/>
  <c r="AH574" i="6"/>
  <c r="AI574" i="6" s="1"/>
  <c r="AF575" i="6"/>
  <c r="AG575" i="6" s="1"/>
  <c r="AH575" i="6"/>
  <c r="AI575" i="6" s="1"/>
  <c r="AF576" i="6"/>
  <c r="AG576" i="6" s="1"/>
  <c r="AH576" i="6"/>
  <c r="AI576" i="6" s="1"/>
  <c r="AF577" i="6"/>
  <c r="AG577" i="6" s="1"/>
  <c r="AH577" i="6"/>
  <c r="AI577" i="6" s="1"/>
  <c r="AF578" i="6"/>
  <c r="AG578" i="6" s="1"/>
  <c r="AH578" i="6"/>
  <c r="AI578" i="6" s="1"/>
  <c r="AF579" i="6"/>
  <c r="AG579" i="6" s="1"/>
  <c r="AH579" i="6"/>
  <c r="AI579" i="6" s="1"/>
  <c r="AF580" i="6"/>
  <c r="AG580" i="6" s="1"/>
  <c r="AH580" i="6"/>
  <c r="AI580" i="6" s="1"/>
  <c r="AF581" i="6"/>
  <c r="AG581" i="6" s="1"/>
  <c r="AH581" i="6"/>
  <c r="AI581" i="6" s="1"/>
  <c r="AF582" i="6"/>
  <c r="AG582" i="6" s="1"/>
  <c r="AH582" i="6"/>
  <c r="AI582" i="6" s="1"/>
  <c r="AF583" i="6"/>
  <c r="AG583" i="6" s="1"/>
  <c r="AH583" i="6"/>
  <c r="AI583" i="6" s="1"/>
  <c r="AF584" i="6"/>
  <c r="AG584" i="6" s="1"/>
  <c r="AH584" i="6"/>
  <c r="AI584" i="6" s="1"/>
  <c r="AF585" i="6"/>
  <c r="AG585" i="6" s="1"/>
  <c r="AH585" i="6"/>
  <c r="AI585" i="6" s="1"/>
  <c r="AF586" i="6"/>
  <c r="AG586" i="6" s="1"/>
  <c r="AH586" i="6"/>
  <c r="AI586" i="6" s="1"/>
  <c r="AF587" i="6"/>
  <c r="AG587" i="6" s="1"/>
  <c r="AH587" i="6"/>
  <c r="AI587" i="6" s="1"/>
  <c r="AF588" i="6"/>
  <c r="AG588" i="6" s="1"/>
  <c r="AH588" i="6"/>
  <c r="AI588" i="6" s="1"/>
  <c r="AF589" i="6"/>
  <c r="AG589" i="6" s="1"/>
  <c r="AH589" i="6"/>
  <c r="AI589" i="6" s="1"/>
  <c r="AF590" i="6"/>
  <c r="AG590" i="6" s="1"/>
  <c r="AH590" i="6"/>
  <c r="AI590" i="6" s="1"/>
  <c r="AF591" i="6"/>
  <c r="AG591" i="6" s="1"/>
  <c r="AH591" i="6"/>
  <c r="AI591" i="6" s="1"/>
  <c r="AF592" i="6"/>
  <c r="AG592" i="6" s="1"/>
  <c r="AH592" i="6"/>
  <c r="AI592" i="6" s="1"/>
  <c r="AF593" i="6"/>
  <c r="AG593" i="6" s="1"/>
  <c r="AH593" i="6"/>
  <c r="AI593" i="6" s="1"/>
  <c r="AF594" i="6"/>
  <c r="AG594" i="6" s="1"/>
  <c r="AH594" i="6"/>
  <c r="AI594" i="6" s="1"/>
  <c r="AF595" i="6"/>
  <c r="AG595" i="6" s="1"/>
  <c r="AH595" i="6"/>
  <c r="AI595" i="6" s="1"/>
  <c r="AF596" i="6"/>
  <c r="AG596" i="6" s="1"/>
  <c r="AH596" i="6"/>
  <c r="AI596" i="6" s="1"/>
  <c r="AF597" i="6"/>
  <c r="AG597" i="6" s="1"/>
  <c r="AH597" i="6"/>
  <c r="AI597" i="6" s="1"/>
  <c r="AF598" i="6"/>
  <c r="AG598" i="6" s="1"/>
  <c r="AH598" i="6"/>
  <c r="AI598" i="6" s="1"/>
  <c r="AF599" i="6"/>
  <c r="AG599" i="6" s="1"/>
  <c r="AH599" i="6"/>
  <c r="AI599" i="6" s="1"/>
  <c r="AF600" i="6"/>
  <c r="AG600" i="6" s="1"/>
  <c r="AH600" i="6"/>
  <c r="AI600" i="6" s="1"/>
  <c r="AF601" i="6"/>
  <c r="AG601" i="6" s="1"/>
  <c r="AH601" i="6"/>
  <c r="AI601" i="6" s="1"/>
  <c r="AF602" i="6"/>
  <c r="AG602" i="6" s="1"/>
  <c r="AH602" i="6"/>
  <c r="AI602" i="6" s="1"/>
  <c r="AF603" i="6"/>
  <c r="AG603" i="6" s="1"/>
  <c r="AH603" i="6"/>
  <c r="AI603" i="6" s="1"/>
  <c r="AF604" i="6"/>
  <c r="AG604" i="6" s="1"/>
  <c r="AH604" i="6"/>
  <c r="AI604" i="6" s="1"/>
  <c r="AF605" i="6"/>
  <c r="AG605" i="6" s="1"/>
  <c r="AH605" i="6"/>
  <c r="AI605" i="6" s="1"/>
  <c r="AF606" i="6"/>
  <c r="AG606" i="6" s="1"/>
  <c r="AH606" i="6"/>
  <c r="AI606" i="6" s="1"/>
  <c r="AF607" i="6"/>
  <c r="AG607" i="6" s="1"/>
  <c r="AH607" i="6"/>
  <c r="AI607" i="6" s="1"/>
  <c r="AF608" i="6"/>
  <c r="AG608" i="6" s="1"/>
  <c r="AH608" i="6"/>
  <c r="AI608" i="6" s="1"/>
  <c r="AF609" i="6"/>
  <c r="AG609" i="6" s="1"/>
  <c r="AH609" i="6"/>
  <c r="AI609" i="6" s="1"/>
  <c r="AF610" i="6"/>
  <c r="AG610" i="6" s="1"/>
  <c r="AH610" i="6"/>
  <c r="AI610" i="6" s="1"/>
  <c r="AF611" i="6"/>
  <c r="AG611" i="6" s="1"/>
  <c r="AH611" i="6"/>
  <c r="AI611" i="6" s="1"/>
  <c r="AF612" i="6"/>
  <c r="AG612" i="6" s="1"/>
  <c r="AH612" i="6"/>
  <c r="AI612" i="6" s="1"/>
  <c r="AF613" i="6"/>
  <c r="AG613" i="6" s="1"/>
  <c r="AH613" i="6"/>
  <c r="AI613" i="6" s="1"/>
  <c r="AF614" i="6"/>
  <c r="AG614" i="6" s="1"/>
  <c r="AH614" i="6"/>
  <c r="AI614" i="6" s="1"/>
  <c r="AF615" i="6"/>
  <c r="AG615" i="6" s="1"/>
  <c r="AH615" i="6"/>
  <c r="AI615" i="6" s="1"/>
  <c r="AF616" i="6"/>
  <c r="AG616" i="6" s="1"/>
  <c r="AH616" i="6"/>
  <c r="AI616" i="6" s="1"/>
  <c r="AF617" i="6"/>
  <c r="AG617" i="6" s="1"/>
  <c r="AH617" i="6"/>
  <c r="AI617" i="6" s="1"/>
  <c r="AF618" i="6"/>
  <c r="AG618" i="6" s="1"/>
  <c r="AH618" i="6"/>
  <c r="AI618" i="6" s="1"/>
  <c r="AF619" i="6"/>
  <c r="AG619" i="6" s="1"/>
  <c r="AH619" i="6"/>
  <c r="AI619" i="6" s="1"/>
  <c r="AF620" i="6"/>
  <c r="AG620" i="6" s="1"/>
  <c r="AH620" i="6"/>
  <c r="AI620" i="6" s="1"/>
  <c r="AF621" i="6"/>
  <c r="AG621" i="6" s="1"/>
  <c r="AH621" i="6"/>
  <c r="AI621" i="6" s="1"/>
  <c r="AF622" i="6"/>
  <c r="AG622" i="6" s="1"/>
  <c r="AH622" i="6"/>
  <c r="AI622" i="6" s="1"/>
  <c r="AF623" i="6"/>
  <c r="AG623" i="6" s="1"/>
  <c r="AH623" i="6"/>
  <c r="AI623" i="6" s="1"/>
  <c r="AF624" i="6"/>
  <c r="AG624" i="6" s="1"/>
  <c r="AH624" i="6"/>
  <c r="AI624" i="6" s="1"/>
  <c r="AF625" i="6"/>
  <c r="AG625" i="6" s="1"/>
  <c r="AH625" i="6"/>
  <c r="AI625" i="6" s="1"/>
  <c r="AF626" i="6"/>
  <c r="AG626" i="6" s="1"/>
  <c r="AH626" i="6"/>
  <c r="AI626" i="6" s="1"/>
  <c r="AF627" i="6"/>
  <c r="AG627" i="6" s="1"/>
  <c r="AH627" i="6"/>
  <c r="AI627" i="6" s="1"/>
  <c r="AF628" i="6"/>
  <c r="AG628" i="6" s="1"/>
  <c r="AH628" i="6"/>
  <c r="AI628" i="6" s="1"/>
  <c r="AF629" i="6"/>
  <c r="AG629" i="6" s="1"/>
  <c r="AH629" i="6"/>
  <c r="AI629" i="6" s="1"/>
  <c r="AF630" i="6"/>
  <c r="AG630" i="6" s="1"/>
  <c r="AH630" i="6"/>
  <c r="AI630" i="6" s="1"/>
  <c r="AF631" i="6"/>
  <c r="AG631" i="6" s="1"/>
  <c r="AH631" i="6"/>
  <c r="AI631" i="6" s="1"/>
  <c r="AF632" i="6"/>
  <c r="AG632" i="6" s="1"/>
  <c r="AH632" i="6"/>
  <c r="AI632" i="6" s="1"/>
  <c r="AF633" i="6"/>
  <c r="AG633" i="6" s="1"/>
  <c r="AH633" i="6"/>
  <c r="AI633" i="6" s="1"/>
  <c r="AF634" i="6"/>
  <c r="AG634" i="6" s="1"/>
  <c r="AH634" i="6"/>
  <c r="AI634" i="6" s="1"/>
  <c r="AF635" i="6"/>
  <c r="AG635" i="6" s="1"/>
  <c r="AH635" i="6"/>
  <c r="AI635" i="6" s="1"/>
  <c r="AF636" i="6"/>
  <c r="AG636" i="6" s="1"/>
  <c r="AH636" i="6"/>
  <c r="AI636" i="6" s="1"/>
  <c r="AF637" i="6"/>
  <c r="AG637" i="6" s="1"/>
  <c r="AH637" i="6"/>
  <c r="AI637" i="6" s="1"/>
  <c r="AF638" i="6"/>
  <c r="AG638" i="6" s="1"/>
  <c r="AH638" i="6"/>
  <c r="AI638" i="6" s="1"/>
  <c r="AF639" i="6"/>
  <c r="AG639" i="6" s="1"/>
  <c r="AH639" i="6"/>
  <c r="AI639" i="6" s="1"/>
  <c r="AF640" i="6"/>
  <c r="AG640" i="6" s="1"/>
  <c r="AH640" i="6"/>
  <c r="AI640" i="6" s="1"/>
  <c r="AF641" i="6"/>
  <c r="AG641" i="6" s="1"/>
  <c r="AH641" i="6"/>
  <c r="AI641" i="6" s="1"/>
  <c r="AF642" i="6"/>
  <c r="AG642" i="6" s="1"/>
  <c r="AH642" i="6"/>
  <c r="AI642" i="6" s="1"/>
  <c r="AF643" i="6"/>
  <c r="AG643" i="6" s="1"/>
  <c r="AH643" i="6"/>
  <c r="AI643" i="6" s="1"/>
  <c r="AF644" i="6"/>
  <c r="AG644" i="6" s="1"/>
  <c r="AH644" i="6"/>
  <c r="AI644" i="6" s="1"/>
  <c r="V8" i="6"/>
  <c r="W8" i="6"/>
  <c r="V9" i="6"/>
  <c r="W9" i="6"/>
  <c r="V10" i="6"/>
  <c r="W10" i="6"/>
  <c r="V11" i="6"/>
  <c r="W11" i="6"/>
  <c r="V12" i="6"/>
  <c r="W12" i="6"/>
  <c r="V13" i="6"/>
  <c r="W13" i="6"/>
  <c r="V14" i="6"/>
  <c r="W14" i="6"/>
  <c r="V15" i="6"/>
  <c r="W15" i="6"/>
  <c r="V16" i="6"/>
  <c r="W16" i="6"/>
  <c r="V17" i="6"/>
  <c r="W17" i="6"/>
  <c r="V18" i="6"/>
  <c r="W18" i="6"/>
  <c r="V19" i="6"/>
  <c r="W19" i="6"/>
  <c r="V20" i="6"/>
  <c r="W20" i="6"/>
  <c r="V21" i="6"/>
  <c r="W21" i="6"/>
  <c r="V22" i="6"/>
  <c r="W22" i="6"/>
  <c r="V23" i="6"/>
  <c r="W23" i="6"/>
  <c r="V24" i="6"/>
  <c r="W24" i="6"/>
  <c r="V25" i="6"/>
  <c r="W25" i="6"/>
  <c r="V26" i="6"/>
  <c r="W26" i="6"/>
  <c r="V27" i="6"/>
  <c r="W27" i="6"/>
  <c r="V28" i="6"/>
  <c r="W28" i="6"/>
  <c r="V29" i="6"/>
  <c r="W29" i="6"/>
  <c r="V30" i="6"/>
  <c r="W30" i="6"/>
  <c r="V31" i="6"/>
  <c r="W31" i="6"/>
  <c r="V32" i="6"/>
  <c r="W32" i="6"/>
  <c r="V33" i="6"/>
  <c r="W33" i="6"/>
  <c r="V34" i="6"/>
  <c r="W34" i="6"/>
  <c r="V35" i="6"/>
  <c r="W35" i="6"/>
  <c r="V36" i="6"/>
  <c r="W36" i="6"/>
  <c r="V37" i="6"/>
  <c r="W37" i="6"/>
  <c r="V38" i="6"/>
  <c r="W38" i="6"/>
  <c r="V39" i="6"/>
  <c r="W39" i="6"/>
  <c r="V40" i="6"/>
  <c r="W40" i="6"/>
  <c r="V41" i="6"/>
  <c r="W41" i="6"/>
  <c r="V42" i="6"/>
  <c r="W42" i="6"/>
  <c r="V43" i="6"/>
  <c r="W43" i="6"/>
  <c r="V44" i="6"/>
  <c r="W44" i="6"/>
  <c r="V45" i="6"/>
  <c r="W45" i="6"/>
  <c r="V46" i="6"/>
  <c r="W46" i="6"/>
  <c r="V47" i="6"/>
  <c r="W47" i="6"/>
  <c r="V48" i="6"/>
  <c r="W48" i="6"/>
  <c r="V49" i="6"/>
  <c r="W49" i="6"/>
  <c r="V50" i="6"/>
  <c r="W50" i="6"/>
  <c r="V51" i="6"/>
  <c r="W51" i="6"/>
  <c r="V52" i="6"/>
  <c r="W52" i="6"/>
  <c r="V53" i="6"/>
  <c r="W53" i="6"/>
  <c r="V54" i="6"/>
  <c r="W54" i="6"/>
  <c r="V55" i="6"/>
  <c r="W55" i="6"/>
  <c r="V56" i="6"/>
  <c r="W56" i="6"/>
  <c r="V57" i="6"/>
  <c r="W57" i="6"/>
  <c r="V58" i="6"/>
  <c r="W58" i="6"/>
  <c r="V59" i="6"/>
  <c r="W59" i="6"/>
  <c r="V60" i="6"/>
  <c r="W60" i="6"/>
  <c r="V61" i="6"/>
  <c r="W61" i="6"/>
  <c r="V62" i="6"/>
  <c r="W62" i="6"/>
  <c r="V63" i="6"/>
  <c r="W63" i="6"/>
  <c r="V64" i="6"/>
  <c r="W64" i="6"/>
  <c r="V65" i="6"/>
  <c r="W65" i="6"/>
  <c r="V66" i="6"/>
  <c r="W66" i="6"/>
  <c r="V67" i="6"/>
  <c r="W67" i="6"/>
  <c r="V68" i="6"/>
  <c r="W68" i="6"/>
  <c r="V69" i="6"/>
  <c r="W69" i="6"/>
  <c r="V70" i="6"/>
  <c r="W70" i="6"/>
  <c r="V71" i="6"/>
  <c r="W71" i="6"/>
  <c r="V72" i="6"/>
  <c r="W72" i="6"/>
  <c r="V73" i="6"/>
  <c r="W73" i="6"/>
  <c r="V74" i="6"/>
  <c r="W74" i="6"/>
  <c r="V75" i="6"/>
  <c r="W75" i="6"/>
  <c r="V76" i="6"/>
  <c r="W76" i="6"/>
  <c r="V77" i="6"/>
  <c r="W77" i="6"/>
  <c r="V78" i="6"/>
  <c r="W78" i="6"/>
  <c r="V79" i="6"/>
  <c r="W79" i="6"/>
  <c r="V80" i="6"/>
  <c r="W80" i="6"/>
  <c r="V81" i="6"/>
  <c r="W81" i="6"/>
  <c r="V82" i="6"/>
  <c r="W82" i="6"/>
  <c r="V83" i="6"/>
  <c r="W83" i="6"/>
  <c r="V84" i="6"/>
  <c r="W84" i="6"/>
  <c r="V85" i="6"/>
  <c r="W85" i="6"/>
  <c r="V86" i="6"/>
  <c r="W86" i="6"/>
  <c r="V87" i="6"/>
  <c r="W87" i="6"/>
  <c r="V88" i="6"/>
  <c r="W88" i="6"/>
  <c r="V89" i="6"/>
  <c r="W89" i="6"/>
  <c r="V90" i="6"/>
  <c r="W90" i="6"/>
  <c r="V91" i="6"/>
  <c r="W91" i="6"/>
  <c r="V92" i="6"/>
  <c r="W92" i="6"/>
  <c r="V93" i="6"/>
  <c r="W93" i="6"/>
  <c r="V94" i="6"/>
  <c r="W94" i="6"/>
  <c r="V95" i="6"/>
  <c r="W95" i="6"/>
  <c r="V96" i="6"/>
  <c r="W96" i="6"/>
  <c r="V97" i="6"/>
  <c r="W97" i="6"/>
  <c r="V98" i="6"/>
  <c r="W98" i="6"/>
  <c r="V99" i="6"/>
  <c r="W99" i="6"/>
  <c r="V100" i="6"/>
  <c r="W100" i="6"/>
  <c r="V101" i="6"/>
  <c r="W101" i="6"/>
  <c r="V102" i="6"/>
  <c r="W102" i="6"/>
  <c r="V103" i="6"/>
  <c r="W103" i="6"/>
  <c r="V104" i="6"/>
  <c r="W104" i="6"/>
  <c r="V105" i="6"/>
  <c r="W105" i="6"/>
  <c r="V106" i="6"/>
  <c r="W106" i="6"/>
  <c r="V107" i="6"/>
  <c r="W107" i="6"/>
  <c r="V108" i="6"/>
  <c r="W108" i="6"/>
  <c r="V109" i="6"/>
  <c r="W109" i="6"/>
  <c r="V110" i="6"/>
  <c r="W110" i="6"/>
  <c r="V111" i="6"/>
  <c r="W111" i="6"/>
  <c r="V112" i="6"/>
  <c r="W112" i="6"/>
  <c r="V113" i="6"/>
  <c r="W113" i="6"/>
  <c r="V114" i="6"/>
  <c r="W114" i="6"/>
  <c r="V115" i="6"/>
  <c r="W115" i="6"/>
  <c r="V116" i="6"/>
  <c r="W116" i="6"/>
  <c r="V117" i="6"/>
  <c r="W117" i="6"/>
  <c r="V118" i="6"/>
  <c r="W118" i="6"/>
  <c r="V119" i="6"/>
  <c r="W119" i="6"/>
  <c r="V120" i="6"/>
  <c r="W120" i="6"/>
  <c r="V121" i="6"/>
  <c r="W121" i="6"/>
  <c r="V122" i="6"/>
  <c r="W122" i="6"/>
  <c r="V123" i="6"/>
  <c r="W123" i="6"/>
  <c r="V124" i="6"/>
  <c r="W124" i="6"/>
  <c r="V125" i="6"/>
  <c r="W125" i="6"/>
  <c r="V126" i="6"/>
  <c r="W126" i="6"/>
  <c r="V127" i="6"/>
  <c r="W127" i="6"/>
  <c r="V128" i="6"/>
  <c r="W128" i="6"/>
  <c r="V129" i="6"/>
  <c r="W129" i="6"/>
  <c r="V130" i="6"/>
  <c r="W130" i="6"/>
  <c r="V131" i="6"/>
  <c r="W131" i="6"/>
  <c r="V132" i="6"/>
  <c r="W132" i="6"/>
  <c r="V133" i="6"/>
  <c r="W133" i="6"/>
  <c r="V134" i="6"/>
  <c r="W134" i="6"/>
  <c r="V135" i="6"/>
  <c r="W135" i="6"/>
  <c r="V136" i="6"/>
  <c r="W136" i="6"/>
  <c r="V137" i="6"/>
  <c r="W137" i="6"/>
  <c r="V138" i="6"/>
  <c r="W138" i="6"/>
  <c r="V139" i="6"/>
  <c r="W139" i="6"/>
  <c r="V140" i="6"/>
  <c r="W140" i="6"/>
  <c r="V141" i="6"/>
  <c r="W141" i="6"/>
  <c r="V142" i="6"/>
  <c r="W142" i="6"/>
  <c r="V143" i="6"/>
  <c r="W143" i="6"/>
  <c r="V144" i="6"/>
  <c r="W144" i="6"/>
  <c r="V145" i="6"/>
  <c r="W145" i="6"/>
  <c r="V146" i="6"/>
  <c r="W146" i="6"/>
  <c r="V147" i="6"/>
  <c r="W147" i="6"/>
  <c r="V148" i="6"/>
  <c r="W148" i="6"/>
  <c r="V149" i="6"/>
  <c r="W149" i="6"/>
  <c r="V150" i="6"/>
  <c r="W150" i="6"/>
  <c r="V151" i="6"/>
  <c r="W151" i="6"/>
  <c r="V152" i="6"/>
  <c r="W152" i="6"/>
  <c r="V153" i="6"/>
  <c r="W153" i="6"/>
  <c r="V154" i="6"/>
  <c r="W154" i="6"/>
  <c r="V155" i="6"/>
  <c r="W155" i="6"/>
  <c r="V156" i="6"/>
  <c r="W156" i="6"/>
  <c r="V157" i="6"/>
  <c r="W157" i="6"/>
  <c r="V158" i="6"/>
  <c r="W158" i="6"/>
  <c r="V159" i="6"/>
  <c r="W159" i="6"/>
  <c r="V160" i="6"/>
  <c r="W160" i="6"/>
  <c r="V161" i="6"/>
  <c r="W161" i="6"/>
  <c r="V162" i="6"/>
  <c r="W162" i="6"/>
  <c r="V163" i="6"/>
  <c r="W163" i="6"/>
  <c r="V164" i="6"/>
  <c r="W164" i="6"/>
  <c r="V165" i="6"/>
  <c r="W165" i="6"/>
  <c r="V166" i="6"/>
  <c r="W166" i="6"/>
  <c r="V167" i="6"/>
  <c r="W167" i="6"/>
  <c r="V168" i="6"/>
  <c r="W168" i="6"/>
  <c r="V169" i="6"/>
  <c r="W169" i="6"/>
  <c r="V170" i="6"/>
  <c r="W170" i="6"/>
  <c r="V171" i="6"/>
  <c r="W171" i="6"/>
  <c r="V172" i="6"/>
  <c r="W172" i="6"/>
  <c r="V173" i="6"/>
  <c r="W173" i="6"/>
  <c r="V174" i="6"/>
  <c r="W174" i="6"/>
  <c r="V175" i="6"/>
  <c r="W175" i="6"/>
  <c r="V176" i="6"/>
  <c r="W176" i="6"/>
  <c r="V177" i="6"/>
  <c r="W177" i="6"/>
  <c r="V178" i="6"/>
  <c r="W178" i="6"/>
  <c r="V179" i="6"/>
  <c r="W179" i="6"/>
  <c r="V180" i="6"/>
  <c r="W180" i="6"/>
  <c r="V181" i="6"/>
  <c r="W181" i="6"/>
  <c r="V182" i="6"/>
  <c r="W182" i="6"/>
  <c r="V183" i="6"/>
  <c r="W183" i="6"/>
  <c r="V184" i="6"/>
  <c r="W184" i="6"/>
  <c r="V185" i="6"/>
  <c r="W185" i="6"/>
  <c r="V186" i="6"/>
  <c r="W186" i="6"/>
  <c r="V187" i="6"/>
  <c r="W187" i="6"/>
  <c r="V188" i="6"/>
  <c r="W188" i="6"/>
  <c r="V189" i="6"/>
  <c r="W189" i="6"/>
  <c r="V190" i="6"/>
  <c r="W190" i="6"/>
  <c r="V191" i="6"/>
  <c r="W191" i="6"/>
  <c r="V192" i="6"/>
  <c r="W192" i="6"/>
  <c r="V193" i="6"/>
  <c r="W193" i="6"/>
  <c r="V194" i="6"/>
  <c r="W194" i="6"/>
  <c r="V195" i="6"/>
  <c r="W195" i="6"/>
  <c r="V196" i="6"/>
  <c r="W196" i="6"/>
  <c r="V197" i="6"/>
  <c r="W197" i="6"/>
  <c r="V198" i="6"/>
  <c r="W198" i="6"/>
  <c r="V199" i="6"/>
  <c r="W199" i="6"/>
  <c r="V200" i="6"/>
  <c r="W200" i="6"/>
  <c r="V201" i="6"/>
  <c r="W201" i="6"/>
  <c r="V202" i="6"/>
  <c r="W202" i="6"/>
  <c r="V203" i="6"/>
  <c r="W203" i="6"/>
  <c r="V204" i="6"/>
  <c r="W204" i="6"/>
  <c r="V205" i="6"/>
  <c r="W205" i="6"/>
  <c r="V206" i="6"/>
  <c r="W206" i="6"/>
  <c r="V207" i="6"/>
  <c r="W207" i="6"/>
  <c r="V208" i="6"/>
  <c r="W208" i="6"/>
  <c r="V209" i="6"/>
  <c r="W209" i="6"/>
  <c r="V210" i="6"/>
  <c r="W210" i="6"/>
  <c r="V211" i="6"/>
  <c r="W211" i="6"/>
  <c r="V212" i="6"/>
  <c r="W212" i="6"/>
  <c r="V213" i="6"/>
  <c r="W213" i="6"/>
  <c r="V214" i="6"/>
  <c r="W214" i="6"/>
  <c r="V215" i="6"/>
  <c r="W215" i="6"/>
  <c r="V216" i="6"/>
  <c r="W216" i="6"/>
  <c r="V217" i="6"/>
  <c r="W217" i="6"/>
  <c r="V218" i="6"/>
  <c r="W218" i="6"/>
  <c r="V219" i="6"/>
  <c r="W219" i="6"/>
  <c r="V220" i="6"/>
  <c r="W220" i="6"/>
  <c r="V221" i="6"/>
  <c r="W221" i="6"/>
  <c r="V222" i="6"/>
  <c r="W222" i="6"/>
  <c r="V223" i="6"/>
  <c r="W223" i="6"/>
  <c r="V224" i="6"/>
  <c r="W224" i="6"/>
  <c r="V225" i="6"/>
  <c r="W225" i="6"/>
  <c r="V226" i="6"/>
  <c r="W226" i="6"/>
  <c r="V227" i="6"/>
  <c r="W227" i="6"/>
  <c r="V228" i="6"/>
  <c r="W228" i="6"/>
  <c r="V229" i="6"/>
  <c r="W229" i="6"/>
  <c r="V230" i="6"/>
  <c r="W230" i="6"/>
  <c r="V231" i="6"/>
  <c r="W231" i="6"/>
  <c r="V232" i="6"/>
  <c r="W232" i="6"/>
  <c r="V233" i="6"/>
  <c r="W233" i="6"/>
  <c r="V234" i="6"/>
  <c r="W234" i="6"/>
  <c r="V235" i="6"/>
  <c r="W235" i="6"/>
  <c r="V236" i="6"/>
  <c r="W236" i="6"/>
  <c r="V237" i="6"/>
  <c r="W237" i="6"/>
  <c r="V238" i="6"/>
  <c r="W238" i="6"/>
  <c r="V239" i="6"/>
  <c r="W239" i="6"/>
  <c r="V240" i="6"/>
  <c r="W240" i="6"/>
  <c r="V241" i="6"/>
  <c r="W241" i="6"/>
  <c r="V242" i="6"/>
  <c r="W242" i="6"/>
  <c r="V243" i="6"/>
  <c r="W243" i="6"/>
  <c r="V244" i="6"/>
  <c r="W244" i="6"/>
  <c r="V245" i="6"/>
  <c r="W245" i="6"/>
  <c r="V246" i="6"/>
  <c r="W246" i="6"/>
  <c r="V247" i="6"/>
  <c r="W247" i="6"/>
  <c r="V248" i="6"/>
  <c r="W248" i="6"/>
  <c r="V249" i="6"/>
  <c r="W249" i="6"/>
  <c r="V250" i="6"/>
  <c r="W250" i="6"/>
  <c r="V251" i="6"/>
  <c r="W251" i="6"/>
  <c r="V252" i="6"/>
  <c r="W252" i="6"/>
  <c r="V253" i="6"/>
  <c r="W253" i="6"/>
  <c r="V254" i="6"/>
  <c r="W254" i="6"/>
  <c r="V255" i="6"/>
  <c r="W255" i="6"/>
  <c r="V256" i="6"/>
  <c r="W256" i="6"/>
  <c r="V257" i="6"/>
  <c r="W257" i="6"/>
  <c r="V258" i="6"/>
  <c r="W258" i="6"/>
  <c r="V259" i="6"/>
  <c r="W259" i="6"/>
  <c r="V260" i="6"/>
  <c r="W260" i="6"/>
  <c r="V261" i="6"/>
  <c r="W261" i="6"/>
  <c r="V262" i="6"/>
  <c r="W262" i="6"/>
  <c r="V263" i="6"/>
  <c r="W263" i="6"/>
  <c r="V264" i="6"/>
  <c r="W264" i="6"/>
  <c r="V265" i="6"/>
  <c r="W265" i="6"/>
  <c r="V266" i="6"/>
  <c r="W266" i="6"/>
  <c r="V267" i="6"/>
  <c r="W267" i="6"/>
  <c r="V268" i="6"/>
  <c r="W268" i="6"/>
  <c r="V269" i="6"/>
  <c r="W269" i="6"/>
  <c r="V270" i="6"/>
  <c r="W270" i="6"/>
  <c r="V271" i="6"/>
  <c r="W271" i="6"/>
  <c r="V272" i="6"/>
  <c r="W272" i="6"/>
  <c r="V273" i="6"/>
  <c r="W273" i="6"/>
  <c r="V274" i="6"/>
  <c r="W274" i="6"/>
  <c r="V275" i="6"/>
  <c r="W275" i="6"/>
  <c r="V276" i="6"/>
  <c r="W276" i="6"/>
  <c r="V277" i="6"/>
  <c r="W277" i="6"/>
  <c r="V278" i="6"/>
  <c r="W278" i="6"/>
  <c r="V279" i="6"/>
  <c r="W279" i="6"/>
  <c r="V280" i="6"/>
  <c r="W280" i="6"/>
  <c r="V281" i="6"/>
  <c r="W281" i="6"/>
  <c r="V282" i="6"/>
  <c r="W282" i="6"/>
  <c r="V283" i="6"/>
  <c r="W283" i="6"/>
  <c r="V284" i="6"/>
  <c r="W284" i="6"/>
  <c r="V285" i="6"/>
  <c r="W285" i="6"/>
  <c r="V286" i="6"/>
  <c r="W286" i="6"/>
  <c r="V287" i="6"/>
  <c r="W287" i="6"/>
  <c r="V288" i="6"/>
  <c r="W288" i="6"/>
  <c r="V289" i="6"/>
  <c r="W289" i="6"/>
  <c r="V290" i="6"/>
  <c r="W290" i="6"/>
  <c r="V291" i="6"/>
  <c r="W291" i="6"/>
  <c r="V292" i="6"/>
  <c r="W292" i="6"/>
  <c r="V293" i="6"/>
  <c r="W293" i="6"/>
  <c r="V294" i="6"/>
  <c r="W294" i="6"/>
  <c r="V295" i="6"/>
  <c r="W295" i="6"/>
  <c r="V296" i="6"/>
  <c r="W296" i="6"/>
  <c r="V297" i="6"/>
  <c r="W297" i="6"/>
  <c r="V298" i="6"/>
  <c r="W298" i="6"/>
  <c r="V299" i="6"/>
  <c r="W299" i="6"/>
  <c r="V300" i="6"/>
  <c r="W300" i="6"/>
  <c r="V301" i="6"/>
  <c r="W301" i="6"/>
  <c r="V302" i="6"/>
  <c r="W302" i="6"/>
  <c r="V303" i="6"/>
  <c r="W303" i="6"/>
  <c r="V304" i="6"/>
  <c r="W304" i="6"/>
  <c r="V305" i="6"/>
  <c r="W305" i="6"/>
  <c r="V306" i="6"/>
  <c r="W306" i="6"/>
  <c r="V307" i="6"/>
  <c r="W307" i="6"/>
  <c r="V308" i="6"/>
  <c r="W308" i="6"/>
  <c r="V309" i="6"/>
  <c r="W309" i="6"/>
  <c r="V310" i="6"/>
  <c r="W310" i="6"/>
  <c r="V311" i="6"/>
  <c r="W311" i="6"/>
  <c r="V312" i="6"/>
  <c r="W312" i="6"/>
  <c r="V313" i="6"/>
  <c r="W313" i="6"/>
  <c r="V314" i="6"/>
  <c r="W314" i="6"/>
  <c r="V315" i="6"/>
  <c r="W315" i="6"/>
  <c r="V316" i="6"/>
  <c r="W316" i="6"/>
  <c r="V317" i="6"/>
  <c r="W317" i="6"/>
  <c r="V318" i="6"/>
  <c r="W318" i="6"/>
  <c r="V319" i="6"/>
  <c r="W319" i="6"/>
  <c r="V320" i="6"/>
  <c r="W320" i="6"/>
  <c r="V321" i="6"/>
  <c r="W321" i="6"/>
  <c r="V322" i="6"/>
  <c r="W322" i="6"/>
  <c r="V323" i="6"/>
  <c r="W323" i="6"/>
  <c r="V324" i="6"/>
  <c r="W324" i="6"/>
  <c r="V325" i="6"/>
  <c r="W325" i="6"/>
  <c r="V326" i="6"/>
  <c r="W326" i="6"/>
  <c r="V327" i="6"/>
  <c r="W327" i="6"/>
  <c r="V328" i="6"/>
  <c r="W328" i="6"/>
  <c r="V329" i="6"/>
  <c r="W329" i="6"/>
  <c r="V330" i="6"/>
  <c r="W330" i="6"/>
  <c r="V331" i="6"/>
  <c r="W331" i="6"/>
  <c r="V332" i="6"/>
  <c r="W332" i="6"/>
  <c r="V333" i="6"/>
  <c r="W333" i="6"/>
  <c r="V334" i="6"/>
  <c r="W334" i="6"/>
  <c r="V335" i="6"/>
  <c r="W335" i="6"/>
  <c r="V336" i="6"/>
  <c r="W336" i="6"/>
  <c r="V337" i="6"/>
  <c r="W337" i="6"/>
  <c r="V338" i="6"/>
  <c r="W338" i="6"/>
  <c r="V339" i="6"/>
  <c r="W339" i="6"/>
  <c r="V340" i="6"/>
  <c r="W340" i="6"/>
  <c r="V341" i="6"/>
  <c r="W341" i="6"/>
  <c r="V342" i="6"/>
  <c r="W342" i="6"/>
  <c r="V343" i="6"/>
  <c r="W343" i="6"/>
  <c r="V344" i="6"/>
  <c r="W344" i="6"/>
  <c r="V345" i="6"/>
  <c r="W345" i="6"/>
  <c r="V346" i="6"/>
  <c r="W346" i="6"/>
  <c r="V347" i="6"/>
  <c r="W347" i="6"/>
  <c r="V348" i="6"/>
  <c r="W348" i="6"/>
  <c r="V349" i="6"/>
  <c r="W349" i="6"/>
  <c r="V350" i="6"/>
  <c r="W350" i="6"/>
  <c r="V351" i="6"/>
  <c r="W351" i="6"/>
  <c r="V352" i="6"/>
  <c r="W352" i="6"/>
  <c r="V353" i="6"/>
  <c r="W353" i="6"/>
  <c r="V354" i="6"/>
  <c r="W354" i="6"/>
  <c r="V355" i="6"/>
  <c r="W355" i="6"/>
  <c r="V356" i="6"/>
  <c r="W356" i="6"/>
  <c r="V357" i="6"/>
  <c r="W357" i="6"/>
  <c r="V358" i="6"/>
  <c r="W358" i="6"/>
  <c r="V359" i="6"/>
  <c r="W359" i="6"/>
  <c r="V360" i="6"/>
  <c r="W360" i="6"/>
  <c r="V361" i="6"/>
  <c r="W361" i="6"/>
  <c r="V362" i="6"/>
  <c r="W362" i="6"/>
  <c r="V363" i="6"/>
  <c r="W363" i="6"/>
  <c r="V364" i="6"/>
  <c r="W364" i="6"/>
  <c r="V365" i="6"/>
  <c r="W365" i="6"/>
  <c r="V366" i="6"/>
  <c r="W366" i="6"/>
  <c r="V367" i="6"/>
  <c r="W367" i="6"/>
  <c r="V368" i="6"/>
  <c r="W368" i="6"/>
  <c r="V369" i="6"/>
  <c r="W369" i="6"/>
  <c r="V370" i="6"/>
  <c r="W370" i="6"/>
  <c r="V371" i="6"/>
  <c r="W371" i="6"/>
  <c r="V372" i="6"/>
  <c r="W372" i="6"/>
  <c r="V373" i="6"/>
  <c r="W373" i="6"/>
  <c r="V374" i="6"/>
  <c r="W374" i="6"/>
  <c r="V375" i="6"/>
  <c r="W375" i="6"/>
  <c r="V376" i="6"/>
  <c r="W376" i="6"/>
  <c r="V377" i="6"/>
  <c r="W377" i="6"/>
  <c r="V378" i="6"/>
  <c r="W378" i="6"/>
  <c r="V379" i="6"/>
  <c r="W379" i="6"/>
  <c r="V380" i="6"/>
  <c r="W380" i="6"/>
  <c r="V381" i="6"/>
  <c r="W381" i="6"/>
  <c r="V382" i="6"/>
  <c r="W382" i="6"/>
  <c r="V383" i="6"/>
  <c r="W383" i="6"/>
  <c r="V384" i="6"/>
  <c r="W384" i="6"/>
  <c r="V385" i="6"/>
  <c r="W385" i="6"/>
  <c r="V386" i="6"/>
  <c r="W386" i="6"/>
  <c r="V387" i="6"/>
  <c r="W387" i="6"/>
  <c r="V388" i="6"/>
  <c r="W388" i="6"/>
  <c r="V389" i="6"/>
  <c r="W389" i="6"/>
  <c r="V390" i="6"/>
  <c r="W390" i="6"/>
  <c r="V391" i="6"/>
  <c r="W391" i="6"/>
  <c r="V392" i="6"/>
  <c r="W392" i="6"/>
  <c r="V393" i="6"/>
  <c r="W393" i="6"/>
  <c r="V394" i="6"/>
  <c r="W394" i="6"/>
  <c r="V395" i="6"/>
  <c r="W395" i="6"/>
  <c r="V396" i="6"/>
  <c r="W396" i="6"/>
  <c r="V397" i="6"/>
  <c r="W397" i="6"/>
  <c r="V398" i="6"/>
  <c r="W398" i="6"/>
  <c r="V399" i="6"/>
  <c r="W399" i="6"/>
  <c r="V400" i="6"/>
  <c r="W400" i="6"/>
  <c r="V401" i="6"/>
  <c r="W401" i="6"/>
  <c r="V402" i="6"/>
  <c r="W402" i="6"/>
  <c r="V403" i="6"/>
  <c r="W403" i="6"/>
  <c r="V404" i="6"/>
  <c r="W404" i="6"/>
  <c r="V405" i="6"/>
  <c r="W405" i="6"/>
  <c r="V406" i="6"/>
  <c r="W406" i="6"/>
  <c r="V407" i="6"/>
  <c r="W407" i="6"/>
  <c r="V408" i="6"/>
  <c r="W408" i="6"/>
  <c r="V409" i="6"/>
  <c r="W409" i="6"/>
  <c r="V410" i="6"/>
  <c r="W410" i="6"/>
  <c r="V411" i="6"/>
  <c r="W411" i="6"/>
  <c r="V412" i="6"/>
  <c r="W412" i="6"/>
  <c r="V413" i="6"/>
  <c r="W413" i="6"/>
  <c r="V414" i="6"/>
  <c r="W414" i="6"/>
  <c r="V415" i="6"/>
  <c r="W415" i="6"/>
  <c r="V416" i="6"/>
  <c r="W416" i="6"/>
  <c r="V417" i="6"/>
  <c r="W417" i="6"/>
  <c r="V418" i="6"/>
  <c r="W418" i="6"/>
  <c r="V419" i="6"/>
  <c r="W419" i="6"/>
  <c r="V420" i="6"/>
  <c r="W420" i="6"/>
  <c r="V421" i="6"/>
  <c r="W421" i="6"/>
  <c r="V422" i="6"/>
  <c r="W422" i="6"/>
  <c r="V423" i="6"/>
  <c r="W423" i="6"/>
  <c r="V424" i="6"/>
  <c r="W424" i="6"/>
  <c r="V425" i="6"/>
  <c r="W425" i="6"/>
  <c r="V426" i="6"/>
  <c r="W426" i="6"/>
  <c r="V427" i="6"/>
  <c r="W427" i="6"/>
  <c r="V428" i="6"/>
  <c r="W428" i="6"/>
  <c r="V429" i="6"/>
  <c r="W429" i="6"/>
  <c r="V430" i="6"/>
  <c r="W430" i="6"/>
  <c r="V431" i="6"/>
  <c r="W431" i="6"/>
  <c r="V432" i="6"/>
  <c r="W432" i="6"/>
  <c r="V433" i="6"/>
  <c r="W433" i="6"/>
  <c r="V434" i="6"/>
  <c r="W434" i="6"/>
  <c r="V435" i="6"/>
  <c r="W435" i="6"/>
  <c r="V436" i="6"/>
  <c r="W436" i="6"/>
  <c r="V437" i="6"/>
  <c r="W437" i="6"/>
  <c r="V438" i="6"/>
  <c r="W438" i="6"/>
  <c r="V439" i="6"/>
  <c r="W439" i="6"/>
  <c r="V440" i="6"/>
  <c r="W440" i="6"/>
  <c r="V441" i="6"/>
  <c r="W441" i="6"/>
  <c r="V442" i="6"/>
  <c r="W442" i="6"/>
  <c r="V443" i="6"/>
  <c r="W443" i="6"/>
  <c r="V444" i="6"/>
  <c r="W444" i="6"/>
  <c r="V445" i="6"/>
  <c r="W445" i="6"/>
  <c r="V446" i="6"/>
  <c r="W446" i="6"/>
  <c r="V447" i="6"/>
  <c r="W447" i="6"/>
  <c r="V448" i="6"/>
  <c r="W448" i="6"/>
  <c r="V449" i="6"/>
  <c r="W449" i="6"/>
  <c r="V450" i="6"/>
  <c r="W450" i="6"/>
  <c r="V451" i="6"/>
  <c r="W451" i="6"/>
  <c r="V452" i="6"/>
  <c r="W452" i="6"/>
  <c r="V453" i="6"/>
  <c r="W453" i="6"/>
  <c r="V454" i="6"/>
  <c r="W454" i="6"/>
  <c r="V455" i="6"/>
  <c r="W455" i="6"/>
  <c r="V456" i="6"/>
  <c r="W456" i="6"/>
  <c r="V457" i="6"/>
  <c r="W457" i="6"/>
  <c r="V458" i="6"/>
  <c r="W458" i="6"/>
  <c r="V459" i="6"/>
  <c r="W459" i="6"/>
  <c r="V460" i="6"/>
  <c r="W460" i="6"/>
  <c r="V461" i="6"/>
  <c r="W461" i="6"/>
  <c r="V462" i="6"/>
  <c r="W462" i="6"/>
  <c r="V463" i="6"/>
  <c r="W463" i="6"/>
  <c r="V464" i="6"/>
  <c r="W464" i="6"/>
  <c r="V465" i="6"/>
  <c r="W465" i="6"/>
  <c r="V466" i="6"/>
  <c r="W466" i="6"/>
  <c r="V467" i="6"/>
  <c r="W467" i="6"/>
  <c r="V468" i="6"/>
  <c r="W468" i="6"/>
  <c r="V469" i="6"/>
  <c r="W469" i="6"/>
  <c r="V470" i="6"/>
  <c r="W470" i="6"/>
  <c r="V471" i="6"/>
  <c r="W471" i="6"/>
  <c r="V472" i="6"/>
  <c r="W472" i="6"/>
  <c r="V473" i="6"/>
  <c r="W473" i="6"/>
  <c r="V474" i="6"/>
  <c r="W474" i="6"/>
  <c r="V475" i="6"/>
  <c r="W475" i="6"/>
  <c r="V476" i="6"/>
  <c r="W476" i="6"/>
  <c r="V477" i="6"/>
  <c r="W477" i="6"/>
  <c r="V478" i="6"/>
  <c r="W478" i="6"/>
  <c r="V479" i="6"/>
  <c r="W479" i="6"/>
  <c r="V480" i="6"/>
  <c r="W480" i="6"/>
  <c r="V481" i="6"/>
  <c r="W481" i="6"/>
  <c r="V482" i="6"/>
  <c r="W482" i="6"/>
  <c r="V483" i="6"/>
  <c r="W483" i="6"/>
  <c r="V484" i="6"/>
  <c r="W484" i="6"/>
  <c r="V485" i="6"/>
  <c r="W485" i="6"/>
  <c r="V486" i="6"/>
  <c r="W486" i="6"/>
  <c r="V487" i="6"/>
  <c r="W487" i="6"/>
  <c r="V488" i="6"/>
  <c r="W488" i="6"/>
  <c r="V489" i="6"/>
  <c r="W489" i="6"/>
  <c r="V490" i="6"/>
  <c r="W490" i="6"/>
  <c r="V491" i="6"/>
  <c r="W491" i="6"/>
  <c r="V492" i="6"/>
  <c r="W492" i="6"/>
  <c r="V493" i="6"/>
  <c r="W493" i="6"/>
  <c r="V494" i="6"/>
  <c r="W494" i="6"/>
  <c r="V495" i="6"/>
  <c r="W495" i="6"/>
  <c r="V496" i="6"/>
  <c r="W496" i="6"/>
  <c r="V497" i="6"/>
  <c r="W497" i="6"/>
  <c r="V498" i="6"/>
  <c r="W498" i="6"/>
  <c r="V499" i="6"/>
  <c r="W499" i="6"/>
  <c r="V500" i="6"/>
  <c r="W500" i="6"/>
  <c r="V501" i="6"/>
  <c r="W501" i="6"/>
  <c r="V502" i="6"/>
  <c r="W502" i="6"/>
  <c r="V503" i="6"/>
  <c r="W503" i="6"/>
  <c r="V504" i="6"/>
  <c r="W504" i="6"/>
  <c r="V505" i="6"/>
  <c r="W505" i="6"/>
  <c r="V506" i="6"/>
  <c r="W506" i="6"/>
  <c r="V507" i="6"/>
  <c r="W507" i="6"/>
  <c r="V508" i="6"/>
  <c r="W508" i="6"/>
  <c r="V509" i="6"/>
  <c r="W509" i="6"/>
  <c r="V510" i="6"/>
  <c r="W510" i="6"/>
  <c r="V511" i="6"/>
  <c r="W511" i="6"/>
  <c r="V512" i="6"/>
  <c r="W512" i="6"/>
  <c r="V513" i="6"/>
  <c r="W513" i="6"/>
  <c r="V514" i="6"/>
  <c r="W514" i="6"/>
  <c r="V515" i="6"/>
  <c r="W515" i="6"/>
  <c r="V516" i="6"/>
  <c r="W516" i="6"/>
  <c r="V517" i="6"/>
  <c r="W517" i="6"/>
  <c r="V518" i="6"/>
  <c r="W518" i="6"/>
  <c r="V519" i="6"/>
  <c r="W519" i="6"/>
  <c r="V520" i="6"/>
  <c r="W520" i="6"/>
  <c r="V521" i="6"/>
  <c r="W521" i="6"/>
  <c r="V522" i="6"/>
  <c r="W522" i="6"/>
  <c r="V523" i="6"/>
  <c r="W523" i="6"/>
  <c r="V524" i="6"/>
  <c r="W524" i="6"/>
  <c r="V525" i="6"/>
  <c r="W525" i="6"/>
  <c r="V526" i="6"/>
  <c r="W526" i="6"/>
  <c r="V527" i="6"/>
  <c r="W527" i="6"/>
  <c r="V528" i="6"/>
  <c r="W528" i="6"/>
  <c r="V529" i="6"/>
  <c r="W529" i="6"/>
  <c r="V530" i="6"/>
  <c r="W530" i="6"/>
  <c r="V531" i="6"/>
  <c r="W531" i="6"/>
  <c r="V532" i="6"/>
  <c r="W532" i="6"/>
  <c r="V533" i="6"/>
  <c r="W533" i="6"/>
  <c r="V534" i="6"/>
  <c r="W534" i="6"/>
  <c r="V535" i="6"/>
  <c r="W535" i="6"/>
  <c r="V536" i="6"/>
  <c r="W536" i="6"/>
  <c r="V537" i="6"/>
  <c r="W537" i="6"/>
  <c r="V538" i="6"/>
  <c r="W538" i="6"/>
  <c r="V539" i="6"/>
  <c r="W539" i="6"/>
  <c r="V540" i="6"/>
  <c r="W540" i="6"/>
  <c r="V541" i="6"/>
  <c r="W541" i="6"/>
  <c r="V542" i="6"/>
  <c r="W542" i="6"/>
  <c r="V543" i="6"/>
  <c r="W543" i="6"/>
  <c r="V544" i="6"/>
  <c r="W544" i="6"/>
  <c r="V545" i="6"/>
  <c r="W545" i="6"/>
  <c r="V546" i="6"/>
  <c r="W546" i="6"/>
  <c r="V547" i="6"/>
  <c r="W547" i="6"/>
  <c r="V548" i="6"/>
  <c r="W548" i="6"/>
  <c r="V549" i="6"/>
  <c r="W549" i="6"/>
  <c r="V550" i="6"/>
  <c r="W550" i="6"/>
  <c r="V551" i="6"/>
  <c r="W551" i="6"/>
  <c r="V552" i="6"/>
  <c r="W552" i="6"/>
  <c r="V553" i="6"/>
  <c r="W553" i="6"/>
  <c r="V554" i="6"/>
  <c r="W554" i="6"/>
  <c r="V555" i="6"/>
  <c r="W555" i="6"/>
  <c r="V556" i="6"/>
  <c r="W556" i="6"/>
  <c r="V557" i="6"/>
  <c r="W557" i="6"/>
  <c r="V558" i="6"/>
  <c r="W558" i="6"/>
  <c r="V559" i="6"/>
  <c r="W559" i="6"/>
  <c r="V560" i="6"/>
  <c r="W560" i="6"/>
  <c r="V561" i="6"/>
  <c r="W561" i="6"/>
  <c r="V562" i="6"/>
  <c r="W562" i="6"/>
  <c r="V563" i="6"/>
  <c r="W563" i="6"/>
  <c r="V564" i="6"/>
  <c r="W564" i="6"/>
  <c r="V565" i="6"/>
  <c r="W565" i="6"/>
  <c r="V566" i="6"/>
  <c r="W566" i="6"/>
  <c r="V567" i="6"/>
  <c r="W567" i="6"/>
  <c r="V568" i="6"/>
  <c r="W568" i="6"/>
  <c r="V569" i="6"/>
  <c r="W569" i="6"/>
  <c r="V570" i="6"/>
  <c r="W570" i="6"/>
  <c r="V571" i="6"/>
  <c r="W571" i="6"/>
  <c r="V572" i="6"/>
  <c r="W572" i="6"/>
  <c r="V573" i="6"/>
  <c r="W573" i="6"/>
  <c r="V574" i="6"/>
  <c r="W574" i="6"/>
  <c r="V575" i="6"/>
  <c r="W575" i="6"/>
  <c r="V576" i="6"/>
  <c r="W576" i="6"/>
  <c r="V577" i="6"/>
  <c r="W577" i="6"/>
  <c r="V578" i="6"/>
  <c r="W578" i="6"/>
  <c r="V579" i="6"/>
  <c r="W579" i="6"/>
  <c r="V580" i="6"/>
  <c r="W580" i="6"/>
  <c r="V581" i="6"/>
  <c r="W581" i="6"/>
  <c r="V582" i="6"/>
  <c r="W582" i="6"/>
  <c r="V583" i="6"/>
  <c r="W583" i="6"/>
  <c r="V584" i="6"/>
  <c r="W584" i="6"/>
  <c r="V585" i="6"/>
  <c r="W585" i="6"/>
  <c r="V586" i="6"/>
  <c r="W586" i="6"/>
  <c r="V587" i="6"/>
  <c r="W587" i="6"/>
  <c r="V588" i="6"/>
  <c r="W588" i="6"/>
  <c r="V589" i="6"/>
  <c r="W589" i="6"/>
  <c r="V590" i="6"/>
  <c r="W590" i="6"/>
  <c r="V591" i="6"/>
  <c r="W591" i="6"/>
  <c r="V592" i="6"/>
  <c r="W592" i="6"/>
  <c r="V593" i="6"/>
  <c r="W593" i="6"/>
  <c r="V594" i="6"/>
  <c r="W594" i="6"/>
  <c r="V595" i="6"/>
  <c r="W595" i="6"/>
  <c r="V596" i="6"/>
  <c r="W596" i="6"/>
  <c r="V597" i="6"/>
  <c r="W597" i="6"/>
  <c r="V598" i="6"/>
  <c r="W598" i="6"/>
  <c r="V599" i="6"/>
  <c r="W599" i="6"/>
  <c r="V600" i="6"/>
  <c r="W600" i="6"/>
  <c r="V601" i="6"/>
  <c r="W601" i="6"/>
  <c r="V602" i="6"/>
  <c r="W602" i="6"/>
  <c r="V603" i="6"/>
  <c r="W603" i="6"/>
  <c r="V604" i="6"/>
  <c r="W604" i="6"/>
  <c r="V605" i="6"/>
  <c r="W605" i="6"/>
  <c r="V606" i="6"/>
  <c r="W606" i="6"/>
  <c r="V607" i="6"/>
  <c r="W607" i="6"/>
  <c r="V608" i="6"/>
  <c r="W608" i="6"/>
  <c r="V609" i="6"/>
  <c r="W609" i="6"/>
  <c r="V610" i="6"/>
  <c r="W610" i="6"/>
  <c r="V611" i="6"/>
  <c r="W611" i="6"/>
  <c r="V612" i="6"/>
  <c r="W612" i="6"/>
  <c r="V613" i="6"/>
  <c r="W613" i="6"/>
  <c r="V614" i="6"/>
  <c r="W614" i="6"/>
  <c r="V615" i="6"/>
  <c r="W615" i="6"/>
  <c r="V616" i="6"/>
  <c r="W616" i="6"/>
  <c r="V617" i="6"/>
  <c r="W617" i="6"/>
  <c r="V618" i="6"/>
  <c r="W618" i="6"/>
  <c r="V619" i="6"/>
  <c r="W619" i="6"/>
  <c r="V620" i="6"/>
  <c r="W620" i="6"/>
  <c r="V621" i="6"/>
  <c r="W621" i="6"/>
  <c r="V622" i="6"/>
  <c r="W622" i="6"/>
  <c r="V623" i="6"/>
  <c r="W623" i="6"/>
  <c r="V624" i="6"/>
  <c r="W624" i="6"/>
  <c r="V625" i="6"/>
  <c r="W625" i="6"/>
  <c r="V626" i="6"/>
  <c r="W626" i="6"/>
  <c r="V627" i="6"/>
  <c r="W627" i="6"/>
  <c r="V628" i="6"/>
  <c r="W628" i="6"/>
  <c r="V629" i="6"/>
  <c r="W629" i="6"/>
  <c r="V630" i="6"/>
  <c r="W630" i="6"/>
  <c r="V631" i="6"/>
  <c r="W631" i="6"/>
  <c r="V632" i="6"/>
  <c r="W632" i="6"/>
  <c r="V633" i="6"/>
  <c r="W633" i="6"/>
  <c r="V634" i="6"/>
  <c r="W634" i="6"/>
  <c r="V635" i="6"/>
  <c r="W635" i="6"/>
  <c r="V636" i="6"/>
  <c r="W636" i="6"/>
  <c r="V637" i="6"/>
  <c r="W637" i="6"/>
  <c r="V638" i="6"/>
  <c r="W638" i="6"/>
  <c r="V639" i="6"/>
  <c r="W639" i="6"/>
  <c r="V640" i="6"/>
  <c r="W640" i="6"/>
  <c r="V641" i="6"/>
  <c r="W641" i="6"/>
  <c r="V642" i="6"/>
  <c r="W642" i="6"/>
  <c r="V643" i="6"/>
  <c r="W643" i="6"/>
  <c r="V644" i="6"/>
  <c r="W644" i="6"/>
  <c r="P8" i="6"/>
  <c r="Q8" i="6" s="1"/>
  <c r="R8" i="6"/>
  <c r="S8" i="6" s="1"/>
  <c r="P9" i="6"/>
  <c r="Q9" i="6"/>
  <c r="R9" i="6"/>
  <c r="S9" i="6" s="1"/>
  <c r="P10" i="6"/>
  <c r="Q10" i="6" s="1"/>
  <c r="R10" i="6"/>
  <c r="S10" i="6" s="1"/>
  <c r="P11" i="6"/>
  <c r="Q11" i="6"/>
  <c r="R11" i="6"/>
  <c r="S11" i="6" s="1"/>
  <c r="P12" i="6"/>
  <c r="Q12" i="6" s="1"/>
  <c r="R12" i="6"/>
  <c r="S12" i="6" s="1"/>
  <c r="P13" i="6"/>
  <c r="Q13" i="6"/>
  <c r="R13" i="6"/>
  <c r="S13" i="6" s="1"/>
  <c r="P14" i="6"/>
  <c r="Q14" i="6" s="1"/>
  <c r="R14" i="6"/>
  <c r="S14" i="6" s="1"/>
  <c r="P15" i="6"/>
  <c r="Q15" i="6"/>
  <c r="R15" i="6"/>
  <c r="S15" i="6" s="1"/>
  <c r="P16" i="6"/>
  <c r="Q16" i="6" s="1"/>
  <c r="R16" i="6"/>
  <c r="S16" i="6" s="1"/>
  <c r="P17" i="6"/>
  <c r="Q17" i="6"/>
  <c r="R17" i="6"/>
  <c r="S17" i="6" s="1"/>
  <c r="P18" i="6"/>
  <c r="Q18" i="6" s="1"/>
  <c r="R18" i="6"/>
  <c r="S18" i="6" s="1"/>
  <c r="P19" i="6"/>
  <c r="Q19" i="6"/>
  <c r="R19" i="6"/>
  <c r="S19" i="6" s="1"/>
  <c r="P20" i="6"/>
  <c r="Q20" i="6" s="1"/>
  <c r="R20" i="6"/>
  <c r="S20" i="6" s="1"/>
  <c r="P21" i="6"/>
  <c r="Q21" i="6"/>
  <c r="R21" i="6"/>
  <c r="S21" i="6" s="1"/>
  <c r="P22" i="6"/>
  <c r="Q22" i="6" s="1"/>
  <c r="R22" i="6"/>
  <c r="S22" i="6" s="1"/>
  <c r="P23" i="6"/>
  <c r="Q23" i="6"/>
  <c r="R23" i="6"/>
  <c r="S23" i="6" s="1"/>
  <c r="P24" i="6"/>
  <c r="Q24" i="6" s="1"/>
  <c r="R24" i="6"/>
  <c r="S24" i="6" s="1"/>
  <c r="P25" i="6"/>
  <c r="Q25" i="6"/>
  <c r="R25" i="6"/>
  <c r="S25" i="6" s="1"/>
  <c r="P26" i="6"/>
  <c r="Q26" i="6" s="1"/>
  <c r="R26" i="6"/>
  <c r="S26" i="6" s="1"/>
  <c r="P27" i="6"/>
  <c r="Q27" i="6"/>
  <c r="R27" i="6"/>
  <c r="S27" i="6" s="1"/>
  <c r="P28" i="6"/>
  <c r="Q28" i="6" s="1"/>
  <c r="R28" i="6"/>
  <c r="S28" i="6" s="1"/>
  <c r="P29" i="6"/>
  <c r="Q29" i="6"/>
  <c r="R29" i="6"/>
  <c r="S29" i="6" s="1"/>
  <c r="P30" i="6"/>
  <c r="Q30" i="6" s="1"/>
  <c r="R30" i="6"/>
  <c r="S30" i="6" s="1"/>
  <c r="P31" i="6"/>
  <c r="Q31" i="6"/>
  <c r="R31" i="6"/>
  <c r="S31" i="6" s="1"/>
  <c r="P32" i="6"/>
  <c r="Q32" i="6" s="1"/>
  <c r="R32" i="6"/>
  <c r="S32" i="6" s="1"/>
  <c r="P33" i="6"/>
  <c r="Q33" i="6"/>
  <c r="R33" i="6"/>
  <c r="S33" i="6" s="1"/>
  <c r="P34" i="6"/>
  <c r="Q34" i="6" s="1"/>
  <c r="R34" i="6"/>
  <c r="S34" i="6" s="1"/>
  <c r="P35" i="6"/>
  <c r="Q35" i="6"/>
  <c r="R35" i="6"/>
  <c r="S35" i="6" s="1"/>
  <c r="P36" i="6"/>
  <c r="Q36" i="6" s="1"/>
  <c r="R36" i="6"/>
  <c r="S36" i="6" s="1"/>
  <c r="P37" i="6"/>
  <c r="Q37" i="6"/>
  <c r="R37" i="6"/>
  <c r="S37" i="6" s="1"/>
  <c r="P38" i="6"/>
  <c r="Q38" i="6" s="1"/>
  <c r="R38" i="6"/>
  <c r="S38" i="6" s="1"/>
  <c r="P39" i="6"/>
  <c r="Q39" i="6"/>
  <c r="R39" i="6"/>
  <c r="S39" i="6" s="1"/>
  <c r="P40" i="6"/>
  <c r="Q40" i="6" s="1"/>
  <c r="R40" i="6"/>
  <c r="S40" i="6" s="1"/>
  <c r="P41" i="6"/>
  <c r="Q41" i="6"/>
  <c r="R41" i="6"/>
  <c r="S41" i="6" s="1"/>
  <c r="P42" i="6"/>
  <c r="Q42" i="6" s="1"/>
  <c r="R42" i="6"/>
  <c r="S42" i="6" s="1"/>
  <c r="P43" i="6"/>
  <c r="Q43" i="6"/>
  <c r="R43" i="6"/>
  <c r="S43" i="6" s="1"/>
  <c r="P44" i="6"/>
  <c r="Q44" i="6" s="1"/>
  <c r="R44" i="6"/>
  <c r="S44" i="6" s="1"/>
  <c r="P45" i="6"/>
  <c r="Q45" i="6"/>
  <c r="R45" i="6"/>
  <c r="S45" i="6" s="1"/>
  <c r="P46" i="6"/>
  <c r="Q46" i="6" s="1"/>
  <c r="R46" i="6"/>
  <c r="S46" i="6" s="1"/>
  <c r="P47" i="6"/>
  <c r="Q47" i="6"/>
  <c r="R47" i="6"/>
  <c r="S47" i="6" s="1"/>
  <c r="P48" i="6"/>
  <c r="Q48" i="6" s="1"/>
  <c r="R48" i="6"/>
  <c r="S48" i="6" s="1"/>
  <c r="P49" i="6"/>
  <c r="Q49" i="6"/>
  <c r="R49" i="6"/>
  <c r="S49" i="6" s="1"/>
  <c r="P50" i="6"/>
  <c r="Q50" i="6" s="1"/>
  <c r="R50" i="6"/>
  <c r="S50" i="6" s="1"/>
  <c r="P51" i="6"/>
  <c r="Q51" i="6"/>
  <c r="R51" i="6"/>
  <c r="S51" i="6" s="1"/>
  <c r="P52" i="6"/>
  <c r="Q52" i="6" s="1"/>
  <c r="R52" i="6"/>
  <c r="S52" i="6" s="1"/>
  <c r="P53" i="6"/>
  <c r="Q53" i="6"/>
  <c r="R53" i="6"/>
  <c r="S53" i="6" s="1"/>
  <c r="P54" i="6"/>
  <c r="Q54" i="6" s="1"/>
  <c r="R54" i="6"/>
  <c r="S54" i="6" s="1"/>
  <c r="P55" i="6"/>
  <c r="Q55" i="6"/>
  <c r="R55" i="6"/>
  <c r="S55" i="6" s="1"/>
  <c r="P56" i="6"/>
  <c r="Q56" i="6" s="1"/>
  <c r="R56" i="6"/>
  <c r="S56" i="6" s="1"/>
  <c r="P57" i="6"/>
  <c r="Q57" i="6"/>
  <c r="R57" i="6"/>
  <c r="S57" i="6" s="1"/>
  <c r="P58" i="6"/>
  <c r="Q58" i="6" s="1"/>
  <c r="R58" i="6"/>
  <c r="S58" i="6" s="1"/>
  <c r="P59" i="6"/>
  <c r="Q59" i="6"/>
  <c r="R59" i="6"/>
  <c r="S59" i="6" s="1"/>
  <c r="P60" i="6"/>
  <c r="Q60" i="6" s="1"/>
  <c r="R60" i="6"/>
  <c r="S60" i="6" s="1"/>
  <c r="P61" i="6"/>
  <c r="Q61" i="6"/>
  <c r="R61" i="6"/>
  <c r="S61" i="6" s="1"/>
  <c r="P62" i="6"/>
  <c r="Q62" i="6" s="1"/>
  <c r="R62" i="6"/>
  <c r="S62" i="6" s="1"/>
  <c r="P63" i="6"/>
  <c r="Q63" i="6"/>
  <c r="R63" i="6"/>
  <c r="S63" i="6" s="1"/>
  <c r="P64" i="6"/>
  <c r="Q64" i="6" s="1"/>
  <c r="R64" i="6"/>
  <c r="S64" i="6" s="1"/>
  <c r="P65" i="6"/>
  <c r="Q65" i="6"/>
  <c r="R65" i="6"/>
  <c r="S65" i="6" s="1"/>
  <c r="P66" i="6"/>
  <c r="Q66" i="6" s="1"/>
  <c r="R66" i="6"/>
  <c r="S66" i="6" s="1"/>
  <c r="P67" i="6"/>
  <c r="Q67" i="6"/>
  <c r="R67" i="6"/>
  <c r="S67" i="6" s="1"/>
  <c r="P68" i="6"/>
  <c r="Q68" i="6" s="1"/>
  <c r="R68" i="6"/>
  <c r="S68" i="6" s="1"/>
  <c r="P69" i="6"/>
  <c r="Q69" i="6"/>
  <c r="R69" i="6"/>
  <c r="S69" i="6" s="1"/>
  <c r="P70" i="6"/>
  <c r="Q70" i="6" s="1"/>
  <c r="R70" i="6"/>
  <c r="S70" i="6" s="1"/>
  <c r="P71" i="6"/>
  <c r="Q71" i="6"/>
  <c r="R71" i="6"/>
  <c r="S71" i="6" s="1"/>
  <c r="P72" i="6"/>
  <c r="Q72" i="6" s="1"/>
  <c r="R72" i="6"/>
  <c r="S72" i="6" s="1"/>
  <c r="P73" i="6"/>
  <c r="Q73" i="6"/>
  <c r="R73" i="6"/>
  <c r="S73" i="6" s="1"/>
  <c r="P74" i="6"/>
  <c r="Q74" i="6" s="1"/>
  <c r="R74" i="6"/>
  <c r="S74" i="6" s="1"/>
  <c r="P75" i="6"/>
  <c r="Q75" i="6"/>
  <c r="R75" i="6"/>
  <c r="S75" i="6" s="1"/>
  <c r="P76" i="6"/>
  <c r="Q76" i="6" s="1"/>
  <c r="R76" i="6"/>
  <c r="S76" i="6" s="1"/>
  <c r="P77" i="6"/>
  <c r="Q77" i="6"/>
  <c r="R77" i="6"/>
  <c r="S77" i="6" s="1"/>
  <c r="P78" i="6"/>
  <c r="Q78" i="6" s="1"/>
  <c r="R78" i="6"/>
  <c r="S78" i="6" s="1"/>
  <c r="P79" i="6"/>
  <c r="Q79" i="6" s="1"/>
  <c r="R79" i="6"/>
  <c r="S79" i="6" s="1"/>
  <c r="P80" i="6"/>
  <c r="Q80" i="6" s="1"/>
  <c r="R80" i="6"/>
  <c r="S80" i="6" s="1"/>
  <c r="P81" i="6"/>
  <c r="Q81" i="6"/>
  <c r="R81" i="6"/>
  <c r="S81" i="6" s="1"/>
  <c r="P82" i="6"/>
  <c r="Q82" i="6" s="1"/>
  <c r="R82" i="6"/>
  <c r="S82" i="6" s="1"/>
  <c r="P83" i="6"/>
  <c r="Q83" i="6"/>
  <c r="R83" i="6"/>
  <c r="S83" i="6" s="1"/>
  <c r="P84" i="6"/>
  <c r="Q84" i="6" s="1"/>
  <c r="R84" i="6"/>
  <c r="S84" i="6" s="1"/>
  <c r="P85" i="6"/>
  <c r="Q85" i="6"/>
  <c r="R85" i="6"/>
  <c r="S85" i="6" s="1"/>
  <c r="P86" i="6"/>
  <c r="Q86" i="6" s="1"/>
  <c r="R86" i="6"/>
  <c r="S86" i="6" s="1"/>
  <c r="P87" i="6"/>
  <c r="Q87" i="6" s="1"/>
  <c r="R87" i="6"/>
  <c r="S87" i="6" s="1"/>
  <c r="P88" i="6"/>
  <c r="Q88" i="6" s="1"/>
  <c r="R88" i="6"/>
  <c r="S88" i="6" s="1"/>
  <c r="P89" i="6"/>
  <c r="Q89" i="6" s="1"/>
  <c r="R89" i="6"/>
  <c r="S89" i="6" s="1"/>
  <c r="P90" i="6"/>
  <c r="Q90" i="6" s="1"/>
  <c r="R90" i="6"/>
  <c r="S90" i="6" s="1"/>
  <c r="P91" i="6"/>
  <c r="Q91" i="6" s="1"/>
  <c r="R91" i="6"/>
  <c r="S91" i="6" s="1"/>
  <c r="P92" i="6"/>
  <c r="Q92" i="6" s="1"/>
  <c r="R92" i="6"/>
  <c r="S92" i="6" s="1"/>
  <c r="P93" i="6"/>
  <c r="Q93" i="6"/>
  <c r="R93" i="6"/>
  <c r="S93" i="6" s="1"/>
  <c r="P94" i="6"/>
  <c r="Q94" i="6" s="1"/>
  <c r="R94" i="6"/>
  <c r="S94" i="6" s="1"/>
  <c r="P95" i="6"/>
  <c r="Q95" i="6" s="1"/>
  <c r="R95" i="6"/>
  <c r="S95" i="6" s="1"/>
  <c r="P96" i="6"/>
  <c r="Q96" i="6" s="1"/>
  <c r="R96" i="6"/>
  <c r="S96" i="6" s="1"/>
  <c r="P97" i="6"/>
  <c r="Q97" i="6"/>
  <c r="R97" i="6"/>
  <c r="S97" i="6" s="1"/>
  <c r="P98" i="6"/>
  <c r="Q98" i="6" s="1"/>
  <c r="R98" i="6"/>
  <c r="S98" i="6" s="1"/>
  <c r="P99" i="6"/>
  <c r="Q99" i="6" s="1"/>
  <c r="R99" i="6"/>
  <c r="S99" i="6" s="1"/>
  <c r="P100" i="6"/>
  <c r="Q100" i="6" s="1"/>
  <c r="R100" i="6"/>
  <c r="S100" i="6" s="1"/>
  <c r="P101" i="6"/>
  <c r="Q101" i="6" s="1"/>
  <c r="R101" i="6"/>
  <c r="S101" i="6" s="1"/>
  <c r="P102" i="6"/>
  <c r="Q102" i="6" s="1"/>
  <c r="R102" i="6"/>
  <c r="S102" i="6" s="1"/>
  <c r="P103" i="6"/>
  <c r="Q103" i="6" s="1"/>
  <c r="R103" i="6"/>
  <c r="S103" i="6" s="1"/>
  <c r="P104" i="6"/>
  <c r="Q104" i="6" s="1"/>
  <c r="R104" i="6"/>
  <c r="S104" i="6" s="1"/>
  <c r="P105" i="6"/>
  <c r="Q105" i="6" s="1"/>
  <c r="R105" i="6"/>
  <c r="S105" i="6" s="1"/>
  <c r="P106" i="6"/>
  <c r="Q106" i="6" s="1"/>
  <c r="R106" i="6"/>
  <c r="S106" i="6" s="1"/>
  <c r="P107" i="6"/>
  <c r="Q107" i="6" s="1"/>
  <c r="R107" i="6"/>
  <c r="S107" i="6" s="1"/>
  <c r="P108" i="6"/>
  <c r="Q108" i="6" s="1"/>
  <c r="R108" i="6"/>
  <c r="S108" i="6" s="1"/>
  <c r="P109" i="6"/>
  <c r="Q109" i="6"/>
  <c r="R109" i="6"/>
  <c r="S109" i="6" s="1"/>
  <c r="P110" i="6"/>
  <c r="Q110" i="6" s="1"/>
  <c r="R110" i="6"/>
  <c r="S110" i="6" s="1"/>
  <c r="P111" i="6"/>
  <c r="Q111" i="6" s="1"/>
  <c r="R111" i="6"/>
  <c r="S111" i="6" s="1"/>
  <c r="P112" i="6"/>
  <c r="Q112" i="6" s="1"/>
  <c r="R112" i="6"/>
  <c r="S112" i="6" s="1"/>
  <c r="P113" i="6"/>
  <c r="Q113" i="6"/>
  <c r="R113" i="6"/>
  <c r="S113" i="6" s="1"/>
  <c r="P114" i="6"/>
  <c r="Q114" i="6" s="1"/>
  <c r="R114" i="6"/>
  <c r="S114" i="6" s="1"/>
  <c r="P115" i="6"/>
  <c r="Q115" i="6" s="1"/>
  <c r="R115" i="6"/>
  <c r="S115" i="6" s="1"/>
  <c r="P116" i="6"/>
  <c r="Q116" i="6" s="1"/>
  <c r="R116" i="6"/>
  <c r="S116" i="6" s="1"/>
  <c r="P117" i="6"/>
  <c r="Q117" i="6" s="1"/>
  <c r="R117" i="6"/>
  <c r="S117" i="6" s="1"/>
  <c r="P118" i="6"/>
  <c r="Q118" i="6" s="1"/>
  <c r="R118" i="6"/>
  <c r="S118" i="6" s="1"/>
  <c r="P119" i="6"/>
  <c r="Q119" i="6" s="1"/>
  <c r="R119" i="6"/>
  <c r="S119" i="6" s="1"/>
  <c r="P120" i="6"/>
  <c r="Q120" i="6" s="1"/>
  <c r="R120" i="6"/>
  <c r="S120" i="6" s="1"/>
  <c r="P121" i="6"/>
  <c r="Q121" i="6"/>
  <c r="R121" i="6"/>
  <c r="S121" i="6" s="1"/>
  <c r="P122" i="6"/>
  <c r="Q122" i="6" s="1"/>
  <c r="R122" i="6"/>
  <c r="S122" i="6" s="1"/>
  <c r="P123" i="6"/>
  <c r="Q123" i="6" s="1"/>
  <c r="R123" i="6"/>
  <c r="S123" i="6" s="1"/>
  <c r="P124" i="6"/>
  <c r="Q124" i="6" s="1"/>
  <c r="R124" i="6"/>
  <c r="S124" i="6" s="1"/>
  <c r="P125" i="6"/>
  <c r="Q125" i="6" s="1"/>
  <c r="R125" i="6"/>
  <c r="S125" i="6" s="1"/>
  <c r="P126" i="6"/>
  <c r="Q126" i="6" s="1"/>
  <c r="R126" i="6"/>
  <c r="S126" i="6" s="1"/>
  <c r="P127" i="6"/>
  <c r="Q127" i="6" s="1"/>
  <c r="R127" i="6"/>
  <c r="S127" i="6" s="1"/>
  <c r="P128" i="6"/>
  <c r="Q128" i="6" s="1"/>
  <c r="R128" i="6"/>
  <c r="S128" i="6" s="1"/>
  <c r="P129" i="6"/>
  <c r="Q129" i="6"/>
  <c r="R129" i="6"/>
  <c r="S129" i="6" s="1"/>
  <c r="P130" i="6"/>
  <c r="Q130" i="6" s="1"/>
  <c r="R130" i="6"/>
  <c r="S130" i="6" s="1"/>
  <c r="P131" i="6"/>
  <c r="Q131" i="6"/>
  <c r="R131" i="6"/>
  <c r="S131" i="6" s="1"/>
  <c r="P132" i="6"/>
  <c r="Q132" i="6" s="1"/>
  <c r="R132" i="6"/>
  <c r="S132" i="6" s="1"/>
  <c r="P133" i="6"/>
  <c r="Q133" i="6" s="1"/>
  <c r="R133" i="6"/>
  <c r="S133" i="6" s="1"/>
  <c r="P134" i="6"/>
  <c r="Q134" i="6" s="1"/>
  <c r="R134" i="6"/>
  <c r="S134" i="6" s="1"/>
  <c r="P135" i="6"/>
  <c r="Q135" i="6" s="1"/>
  <c r="R135" i="6"/>
  <c r="S135" i="6" s="1"/>
  <c r="P136" i="6"/>
  <c r="Q136" i="6" s="1"/>
  <c r="R136" i="6"/>
  <c r="S136" i="6" s="1"/>
  <c r="P137" i="6"/>
  <c r="Q137" i="6"/>
  <c r="R137" i="6"/>
  <c r="S137" i="6" s="1"/>
  <c r="P138" i="6"/>
  <c r="Q138" i="6" s="1"/>
  <c r="R138" i="6"/>
  <c r="S138" i="6" s="1"/>
  <c r="P139" i="6"/>
  <c r="Q139" i="6" s="1"/>
  <c r="R139" i="6"/>
  <c r="S139" i="6" s="1"/>
  <c r="P140" i="6"/>
  <c r="Q140" i="6" s="1"/>
  <c r="R140" i="6"/>
  <c r="S140" i="6" s="1"/>
  <c r="P141" i="6"/>
  <c r="Q141" i="6" s="1"/>
  <c r="R141" i="6"/>
  <c r="S141" i="6" s="1"/>
  <c r="P142" i="6"/>
  <c r="Q142" i="6" s="1"/>
  <c r="R142" i="6"/>
  <c r="S142" i="6" s="1"/>
  <c r="P143" i="6"/>
  <c r="Q143" i="6" s="1"/>
  <c r="R143" i="6"/>
  <c r="S143" i="6" s="1"/>
  <c r="P144" i="6"/>
  <c r="Q144" i="6" s="1"/>
  <c r="R144" i="6"/>
  <c r="S144" i="6" s="1"/>
  <c r="P145" i="6"/>
  <c r="Q145" i="6"/>
  <c r="R145" i="6"/>
  <c r="S145" i="6" s="1"/>
  <c r="P146" i="6"/>
  <c r="Q146" i="6" s="1"/>
  <c r="R146" i="6"/>
  <c r="S146" i="6" s="1"/>
  <c r="P147" i="6"/>
  <c r="Q147" i="6" s="1"/>
  <c r="R147" i="6"/>
  <c r="S147" i="6" s="1"/>
  <c r="P148" i="6"/>
  <c r="Q148" i="6" s="1"/>
  <c r="R148" i="6"/>
  <c r="S148" i="6" s="1"/>
  <c r="P149" i="6"/>
  <c r="Q149" i="6"/>
  <c r="R149" i="6"/>
  <c r="S149" i="6" s="1"/>
  <c r="P150" i="6"/>
  <c r="Q150" i="6" s="1"/>
  <c r="R150" i="6"/>
  <c r="S150" i="6" s="1"/>
  <c r="P151" i="6"/>
  <c r="Q151" i="6" s="1"/>
  <c r="R151" i="6"/>
  <c r="S151" i="6" s="1"/>
  <c r="P152" i="6"/>
  <c r="Q152" i="6" s="1"/>
  <c r="R152" i="6"/>
  <c r="S152" i="6" s="1"/>
  <c r="P153" i="6"/>
  <c r="Q153" i="6"/>
  <c r="R153" i="6"/>
  <c r="S153" i="6" s="1"/>
  <c r="P154" i="6"/>
  <c r="Q154" i="6" s="1"/>
  <c r="R154" i="6"/>
  <c r="S154" i="6" s="1"/>
  <c r="P155" i="6"/>
  <c r="Q155" i="6" s="1"/>
  <c r="R155" i="6"/>
  <c r="S155" i="6" s="1"/>
  <c r="P156" i="6"/>
  <c r="Q156" i="6" s="1"/>
  <c r="R156" i="6"/>
  <c r="S156" i="6" s="1"/>
  <c r="P157" i="6"/>
  <c r="Q157" i="6"/>
  <c r="R157" i="6"/>
  <c r="S157" i="6" s="1"/>
  <c r="P158" i="6"/>
  <c r="Q158" i="6" s="1"/>
  <c r="R158" i="6"/>
  <c r="S158" i="6" s="1"/>
  <c r="P159" i="6"/>
  <c r="Q159" i="6" s="1"/>
  <c r="R159" i="6"/>
  <c r="S159" i="6" s="1"/>
  <c r="P160" i="6"/>
  <c r="Q160" i="6" s="1"/>
  <c r="R160" i="6"/>
  <c r="S160" i="6" s="1"/>
  <c r="P161" i="6"/>
  <c r="Q161" i="6"/>
  <c r="R161" i="6"/>
  <c r="S161" i="6" s="1"/>
  <c r="P162" i="6"/>
  <c r="Q162" i="6" s="1"/>
  <c r="R162" i="6"/>
  <c r="S162" i="6" s="1"/>
  <c r="P163" i="6"/>
  <c r="Q163" i="6" s="1"/>
  <c r="R163" i="6"/>
  <c r="S163" i="6" s="1"/>
  <c r="P164" i="6"/>
  <c r="Q164" i="6" s="1"/>
  <c r="R164" i="6"/>
  <c r="S164" i="6" s="1"/>
  <c r="P165" i="6"/>
  <c r="Q165" i="6"/>
  <c r="R165" i="6"/>
  <c r="S165" i="6" s="1"/>
  <c r="P166" i="6"/>
  <c r="Q166" i="6" s="1"/>
  <c r="R166" i="6"/>
  <c r="S166" i="6" s="1"/>
  <c r="P167" i="6"/>
  <c r="Q167" i="6" s="1"/>
  <c r="R167" i="6"/>
  <c r="S167" i="6" s="1"/>
  <c r="P168" i="6"/>
  <c r="Q168" i="6" s="1"/>
  <c r="R168" i="6"/>
  <c r="S168" i="6" s="1"/>
  <c r="P169" i="6"/>
  <c r="Q169" i="6"/>
  <c r="R169" i="6"/>
  <c r="S169" i="6" s="1"/>
  <c r="P170" i="6"/>
  <c r="Q170" i="6" s="1"/>
  <c r="R170" i="6"/>
  <c r="S170" i="6" s="1"/>
  <c r="P171" i="6"/>
  <c r="Q171" i="6" s="1"/>
  <c r="R171" i="6"/>
  <c r="S171" i="6" s="1"/>
  <c r="P172" i="6"/>
  <c r="Q172" i="6" s="1"/>
  <c r="R172" i="6"/>
  <c r="S172" i="6" s="1"/>
  <c r="P173" i="6"/>
  <c r="Q173" i="6"/>
  <c r="R173" i="6"/>
  <c r="S173" i="6" s="1"/>
  <c r="P174" i="6"/>
  <c r="Q174" i="6" s="1"/>
  <c r="R174" i="6"/>
  <c r="S174" i="6" s="1"/>
  <c r="P175" i="6"/>
  <c r="Q175" i="6" s="1"/>
  <c r="R175" i="6"/>
  <c r="S175" i="6" s="1"/>
  <c r="P176" i="6"/>
  <c r="Q176" i="6" s="1"/>
  <c r="R176" i="6"/>
  <c r="S176" i="6" s="1"/>
  <c r="P177" i="6"/>
  <c r="Q177" i="6"/>
  <c r="R177" i="6"/>
  <c r="S177" i="6"/>
  <c r="P178" i="6"/>
  <c r="Q178" i="6"/>
  <c r="R178" i="6"/>
  <c r="S178" i="6"/>
  <c r="P179" i="6"/>
  <c r="Q179" i="6"/>
  <c r="R179" i="6"/>
  <c r="S179" i="6" s="1"/>
  <c r="P180" i="6"/>
  <c r="Q180" i="6"/>
  <c r="R180" i="6"/>
  <c r="S180" i="6"/>
  <c r="P181" i="6"/>
  <c r="Q181" i="6"/>
  <c r="R181" i="6"/>
  <c r="S181" i="6" s="1"/>
  <c r="P182" i="6"/>
  <c r="Q182" i="6"/>
  <c r="R182" i="6"/>
  <c r="S182" i="6" s="1"/>
  <c r="P183" i="6"/>
  <c r="Q183" i="6"/>
  <c r="R183" i="6"/>
  <c r="S183" i="6" s="1"/>
  <c r="P184" i="6"/>
  <c r="Q184" i="6"/>
  <c r="R184" i="6"/>
  <c r="S184" i="6" s="1"/>
  <c r="P185" i="6"/>
  <c r="Q185" i="6"/>
  <c r="R185" i="6"/>
  <c r="S185" i="6" s="1"/>
  <c r="P186" i="6"/>
  <c r="Q186" i="6"/>
  <c r="R186" i="6"/>
  <c r="S186" i="6" s="1"/>
  <c r="P187" i="6"/>
  <c r="Q187" i="6"/>
  <c r="R187" i="6"/>
  <c r="S187" i="6" s="1"/>
  <c r="P188" i="6"/>
  <c r="Q188" i="6" s="1"/>
  <c r="R188" i="6"/>
  <c r="S188" i="6" s="1"/>
  <c r="P189" i="6"/>
  <c r="Q189" i="6"/>
  <c r="R189" i="6"/>
  <c r="S189" i="6" s="1"/>
  <c r="P190" i="6"/>
  <c r="Q190" i="6" s="1"/>
  <c r="R190" i="6"/>
  <c r="S190" i="6" s="1"/>
  <c r="P191" i="6"/>
  <c r="Q191" i="6"/>
  <c r="R191" i="6"/>
  <c r="S191" i="6" s="1"/>
  <c r="P192" i="6"/>
  <c r="Q192" i="6" s="1"/>
  <c r="R192" i="6"/>
  <c r="S192" i="6" s="1"/>
  <c r="P193" i="6"/>
  <c r="Q193" i="6"/>
  <c r="R193" i="6"/>
  <c r="S193" i="6" s="1"/>
  <c r="P194" i="6"/>
  <c r="Q194" i="6" s="1"/>
  <c r="R194" i="6"/>
  <c r="S194" i="6" s="1"/>
  <c r="P195" i="6"/>
  <c r="Q195" i="6"/>
  <c r="R195" i="6"/>
  <c r="S195" i="6" s="1"/>
  <c r="P196" i="6"/>
  <c r="Q196" i="6" s="1"/>
  <c r="R196" i="6"/>
  <c r="S196" i="6" s="1"/>
  <c r="P197" i="6"/>
  <c r="Q197" i="6"/>
  <c r="R197" i="6"/>
  <c r="S197" i="6" s="1"/>
  <c r="P198" i="6"/>
  <c r="Q198" i="6" s="1"/>
  <c r="R198" i="6"/>
  <c r="S198" i="6" s="1"/>
  <c r="P199" i="6"/>
  <c r="Q199" i="6"/>
  <c r="R199" i="6"/>
  <c r="S199" i="6" s="1"/>
  <c r="P200" i="6"/>
  <c r="Q200" i="6" s="1"/>
  <c r="R200" i="6"/>
  <c r="S200" i="6" s="1"/>
  <c r="P201" i="6"/>
  <c r="Q201" i="6"/>
  <c r="R201" i="6"/>
  <c r="S201" i="6" s="1"/>
  <c r="P202" i="6"/>
  <c r="Q202" i="6" s="1"/>
  <c r="R202" i="6"/>
  <c r="S202" i="6" s="1"/>
  <c r="P203" i="6"/>
  <c r="Q203" i="6"/>
  <c r="R203" i="6"/>
  <c r="S203" i="6" s="1"/>
  <c r="P204" i="6"/>
  <c r="Q204" i="6" s="1"/>
  <c r="R204" i="6"/>
  <c r="S204" i="6" s="1"/>
  <c r="P205" i="6"/>
  <c r="Q205" i="6"/>
  <c r="R205" i="6"/>
  <c r="S205" i="6" s="1"/>
  <c r="P206" i="6"/>
  <c r="Q206" i="6" s="1"/>
  <c r="R206" i="6"/>
  <c r="S206" i="6" s="1"/>
  <c r="P207" i="6"/>
  <c r="Q207" i="6"/>
  <c r="R207" i="6"/>
  <c r="S207" i="6" s="1"/>
  <c r="P208" i="6"/>
  <c r="Q208" i="6" s="1"/>
  <c r="R208" i="6"/>
  <c r="S208" i="6" s="1"/>
  <c r="P209" i="6"/>
  <c r="Q209" i="6"/>
  <c r="R209" i="6"/>
  <c r="S209" i="6" s="1"/>
  <c r="P210" i="6"/>
  <c r="Q210" i="6" s="1"/>
  <c r="R210" i="6"/>
  <c r="S210" i="6" s="1"/>
  <c r="P211" i="6"/>
  <c r="Q211" i="6"/>
  <c r="R211" i="6"/>
  <c r="S211" i="6" s="1"/>
  <c r="P212" i="6"/>
  <c r="Q212" i="6" s="1"/>
  <c r="R212" i="6"/>
  <c r="S212" i="6" s="1"/>
  <c r="P213" i="6"/>
  <c r="Q213" i="6"/>
  <c r="R213" i="6"/>
  <c r="S213" i="6" s="1"/>
  <c r="P214" i="6"/>
  <c r="Q214" i="6" s="1"/>
  <c r="R214" i="6"/>
  <c r="S214" i="6" s="1"/>
  <c r="P215" i="6"/>
  <c r="Q215" i="6"/>
  <c r="R215" i="6"/>
  <c r="S215" i="6" s="1"/>
  <c r="P216" i="6"/>
  <c r="Q216" i="6" s="1"/>
  <c r="R216" i="6"/>
  <c r="S216" i="6" s="1"/>
  <c r="P217" i="6"/>
  <c r="Q217" i="6"/>
  <c r="R217" i="6"/>
  <c r="S217" i="6" s="1"/>
  <c r="P218" i="6"/>
  <c r="Q218" i="6" s="1"/>
  <c r="R218" i="6"/>
  <c r="S218" i="6" s="1"/>
  <c r="P219" i="6"/>
  <c r="Q219" i="6"/>
  <c r="R219" i="6"/>
  <c r="S219" i="6" s="1"/>
  <c r="P220" i="6"/>
  <c r="Q220" i="6" s="1"/>
  <c r="R220" i="6"/>
  <c r="S220" i="6" s="1"/>
  <c r="P221" i="6"/>
  <c r="Q221" i="6"/>
  <c r="R221" i="6"/>
  <c r="S221" i="6" s="1"/>
  <c r="P222" i="6"/>
  <c r="Q222" i="6" s="1"/>
  <c r="R222" i="6"/>
  <c r="S222" i="6" s="1"/>
  <c r="P223" i="6"/>
  <c r="Q223" i="6"/>
  <c r="R223" i="6"/>
  <c r="S223" i="6" s="1"/>
  <c r="P224" i="6"/>
  <c r="Q224" i="6" s="1"/>
  <c r="R224" i="6"/>
  <c r="S224" i="6" s="1"/>
  <c r="P225" i="6"/>
  <c r="Q225" i="6"/>
  <c r="R225" i="6"/>
  <c r="S225" i="6" s="1"/>
  <c r="P226" i="6"/>
  <c r="Q226" i="6" s="1"/>
  <c r="R226" i="6"/>
  <c r="S226" i="6" s="1"/>
  <c r="P227" i="6"/>
  <c r="Q227" i="6"/>
  <c r="R227" i="6"/>
  <c r="S227" i="6" s="1"/>
  <c r="P228" i="6"/>
  <c r="Q228" i="6" s="1"/>
  <c r="R228" i="6"/>
  <c r="S228" i="6" s="1"/>
  <c r="P229" i="6"/>
  <c r="Q229" i="6"/>
  <c r="R229" i="6"/>
  <c r="S229" i="6" s="1"/>
  <c r="P230" i="6"/>
  <c r="Q230" i="6" s="1"/>
  <c r="R230" i="6"/>
  <c r="S230" i="6" s="1"/>
  <c r="P231" i="6"/>
  <c r="Q231" i="6"/>
  <c r="R231" i="6"/>
  <c r="S231" i="6" s="1"/>
  <c r="P232" i="6"/>
  <c r="Q232" i="6" s="1"/>
  <c r="R232" i="6"/>
  <c r="S232" i="6" s="1"/>
  <c r="P233" i="6"/>
  <c r="Q233" i="6"/>
  <c r="R233" i="6"/>
  <c r="S233" i="6" s="1"/>
  <c r="P234" i="6"/>
  <c r="Q234" i="6" s="1"/>
  <c r="R234" i="6"/>
  <c r="S234" i="6" s="1"/>
  <c r="P235" i="6"/>
  <c r="Q235" i="6"/>
  <c r="R235" i="6"/>
  <c r="S235" i="6" s="1"/>
  <c r="P236" i="6"/>
  <c r="Q236" i="6" s="1"/>
  <c r="R236" i="6"/>
  <c r="S236" i="6" s="1"/>
  <c r="P237" i="6"/>
  <c r="Q237" i="6"/>
  <c r="R237" i="6"/>
  <c r="S237" i="6" s="1"/>
  <c r="P238" i="6"/>
  <c r="Q238" i="6" s="1"/>
  <c r="R238" i="6"/>
  <c r="S238" i="6" s="1"/>
  <c r="P239" i="6"/>
  <c r="Q239" i="6"/>
  <c r="R239" i="6"/>
  <c r="S239" i="6" s="1"/>
  <c r="P240" i="6"/>
  <c r="Q240" i="6" s="1"/>
  <c r="R240" i="6"/>
  <c r="S240" i="6" s="1"/>
  <c r="P241" i="6"/>
  <c r="Q241" i="6"/>
  <c r="R241" i="6"/>
  <c r="S241" i="6" s="1"/>
  <c r="P242" i="6"/>
  <c r="Q242" i="6" s="1"/>
  <c r="R242" i="6"/>
  <c r="S242" i="6" s="1"/>
  <c r="P243" i="6"/>
  <c r="Q243" i="6"/>
  <c r="R243" i="6"/>
  <c r="S243" i="6" s="1"/>
  <c r="P244" i="6"/>
  <c r="Q244" i="6" s="1"/>
  <c r="R244" i="6"/>
  <c r="S244" i="6" s="1"/>
  <c r="P245" i="6"/>
  <c r="Q245" i="6"/>
  <c r="R245" i="6"/>
  <c r="S245" i="6" s="1"/>
  <c r="P246" i="6"/>
  <c r="Q246" i="6" s="1"/>
  <c r="R246" i="6"/>
  <c r="S246" i="6" s="1"/>
  <c r="P247" i="6"/>
  <c r="Q247" i="6"/>
  <c r="R247" i="6"/>
  <c r="S247" i="6" s="1"/>
  <c r="P248" i="6"/>
  <c r="Q248" i="6" s="1"/>
  <c r="R248" i="6"/>
  <c r="S248" i="6" s="1"/>
  <c r="P249" i="6"/>
  <c r="Q249" i="6"/>
  <c r="R249" i="6"/>
  <c r="S249" i="6" s="1"/>
  <c r="P250" i="6"/>
  <c r="Q250" i="6" s="1"/>
  <c r="R250" i="6"/>
  <c r="S250" i="6" s="1"/>
  <c r="P251" i="6"/>
  <c r="Q251" i="6"/>
  <c r="R251" i="6"/>
  <c r="S251" i="6" s="1"/>
  <c r="P252" i="6"/>
  <c r="Q252" i="6" s="1"/>
  <c r="R252" i="6"/>
  <c r="S252" i="6" s="1"/>
  <c r="P253" i="6"/>
  <c r="Q253" i="6"/>
  <c r="R253" i="6"/>
  <c r="S253" i="6" s="1"/>
  <c r="P254" i="6"/>
  <c r="Q254" i="6" s="1"/>
  <c r="R254" i="6"/>
  <c r="S254" i="6" s="1"/>
  <c r="P255" i="6"/>
  <c r="Q255" i="6"/>
  <c r="R255" i="6"/>
  <c r="S255" i="6" s="1"/>
  <c r="P256" i="6"/>
  <c r="Q256" i="6" s="1"/>
  <c r="R256" i="6"/>
  <c r="S256" i="6" s="1"/>
  <c r="P257" i="6"/>
  <c r="Q257" i="6"/>
  <c r="R257" i="6"/>
  <c r="S257" i="6" s="1"/>
  <c r="P258" i="6"/>
  <c r="Q258" i="6" s="1"/>
  <c r="R258" i="6"/>
  <c r="S258" i="6" s="1"/>
  <c r="P259" i="6"/>
  <c r="Q259" i="6"/>
  <c r="R259" i="6"/>
  <c r="S259" i="6" s="1"/>
  <c r="P260" i="6"/>
  <c r="Q260" i="6" s="1"/>
  <c r="R260" i="6"/>
  <c r="S260" i="6" s="1"/>
  <c r="P261" i="6"/>
  <c r="Q261" i="6"/>
  <c r="R261" i="6"/>
  <c r="S261" i="6" s="1"/>
  <c r="P262" i="6"/>
  <c r="Q262" i="6" s="1"/>
  <c r="R262" i="6"/>
  <c r="S262" i="6" s="1"/>
  <c r="P263" i="6"/>
  <c r="Q263" i="6"/>
  <c r="R263" i="6"/>
  <c r="S263" i="6" s="1"/>
  <c r="P264" i="6"/>
  <c r="Q264" i="6" s="1"/>
  <c r="R264" i="6"/>
  <c r="S264" i="6" s="1"/>
  <c r="P265" i="6"/>
  <c r="Q265" i="6"/>
  <c r="R265" i="6"/>
  <c r="S265" i="6" s="1"/>
  <c r="P266" i="6"/>
  <c r="Q266" i="6" s="1"/>
  <c r="R266" i="6"/>
  <c r="S266" i="6" s="1"/>
  <c r="P267" i="6"/>
  <c r="Q267" i="6"/>
  <c r="R267" i="6"/>
  <c r="S267" i="6" s="1"/>
  <c r="P268" i="6"/>
  <c r="Q268" i="6" s="1"/>
  <c r="R268" i="6"/>
  <c r="S268" i="6" s="1"/>
  <c r="P269" i="6"/>
  <c r="Q269" i="6"/>
  <c r="R269" i="6"/>
  <c r="S269" i="6" s="1"/>
  <c r="P270" i="6"/>
  <c r="Q270" i="6" s="1"/>
  <c r="R270" i="6"/>
  <c r="S270" i="6" s="1"/>
  <c r="P271" i="6"/>
  <c r="Q271" i="6"/>
  <c r="R271" i="6"/>
  <c r="S271" i="6" s="1"/>
  <c r="P272" i="6"/>
  <c r="Q272" i="6" s="1"/>
  <c r="R272" i="6"/>
  <c r="S272" i="6" s="1"/>
  <c r="P273" i="6"/>
  <c r="Q273" i="6"/>
  <c r="R273" i="6"/>
  <c r="S273" i="6" s="1"/>
  <c r="P274" i="6"/>
  <c r="Q274" i="6" s="1"/>
  <c r="R274" i="6"/>
  <c r="S274" i="6" s="1"/>
  <c r="P275" i="6"/>
  <c r="Q275" i="6"/>
  <c r="R275" i="6"/>
  <c r="S275" i="6" s="1"/>
  <c r="P276" i="6"/>
  <c r="Q276" i="6" s="1"/>
  <c r="R276" i="6"/>
  <c r="S276" i="6" s="1"/>
  <c r="P277" i="6"/>
  <c r="Q277" i="6"/>
  <c r="R277" i="6"/>
  <c r="S277" i="6" s="1"/>
  <c r="P278" i="6"/>
  <c r="Q278" i="6" s="1"/>
  <c r="R278" i="6"/>
  <c r="S278" i="6" s="1"/>
  <c r="P279" i="6"/>
  <c r="Q279" i="6" s="1"/>
  <c r="R279" i="6"/>
  <c r="S279" i="6" s="1"/>
  <c r="P280" i="6"/>
  <c r="Q280" i="6" s="1"/>
  <c r="R280" i="6"/>
  <c r="S280" i="6" s="1"/>
  <c r="P281" i="6"/>
  <c r="Q281" i="6" s="1"/>
  <c r="R281" i="6"/>
  <c r="S281" i="6" s="1"/>
  <c r="P282" i="6"/>
  <c r="Q282" i="6" s="1"/>
  <c r="R282" i="6"/>
  <c r="S282" i="6" s="1"/>
  <c r="P283" i="6"/>
  <c r="Q283" i="6" s="1"/>
  <c r="R283" i="6"/>
  <c r="S283" i="6" s="1"/>
  <c r="P284" i="6"/>
  <c r="Q284" i="6" s="1"/>
  <c r="R284" i="6"/>
  <c r="S284" i="6" s="1"/>
  <c r="P285" i="6"/>
  <c r="Q285" i="6" s="1"/>
  <c r="R285" i="6"/>
  <c r="S285" i="6" s="1"/>
  <c r="P286" i="6"/>
  <c r="Q286" i="6" s="1"/>
  <c r="R286" i="6"/>
  <c r="S286" i="6" s="1"/>
  <c r="P287" i="6"/>
  <c r="Q287" i="6"/>
  <c r="R287" i="6"/>
  <c r="S287" i="6" s="1"/>
  <c r="P288" i="6"/>
  <c r="Q288" i="6" s="1"/>
  <c r="R288" i="6"/>
  <c r="S288" i="6" s="1"/>
  <c r="P289" i="6"/>
  <c r="Q289" i="6"/>
  <c r="R289" i="6"/>
  <c r="S289" i="6" s="1"/>
  <c r="P290" i="6"/>
  <c r="Q290" i="6" s="1"/>
  <c r="R290" i="6"/>
  <c r="S290" i="6" s="1"/>
  <c r="P291" i="6"/>
  <c r="Q291" i="6"/>
  <c r="R291" i="6"/>
  <c r="S291" i="6" s="1"/>
  <c r="P292" i="6"/>
  <c r="Q292" i="6" s="1"/>
  <c r="R292" i="6"/>
  <c r="S292" i="6" s="1"/>
  <c r="P293" i="6"/>
  <c r="Q293" i="6"/>
  <c r="R293" i="6"/>
  <c r="S293" i="6" s="1"/>
  <c r="P294" i="6"/>
  <c r="Q294" i="6" s="1"/>
  <c r="R294" i="6"/>
  <c r="S294" i="6" s="1"/>
  <c r="P295" i="6"/>
  <c r="Q295" i="6" s="1"/>
  <c r="R295" i="6"/>
  <c r="S295" i="6" s="1"/>
  <c r="P296" i="6"/>
  <c r="Q296" i="6" s="1"/>
  <c r="R296" i="6"/>
  <c r="S296" i="6" s="1"/>
  <c r="P297" i="6"/>
  <c r="Q297" i="6" s="1"/>
  <c r="R297" i="6"/>
  <c r="S297" i="6" s="1"/>
  <c r="P298" i="6"/>
  <c r="Q298" i="6" s="1"/>
  <c r="R298" i="6"/>
  <c r="S298" i="6" s="1"/>
  <c r="P299" i="6"/>
  <c r="Q299" i="6" s="1"/>
  <c r="R299" i="6"/>
  <c r="S299" i="6" s="1"/>
  <c r="P300" i="6"/>
  <c r="Q300" i="6" s="1"/>
  <c r="R300" i="6"/>
  <c r="S300" i="6" s="1"/>
  <c r="P301" i="6"/>
  <c r="Q301" i="6" s="1"/>
  <c r="R301" i="6"/>
  <c r="S301" i="6" s="1"/>
  <c r="P302" i="6"/>
  <c r="Q302" i="6" s="1"/>
  <c r="R302" i="6"/>
  <c r="S302" i="6" s="1"/>
  <c r="P303" i="6"/>
  <c r="Q303" i="6"/>
  <c r="R303" i="6"/>
  <c r="S303" i="6" s="1"/>
  <c r="P304" i="6"/>
  <c r="Q304" i="6" s="1"/>
  <c r="R304" i="6"/>
  <c r="S304" i="6" s="1"/>
  <c r="P305" i="6"/>
  <c r="Q305" i="6"/>
  <c r="R305" i="6"/>
  <c r="S305" i="6" s="1"/>
  <c r="P306" i="6"/>
  <c r="Q306" i="6" s="1"/>
  <c r="R306" i="6"/>
  <c r="S306" i="6" s="1"/>
  <c r="P307" i="6"/>
  <c r="Q307" i="6"/>
  <c r="R307" i="6"/>
  <c r="S307" i="6" s="1"/>
  <c r="P308" i="6"/>
  <c r="Q308" i="6" s="1"/>
  <c r="R308" i="6"/>
  <c r="S308" i="6" s="1"/>
  <c r="P309" i="6"/>
  <c r="Q309" i="6"/>
  <c r="R309" i="6"/>
  <c r="S309" i="6" s="1"/>
  <c r="P310" i="6"/>
  <c r="Q310" i="6" s="1"/>
  <c r="R310" i="6"/>
  <c r="S310" i="6" s="1"/>
  <c r="P311" i="6"/>
  <c r="Q311" i="6" s="1"/>
  <c r="R311" i="6"/>
  <c r="S311" i="6" s="1"/>
  <c r="P312" i="6"/>
  <c r="Q312" i="6" s="1"/>
  <c r="R312" i="6"/>
  <c r="S312" i="6" s="1"/>
  <c r="P313" i="6"/>
  <c r="Q313" i="6" s="1"/>
  <c r="R313" i="6"/>
  <c r="S313" i="6" s="1"/>
  <c r="P314" i="6"/>
  <c r="Q314" i="6" s="1"/>
  <c r="R314" i="6"/>
  <c r="S314" i="6" s="1"/>
  <c r="P315" i="6"/>
  <c r="Q315" i="6" s="1"/>
  <c r="R315" i="6"/>
  <c r="S315" i="6" s="1"/>
  <c r="P316" i="6"/>
  <c r="Q316" i="6" s="1"/>
  <c r="R316" i="6"/>
  <c r="S316" i="6" s="1"/>
  <c r="P317" i="6"/>
  <c r="Q317" i="6" s="1"/>
  <c r="R317" i="6"/>
  <c r="S317" i="6" s="1"/>
  <c r="P318" i="6"/>
  <c r="Q318" i="6" s="1"/>
  <c r="R318" i="6"/>
  <c r="S318" i="6" s="1"/>
  <c r="P319" i="6"/>
  <c r="Q319" i="6"/>
  <c r="R319" i="6"/>
  <c r="S319" i="6" s="1"/>
  <c r="P320" i="6"/>
  <c r="Q320" i="6" s="1"/>
  <c r="R320" i="6"/>
  <c r="S320" i="6" s="1"/>
  <c r="P321" i="6"/>
  <c r="Q321" i="6"/>
  <c r="R321" i="6"/>
  <c r="S321" i="6" s="1"/>
  <c r="P322" i="6"/>
  <c r="Q322" i="6" s="1"/>
  <c r="R322" i="6"/>
  <c r="S322" i="6" s="1"/>
  <c r="P323" i="6"/>
  <c r="Q323" i="6"/>
  <c r="R323" i="6"/>
  <c r="S323" i="6" s="1"/>
  <c r="P324" i="6"/>
  <c r="Q324" i="6" s="1"/>
  <c r="R324" i="6"/>
  <c r="S324" i="6" s="1"/>
  <c r="P325" i="6"/>
  <c r="Q325" i="6"/>
  <c r="R325" i="6"/>
  <c r="S325" i="6" s="1"/>
  <c r="P326" i="6"/>
  <c r="Q326" i="6" s="1"/>
  <c r="R326" i="6"/>
  <c r="S326" i="6" s="1"/>
  <c r="P327" i="6"/>
  <c r="Q327" i="6" s="1"/>
  <c r="R327" i="6"/>
  <c r="S327" i="6" s="1"/>
  <c r="P328" i="6"/>
  <c r="Q328" i="6" s="1"/>
  <c r="R328" i="6"/>
  <c r="S328" i="6" s="1"/>
  <c r="P329" i="6"/>
  <c r="Q329" i="6" s="1"/>
  <c r="R329" i="6"/>
  <c r="S329" i="6" s="1"/>
  <c r="P330" i="6"/>
  <c r="Q330" i="6" s="1"/>
  <c r="R330" i="6"/>
  <c r="S330" i="6" s="1"/>
  <c r="P331" i="6"/>
  <c r="Q331" i="6" s="1"/>
  <c r="R331" i="6"/>
  <c r="S331" i="6" s="1"/>
  <c r="P332" i="6"/>
  <c r="Q332" i="6" s="1"/>
  <c r="R332" i="6"/>
  <c r="S332" i="6" s="1"/>
  <c r="P333" i="6"/>
  <c r="Q333" i="6" s="1"/>
  <c r="R333" i="6"/>
  <c r="S333" i="6" s="1"/>
  <c r="P334" i="6"/>
  <c r="Q334" i="6" s="1"/>
  <c r="R334" i="6"/>
  <c r="S334" i="6" s="1"/>
  <c r="P335" i="6"/>
  <c r="Q335" i="6" s="1"/>
  <c r="R335" i="6"/>
  <c r="S335" i="6" s="1"/>
  <c r="P336" i="6"/>
  <c r="Q336" i="6" s="1"/>
  <c r="R336" i="6"/>
  <c r="S336" i="6" s="1"/>
  <c r="P337" i="6"/>
  <c r="Q337" i="6"/>
  <c r="R337" i="6"/>
  <c r="S337" i="6" s="1"/>
  <c r="P338" i="6"/>
  <c r="Q338" i="6" s="1"/>
  <c r="R338" i="6"/>
  <c r="S338" i="6" s="1"/>
  <c r="P339" i="6"/>
  <c r="Q339" i="6"/>
  <c r="R339" i="6"/>
  <c r="S339" i="6" s="1"/>
  <c r="P340" i="6"/>
  <c r="Q340" i="6" s="1"/>
  <c r="R340" i="6"/>
  <c r="S340" i="6" s="1"/>
  <c r="P341" i="6"/>
  <c r="Q341" i="6"/>
  <c r="R341" i="6"/>
  <c r="S341" i="6" s="1"/>
  <c r="P342" i="6"/>
  <c r="Q342" i="6" s="1"/>
  <c r="R342" i="6"/>
  <c r="S342" i="6" s="1"/>
  <c r="P343" i="6"/>
  <c r="Q343" i="6" s="1"/>
  <c r="R343" i="6"/>
  <c r="S343" i="6" s="1"/>
  <c r="P344" i="6"/>
  <c r="Q344" i="6" s="1"/>
  <c r="R344" i="6"/>
  <c r="S344" i="6" s="1"/>
  <c r="P345" i="6"/>
  <c r="Q345" i="6"/>
  <c r="R345" i="6"/>
  <c r="S345" i="6" s="1"/>
  <c r="P346" i="6"/>
  <c r="Q346" i="6" s="1"/>
  <c r="R346" i="6"/>
  <c r="S346" i="6" s="1"/>
  <c r="P347" i="6"/>
  <c r="Q347" i="6" s="1"/>
  <c r="R347" i="6"/>
  <c r="S347" i="6" s="1"/>
  <c r="P348" i="6"/>
  <c r="Q348" i="6" s="1"/>
  <c r="R348" i="6"/>
  <c r="S348" i="6"/>
  <c r="P349" i="6"/>
  <c r="Q349" i="6" s="1"/>
  <c r="R349" i="6"/>
  <c r="S349" i="6" s="1"/>
  <c r="P350" i="6"/>
  <c r="Q350" i="6" s="1"/>
  <c r="R350" i="6"/>
  <c r="S350" i="6" s="1"/>
  <c r="P351" i="6"/>
  <c r="Q351" i="6" s="1"/>
  <c r="R351" i="6"/>
  <c r="S351" i="6"/>
  <c r="P352" i="6"/>
  <c r="Q352" i="6"/>
  <c r="R352" i="6"/>
  <c r="S352" i="6" s="1"/>
  <c r="P353" i="6"/>
  <c r="Q353" i="6" s="1"/>
  <c r="R353" i="6"/>
  <c r="S353" i="6"/>
  <c r="P354" i="6"/>
  <c r="Q354" i="6"/>
  <c r="R354" i="6"/>
  <c r="S354" i="6" s="1"/>
  <c r="P355" i="6"/>
  <c r="Q355" i="6" s="1"/>
  <c r="R355" i="6"/>
  <c r="S355" i="6" s="1"/>
  <c r="P356" i="6"/>
  <c r="Q356" i="6"/>
  <c r="R356" i="6"/>
  <c r="S356" i="6" s="1"/>
  <c r="P357" i="6"/>
  <c r="Q357" i="6" s="1"/>
  <c r="R357" i="6"/>
  <c r="S357" i="6" s="1"/>
  <c r="P358" i="6"/>
  <c r="Q358" i="6"/>
  <c r="R358" i="6"/>
  <c r="S358" i="6" s="1"/>
  <c r="P359" i="6"/>
  <c r="Q359" i="6" s="1"/>
  <c r="R359" i="6"/>
  <c r="S359" i="6" s="1"/>
  <c r="P360" i="6"/>
  <c r="Q360" i="6"/>
  <c r="R360" i="6"/>
  <c r="S360" i="6" s="1"/>
  <c r="P361" i="6"/>
  <c r="Q361" i="6" s="1"/>
  <c r="R361" i="6"/>
  <c r="S361" i="6" s="1"/>
  <c r="P362" i="6"/>
  <c r="Q362" i="6"/>
  <c r="R362" i="6"/>
  <c r="S362" i="6" s="1"/>
  <c r="P363" i="6"/>
  <c r="Q363" i="6" s="1"/>
  <c r="R363" i="6"/>
  <c r="S363" i="6" s="1"/>
  <c r="P364" i="6"/>
  <c r="Q364" i="6" s="1"/>
  <c r="R364" i="6"/>
  <c r="S364" i="6" s="1"/>
  <c r="P365" i="6"/>
  <c r="Q365" i="6" s="1"/>
  <c r="R365" i="6"/>
  <c r="S365" i="6" s="1"/>
  <c r="P366" i="6"/>
  <c r="Q366" i="6" s="1"/>
  <c r="R366" i="6"/>
  <c r="S366" i="6" s="1"/>
  <c r="P367" i="6"/>
  <c r="Q367" i="6" s="1"/>
  <c r="R367" i="6"/>
  <c r="S367" i="6" s="1"/>
  <c r="P368" i="6"/>
  <c r="Q368" i="6" s="1"/>
  <c r="R368" i="6"/>
  <c r="S368" i="6" s="1"/>
  <c r="P369" i="6"/>
  <c r="Q369" i="6" s="1"/>
  <c r="R369" i="6"/>
  <c r="S369" i="6" s="1"/>
  <c r="P370" i="6"/>
  <c r="Q370" i="6" s="1"/>
  <c r="R370" i="6"/>
  <c r="S370" i="6" s="1"/>
  <c r="P371" i="6"/>
  <c r="Q371" i="6" s="1"/>
  <c r="R371" i="6"/>
  <c r="S371" i="6" s="1"/>
  <c r="P372" i="6"/>
  <c r="Q372" i="6" s="1"/>
  <c r="R372" i="6"/>
  <c r="S372" i="6" s="1"/>
  <c r="P373" i="6"/>
  <c r="Q373" i="6" s="1"/>
  <c r="R373" i="6"/>
  <c r="S373" i="6" s="1"/>
  <c r="P374" i="6"/>
  <c r="Q374" i="6" s="1"/>
  <c r="R374" i="6"/>
  <c r="S374" i="6" s="1"/>
  <c r="P375" i="6"/>
  <c r="Q375" i="6" s="1"/>
  <c r="R375" i="6"/>
  <c r="S375" i="6" s="1"/>
  <c r="P376" i="6"/>
  <c r="Q376" i="6" s="1"/>
  <c r="R376" i="6"/>
  <c r="S376" i="6" s="1"/>
  <c r="P377" i="6"/>
  <c r="Q377" i="6" s="1"/>
  <c r="R377" i="6"/>
  <c r="S377" i="6" s="1"/>
  <c r="P378" i="6"/>
  <c r="Q378" i="6" s="1"/>
  <c r="R378" i="6"/>
  <c r="S378" i="6" s="1"/>
  <c r="P379" i="6"/>
  <c r="Q379" i="6" s="1"/>
  <c r="R379" i="6"/>
  <c r="S379" i="6" s="1"/>
  <c r="P380" i="6"/>
  <c r="Q380" i="6" s="1"/>
  <c r="R380" i="6"/>
  <c r="S380" i="6" s="1"/>
  <c r="P381" i="6"/>
  <c r="Q381" i="6" s="1"/>
  <c r="R381" i="6"/>
  <c r="S381" i="6" s="1"/>
  <c r="P382" i="6"/>
  <c r="Q382" i="6" s="1"/>
  <c r="R382" i="6"/>
  <c r="S382" i="6" s="1"/>
  <c r="P383" i="6"/>
  <c r="Q383" i="6" s="1"/>
  <c r="R383" i="6"/>
  <c r="S383" i="6" s="1"/>
  <c r="P384" i="6"/>
  <c r="Q384" i="6" s="1"/>
  <c r="R384" i="6"/>
  <c r="S384" i="6" s="1"/>
  <c r="P385" i="6"/>
  <c r="Q385" i="6" s="1"/>
  <c r="R385" i="6"/>
  <c r="S385" i="6" s="1"/>
  <c r="P386" i="6"/>
  <c r="Q386" i="6" s="1"/>
  <c r="R386" i="6"/>
  <c r="S386" i="6" s="1"/>
  <c r="P387" i="6"/>
  <c r="Q387" i="6" s="1"/>
  <c r="R387" i="6"/>
  <c r="S387" i="6" s="1"/>
  <c r="P388" i="6"/>
  <c r="Q388" i="6" s="1"/>
  <c r="R388" i="6"/>
  <c r="S388" i="6" s="1"/>
  <c r="P389" i="6"/>
  <c r="Q389" i="6" s="1"/>
  <c r="R389" i="6"/>
  <c r="S389" i="6" s="1"/>
  <c r="P390" i="6"/>
  <c r="Q390" i="6" s="1"/>
  <c r="R390" i="6"/>
  <c r="S390" i="6" s="1"/>
  <c r="P391" i="6"/>
  <c r="Q391" i="6" s="1"/>
  <c r="R391" i="6"/>
  <c r="S391" i="6" s="1"/>
  <c r="P392" i="6"/>
  <c r="Q392" i="6" s="1"/>
  <c r="R392" i="6"/>
  <c r="S392" i="6" s="1"/>
  <c r="P393" i="6"/>
  <c r="Q393" i="6" s="1"/>
  <c r="R393" i="6"/>
  <c r="S393" i="6" s="1"/>
  <c r="P394" i="6"/>
  <c r="Q394" i="6" s="1"/>
  <c r="R394" i="6"/>
  <c r="S394" i="6" s="1"/>
  <c r="P395" i="6"/>
  <c r="Q395" i="6" s="1"/>
  <c r="R395" i="6"/>
  <c r="S395" i="6" s="1"/>
  <c r="P396" i="6"/>
  <c r="Q396" i="6" s="1"/>
  <c r="R396" i="6"/>
  <c r="S396" i="6" s="1"/>
  <c r="P397" i="6"/>
  <c r="Q397" i="6" s="1"/>
  <c r="R397" i="6"/>
  <c r="S397" i="6" s="1"/>
  <c r="P398" i="6"/>
  <c r="Q398" i="6" s="1"/>
  <c r="R398" i="6"/>
  <c r="S398" i="6" s="1"/>
  <c r="P399" i="6"/>
  <c r="Q399" i="6" s="1"/>
  <c r="R399" i="6"/>
  <c r="S399" i="6" s="1"/>
  <c r="P400" i="6"/>
  <c r="Q400" i="6" s="1"/>
  <c r="R400" i="6"/>
  <c r="S400" i="6" s="1"/>
  <c r="P401" i="6"/>
  <c r="Q401" i="6" s="1"/>
  <c r="R401" i="6"/>
  <c r="S401" i="6" s="1"/>
  <c r="P402" i="6"/>
  <c r="Q402" i="6" s="1"/>
  <c r="R402" i="6"/>
  <c r="S402" i="6" s="1"/>
  <c r="P403" i="6"/>
  <c r="Q403" i="6" s="1"/>
  <c r="R403" i="6"/>
  <c r="S403" i="6" s="1"/>
  <c r="P404" i="6"/>
  <c r="Q404" i="6" s="1"/>
  <c r="R404" i="6"/>
  <c r="S404" i="6" s="1"/>
  <c r="P405" i="6"/>
  <c r="Q405" i="6" s="1"/>
  <c r="R405" i="6"/>
  <c r="S405" i="6" s="1"/>
  <c r="P406" i="6"/>
  <c r="Q406" i="6" s="1"/>
  <c r="R406" i="6"/>
  <c r="S406" i="6" s="1"/>
  <c r="P407" i="6"/>
  <c r="Q407" i="6" s="1"/>
  <c r="R407" i="6"/>
  <c r="S407" i="6" s="1"/>
  <c r="P408" i="6"/>
  <c r="Q408" i="6" s="1"/>
  <c r="R408" i="6"/>
  <c r="S408" i="6" s="1"/>
  <c r="P409" i="6"/>
  <c r="Q409" i="6" s="1"/>
  <c r="R409" i="6"/>
  <c r="S409" i="6" s="1"/>
  <c r="P410" i="6"/>
  <c r="Q410" i="6" s="1"/>
  <c r="R410" i="6"/>
  <c r="S410" i="6" s="1"/>
  <c r="P411" i="6"/>
  <c r="Q411" i="6" s="1"/>
  <c r="R411" i="6"/>
  <c r="S411" i="6" s="1"/>
  <c r="P412" i="6"/>
  <c r="Q412" i="6" s="1"/>
  <c r="R412" i="6"/>
  <c r="S412" i="6" s="1"/>
  <c r="P413" i="6"/>
  <c r="Q413" i="6" s="1"/>
  <c r="R413" i="6"/>
  <c r="S413" i="6" s="1"/>
  <c r="P414" i="6"/>
  <c r="Q414" i="6" s="1"/>
  <c r="R414" i="6"/>
  <c r="S414" i="6" s="1"/>
  <c r="P415" i="6"/>
  <c r="Q415" i="6" s="1"/>
  <c r="R415" i="6"/>
  <c r="S415" i="6" s="1"/>
  <c r="P416" i="6"/>
  <c r="Q416" i="6" s="1"/>
  <c r="R416" i="6"/>
  <c r="S416" i="6" s="1"/>
  <c r="P417" i="6"/>
  <c r="Q417" i="6" s="1"/>
  <c r="R417" i="6"/>
  <c r="S417" i="6" s="1"/>
  <c r="P418" i="6"/>
  <c r="Q418" i="6" s="1"/>
  <c r="R418" i="6"/>
  <c r="S418" i="6" s="1"/>
  <c r="P419" i="6"/>
  <c r="Q419" i="6" s="1"/>
  <c r="R419" i="6"/>
  <c r="S419" i="6" s="1"/>
  <c r="P420" i="6"/>
  <c r="Q420" i="6" s="1"/>
  <c r="R420" i="6"/>
  <c r="S420" i="6" s="1"/>
  <c r="P421" i="6"/>
  <c r="Q421" i="6" s="1"/>
  <c r="R421" i="6"/>
  <c r="S421" i="6" s="1"/>
  <c r="P422" i="6"/>
  <c r="Q422" i="6" s="1"/>
  <c r="R422" i="6"/>
  <c r="S422" i="6" s="1"/>
  <c r="P423" i="6"/>
  <c r="Q423" i="6" s="1"/>
  <c r="R423" i="6"/>
  <c r="S423" i="6" s="1"/>
  <c r="P424" i="6"/>
  <c r="Q424" i="6" s="1"/>
  <c r="R424" i="6"/>
  <c r="S424" i="6" s="1"/>
  <c r="P425" i="6"/>
  <c r="Q425" i="6" s="1"/>
  <c r="R425" i="6"/>
  <c r="S425" i="6" s="1"/>
  <c r="P426" i="6"/>
  <c r="Q426" i="6" s="1"/>
  <c r="R426" i="6"/>
  <c r="S426" i="6" s="1"/>
  <c r="P427" i="6"/>
  <c r="Q427" i="6" s="1"/>
  <c r="R427" i="6"/>
  <c r="S427" i="6" s="1"/>
  <c r="P428" i="6"/>
  <c r="Q428" i="6" s="1"/>
  <c r="R428" i="6"/>
  <c r="S428" i="6" s="1"/>
  <c r="P429" i="6"/>
  <c r="Q429" i="6" s="1"/>
  <c r="R429" i="6"/>
  <c r="S429" i="6" s="1"/>
  <c r="P430" i="6"/>
  <c r="Q430" i="6" s="1"/>
  <c r="R430" i="6"/>
  <c r="S430" i="6" s="1"/>
  <c r="P431" i="6"/>
  <c r="Q431" i="6" s="1"/>
  <c r="R431" i="6"/>
  <c r="S431" i="6" s="1"/>
  <c r="P432" i="6"/>
  <c r="Q432" i="6" s="1"/>
  <c r="R432" i="6"/>
  <c r="S432" i="6" s="1"/>
  <c r="P433" i="6"/>
  <c r="Q433" i="6" s="1"/>
  <c r="R433" i="6"/>
  <c r="S433" i="6" s="1"/>
  <c r="P434" i="6"/>
  <c r="Q434" i="6" s="1"/>
  <c r="R434" i="6"/>
  <c r="S434" i="6" s="1"/>
  <c r="P435" i="6"/>
  <c r="Q435" i="6" s="1"/>
  <c r="R435" i="6"/>
  <c r="S435" i="6" s="1"/>
  <c r="P436" i="6"/>
  <c r="Q436" i="6" s="1"/>
  <c r="R436" i="6"/>
  <c r="S436" i="6" s="1"/>
  <c r="P437" i="6"/>
  <c r="Q437" i="6" s="1"/>
  <c r="R437" i="6"/>
  <c r="S437" i="6" s="1"/>
  <c r="P438" i="6"/>
  <c r="Q438" i="6" s="1"/>
  <c r="R438" i="6"/>
  <c r="S438" i="6" s="1"/>
  <c r="P439" i="6"/>
  <c r="Q439" i="6" s="1"/>
  <c r="R439" i="6"/>
  <c r="S439" i="6" s="1"/>
  <c r="P440" i="6"/>
  <c r="Q440" i="6" s="1"/>
  <c r="R440" i="6"/>
  <c r="S440" i="6" s="1"/>
  <c r="P441" i="6"/>
  <c r="Q441" i="6" s="1"/>
  <c r="R441" i="6"/>
  <c r="S441" i="6" s="1"/>
  <c r="P442" i="6"/>
  <c r="Q442" i="6" s="1"/>
  <c r="R442" i="6"/>
  <c r="S442" i="6" s="1"/>
  <c r="P443" i="6"/>
  <c r="Q443" i="6" s="1"/>
  <c r="R443" i="6"/>
  <c r="S443" i="6" s="1"/>
  <c r="P444" i="6"/>
  <c r="Q444" i="6" s="1"/>
  <c r="R444" i="6"/>
  <c r="S444" i="6" s="1"/>
  <c r="P445" i="6"/>
  <c r="Q445" i="6" s="1"/>
  <c r="R445" i="6"/>
  <c r="S445" i="6" s="1"/>
  <c r="P446" i="6"/>
  <c r="Q446" i="6" s="1"/>
  <c r="R446" i="6"/>
  <c r="S446" i="6" s="1"/>
  <c r="P447" i="6"/>
  <c r="Q447" i="6" s="1"/>
  <c r="R447" i="6"/>
  <c r="S447" i="6" s="1"/>
  <c r="P448" i="6"/>
  <c r="Q448" i="6" s="1"/>
  <c r="R448" i="6"/>
  <c r="S448" i="6" s="1"/>
  <c r="P449" i="6"/>
  <c r="Q449" i="6" s="1"/>
  <c r="R449" i="6"/>
  <c r="S449" i="6" s="1"/>
  <c r="P450" i="6"/>
  <c r="Q450" i="6" s="1"/>
  <c r="R450" i="6"/>
  <c r="S450" i="6" s="1"/>
  <c r="P451" i="6"/>
  <c r="Q451" i="6" s="1"/>
  <c r="R451" i="6"/>
  <c r="S451" i="6" s="1"/>
  <c r="P452" i="6"/>
  <c r="Q452" i="6" s="1"/>
  <c r="R452" i="6"/>
  <c r="S452" i="6" s="1"/>
  <c r="P453" i="6"/>
  <c r="Q453" i="6" s="1"/>
  <c r="R453" i="6"/>
  <c r="S453" i="6" s="1"/>
  <c r="P454" i="6"/>
  <c r="Q454" i="6" s="1"/>
  <c r="R454" i="6"/>
  <c r="S454" i="6" s="1"/>
  <c r="P455" i="6"/>
  <c r="Q455" i="6" s="1"/>
  <c r="R455" i="6"/>
  <c r="S455" i="6" s="1"/>
  <c r="P456" i="6"/>
  <c r="Q456" i="6" s="1"/>
  <c r="R456" i="6"/>
  <c r="S456" i="6" s="1"/>
  <c r="P457" i="6"/>
  <c r="Q457" i="6" s="1"/>
  <c r="R457" i="6"/>
  <c r="S457" i="6" s="1"/>
  <c r="P458" i="6"/>
  <c r="Q458" i="6" s="1"/>
  <c r="R458" i="6"/>
  <c r="S458" i="6" s="1"/>
  <c r="P459" i="6"/>
  <c r="Q459" i="6" s="1"/>
  <c r="R459" i="6"/>
  <c r="S459" i="6" s="1"/>
  <c r="P460" i="6"/>
  <c r="Q460" i="6" s="1"/>
  <c r="R460" i="6"/>
  <c r="S460" i="6" s="1"/>
  <c r="P461" i="6"/>
  <c r="Q461" i="6" s="1"/>
  <c r="R461" i="6"/>
  <c r="S461" i="6" s="1"/>
  <c r="P462" i="6"/>
  <c r="Q462" i="6" s="1"/>
  <c r="R462" i="6"/>
  <c r="S462" i="6" s="1"/>
  <c r="P463" i="6"/>
  <c r="Q463" i="6" s="1"/>
  <c r="R463" i="6"/>
  <c r="S463" i="6" s="1"/>
  <c r="P464" i="6"/>
  <c r="Q464" i="6" s="1"/>
  <c r="R464" i="6"/>
  <c r="S464" i="6" s="1"/>
  <c r="P465" i="6"/>
  <c r="Q465" i="6" s="1"/>
  <c r="R465" i="6"/>
  <c r="S465" i="6" s="1"/>
  <c r="P466" i="6"/>
  <c r="Q466" i="6" s="1"/>
  <c r="R466" i="6"/>
  <c r="S466" i="6" s="1"/>
  <c r="P467" i="6"/>
  <c r="Q467" i="6" s="1"/>
  <c r="R467" i="6"/>
  <c r="S467" i="6" s="1"/>
  <c r="P468" i="6"/>
  <c r="Q468" i="6" s="1"/>
  <c r="R468" i="6"/>
  <c r="S468" i="6" s="1"/>
  <c r="P469" i="6"/>
  <c r="Q469" i="6" s="1"/>
  <c r="R469" i="6"/>
  <c r="S469" i="6" s="1"/>
  <c r="P470" i="6"/>
  <c r="Q470" i="6" s="1"/>
  <c r="R470" i="6"/>
  <c r="S470" i="6" s="1"/>
  <c r="P471" i="6"/>
  <c r="Q471" i="6" s="1"/>
  <c r="R471" i="6"/>
  <c r="S471" i="6" s="1"/>
  <c r="P472" i="6"/>
  <c r="Q472" i="6"/>
  <c r="R472" i="6"/>
  <c r="S472" i="6" s="1"/>
  <c r="P473" i="6"/>
  <c r="Q473" i="6" s="1"/>
  <c r="R473" i="6"/>
  <c r="S473" i="6" s="1"/>
  <c r="P474" i="6"/>
  <c r="Q474" i="6" s="1"/>
  <c r="R474" i="6"/>
  <c r="S474" i="6" s="1"/>
  <c r="P475" i="6"/>
  <c r="Q475" i="6" s="1"/>
  <c r="R475" i="6"/>
  <c r="S475" i="6" s="1"/>
  <c r="P476" i="6"/>
  <c r="Q476" i="6" s="1"/>
  <c r="R476" i="6"/>
  <c r="S476" i="6" s="1"/>
  <c r="P477" i="6"/>
  <c r="Q477" i="6" s="1"/>
  <c r="R477" i="6"/>
  <c r="S477" i="6" s="1"/>
  <c r="P478" i="6"/>
  <c r="Q478" i="6"/>
  <c r="R478" i="6"/>
  <c r="S478" i="6" s="1"/>
  <c r="P479" i="6"/>
  <c r="Q479" i="6" s="1"/>
  <c r="R479" i="6"/>
  <c r="S479" i="6" s="1"/>
  <c r="P480" i="6"/>
  <c r="Q480" i="6" s="1"/>
  <c r="R480" i="6"/>
  <c r="S480" i="6" s="1"/>
  <c r="P481" i="6"/>
  <c r="Q481" i="6" s="1"/>
  <c r="R481" i="6"/>
  <c r="S481" i="6" s="1"/>
  <c r="P482" i="6"/>
  <c r="Q482" i="6"/>
  <c r="R482" i="6"/>
  <c r="S482" i="6" s="1"/>
  <c r="P483" i="6"/>
  <c r="Q483" i="6" s="1"/>
  <c r="R483" i="6"/>
  <c r="S483" i="6" s="1"/>
  <c r="P484" i="6"/>
  <c r="Q484" i="6" s="1"/>
  <c r="R484" i="6"/>
  <c r="S484" i="6" s="1"/>
  <c r="P485" i="6"/>
  <c r="Q485" i="6" s="1"/>
  <c r="R485" i="6"/>
  <c r="S485" i="6" s="1"/>
  <c r="P486" i="6"/>
  <c r="Q486" i="6"/>
  <c r="R486" i="6"/>
  <c r="S486" i="6" s="1"/>
  <c r="P487" i="6"/>
  <c r="Q487" i="6" s="1"/>
  <c r="R487" i="6"/>
  <c r="S487" i="6" s="1"/>
  <c r="P488" i="6"/>
  <c r="Q488" i="6"/>
  <c r="R488" i="6"/>
  <c r="S488" i="6" s="1"/>
  <c r="P489" i="6"/>
  <c r="Q489" i="6" s="1"/>
  <c r="R489" i="6"/>
  <c r="S489" i="6" s="1"/>
  <c r="P490" i="6"/>
  <c r="Q490" i="6" s="1"/>
  <c r="R490" i="6"/>
  <c r="S490" i="6" s="1"/>
  <c r="P491" i="6"/>
  <c r="Q491" i="6" s="1"/>
  <c r="R491" i="6"/>
  <c r="S491" i="6" s="1"/>
  <c r="P492" i="6"/>
  <c r="Q492" i="6" s="1"/>
  <c r="R492" i="6"/>
  <c r="S492" i="6" s="1"/>
  <c r="P493" i="6"/>
  <c r="Q493" i="6" s="1"/>
  <c r="R493" i="6"/>
  <c r="S493" i="6" s="1"/>
  <c r="P494" i="6"/>
  <c r="Q494" i="6"/>
  <c r="R494" i="6"/>
  <c r="S494" i="6" s="1"/>
  <c r="P495" i="6"/>
  <c r="Q495" i="6" s="1"/>
  <c r="R495" i="6"/>
  <c r="S495" i="6" s="1"/>
  <c r="P496" i="6"/>
  <c r="Q496" i="6" s="1"/>
  <c r="R496" i="6"/>
  <c r="S496" i="6" s="1"/>
  <c r="P497" i="6"/>
  <c r="Q497" i="6" s="1"/>
  <c r="R497" i="6"/>
  <c r="S497" i="6" s="1"/>
  <c r="P498" i="6"/>
  <c r="Q498" i="6"/>
  <c r="R498" i="6"/>
  <c r="S498" i="6" s="1"/>
  <c r="P499" i="6"/>
  <c r="Q499" i="6" s="1"/>
  <c r="R499" i="6"/>
  <c r="S499" i="6" s="1"/>
  <c r="P500" i="6"/>
  <c r="Q500" i="6" s="1"/>
  <c r="R500" i="6"/>
  <c r="S500" i="6" s="1"/>
  <c r="P501" i="6"/>
  <c r="Q501" i="6" s="1"/>
  <c r="R501" i="6"/>
  <c r="S501" i="6" s="1"/>
  <c r="P502" i="6"/>
  <c r="Q502" i="6"/>
  <c r="R502" i="6"/>
  <c r="S502" i="6" s="1"/>
  <c r="P503" i="6"/>
  <c r="Q503" i="6" s="1"/>
  <c r="R503" i="6"/>
  <c r="S503" i="6" s="1"/>
  <c r="P504" i="6"/>
  <c r="Q504" i="6"/>
  <c r="R504" i="6"/>
  <c r="S504" i="6" s="1"/>
  <c r="P505" i="6"/>
  <c r="Q505" i="6" s="1"/>
  <c r="R505" i="6"/>
  <c r="S505" i="6" s="1"/>
  <c r="P506" i="6"/>
  <c r="Q506" i="6" s="1"/>
  <c r="R506" i="6"/>
  <c r="S506" i="6" s="1"/>
  <c r="P507" i="6"/>
  <c r="Q507" i="6" s="1"/>
  <c r="R507" i="6"/>
  <c r="S507" i="6" s="1"/>
  <c r="P508" i="6"/>
  <c r="Q508" i="6" s="1"/>
  <c r="R508" i="6"/>
  <c r="S508" i="6" s="1"/>
  <c r="P509" i="6"/>
  <c r="Q509" i="6" s="1"/>
  <c r="R509" i="6"/>
  <c r="S509" i="6" s="1"/>
  <c r="P510" i="6"/>
  <c r="Q510" i="6"/>
  <c r="R510" i="6"/>
  <c r="S510" i="6" s="1"/>
  <c r="P511" i="6"/>
  <c r="Q511" i="6" s="1"/>
  <c r="R511" i="6"/>
  <c r="S511" i="6" s="1"/>
  <c r="P512" i="6"/>
  <c r="Q512" i="6" s="1"/>
  <c r="R512" i="6"/>
  <c r="S512" i="6" s="1"/>
  <c r="P513" i="6"/>
  <c r="Q513" i="6"/>
  <c r="R513" i="6"/>
  <c r="S513" i="6"/>
  <c r="P514" i="6"/>
  <c r="Q514" i="6"/>
  <c r="R514" i="6"/>
  <c r="S514" i="6" s="1"/>
  <c r="P515" i="6"/>
  <c r="Q515" i="6" s="1"/>
  <c r="R515" i="6"/>
  <c r="S515" i="6" s="1"/>
  <c r="P516" i="6"/>
  <c r="Q516" i="6" s="1"/>
  <c r="R516" i="6"/>
  <c r="S516" i="6" s="1"/>
  <c r="P517" i="6"/>
  <c r="Q517" i="6" s="1"/>
  <c r="R517" i="6"/>
  <c r="S517" i="6"/>
  <c r="P518" i="6"/>
  <c r="Q518" i="6"/>
  <c r="R518" i="6"/>
  <c r="S518" i="6" s="1"/>
  <c r="P519" i="6"/>
  <c r="Q519" i="6" s="1"/>
  <c r="R519" i="6"/>
  <c r="S519" i="6" s="1"/>
  <c r="P520" i="6"/>
  <c r="Q520" i="6"/>
  <c r="R520" i="6"/>
  <c r="S520" i="6" s="1"/>
  <c r="P521" i="6"/>
  <c r="Q521" i="6"/>
  <c r="R521" i="6"/>
  <c r="S521" i="6" s="1"/>
  <c r="P522" i="6"/>
  <c r="Q522" i="6"/>
  <c r="R522" i="6"/>
  <c r="S522" i="6" s="1"/>
  <c r="P523" i="6"/>
  <c r="Q523" i="6" s="1"/>
  <c r="R523" i="6"/>
  <c r="S523" i="6" s="1"/>
  <c r="P524" i="6"/>
  <c r="Q524" i="6" s="1"/>
  <c r="R524" i="6"/>
  <c r="S524" i="6" s="1"/>
  <c r="P525" i="6"/>
  <c r="Q525" i="6"/>
  <c r="R525" i="6"/>
  <c r="S525" i="6"/>
  <c r="P526" i="6"/>
  <c r="Q526" i="6" s="1"/>
  <c r="R526" i="6"/>
  <c r="S526" i="6" s="1"/>
  <c r="P527" i="6"/>
  <c r="Q527" i="6" s="1"/>
  <c r="R527" i="6"/>
  <c r="S527" i="6" s="1"/>
  <c r="P528" i="6"/>
  <c r="Q528" i="6" s="1"/>
  <c r="R528" i="6"/>
  <c r="S528" i="6" s="1"/>
  <c r="P529" i="6"/>
  <c r="Q529" i="6"/>
  <c r="R529" i="6"/>
  <c r="S529" i="6"/>
  <c r="P530" i="6"/>
  <c r="Q530" i="6"/>
  <c r="R530" i="6"/>
  <c r="S530" i="6" s="1"/>
  <c r="P531" i="6"/>
  <c r="Q531" i="6" s="1"/>
  <c r="R531" i="6"/>
  <c r="S531" i="6" s="1"/>
  <c r="P532" i="6"/>
  <c r="Q532" i="6" s="1"/>
  <c r="R532" i="6"/>
  <c r="S532" i="6" s="1"/>
  <c r="P533" i="6"/>
  <c r="Q533" i="6" s="1"/>
  <c r="R533" i="6"/>
  <c r="S533" i="6"/>
  <c r="P534" i="6"/>
  <c r="Q534" i="6"/>
  <c r="R534" i="6"/>
  <c r="S534" i="6" s="1"/>
  <c r="P535" i="6"/>
  <c r="Q535" i="6" s="1"/>
  <c r="R535" i="6"/>
  <c r="S535" i="6" s="1"/>
  <c r="P536" i="6"/>
  <c r="Q536" i="6" s="1"/>
  <c r="R536" i="6"/>
  <c r="S536" i="6" s="1"/>
  <c r="P537" i="6"/>
  <c r="Q537" i="6"/>
  <c r="R537" i="6"/>
  <c r="S537" i="6" s="1"/>
  <c r="P538" i="6"/>
  <c r="Q538" i="6" s="1"/>
  <c r="R538" i="6"/>
  <c r="S538" i="6" s="1"/>
  <c r="P539" i="6"/>
  <c r="Q539" i="6" s="1"/>
  <c r="R539" i="6"/>
  <c r="S539" i="6" s="1"/>
  <c r="P540" i="6"/>
  <c r="Q540" i="6" s="1"/>
  <c r="R540" i="6"/>
  <c r="S540" i="6" s="1"/>
  <c r="P541" i="6"/>
  <c r="Q541" i="6"/>
  <c r="R541" i="6"/>
  <c r="S541" i="6"/>
  <c r="P542" i="6"/>
  <c r="Q542" i="6" s="1"/>
  <c r="R542" i="6"/>
  <c r="S542" i="6" s="1"/>
  <c r="P543" i="6"/>
  <c r="Q543" i="6" s="1"/>
  <c r="R543" i="6"/>
  <c r="S543" i="6" s="1"/>
  <c r="P544" i="6"/>
  <c r="Q544" i="6" s="1"/>
  <c r="R544" i="6"/>
  <c r="S544" i="6" s="1"/>
  <c r="P545" i="6"/>
  <c r="Q545" i="6" s="1"/>
  <c r="R545" i="6"/>
  <c r="S545" i="6"/>
  <c r="P546" i="6"/>
  <c r="Q546" i="6"/>
  <c r="R546" i="6"/>
  <c r="S546" i="6" s="1"/>
  <c r="P547" i="6"/>
  <c r="Q547" i="6" s="1"/>
  <c r="R547" i="6"/>
  <c r="S547" i="6"/>
  <c r="P548" i="6"/>
  <c r="Q548" i="6"/>
  <c r="R548" i="6"/>
  <c r="S548" i="6" s="1"/>
  <c r="P549" i="6"/>
  <c r="Q549" i="6" s="1"/>
  <c r="R549" i="6"/>
  <c r="S549" i="6"/>
  <c r="P550" i="6"/>
  <c r="Q550" i="6"/>
  <c r="R550" i="6"/>
  <c r="S550" i="6" s="1"/>
  <c r="P551" i="6"/>
  <c r="Q551" i="6" s="1"/>
  <c r="R551" i="6"/>
  <c r="S551" i="6"/>
  <c r="P552" i="6"/>
  <c r="Q552" i="6"/>
  <c r="R552" i="6"/>
  <c r="S552" i="6" s="1"/>
  <c r="P553" i="6"/>
  <c r="Q553" i="6" s="1"/>
  <c r="R553" i="6"/>
  <c r="S553" i="6"/>
  <c r="P554" i="6"/>
  <c r="Q554" i="6"/>
  <c r="R554" i="6"/>
  <c r="S554" i="6" s="1"/>
  <c r="P555" i="6"/>
  <c r="Q555" i="6" s="1"/>
  <c r="R555" i="6"/>
  <c r="S555" i="6"/>
  <c r="P556" i="6"/>
  <c r="Q556" i="6"/>
  <c r="R556" i="6"/>
  <c r="S556" i="6" s="1"/>
  <c r="P557" i="6"/>
  <c r="Q557" i="6" s="1"/>
  <c r="R557" i="6"/>
  <c r="S557" i="6"/>
  <c r="P558" i="6"/>
  <c r="Q558" i="6"/>
  <c r="R558" i="6"/>
  <c r="S558" i="6" s="1"/>
  <c r="P559" i="6"/>
  <c r="Q559" i="6" s="1"/>
  <c r="R559" i="6"/>
  <c r="S559" i="6"/>
  <c r="P560" i="6"/>
  <c r="Q560" i="6"/>
  <c r="R560" i="6"/>
  <c r="S560" i="6" s="1"/>
  <c r="P561" i="6"/>
  <c r="Q561" i="6" s="1"/>
  <c r="R561" i="6"/>
  <c r="S561" i="6"/>
  <c r="P562" i="6"/>
  <c r="Q562" i="6"/>
  <c r="R562" i="6"/>
  <c r="S562" i="6" s="1"/>
  <c r="P563" i="6"/>
  <c r="Q563" i="6" s="1"/>
  <c r="R563" i="6"/>
  <c r="S563" i="6"/>
  <c r="P564" i="6"/>
  <c r="Q564" i="6"/>
  <c r="R564" i="6"/>
  <c r="S564" i="6" s="1"/>
  <c r="P565" i="6"/>
  <c r="Q565" i="6" s="1"/>
  <c r="R565" i="6"/>
  <c r="S565" i="6"/>
  <c r="P566" i="6"/>
  <c r="Q566" i="6"/>
  <c r="R566" i="6"/>
  <c r="S566" i="6" s="1"/>
  <c r="P567" i="6"/>
  <c r="Q567" i="6" s="1"/>
  <c r="R567" i="6"/>
  <c r="S567" i="6"/>
  <c r="P568" i="6"/>
  <c r="Q568" i="6"/>
  <c r="R568" i="6"/>
  <c r="S568" i="6" s="1"/>
  <c r="P569" i="6"/>
  <c r="Q569" i="6" s="1"/>
  <c r="R569" i="6"/>
  <c r="S569" i="6"/>
  <c r="P570" i="6"/>
  <c r="Q570" i="6"/>
  <c r="R570" i="6"/>
  <c r="S570" i="6" s="1"/>
  <c r="P571" i="6"/>
  <c r="Q571" i="6" s="1"/>
  <c r="R571" i="6"/>
  <c r="S571" i="6"/>
  <c r="P572" i="6"/>
  <c r="Q572" i="6"/>
  <c r="R572" i="6"/>
  <c r="S572" i="6" s="1"/>
  <c r="P573" i="6"/>
  <c r="Q573" i="6" s="1"/>
  <c r="R573" i="6"/>
  <c r="S573" i="6"/>
  <c r="P574" i="6"/>
  <c r="Q574" i="6"/>
  <c r="R574" i="6"/>
  <c r="S574" i="6" s="1"/>
  <c r="P575" i="6"/>
  <c r="Q575" i="6" s="1"/>
  <c r="R575" i="6"/>
  <c r="S575" i="6"/>
  <c r="P576" i="6"/>
  <c r="Q576" i="6"/>
  <c r="R576" i="6"/>
  <c r="S576" i="6" s="1"/>
  <c r="P577" i="6"/>
  <c r="Q577" i="6" s="1"/>
  <c r="R577" i="6"/>
  <c r="S577" i="6"/>
  <c r="P578" i="6"/>
  <c r="Q578" i="6"/>
  <c r="R578" i="6"/>
  <c r="S578" i="6" s="1"/>
  <c r="P579" i="6"/>
  <c r="Q579" i="6" s="1"/>
  <c r="R579" i="6"/>
  <c r="S579" i="6" s="1"/>
  <c r="P580" i="6"/>
  <c r="Q580" i="6"/>
  <c r="R580" i="6"/>
  <c r="S580" i="6" s="1"/>
  <c r="P581" i="6"/>
  <c r="Q581" i="6" s="1"/>
  <c r="R581" i="6"/>
  <c r="S581" i="6" s="1"/>
  <c r="P582" i="6"/>
  <c r="Q582" i="6"/>
  <c r="R582" i="6"/>
  <c r="S582" i="6" s="1"/>
  <c r="P583" i="6"/>
  <c r="Q583" i="6" s="1"/>
  <c r="R583" i="6"/>
  <c r="S583" i="6" s="1"/>
  <c r="P584" i="6"/>
  <c r="Q584" i="6"/>
  <c r="R584" i="6"/>
  <c r="S584" i="6" s="1"/>
  <c r="P585" i="6"/>
  <c r="Q585" i="6" s="1"/>
  <c r="R585" i="6"/>
  <c r="S585" i="6" s="1"/>
  <c r="P586" i="6"/>
  <c r="Q586" i="6"/>
  <c r="R586" i="6"/>
  <c r="S586" i="6" s="1"/>
  <c r="P587" i="6"/>
  <c r="Q587" i="6" s="1"/>
  <c r="R587" i="6"/>
  <c r="S587" i="6" s="1"/>
  <c r="P588" i="6"/>
  <c r="Q588" i="6"/>
  <c r="R588" i="6"/>
  <c r="S588" i="6" s="1"/>
  <c r="P589" i="6"/>
  <c r="Q589" i="6" s="1"/>
  <c r="R589" i="6"/>
  <c r="S589" i="6" s="1"/>
  <c r="P590" i="6"/>
  <c r="Q590" i="6"/>
  <c r="R590" i="6"/>
  <c r="S590" i="6" s="1"/>
  <c r="P591" i="6"/>
  <c r="Q591" i="6" s="1"/>
  <c r="R591" i="6"/>
  <c r="S591" i="6" s="1"/>
  <c r="P592" i="6"/>
  <c r="Q592" i="6"/>
  <c r="R592" i="6"/>
  <c r="S592" i="6" s="1"/>
  <c r="P593" i="6"/>
  <c r="Q593" i="6" s="1"/>
  <c r="R593" i="6"/>
  <c r="S593" i="6" s="1"/>
  <c r="P594" i="6"/>
  <c r="Q594" i="6"/>
  <c r="R594" i="6"/>
  <c r="S594" i="6" s="1"/>
  <c r="P595" i="6"/>
  <c r="Q595" i="6" s="1"/>
  <c r="R595" i="6"/>
  <c r="S595" i="6" s="1"/>
  <c r="P596" i="6"/>
  <c r="Q596" i="6"/>
  <c r="R596" i="6"/>
  <c r="S596" i="6" s="1"/>
  <c r="P597" i="6"/>
  <c r="Q597" i="6" s="1"/>
  <c r="R597" i="6"/>
  <c r="S597" i="6" s="1"/>
  <c r="P598" i="6"/>
  <c r="Q598" i="6"/>
  <c r="R598" i="6"/>
  <c r="S598" i="6" s="1"/>
  <c r="P599" i="6"/>
  <c r="Q599" i="6" s="1"/>
  <c r="R599" i="6"/>
  <c r="S599" i="6" s="1"/>
  <c r="P600" i="6"/>
  <c r="Q600" i="6"/>
  <c r="R600" i="6"/>
  <c r="S600" i="6" s="1"/>
  <c r="P601" i="6"/>
  <c r="Q601" i="6" s="1"/>
  <c r="R601" i="6"/>
  <c r="S601" i="6" s="1"/>
  <c r="P602" i="6"/>
  <c r="Q602" i="6"/>
  <c r="R602" i="6"/>
  <c r="S602" i="6" s="1"/>
  <c r="P603" i="6"/>
  <c r="Q603" i="6" s="1"/>
  <c r="R603" i="6"/>
  <c r="S603" i="6" s="1"/>
  <c r="P604" i="6"/>
  <c r="Q604" i="6"/>
  <c r="R604" i="6"/>
  <c r="S604" i="6" s="1"/>
  <c r="P605" i="6"/>
  <c r="Q605" i="6" s="1"/>
  <c r="R605" i="6"/>
  <c r="S605" i="6" s="1"/>
  <c r="P606" i="6"/>
  <c r="Q606" i="6"/>
  <c r="R606" i="6"/>
  <c r="S606" i="6" s="1"/>
  <c r="P607" i="6"/>
  <c r="Q607" i="6" s="1"/>
  <c r="R607" i="6"/>
  <c r="S607" i="6" s="1"/>
  <c r="P608" i="6"/>
  <c r="Q608" i="6"/>
  <c r="R608" i="6"/>
  <c r="S608" i="6" s="1"/>
  <c r="P609" i="6"/>
  <c r="Q609" i="6" s="1"/>
  <c r="R609" i="6"/>
  <c r="S609" i="6" s="1"/>
  <c r="P610" i="6"/>
  <c r="Q610" i="6"/>
  <c r="R610" i="6"/>
  <c r="S610" i="6" s="1"/>
  <c r="P611" i="6"/>
  <c r="Q611" i="6" s="1"/>
  <c r="R611" i="6"/>
  <c r="S611" i="6" s="1"/>
  <c r="P612" i="6"/>
  <c r="Q612" i="6"/>
  <c r="R612" i="6"/>
  <c r="S612" i="6" s="1"/>
  <c r="P613" i="6"/>
  <c r="Q613" i="6" s="1"/>
  <c r="R613" i="6"/>
  <c r="S613" i="6" s="1"/>
  <c r="P614" i="6"/>
  <c r="Q614" i="6"/>
  <c r="R614" i="6"/>
  <c r="S614" i="6" s="1"/>
  <c r="P615" i="6"/>
  <c r="Q615" i="6" s="1"/>
  <c r="R615" i="6"/>
  <c r="S615" i="6" s="1"/>
  <c r="P616" i="6"/>
  <c r="Q616" i="6"/>
  <c r="R616" i="6"/>
  <c r="S616" i="6" s="1"/>
  <c r="P617" i="6"/>
  <c r="Q617" i="6" s="1"/>
  <c r="R617" i="6"/>
  <c r="S617" i="6" s="1"/>
  <c r="P618" i="6"/>
  <c r="Q618" i="6"/>
  <c r="R618" i="6"/>
  <c r="S618" i="6" s="1"/>
  <c r="P619" i="6"/>
  <c r="Q619" i="6" s="1"/>
  <c r="R619" i="6"/>
  <c r="S619" i="6" s="1"/>
  <c r="P620" i="6"/>
  <c r="Q620" i="6"/>
  <c r="R620" i="6"/>
  <c r="S620" i="6" s="1"/>
  <c r="P621" i="6"/>
  <c r="Q621" i="6" s="1"/>
  <c r="R621" i="6"/>
  <c r="S621" i="6" s="1"/>
  <c r="P622" i="6"/>
  <c r="Q622" i="6"/>
  <c r="R622" i="6"/>
  <c r="S622" i="6" s="1"/>
  <c r="P623" i="6"/>
  <c r="Q623" i="6" s="1"/>
  <c r="R623" i="6"/>
  <c r="S623" i="6" s="1"/>
  <c r="P624" i="6"/>
  <c r="Q624" i="6"/>
  <c r="R624" i="6"/>
  <c r="S624" i="6" s="1"/>
  <c r="P625" i="6"/>
  <c r="Q625" i="6" s="1"/>
  <c r="R625" i="6"/>
  <c r="S625" i="6" s="1"/>
  <c r="P626" i="6"/>
  <c r="Q626" i="6"/>
  <c r="R626" i="6"/>
  <c r="S626" i="6" s="1"/>
  <c r="P627" i="6"/>
  <c r="Q627" i="6" s="1"/>
  <c r="R627" i="6"/>
  <c r="S627" i="6" s="1"/>
  <c r="P628" i="6"/>
  <c r="Q628" i="6"/>
  <c r="R628" i="6"/>
  <c r="S628" i="6" s="1"/>
  <c r="P629" i="6"/>
  <c r="Q629" i="6" s="1"/>
  <c r="R629" i="6"/>
  <c r="S629" i="6" s="1"/>
  <c r="P630" i="6"/>
  <c r="Q630" i="6"/>
  <c r="R630" i="6"/>
  <c r="S630" i="6" s="1"/>
  <c r="P631" i="6"/>
  <c r="Q631" i="6" s="1"/>
  <c r="R631" i="6"/>
  <c r="S631" i="6" s="1"/>
  <c r="P632" i="6"/>
  <c r="Q632" i="6"/>
  <c r="R632" i="6"/>
  <c r="S632" i="6" s="1"/>
  <c r="P633" i="6"/>
  <c r="Q633" i="6" s="1"/>
  <c r="R633" i="6"/>
  <c r="S633" i="6" s="1"/>
  <c r="P634" i="6"/>
  <c r="Q634" i="6"/>
  <c r="R634" i="6"/>
  <c r="S634" i="6" s="1"/>
  <c r="P635" i="6"/>
  <c r="Q635" i="6" s="1"/>
  <c r="R635" i="6"/>
  <c r="S635" i="6" s="1"/>
  <c r="P636" i="6"/>
  <c r="Q636" i="6"/>
  <c r="R636" i="6"/>
  <c r="S636" i="6" s="1"/>
  <c r="P637" i="6"/>
  <c r="Q637" i="6" s="1"/>
  <c r="R637" i="6"/>
  <c r="S637" i="6" s="1"/>
  <c r="P638" i="6"/>
  <c r="Q638" i="6"/>
  <c r="R638" i="6"/>
  <c r="S638" i="6" s="1"/>
  <c r="P639" i="6"/>
  <c r="Q639" i="6" s="1"/>
  <c r="R639" i="6"/>
  <c r="S639" i="6" s="1"/>
  <c r="P640" i="6"/>
  <c r="Q640" i="6"/>
  <c r="R640" i="6"/>
  <c r="S640" i="6" s="1"/>
  <c r="P641" i="6"/>
  <c r="Q641" i="6" s="1"/>
  <c r="R641" i="6"/>
  <c r="S641" i="6" s="1"/>
  <c r="P642" i="6"/>
  <c r="Q642" i="6"/>
  <c r="R642" i="6"/>
  <c r="S642" i="6" s="1"/>
  <c r="P643" i="6"/>
  <c r="Q643" i="6" s="1"/>
  <c r="R643" i="6"/>
  <c r="S643" i="6" s="1"/>
  <c r="P644" i="6"/>
  <c r="Q644" i="6"/>
  <c r="R644" i="6"/>
  <c r="S644" i="6" s="1"/>
  <c r="AX7" i="6"/>
  <c r="AY7" i="6" s="1"/>
  <c r="AV7" i="6"/>
  <c r="AW7" i="6" s="1"/>
  <c r="AM7" i="6"/>
  <c r="AL7" i="6"/>
  <c r="AH7" i="6"/>
  <c r="AI7" i="6" s="1"/>
  <c r="AF7" i="6"/>
  <c r="AG7" i="6" s="1"/>
  <c r="W7" i="6"/>
  <c r="V7" i="6"/>
  <c r="S7" i="6"/>
  <c r="BA7" i="6" s="1"/>
  <c r="R7" i="6"/>
  <c r="P7" i="6"/>
  <c r="Q7" i="6" s="1"/>
  <c r="AZ7" i="6" l="1"/>
  <c r="J7" i="19" l="1"/>
  <c r="I7" i="19"/>
  <c r="G45" i="19" l="1"/>
  <c r="H45" i="19"/>
  <c r="G46" i="19"/>
  <c r="H46" i="19"/>
  <c r="G47" i="19"/>
  <c r="H47" i="19"/>
  <c r="G48" i="19"/>
  <c r="H48" i="19"/>
  <c r="G49" i="19"/>
  <c r="H49" i="19"/>
  <c r="G50" i="19"/>
  <c r="H50" i="19"/>
  <c r="G51" i="19"/>
  <c r="H51" i="19"/>
  <c r="G52" i="19"/>
  <c r="H52" i="19"/>
  <c r="G53" i="19"/>
  <c r="H53" i="19"/>
  <c r="G54" i="19"/>
  <c r="H54" i="19"/>
  <c r="G55" i="19"/>
  <c r="H55" i="19"/>
  <c r="G56" i="19"/>
  <c r="H56" i="19"/>
  <c r="G57" i="19"/>
  <c r="H57" i="19"/>
  <c r="G58" i="19"/>
  <c r="H58" i="19"/>
  <c r="G59" i="19"/>
  <c r="H59" i="19"/>
  <c r="G60" i="19"/>
  <c r="H60" i="19"/>
  <c r="G61" i="19"/>
  <c r="H61" i="19"/>
  <c r="G62" i="19"/>
  <c r="H62" i="19"/>
  <c r="G63" i="19"/>
  <c r="H63" i="19"/>
  <c r="G64" i="19"/>
  <c r="H64" i="19"/>
  <c r="G65" i="19"/>
  <c r="H65" i="19"/>
  <c r="G66" i="19"/>
  <c r="H66" i="19"/>
  <c r="G67" i="19"/>
  <c r="H67" i="19"/>
  <c r="G68" i="19"/>
  <c r="H68" i="19"/>
  <c r="G69" i="19"/>
  <c r="H69" i="19"/>
  <c r="G70" i="19"/>
  <c r="H70" i="19"/>
  <c r="G71" i="19"/>
  <c r="H71" i="19"/>
  <c r="G72" i="19"/>
  <c r="H72" i="19"/>
  <c r="G73" i="19"/>
  <c r="H73" i="19"/>
  <c r="G74" i="19"/>
  <c r="H74" i="19"/>
  <c r="G75" i="19"/>
  <c r="H75" i="19"/>
  <c r="G76" i="19"/>
  <c r="H76" i="19"/>
  <c r="G77" i="19"/>
  <c r="H77" i="19"/>
  <c r="G78" i="19"/>
  <c r="H78" i="19"/>
  <c r="G79" i="19"/>
  <c r="H79" i="19"/>
  <c r="G80" i="19"/>
  <c r="H80" i="19"/>
  <c r="G81" i="19"/>
  <c r="H81" i="19"/>
  <c r="G82" i="19"/>
  <c r="H82" i="19"/>
  <c r="G83" i="19"/>
  <c r="H83" i="19"/>
  <c r="G84" i="19"/>
  <c r="H84" i="19"/>
  <c r="G85" i="19"/>
  <c r="H85" i="19"/>
  <c r="G86" i="19"/>
  <c r="H86" i="19"/>
  <c r="G87" i="19"/>
  <c r="H87" i="19"/>
  <c r="G88" i="19"/>
  <c r="H88" i="19"/>
  <c r="G89" i="19"/>
  <c r="H89" i="19"/>
  <c r="G90" i="19"/>
  <c r="H90" i="19"/>
  <c r="G91" i="19"/>
  <c r="H91" i="19"/>
  <c r="G92" i="19"/>
  <c r="H92" i="19"/>
  <c r="G93" i="19"/>
  <c r="H93" i="19"/>
  <c r="G94" i="19"/>
  <c r="H94" i="19"/>
  <c r="G95" i="19"/>
  <c r="H95" i="19"/>
  <c r="G96" i="19"/>
  <c r="H96" i="19"/>
  <c r="G97" i="19"/>
  <c r="H97" i="19"/>
  <c r="G98" i="19"/>
  <c r="H98" i="19"/>
  <c r="G99" i="19"/>
  <c r="H99" i="19"/>
  <c r="G100" i="19"/>
  <c r="H100" i="19"/>
  <c r="G101" i="19"/>
  <c r="H101" i="19"/>
  <c r="G102" i="19"/>
  <c r="H102" i="19"/>
  <c r="G103" i="19"/>
  <c r="H103" i="19"/>
  <c r="G104" i="19"/>
  <c r="H104" i="19"/>
  <c r="G105" i="19"/>
  <c r="H105" i="19"/>
  <c r="G106" i="19"/>
  <c r="H106" i="19"/>
  <c r="G107" i="19"/>
  <c r="H107" i="19"/>
  <c r="G108" i="19"/>
  <c r="H108" i="19"/>
  <c r="G109" i="19"/>
  <c r="H109" i="19"/>
  <c r="G110" i="19"/>
  <c r="H110" i="19"/>
  <c r="G111" i="19"/>
  <c r="H111" i="19"/>
  <c r="G112" i="19"/>
  <c r="H112" i="19"/>
  <c r="G113" i="19"/>
  <c r="H113" i="19"/>
  <c r="G114" i="19"/>
  <c r="H114" i="19"/>
  <c r="G115" i="19"/>
  <c r="H115" i="19"/>
  <c r="G116" i="19"/>
  <c r="H116" i="19"/>
  <c r="G117" i="19"/>
  <c r="H117" i="19"/>
  <c r="G118" i="19"/>
  <c r="H118" i="19"/>
  <c r="G119" i="19"/>
  <c r="H119" i="19"/>
  <c r="G120" i="19"/>
  <c r="H120" i="19"/>
  <c r="G121" i="19"/>
  <c r="H121" i="19"/>
  <c r="G122" i="19"/>
  <c r="H122" i="19"/>
  <c r="G123" i="19"/>
  <c r="H123" i="19"/>
  <c r="G124" i="19"/>
  <c r="H124" i="19"/>
  <c r="G125" i="19"/>
  <c r="H125" i="19"/>
  <c r="G126" i="19"/>
  <c r="H126" i="19"/>
  <c r="G127" i="19"/>
  <c r="H127" i="19"/>
  <c r="G128" i="19"/>
  <c r="H128" i="19"/>
  <c r="G129" i="19"/>
  <c r="H129" i="19"/>
  <c r="G130" i="19"/>
  <c r="H130" i="19"/>
  <c r="G131" i="19"/>
  <c r="H131" i="19"/>
  <c r="G132" i="19"/>
  <c r="H132" i="19"/>
  <c r="G133" i="19"/>
  <c r="H133" i="19"/>
  <c r="G134" i="19"/>
  <c r="H134" i="19"/>
  <c r="G135" i="19"/>
  <c r="H135" i="19"/>
  <c r="G136" i="19"/>
  <c r="H136" i="19"/>
  <c r="G137" i="19"/>
  <c r="H137" i="19"/>
  <c r="G138" i="19"/>
  <c r="H138" i="19"/>
  <c r="G139" i="19"/>
  <c r="H139" i="19"/>
  <c r="G140" i="19"/>
  <c r="H140" i="19"/>
  <c r="G141" i="19"/>
  <c r="H141" i="19"/>
  <c r="G142" i="19"/>
  <c r="H142" i="19"/>
  <c r="G143" i="19"/>
  <c r="H143" i="19"/>
  <c r="G144" i="19"/>
  <c r="H144" i="19"/>
  <c r="G145" i="19"/>
  <c r="H145" i="19"/>
  <c r="G146" i="19"/>
  <c r="H146" i="19"/>
  <c r="G147" i="19"/>
  <c r="H147" i="19"/>
  <c r="G148" i="19"/>
  <c r="H148" i="19"/>
  <c r="G149" i="19"/>
  <c r="H149" i="19"/>
  <c r="G150" i="19"/>
  <c r="H150" i="19"/>
  <c r="G151" i="19"/>
  <c r="H151" i="19"/>
  <c r="G152" i="19"/>
  <c r="H152" i="19"/>
  <c r="G153" i="19"/>
  <c r="H153" i="19"/>
  <c r="G154" i="19"/>
  <c r="H154" i="19"/>
  <c r="G155" i="19"/>
  <c r="H155" i="19"/>
  <c r="G156" i="19"/>
  <c r="H156" i="19"/>
  <c r="G157" i="19"/>
  <c r="H157" i="19"/>
  <c r="G158" i="19"/>
  <c r="H158" i="19"/>
  <c r="G159" i="19"/>
  <c r="H159" i="19"/>
  <c r="G160" i="19"/>
  <c r="H160" i="19"/>
  <c r="G161" i="19"/>
  <c r="H161" i="19"/>
  <c r="G162" i="19"/>
  <c r="H162" i="19"/>
  <c r="G163" i="19"/>
  <c r="H163" i="19"/>
  <c r="G164" i="19"/>
  <c r="H164" i="19"/>
  <c r="G165" i="19"/>
  <c r="H165" i="19"/>
  <c r="G166" i="19"/>
  <c r="H166" i="19"/>
  <c r="G167" i="19"/>
  <c r="H167" i="19"/>
  <c r="G168" i="19"/>
  <c r="H168" i="19"/>
  <c r="G169" i="19"/>
  <c r="H169" i="19"/>
  <c r="G170" i="19"/>
  <c r="H170" i="19"/>
  <c r="G171" i="19"/>
  <c r="H171" i="19"/>
  <c r="G172" i="19"/>
  <c r="H172" i="19"/>
  <c r="G173" i="19"/>
  <c r="H173" i="19"/>
  <c r="G174" i="19"/>
  <c r="H174" i="19"/>
  <c r="G175" i="19"/>
  <c r="H175" i="19"/>
  <c r="G176" i="19"/>
  <c r="H176" i="19"/>
  <c r="G177" i="19"/>
  <c r="H177" i="19"/>
  <c r="G178" i="19"/>
  <c r="H178" i="19"/>
  <c r="G179" i="19"/>
  <c r="H179" i="19"/>
  <c r="G180" i="19"/>
  <c r="H180" i="19"/>
  <c r="G181" i="19"/>
  <c r="H181" i="19"/>
  <c r="G182" i="19"/>
  <c r="H182" i="19"/>
  <c r="G183" i="19"/>
  <c r="H183" i="19"/>
  <c r="G184" i="19"/>
  <c r="H184" i="19"/>
  <c r="G185" i="19"/>
  <c r="H185" i="19"/>
  <c r="G186" i="19"/>
  <c r="H186" i="19"/>
  <c r="G187" i="19"/>
  <c r="H187" i="19"/>
  <c r="G188" i="19"/>
  <c r="H188" i="19"/>
  <c r="G189" i="19"/>
  <c r="H189" i="19"/>
  <c r="G190" i="19"/>
  <c r="H190" i="19"/>
  <c r="G191" i="19"/>
  <c r="H191" i="19"/>
  <c r="G192" i="19"/>
  <c r="H192" i="19"/>
  <c r="G193" i="19"/>
  <c r="H193" i="19"/>
  <c r="G194" i="19"/>
  <c r="H194" i="19"/>
  <c r="G195" i="19"/>
  <c r="H195" i="19"/>
  <c r="G196" i="19"/>
  <c r="H196" i="19"/>
  <c r="G197" i="19"/>
  <c r="H197" i="19"/>
  <c r="G198" i="19"/>
  <c r="H198" i="19"/>
  <c r="G199" i="19"/>
  <c r="H199" i="19"/>
  <c r="G200" i="19"/>
  <c r="H200" i="19"/>
  <c r="G201" i="19"/>
  <c r="H201" i="19"/>
  <c r="G202" i="19"/>
  <c r="H202" i="19"/>
  <c r="G203" i="19"/>
  <c r="H203" i="19"/>
  <c r="G204" i="19"/>
  <c r="H204" i="19"/>
  <c r="G205" i="19"/>
  <c r="H205" i="19"/>
  <c r="G206" i="19"/>
  <c r="H206" i="19"/>
  <c r="G207" i="19"/>
  <c r="H207" i="19"/>
  <c r="G208" i="19"/>
  <c r="H208" i="19"/>
  <c r="G209" i="19"/>
  <c r="H209" i="19"/>
  <c r="G210" i="19"/>
  <c r="H210" i="19"/>
  <c r="G211" i="19"/>
  <c r="H211" i="19"/>
  <c r="G212" i="19"/>
  <c r="H212" i="19"/>
  <c r="G213" i="19"/>
  <c r="H213" i="19"/>
  <c r="G214" i="19"/>
  <c r="H214" i="19"/>
  <c r="G215" i="19"/>
  <c r="H215" i="19"/>
  <c r="G216" i="19"/>
  <c r="H216" i="19"/>
  <c r="G217" i="19"/>
  <c r="H217" i="19"/>
  <c r="G218" i="19"/>
  <c r="H218" i="19"/>
  <c r="G219" i="19"/>
  <c r="H219" i="19"/>
  <c r="G220" i="19"/>
  <c r="H220" i="19"/>
  <c r="G221" i="19"/>
  <c r="H221" i="19"/>
  <c r="G222" i="19"/>
  <c r="H222" i="19"/>
  <c r="G223" i="19"/>
  <c r="H223" i="19"/>
  <c r="G224" i="19"/>
  <c r="H224" i="19"/>
  <c r="G225" i="19"/>
  <c r="H225" i="19"/>
  <c r="G226" i="19"/>
  <c r="H226" i="19"/>
  <c r="G227" i="19"/>
  <c r="H227" i="19"/>
  <c r="G228" i="19"/>
  <c r="H228" i="19"/>
  <c r="G229" i="19"/>
  <c r="H229" i="19"/>
  <c r="G230" i="19"/>
  <c r="H230" i="19"/>
  <c r="G231" i="19"/>
  <c r="H231" i="19"/>
  <c r="G232" i="19"/>
  <c r="H232" i="19"/>
  <c r="G233" i="19"/>
  <c r="H233" i="19"/>
  <c r="G234" i="19"/>
  <c r="H234" i="19"/>
  <c r="G235" i="19"/>
  <c r="H235" i="19"/>
  <c r="G236" i="19"/>
  <c r="H236" i="19"/>
  <c r="G237" i="19"/>
  <c r="H237" i="19"/>
  <c r="G238" i="19"/>
  <c r="H238" i="19"/>
  <c r="G239" i="19"/>
  <c r="H239" i="19"/>
  <c r="G240" i="19"/>
  <c r="H240" i="19"/>
  <c r="G241" i="19"/>
  <c r="H241" i="19"/>
  <c r="G242" i="19"/>
  <c r="H242" i="19"/>
  <c r="G243" i="19"/>
  <c r="H243" i="19"/>
  <c r="G244" i="19"/>
  <c r="H244" i="19"/>
  <c r="G245" i="19"/>
  <c r="H245" i="19"/>
  <c r="G246" i="19"/>
  <c r="H246" i="19"/>
  <c r="G247" i="19"/>
  <c r="H247" i="19"/>
  <c r="G248" i="19"/>
  <c r="H248" i="19"/>
  <c r="G249" i="19"/>
  <c r="H249" i="19"/>
  <c r="G250" i="19"/>
  <c r="H250" i="19"/>
  <c r="G251" i="19"/>
  <c r="H251" i="19"/>
  <c r="G252" i="19"/>
  <c r="H252" i="19"/>
  <c r="G253" i="19"/>
  <c r="H253" i="19"/>
  <c r="G254" i="19"/>
  <c r="H254" i="19"/>
  <c r="G255" i="19"/>
  <c r="H255" i="19"/>
  <c r="G256" i="19"/>
  <c r="H256" i="19"/>
  <c r="G257" i="19"/>
  <c r="H257" i="19"/>
  <c r="G258" i="19"/>
  <c r="H258" i="19"/>
  <c r="G259" i="19"/>
  <c r="H259" i="19"/>
  <c r="G260" i="19"/>
  <c r="H260" i="19"/>
  <c r="G261" i="19"/>
  <c r="H261" i="19"/>
  <c r="G262" i="19"/>
  <c r="H262" i="19"/>
  <c r="G263" i="19"/>
  <c r="H263" i="19"/>
  <c r="G264" i="19"/>
  <c r="H264" i="19"/>
  <c r="G265" i="19"/>
  <c r="H265" i="19"/>
  <c r="G266" i="19"/>
  <c r="H266" i="19"/>
  <c r="G267" i="19"/>
  <c r="H267" i="19"/>
  <c r="G268" i="19"/>
  <c r="H268" i="19"/>
  <c r="G269" i="19"/>
  <c r="H269" i="19"/>
  <c r="G270" i="19"/>
  <c r="H270" i="19"/>
  <c r="G271" i="19"/>
  <c r="H271" i="19"/>
  <c r="G272" i="19"/>
  <c r="H272" i="19"/>
  <c r="G273" i="19"/>
  <c r="H273" i="19"/>
  <c r="G274" i="19"/>
  <c r="H274" i="19"/>
  <c r="G275" i="19"/>
  <c r="H275" i="19"/>
  <c r="G276" i="19"/>
  <c r="H276" i="19"/>
  <c r="G277" i="19"/>
  <c r="H277" i="19"/>
  <c r="G278" i="19"/>
  <c r="H278" i="19"/>
  <c r="G279" i="19"/>
  <c r="H279" i="19"/>
  <c r="G280" i="19"/>
  <c r="H280" i="19"/>
  <c r="G281" i="19"/>
  <c r="H281" i="19"/>
  <c r="G282" i="19"/>
  <c r="H282" i="19"/>
  <c r="G283" i="19"/>
  <c r="H283" i="19"/>
  <c r="G284" i="19"/>
  <c r="H284" i="19"/>
  <c r="G285" i="19"/>
  <c r="H285" i="19"/>
  <c r="G286" i="19"/>
  <c r="H286" i="19"/>
  <c r="G287" i="19"/>
  <c r="H287" i="19"/>
  <c r="G288" i="19"/>
  <c r="H288" i="19"/>
  <c r="G289" i="19"/>
  <c r="H289" i="19"/>
  <c r="G290" i="19"/>
  <c r="H290" i="19"/>
  <c r="G291" i="19"/>
  <c r="H291" i="19"/>
  <c r="G292" i="19"/>
  <c r="H292" i="19"/>
  <c r="G293" i="19"/>
  <c r="H293" i="19"/>
  <c r="G294" i="19"/>
  <c r="H294" i="19"/>
  <c r="G295" i="19"/>
  <c r="H295" i="19"/>
  <c r="G296" i="19"/>
  <c r="H296" i="19"/>
  <c r="G297" i="19"/>
  <c r="H297" i="19"/>
  <c r="G298" i="19"/>
  <c r="H298" i="19"/>
  <c r="G299" i="19"/>
  <c r="H299" i="19"/>
  <c r="G300" i="19"/>
  <c r="H300" i="19"/>
  <c r="G301" i="19"/>
  <c r="H301" i="19"/>
  <c r="G302" i="19"/>
  <c r="H302" i="19"/>
  <c r="G303" i="19"/>
  <c r="H303" i="19"/>
  <c r="G304" i="19"/>
  <c r="H304" i="19"/>
  <c r="G305" i="19"/>
  <c r="H305" i="19"/>
  <c r="G306" i="19"/>
  <c r="H306" i="19"/>
  <c r="G307" i="19"/>
  <c r="H307" i="19"/>
  <c r="G308" i="19"/>
  <c r="H308" i="19"/>
  <c r="G309" i="19"/>
  <c r="H309" i="19"/>
  <c r="G310" i="19"/>
  <c r="H310" i="19"/>
  <c r="G311" i="19"/>
  <c r="H311" i="19"/>
  <c r="G312" i="19"/>
  <c r="H312" i="19"/>
  <c r="G313" i="19"/>
  <c r="H313" i="19"/>
  <c r="G314" i="19"/>
  <c r="H314" i="19"/>
  <c r="G315" i="19"/>
  <c r="H315" i="19"/>
  <c r="G316" i="19"/>
  <c r="H316" i="19"/>
  <c r="G317" i="19"/>
  <c r="H317" i="19"/>
  <c r="G318" i="19"/>
  <c r="H318" i="19"/>
  <c r="G319" i="19"/>
  <c r="H319" i="19"/>
  <c r="G320" i="19"/>
  <c r="H320" i="19"/>
  <c r="G321" i="19"/>
  <c r="H321" i="19"/>
  <c r="G322" i="19"/>
  <c r="H322" i="19"/>
  <c r="G323" i="19"/>
  <c r="H323" i="19"/>
  <c r="G324" i="19"/>
  <c r="H324" i="19"/>
  <c r="G325" i="19"/>
  <c r="H325" i="19"/>
  <c r="G326" i="19"/>
  <c r="H326" i="19"/>
  <c r="G327" i="19"/>
  <c r="H327" i="19"/>
  <c r="G328" i="19"/>
  <c r="H328" i="19"/>
  <c r="G329" i="19"/>
  <c r="H329" i="19"/>
  <c r="G330" i="19"/>
  <c r="H330" i="19"/>
  <c r="G331" i="19"/>
  <c r="H331" i="19"/>
  <c r="G332" i="19"/>
  <c r="H332" i="19"/>
  <c r="G333" i="19"/>
  <c r="H333" i="19"/>
  <c r="G334" i="19"/>
  <c r="H334" i="19"/>
  <c r="G335" i="19"/>
  <c r="H335" i="19"/>
  <c r="G336" i="19"/>
  <c r="H336" i="19"/>
  <c r="G337" i="19"/>
  <c r="H337" i="19"/>
  <c r="G338" i="19"/>
  <c r="H338" i="19"/>
  <c r="G339" i="19"/>
  <c r="H339" i="19"/>
  <c r="G340" i="19"/>
  <c r="H340" i="19"/>
  <c r="G341" i="19"/>
  <c r="H341" i="19"/>
  <c r="G342" i="19"/>
  <c r="H342" i="19"/>
  <c r="G343" i="19"/>
  <c r="H343" i="19"/>
  <c r="G344" i="19"/>
  <c r="H344" i="19"/>
  <c r="G345" i="19"/>
  <c r="H345" i="19"/>
  <c r="G346" i="19"/>
  <c r="H346" i="19"/>
  <c r="G347" i="19"/>
  <c r="H347" i="19"/>
  <c r="G348" i="19"/>
  <c r="H348" i="19"/>
  <c r="G349" i="19"/>
  <c r="H349" i="19"/>
  <c r="G350" i="19"/>
  <c r="H350" i="19"/>
  <c r="G351" i="19"/>
  <c r="H351" i="19"/>
  <c r="G352" i="19"/>
  <c r="H352" i="19"/>
  <c r="G353" i="19"/>
  <c r="H353" i="19"/>
  <c r="G354" i="19"/>
  <c r="H354" i="19"/>
  <c r="G355" i="19"/>
  <c r="H355" i="19"/>
  <c r="G356" i="19"/>
  <c r="H356" i="19"/>
  <c r="G357" i="19"/>
  <c r="H357" i="19"/>
  <c r="G358" i="19"/>
  <c r="H358" i="19"/>
  <c r="G359" i="19"/>
  <c r="H359" i="19"/>
  <c r="G360" i="19"/>
  <c r="H360" i="19"/>
  <c r="G361" i="19"/>
  <c r="H361" i="19"/>
  <c r="G362" i="19"/>
  <c r="H362" i="19"/>
  <c r="G363" i="19"/>
  <c r="H363" i="19"/>
  <c r="G364" i="19"/>
  <c r="H364" i="19"/>
  <c r="G365" i="19"/>
  <c r="H365" i="19"/>
  <c r="G366" i="19"/>
  <c r="H366" i="19"/>
  <c r="G367" i="19"/>
  <c r="H367" i="19"/>
  <c r="G368" i="19"/>
  <c r="H368" i="19"/>
  <c r="G369" i="19"/>
  <c r="H369" i="19"/>
  <c r="G370" i="19"/>
  <c r="H370" i="19"/>
  <c r="G371" i="19"/>
  <c r="H371" i="19"/>
  <c r="G372" i="19"/>
  <c r="H372" i="19"/>
  <c r="G373" i="19"/>
  <c r="H373" i="19"/>
  <c r="G374" i="19"/>
  <c r="H374" i="19"/>
  <c r="G375" i="19"/>
  <c r="H375" i="19"/>
  <c r="G376" i="19"/>
  <c r="H376" i="19"/>
  <c r="G377" i="19"/>
  <c r="H377" i="19"/>
  <c r="G378" i="19"/>
  <c r="H378" i="19"/>
  <c r="G379" i="19"/>
  <c r="H379" i="19"/>
  <c r="G380" i="19"/>
  <c r="H380" i="19"/>
  <c r="G381" i="19"/>
  <c r="H381" i="19"/>
  <c r="G382" i="19"/>
  <c r="H382" i="19"/>
  <c r="G383" i="19"/>
  <c r="H383" i="19"/>
  <c r="G384" i="19"/>
  <c r="H384" i="19"/>
  <c r="G385" i="19"/>
  <c r="H385" i="19"/>
  <c r="G386" i="19"/>
  <c r="H386" i="19"/>
  <c r="G387" i="19"/>
  <c r="H387" i="19"/>
  <c r="G388" i="19"/>
  <c r="H388" i="19"/>
  <c r="G389" i="19"/>
  <c r="H389" i="19"/>
  <c r="G390" i="19"/>
  <c r="H390" i="19"/>
  <c r="G391" i="19"/>
  <c r="H391" i="19"/>
  <c r="G392" i="19"/>
  <c r="H392" i="19"/>
  <c r="G393" i="19"/>
  <c r="H393" i="19"/>
  <c r="G394" i="19"/>
  <c r="H394" i="19"/>
  <c r="G395" i="19"/>
  <c r="H395" i="19"/>
  <c r="G396" i="19"/>
  <c r="H396" i="19"/>
  <c r="G397" i="19"/>
  <c r="H397" i="19"/>
  <c r="G398" i="19"/>
  <c r="H398" i="19"/>
  <c r="G399" i="19"/>
  <c r="H399" i="19"/>
  <c r="G400" i="19"/>
  <c r="H400" i="19"/>
  <c r="G401" i="19"/>
  <c r="H401" i="19"/>
  <c r="G402" i="19"/>
  <c r="H402" i="19"/>
  <c r="G403" i="19"/>
  <c r="H403" i="19"/>
  <c r="G404" i="19"/>
  <c r="H404" i="19"/>
  <c r="G405" i="19"/>
  <c r="H405" i="19"/>
  <c r="G406" i="19"/>
  <c r="H406" i="19"/>
  <c r="G407" i="19"/>
  <c r="H407" i="19"/>
  <c r="G408" i="19"/>
  <c r="H408" i="19"/>
  <c r="G409" i="19"/>
  <c r="H409" i="19"/>
  <c r="G410" i="19"/>
  <c r="H410" i="19"/>
  <c r="G411" i="19"/>
  <c r="H411" i="19"/>
  <c r="G412" i="19"/>
  <c r="H412" i="19"/>
  <c r="G413" i="19"/>
  <c r="H413" i="19"/>
  <c r="G414" i="19"/>
  <c r="H414" i="19"/>
  <c r="G415" i="19"/>
  <c r="H415" i="19"/>
  <c r="G416" i="19"/>
  <c r="H416" i="19"/>
  <c r="G417" i="19"/>
  <c r="H417" i="19"/>
  <c r="G418" i="19"/>
  <c r="H418" i="19"/>
  <c r="G419" i="19"/>
  <c r="H419" i="19"/>
  <c r="G420" i="19"/>
  <c r="H420" i="19"/>
  <c r="G421" i="19"/>
  <c r="H421" i="19"/>
  <c r="G422" i="19"/>
  <c r="H422" i="19"/>
  <c r="G423" i="19"/>
  <c r="H423" i="19"/>
  <c r="G424" i="19"/>
  <c r="H424" i="19"/>
  <c r="G425" i="19"/>
  <c r="H425" i="19"/>
  <c r="G426" i="19"/>
  <c r="H426" i="19"/>
  <c r="G427" i="19"/>
  <c r="H427" i="19"/>
  <c r="G428" i="19"/>
  <c r="H428" i="19"/>
  <c r="G429" i="19"/>
  <c r="H429" i="19"/>
  <c r="G430" i="19"/>
  <c r="H430" i="19"/>
  <c r="G431" i="19"/>
  <c r="H431" i="19"/>
  <c r="G432" i="19"/>
  <c r="H432" i="19"/>
  <c r="G433" i="19"/>
  <c r="H433" i="19"/>
  <c r="G434" i="19"/>
  <c r="H434" i="19"/>
  <c r="G435" i="19"/>
  <c r="H435" i="19"/>
  <c r="G436" i="19"/>
  <c r="H436" i="19"/>
  <c r="G437" i="19"/>
  <c r="H437" i="19"/>
  <c r="G438" i="19"/>
  <c r="H438" i="19"/>
  <c r="G439" i="19"/>
  <c r="H439" i="19"/>
  <c r="G440" i="19"/>
  <c r="H440" i="19"/>
  <c r="G441" i="19"/>
  <c r="H441" i="19"/>
  <c r="G442" i="19"/>
  <c r="H442" i="19"/>
  <c r="G443" i="19"/>
  <c r="H443" i="19"/>
  <c r="G444" i="19"/>
  <c r="H444" i="19"/>
  <c r="G445" i="19"/>
  <c r="H445" i="19"/>
  <c r="G446" i="19"/>
  <c r="H446" i="19"/>
  <c r="G447" i="19"/>
  <c r="H447" i="19"/>
  <c r="G448" i="19"/>
  <c r="H448" i="19"/>
  <c r="G449" i="19"/>
  <c r="H449" i="19"/>
  <c r="G450" i="19"/>
  <c r="H450" i="19"/>
  <c r="G451" i="19"/>
  <c r="H451" i="19"/>
  <c r="G452" i="19"/>
  <c r="H452" i="19"/>
  <c r="G453" i="19"/>
  <c r="H453" i="19"/>
  <c r="G454" i="19"/>
  <c r="H454" i="19"/>
  <c r="G455" i="19"/>
  <c r="H455" i="19"/>
  <c r="G456" i="19"/>
  <c r="H456" i="19"/>
  <c r="G457" i="19"/>
  <c r="H457" i="19"/>
  <c r="G458" i="19"/>
  <c r="H458" i="19"/>
  <c r="G459" i="19"/>
  <c r="H459" i="19"/>
  <c r="G460" i="19"/>
  <c r="H460" i="19"/>
  <c r="G461" i="19"/>
  <c r="H461" i="19"/>
  <c r="G462" i="19"/>
  <c r="H462" i="19"/>
  <c r="G463" i="19"/>
  <c r="H463" i="19"/>
  <c r="G464" i="19"/>
  <c r="H464" i="19"/>
  <c r="G465" i="19"/>
  <c r="H465" i="19"/>
  <c r="G466" i="19"/>
  <c r="H466" i="19"/>
  <c r="G467" i="19"/>
  <c r="H467" i="19"/>
  <c r="G468" i="19"/>
  <c r="H468" i="19"/>
  <c r="G469" i="19"/>
  <c r="H469" i="19"/>
  <c r="G470" i="19"/>
  <c r="H470" i="19"/>
  <c r="G471" i="19"/>
  <c r="H471" i="19"/>
  <c r="G472" i="19"/>
  <c r="H472" i="19"/>
  <c r="G473" i="19"/>
  <c r="H473" i="19"/>
  <c r="G474" i="19"/>
  <c r="H474" i="19"/>
  <c r="G475" i="19"/>
  <c r="H475" i="19"/>
  <c r="G476" i="19"/>
  <c r="H476" i="19"/>
  <c r="G477" i="19"/>
  <c r="H477" i="19"/>
  <c r="G478" i="19"/>
  <c r="H478" i="19"/>
  <c r="G479" i="19"/>
  <c r="H479" i="19"/>
  <c r="G480" i="19"/>
  <c r="H480" i="19"/>
  <c r="G481" i="19"/>
  <c r="H481" i="19"/>
  <c r="G482" i="19"/>
  <c r="H482" i="19"/>
  <c r="G483" i="19"/>
  <c r="H483" i="19"/>
  <c r="G484" i="19"/>
  <c r="H484" i="19"/>
  <c r="G485" i="19"/>
  <c r="H485" i="19"/>
  <c r="G486" i="19"/>
  <c r="H486" i="19"/>
  <c r="G487" i="19"/>
  <c r="H487" i="19"/>
  <c r="G488" i="19"/>
  <c r="H488" i="19"/>
  <c r="G489" i="19"/>
  <c r="H489" i="19"/>
  <c r="G490" i="19"/>
  <c r="H490" i="19"/>
  <c r="G491" i="19"/>
  <c r="H491" i="19"/>
  <c r="G492" i="19"/>
  <c r="H492" i="19"/>
  <c r="G493" i="19"/>
  <c r="H493" i="19"/>
  <c r="G494" i="19"/>
  <c r="H494" i="19"/>
  <c r="G495" i="19"/>
  <c r="H495" i="19"/>
  <c r="G496" i="19"/>
  <c r="H496" i="19"/>
  <c r="G497" i="19"/>
  <c r="H497" i="19"/>
  <c r="G498" i="19"/>
  <c r="H498" i="19"/>
  <c r="G499" i="19"/>
  <c r="H499" i="19"/>
  <c r="G500" i="19"/>
  <c r="H500" i="19"/>
  <c r="G501" i="19"/>
  <c r="H501" i="19"/>
  <c r="G502" i="19"/>
  <c r="H502" i="19"/>
  <c r="G503" i="19"/>
  <c r="H503" i="19"/>
  <c r="G504" i="19"/>
  <c r="H504" i="19"/>
  <c r="G505" i="19"/>
  <c r="H505" i="19"/>
  <c r="G506" i="19"/>
  <c r="H506" i="19"/>
  <c r="G507" i="19"/>
  <c r="H507" i="19"/>
  <c r="G508" i="19"/>
  <c r="H508" i="19"/>
  <c r="G509" i="19"/>
  <c r="H509" i="19"/>
  <c r="G510" i="19"/>
  <c r="H510" i="19"/>
  <c r="G511" i="19"/>
  <c r="H511" i="19"/>
  <c r="G512" i="19"/>
  <c r="H512" i="19"/>
  <c r="G513" i="19"/>
  <c r="H513" i="19"/>
  <c r="G514" i="19"/>
  <c r="H514" i="19"/>
  <c r="G515" i="19"/>
  <c r="H515" i="19"/>
  <c r="G516" i="19"/>
  <c r="H516" i="19"/>
  <c r="G517" i="19"/>
  <c r="H517" i="19"/>
  <c r="G518" i="19"/>
  <c r="H518" i="19"/>
  <c r="G519" i="19"/>
  <c r="H519" i="19"/>
  <c r="G520" i="19"/>
  <c r="H520" i="19"/>
  <c r="G521" i="19"/>
  <c r="H521" i="19"/>
  <c r="G522" i="19"/>
  <c r="H522" i="19"/>
  <c r="G523" i="19"/>
  <c r="H523" i="19"/>
  <c r="G524" i="19"/>
  <c r="H524" i="19"/>
  <c r="G525" i="19"/>
  <c r="H525" i="19"/>
  <c r="G526" i="19"/>
  <c r="H526" i="19"/>
  <c r="G527" i="19"/>
  <c r="H527" i="19"/>
  <c r="G528" i="19"/>
  <c r="H528" i="19"/>
  <c r="G529" i="19"/>
  <c r="H529" i="19"/>
  <c r="G530" i="19"/>
  <c r="H530" i="19"/>
  <c r="G531" i="19"/>
  <c r="H531" i="19"/>
  <c r="G532" i="19"/>
  <c r="H532" i="19"/>
  <c r="G533" i="19"/>
  <c r="H533" i="19"/>
  <c r="G534" i="19"/>
  <c r="H534" i="19"/>
  <c r="G535" i="19"/>
  <c r="H535" i="19"/>
  <c r="G536" i="19"/>
  <c r="H536" i="19"/>
  <c r="G537" i="19"/>
  <c r="H537" i="19"/>
  <c r="G538" i="19"/>
  <c r="H538" i="19"/>
  <c r="G539" i="19"/>
  <c r="H539" i="19"/>
  <c r="G540" i="19"/>
  <c r="H540" i="19"/>
  <c r="G541" i="19"/>
  <c r="H541" i="19"/>
  <c r="G542" i="19"/>
  <c r="H542" i="19"/>
  <c r="G543" i="19"/>
  <c r="H543" i="19"/>
  <c r="G544" i="19"/>
  <c r="H544" i="19"/>
  <c r="G545" i="19"/>
  <c r="H545" i="19"/>
  <c r="G546" i="19"/>
  <c r="H546" i="19"/>
  <c r="G547" i="19"/>
  <c r="H547" i="19"/>
  <c r="G548" i="19"/>
  <c r="H548" i="19"/>
  <c r="G549" i="19"/>
  <c r="H549" i="19"/>
  <c r="G550" i="19"/>
  <c r="H550" i="19"/>
  <c r="G551" i="19"/>
  <c r="H551" i="19"/>
  <c r="G552" i="19"/>
  <c r="H552" i="19"/>
  <c r="G553" i="19"/>
  <c r="H553" i="19"/>
  <c r="G554" i="19"/>
  <c r="H554" i="19"/>
  <c r="G555" i="19"/>
  <c r="H555" i="19"/>
  <c r="G556" i="19"/>
  <c r="H556" i="19"/>
  <c r="G557" i="19"/>
  <c r="H557" i="19"/>
  <c r="G558" i="19"/>
  <c r="H558" i="19"/>
  <c r="G559" i="19"/>
  <c r="H559" i="19"/>
  <c r="G560" i="19"/>
  <c r="H560" i="19"/>
  <c r="G561" i="19"/>
  <c r="H561" i="19"/>
  <c r="G562" i="19"/>
  <c r="H562" i="19"/>
  <c r="G563" i="19"/>
  <c r="H563" i="19"/>
  <c r="G564" i="19"/>
  <c r="H564" i="19"/>
  <c r="G565" i="19"/>
  <c r="H565" i="19"/>
  <c r="G566" i="19"/>
  <c r="H566" i="19"/>
  <c r="G567" i="19"/>
  <c r="H567" i="19"/>
  <c r="G568" i="19"/>
  <c r="H568" i="19"/>
  <c r="G569" i="19"/>
  <c r="H569" i="19"/>
  <c r="G570" i="19"/>
  <c r="H570" i="19"/>
  <c r="G571" i="19"/>
  <c r="H571" i="19"/>
  <c r="G572" i="19"/>
  <c r="H572" i="19"/>
  <c r="G573" i="19"/>
  <c r="H573" i="19"/>
  <c r="G574" i="19"/>
  <c r="H574" i="19"/>
  <c r="G575" i="19"/>
  <c r="H575" i="19"/>
  <c r="G576" i="19"/>
  <c r="H576" i="19"/>
  <c r="G577" i="19"/>
  <c r="H577" i="19"/>
  <c r="G578" i="19"/>
  <c r="H578" i="19"/>
  <c r="G579" i="19"/>
  <c r="H579" i="19"/>
  <c r="G580" i="19"/>
  <c r="H580" i="19"/>
  <c r="G581" i="19"/>
  <c r="H581" i="19"/>
  <c r="G582" i="19"/>
  <c r="H582" i="19"/>
  <c r="G583" i="19"/>
  <c r="H583" i="19"/>
  <c r="G584" i="19"/>
  <c r="H584" i="19"/>
  <c r="G585" i="19"/>
  <c r="H585" i="19"/>
  <c r="G586" i="19"/>
  <c r="H586" i="19"/>
  <c r="G587" i="19"/>
  <c r="H587" i="19"/>
  <c r="G588" i="19"/>
  <c r="H588" i="19"/>
  <c r="G589" i="19"/>
  <c r="H589" i="19"/>
  <c r="G590" i="19"/>
  <c r="H590" i="19"/>
  <c r="G591" i="19"/>
  <c r="H591" i="19"/>
  <c r="G592" i="19"/>
  <c r="H592" i="19"/>
  <c r="G593" i="19"/>
  <c r="H593" i="19"/>
  <c r="G594" i="19"/>
  <c r="H594" i="19"/>
  <c r="G595" i="19"/>
  <c r="H595" i="19"/>
  <c r="G596" i="19"/>
  <c r="H596" i="19"/>
  <c r="G597" i="19"/>
  <c r="H597" i="19"/>
  <c r="G598" i="19"/>
  <c r="H598" i="19"/>
  <c r="G599" i="19"/>
  <c r="H599" i="19"/>
  <c r="G600" i="19"/>
  <c r="H600" i="19"/>
  <c r="G601" i="19"/>
  <c r="H601" i="19"/>
  <c r="G602" i="19"/>
  <c r="H602" i="19"/>
  <c r="G603" i="19"/>
  <c r="H603" i="19"/>
  <c r="G604" i="19"/>
  <c r="H604" i="19"/>
  <c r="G605" i="19"/>
  <c r="H605" i="19"/>
  <c r="G606" i="19"/>
  <c r="H606" i="19"/>
  <c r="G607" i="19"/>
  <c r="H607" i="19"/>
  <c r="G608" i="19"/>
  <c r="H608" i="19"/>
  <c r="G609" i="19"/>
  <c r="H609" i="19"/>
  <c r="G610" i="19"/>
  <c r="H610" i="19"/>
  <c r="G611" i="19"/>
  <c r="H611" i="19"/>
  <c r="G612" i="19"/>
  <c r="H612" i="19"/>
  <c r="G613" i="19"/>
  <c r="H613" i="19"/>
  <c r="G614" i="19"/>
  <c r="H614" i="19"/>
  <c r="G615" i="19"/>
  <c r="H615" i="19"/>
  <c r="G616" i="19"/>
  <c r="H616" i="19"/>
  <c r="G617" i="19"/>
  <c r="H617" i="19"/>
  <c r="G618" i="19"/>
  <c r="H618" i="19"/>
  <c r="G619" i="19"/>
  <c r="H619" i="19"/>
  <c r="G620" i="19"/>
  <c r="H620" i="19"/>
  <c r="G621" i="19"/>
  <c r="H621" i="19"/>
  <c r="G622" i="19"/>
  <c r="H622" i="19"/>
  <c r="G623" i="19"/>
  <c r="H623" i="19"/>
  <c r="G624" i="19"/>
  <c r="H624" i="19"/>
  <c r="G625" i="19"/>
  <c r="H625" i="19"/>
  <c r="G626" i="19"/>
  <c r="H626" i="19"/>
  <c r="G627" i="19"/>
  <c r="H627" i="19"/>
  <c r="G628" i="19"/>
  <c r="H628" i="19"/>
  <c r="G629" i="19"/>
  <c r="H629" i="19"/>
  <c r="G630" i="19"/>
  <c r="H630" i="19"/>
  <c r="G631" i="19"/>
  <c r="H631" i="19"/>
  <c r="G632" i="19"/>
  <c r="H632" i="19"/>
  <c r="G633" i="19"/>
  <c r="H633" i="19"/>
  <c r="G634" i="19"/>
  <c r="H634" i="19"/>
  <c r="G635" i="19"/>
  <c r="H635" i="19"/>
  <c r="G636" i="19"/>
  <c r="H636" i="19"/>
  <c r="G637" i="19"/>
  <c r="H637" i="19"/>
  <c r="G638" i="19"/>
  <c r="H638" i="19"/>
  <c r="G639" i="19"/>
  <c r="H639" i="19"/>
  <c r="G640" i="19"/>
  <c r="H640" i="19"/>
  <c r="G641" i="19"/>
  <c r="H641" i="19"/>
  <c r="G642" i="19"/>
  <c r="H642" i="19"/>
  <c r="G643" i="19"/>
  <c r="H643" i="19"/>
  <c r="G644" i="19"/>
  <c r="H644" i="19"/>
  <c r="G8" i="19" l="1"/>
  <c r="H8" i="19"/>
  <c r="G9" i="19"/>
  <c r="H9" i="19"/>
  <c r="G10" i="19"/>
  <c r="H10" i="19"/>
  <c r="G11" i="19"/>
  <c r="H11" i="19"/>
  <c r="G12" i="19"/>
  <c r="H12" i="19"/>
  <c r="G13" i="19"/>
  <c r="H13" i="19"/>
  <c r="G14" i="19"/>
  <c r="H14" i="19"/>
  <c r="G15" i="19"/>
  <c r="H15" i="19"/>
  <c r="G16" i="19"/>
  <c r="H16" i="19"/>
  <c r="G17" i="19"/>
  <c r="H17" i="19"/>
  <c r="G18" i="19"/>
  <c r="H18" i="19"/>
  <c r="G19" i="19"/>
  <c r="H19" i="19"/>
  <c r="G20" i="19"/>
  <c r="H20" i="19"/>
  <c r="G21" i="19"/>
  <c r="H21" i="19"/>
  <c r="G22" i="19"/>
  <c r="H22" i="19"/>
  <c r="G23" i="19"/>
  <c r="H23" i="19"/>
  <c r="G24" i="19"/>
  <c r="H24" i="19"/>
  <c r="G25" i="19"/>
  <c r="H25" i="19"/>
  <c r="G26" i="19"/>
  <c r="H26" i="19"/>
  <c r="G27" i="19"/>
  <c r="H27" i="19"/>
  <c r="G28" i="19"/>
  <c r="H28" i="19"/>
  <c r="G29" i="19"/>
  <c r="H29" i="19"/>
  <c r="G30" i="19"/>
  <c r="H30" i="19"/>
  <c r="G31" i="19"/>
  <c r="H31" i="19"/>
  <c r="G32" i="19"/>
  <c r="H32" i="19"/>
  <c r="G33" i="19"/>
  <c r="H33" i="19"/>
  <c r="G34" i="19"/>
  <c r="H34" i="19"/>
  <c r="G35" i="19"/>
  <c r="H35" i="19"/>
  <c r="G36" i="19"/>
  <c r="H36" i="19"/>
  <c r="G37" i="19"/>
  <c r="H37" i="19"/>
  <c r="G38" i="19"/>
  <c r="H38" i="19"/>
  <c r="G39" i="19"/>
  <c r="H39" i="19"/>
  <c r="G40" i="19"/>
  <c r="H40" i="19"/>
  <c r="G41" i="19"/>
  <c r="H41" i="19"/>
  <c r="G42" i="19"/>
  <c r="H42" i="19"/>
  <c r="G43" i="19"/>
  <c r="H43" i="19"/>
  <c r="G44" i="19"/>
  <c r="H44" i="19"/>
  <c r="H7" i="19"/>
  <c r="G7" i="19"/>
  <c r="U620" i="6" l="1"/>
  <c r="U621" i="6"/>
  <c r="U622" i="6"/>
  <c r="U623" i="6"/>
  <c r="U624" i="6"/>
  <c r="AX1" i="6" l="1"/>
  <c r="AY1" i="6" s="1"/>
  <c r="AV1" i="6"/>
  <c r="AW1" i="6" s="1"/>
  <c r="AM1" i="6"/>
  <c r="AL1" i="6"/>
  <c r="AH1" i="6"/>
  <c r="AI1" i="6" s="1"/>
  <c r="AF1" i="6"/>
  <c r="AG1" i="6" s="1"/>
  <c r="W1" i="6"/>
  <c r="V1" i="6"/>
  <c r="R1" i="6"/>
  <c r="S1" i="6" s="1"/>
  <c r="P1" i="6"/>
  <c r="Q1" i="6" s="1"/>
  <c r="S132" i="16"/>
  <c r="D135" i="18"/>
  <c r="D144" i="16"/>
  <c r="T119" i="16"/>
  <c r="D131" i="18"/>
  <c r="D112" i="18"/>
  <c r="D110" i="18"/>
  <c r="D109" i="18"/>
  <c r="D144" i="18"/>
  <c r="D138" i="18"/>
  <c r="B9" i="18"/>
  <c r="S134" i="16"/>
  <c r="D103" i="16"/>
  <c r="D151" i="18"/>
  <c r="D120" i="18"/>
  <c r="S141" i="16"/>
  <c r="T103" i="16"/>
  <c r="T110" i="16"/>
  <c r="D102" i="18"/>
  <c r="S140" i="16"/>
  <c r="D134" i="18"/>
  <c r="T121" i="16"/>
  <c r="T104" i="16"/>
  <c r="D108" i="16"/>
  <c r="S145" i="16"/>
  <c r="D142" i="16"/>
  <c r="D116" i="16"/>
  <c r="T120" i="16"/>
  <c r="D104" i="18"/>
  <c r="D145" i="18"/>
  <c r="T113" i="16"/>
  <c r="D133" i="18"/>
  <c r="S150" i="16"/>
  <c r="T116" i="16"/>
  <c r="D149" i="16"/>
  <c r="D141" i="16"/>
  <c r="D111" i="16"/>
  <c r="D108" i="18"/>
  <c r="D140" i="16"/>
  <c r="D119" i="18"/>
  <c r="D120" i="16"/>
  <c r="D113" i="18"/>
  <c r="D115" i="16"/>
  <c r="S149" i="16"/>
  <c r="D150" i="18"/>
  <c r="D114" i="18"/>
  <c r="D117" i="18"/>
  <c r="D118" i="16"/>
  <c r="S152" i="16"/>
  <c r="D139" i="18"/>
  <c r="T114" i="16"/>
  <c r="D134" i="16"/>
  <c r="D141" i="18"/>
  <c r="D148" i="18"/>
  <c r="S142" i="16"/>
  <c r="D135" i="16"/>
  <c r="T111" i="16"/>
  <c r="T101" i="16"/>
  <c r="D150" i="16"/>
  <c r="S139" i="16"/>
  <c r="S151" i="16"/>
  <c r="S137" i="16"/>
  <c r="D139" i="16"/>
  <c r="S144" i="16"/>
  <c r="T109" i="16"/>
  <c r="T106" i="16"/>
  <c r="D151" i="16"/>
  <c r="D113" i="16"/>
  <c r="D115" i="18"/>
  <c r="D132" i="16"/>
  <c r="D145" i="16"/>
  <c r="D107" i="18"/>
  <c r="D119" i="16"/>
  <c r="T115" i="16"/>
  <c r="D146" i="16"/>
  <c r="D105" i="18"/>
  <c r="B9" i="16"/>
  <c r="D121" i="16"/>
  <c r="T118" i="16"/>
  <c r="D146" i="18"/>
  <c r="D109" i="16"/>
  <c r="D101" i="16"/>
  <c r="S146" i="16"/>
  <c r="D105" i="16"/>
  <c r="T108" i="16"/>
  <c r="D110" i="16"/>
  <c r="D137" i="16"/>
  <c r="S147" i="16"/>
  <c r="D143" i="18"/>
  <c r="D104" i="16"/>
  <c r="T105" i="16"/>
  <c r="G165" i="18"/>
  <c r="D118" i="18"/>
  <c r="D103" i="18"/>
  <c r="D136" i="16"/>
  <c r="D152" i="16"/>
  <c r="D100" i="18"/>
  <c r="D147" i="16"/>
  <c r="D140" i="18"/>
  <c r="S135" i="16"/>
  <c r="D149" i="18"/>
  <c r="D136" i="18"/>
  <c r="D106" i="16"/>
  <c r="S136" i="16"/>
  <c r="D114" i="16"/>
  <c r="F170" i="18" l="1"/>
  <c r="BA1" i="6"/>
  <c r="AZ1" i="6"/>
  <c r="F165" i="18"/>
  <c r="F161" i="18"/>
  <c r="F171" i="18"/>
  <c r="F176" i="18"/>
  <c r="F181" i="18"/>
  <c r="F179" i="18"/>
  <c r="F166" i="18"/>
  <c r="F168" i="18"/>
  <c r="F174" i="18"/>
  <c r="F169" i="18"/>
  <c r="F178" i="18"/>
  <c r="F175" i="18"/>
  <c r="F164" i="18"/>
  <c r="F163" i="18"/>
  <c r="F180" i="18"/>
  <c r="F173" i="18"/>
  <c r="I21" i="18"/>
  <c r="B139" i="18"/>
  <c r="E165" i="18"/>
  <c r="M17" i="18"/>
  <c r="L14" i="18"/>
  <c r="G19" i="18"/>
  <c r="D23" i="18"/>
  <c r="E109" i="18"/>
  <c r="G57" i="18"/>
  <c r="B119" i="18"/>
  <c r="O13" i="18"/>
  <c r="AJ170" i="12"/>
  <c r="B107" i="18"/>
  <c r="H26" i="18"/>
  <c r="C195" i="18"/>
  <c r="I23" i="18"/>
  <c r="F102" i="18"/>
  <c r="AJ171" i="12"/>
  <c r="C28" i="18"/>
  <c r="C181" i="18"/>
  <c r="C57" i="18"/>
  <c r="D26" i="18"/>
  <c r="F11" i="18"/>
  <c r="E204" i="18"/>
  <c r="M19" i="18"/>
  <c r="J18" i="18"/>
  <c r="I112" i="18"/>
  <c r="D226" i="18"/>
  <c r="B224" i="18"/>
  <c r="I120" i="18"/>
  <c r="H47" i="18"/>
  <c r="C17" i="18"/>
  <c r="I144" i="18"/>
  <c r="F56" i="18"/>
  <c r="M11" i="18"/>
  <c r="B21" i="18"/>
  <c r="D12" i="18"/>
  <c r="E136" i="18"/>
  <c r="C204" i="18"/>
  <c r="F229" i="18"/>
  <c r="C210" i="18"/>
  <c r="J9" i="18"/>
  <c r="H59" i="18"/>
  <c r="G206" i="18"/>
  <c r="H12" i="18"/>
  <c r="C174" i="18"/>
  <c r="E47" i="18"/>
  <c r="C43" i="18"/>
  <c r="I13" i="18"/>
  <c r="D235" i="18"/>
  <c r="F107" i="18"/>
  <c r="G107" i="18"/>
  <c r="F39" i="18"/>
  <c r="F140" i="18"/>
  <c r="M21" i="18"/>
  <c r="F224" i="18"/>
  <c r="I107" i="18"/>
  <c r="I146" i="18"/>
  <c r="C11" i="18"/>
  <c r="E12" i="18"/>
  <c r="G52" i="18"/>
  <c r="B108" i="18"/>
  <c r="I139" i="18"/>
  <c r="C59" i="18"/>
  <c r="G59" i="18"/>
  <c r="I105" i="18"/>
  <c r="B102" i="18"/>
  <c r="B51" i="18"/>
  <c r="G180" i="18"/>
  <c r="E164" i="18"/>
  <c r="I141" i="18"/>
  <c r="AJ182" i="12"/>
  <c r="C212" i="18"/>
  <c r="J12" i="18"/>
  <c r="G196" i="18"/>
  <c r="E149" i="18"/>
  <c r="H141" i="18"/>
  <c r="G100" i="18"/>
  <c r="F18" i="18"/>
  <c r="E17" i="18"/>
  <c r="D224" i="18"/>
  <c r="C131" i="18"/>
  <c r="H18" i="18"/>
  <c r="H136" i="18"/>
  <c r="G134" i="18"/>
  <c r="B17" i="18"/>
  <c r="H145" i="18"/>
  <c r="C29" i="18"/>
  <c r="I113" i="18"/>
  <c r="B117" i="18"/>
  <c r="F145" i="18"/>
  <c r="O24" i="18"/>
  <c r="F103" i="18"/>
  <c r="E105" i="18"/>
  <c r="C199" i="18"/>
  <c r="E14" i="18"/>
  <c r="G136" i="18"/>
  <c r="H135" i="18"/>
  <c r="F29" i="18"/>
  <c r="C202" i="18"/>
  <c r="I19" i="18"/>
  <c r="D236" i="18"/>
  <c r="H150" i="18"/>
  <c r="G139" i="18"/>
  <c r="F225" i="18"/>
  <c r="D230" i="18"/>
  <c r="E120" i="18"/>
  <c r="O21" i="18"/>
  <c r="L21" i="18"/>
  <c r="B24" i="18"/>
  <c r="I118" i="18"/>
  <c r="B236" i="18"/>
  <c r="F227" i="18"/>
  <c r="F110" i="18"/>
  <c r="I104" i="18"/>
  <c r="C41" i="18"/>
  <c r="G197" i="18"/>
  <c r="G39" i="18"/>
  <c r="G54" i="18"/>
  <c r="E209" i="18"/>
  <c r="F43" i="18"/>
  <c r="J23" i="18"/>
  <c r="F24" i="18"/>
  <c r="E202" i="18"/>
  <c r="N18" i="18"/>
  <c r="B231" i="18"/>
  <c r="D28" i="18"/>
  <c r="H118" i="18"/>
  <c r="H113" i="18"/>
  <c r="M16" i="18"/>
  <c r="J28" i="18"/>
  <c r="H105" i="18"/>
  <c r="F26" i="18"/>
  <c r="G144" i="18"/>
  <c r="F57" i="18"/>
  <c r="E28" i="18"/>
  <c r="B54" i="18"/>
  <c r="I149" i="18"/>
  <c r="B13" i="18"/>
  <c r="B104" i="18"/>
  <c r="D9" i="18"/>
  <c r="C54" i="18"/>
  <c r="F114" i="18"/>
  <c r="B233" i="18"/>
  <c r="E171" i="18"/>
  <c r="L19" i="18"/>
  <c r="E135" i="18"/>
  <c r="I171" i="18"/>
  <c r="C113" i="18"/>
  <c r="G29" i="18"/>
  <c r="B225" i="18"/>
  <c r="O18" i="18"/>
  <c r="L13" i="18"/>
  <c r="B131" i="18"/>
  <c r="K176" i="18"/>
  <c r="B143" i="18"/>
  <c r="I176" i="18"/>
  <c r="E179" i="18"/>
  <c r="E29" i="18"/>
  <c r="G207" i="18"/>
  <c r="G166" i="18"/>
  <c r="D44" i="18"/>
  <c r="M18" i="18"/>
  <c r="K21" i="18"/>
  <c r="F44" i="18"/>
  <c r="I163" i="18"/>
  <c r="K12" i="18"/>
  <c r="B145" i="18"/>
  <c r="C117" i="18"/>
  <c r="B41" i="18"/>
  <c r="L29" i="18"/>
  <c r="F150" i="18"/>
  <c r="G151" i="18"/>
  <c r="G201" i="18"/>
  <c r="F51" i="18"/>
  <c r="G143" i="18"/>
  <c r="F236" i="18"/>
  <c r="E199" i="18"/>
  <c r="B148" i="18"/>
  <c r="F235" i="18"/>
  <c r="G170" i="18"/>
  <c r="C171" i="18"/>
  <c r="F149" i="18"/>
  <c r="D222" i="18"/>
  <c r="E194" i="18"/>
  <c r="K180" i="18"/>
  <c r="C39" i="18"/>
  <c r="O27" i="18"/>
  <c r="D17" i="18"/>
  <c r="E211" i="18"/>
  <c r="I168" i="18"/>
  <c r="B133" i="18"/>
  <c r="C141" i="18"/>
  <c r="H43" i="18"/>
  <c r="K166" i="18"/>
  <c r="N22" i="18"/>
  <c r="B52" i="18"/>
  <c r="G21" i="18"/>
  <c r="E207" i="18"/>
  <c r="N13" i="18"/>
  <c r="O12" i="18"/>
  <c r="H146" i="18"/>
  <c r="C46" i="18"/>
  <c r="C119" i="18"/>
  <c r="C139" i="18"/>
  <c r="C136" i="18"/>
  <c r="D24" i="18"/>
  <c r="E117" i="18"/>
  <c r="H140" i="18"/>
  <c r="C21" i="18"/>
  <c r="E107" i="18"/>
  <c r="B237" i="18"/>
  <c r="B134" i="18"/>
  <c r="E178" i="18"/>
  <c r="K27" i="18"/>
  <c r="I178" i="18"/>
  <c r="H117" i="18"/>
  <c r="B46" i="18"/>
  <c r="E49" i="18"/>
  <c r="F231" i="18"/>
  <c r="C201" i="18"/>
  <c r="D46" i="18"/>
  <c r="C18" i="18"/>
  <c r="C58" i="18"/>
  <c r="F143" i="18"/>
  <c r="C120" i="18"/>
  <c r="E56" i="18"/>
  <c r="K11" i="18"/>
  <c r="F42" i="18"/>
  <c r="G105" i="18"/>
  <c r="E53" i="18"/>
  <c r="B110" i="18"/>
  <c r="E151" i="18"/>
  <c r="O14" i="18"/>
  <c r="F105" i="18"/>
  <c r="E138" i="18"/>
  <c r="B141" i="18"/>
  <c r="B100" i="18"/>
  <c r="E44" i="18"/>
  <c r="H139" i="18"/>
  <c r="G113" i="18"/>
  <c r="K24" i="18"/>
  <c r="D43" i="18"/>
  <c r="F108" i="18"/>
  <c r="G169" i="18"/>
  <c r="D232" i="18"/>
  <c r="E118" i="18"/>
  <c r="H48" i="18"/>
  <c r="C166" i="18"/>
  <c r="K18" i="18"/>
  <c r="B44" i="18"/>
  <c r="F141" i="18"/>
  <c r="O11" i="18"/>
  <c r="M22" i="18"/>
  <c r="L24" i="18"/>
  <c r="O16" i="18"/>
  <c r="N27" i="18"/>
  <c r="H56" i="18"/>
  <c r="G11" i="18"/>
  <c r="H51" i="18"/>
  <c r="H42" i="18"/>
  <c r="G48" i="18"/>
  <c r="G114" i="18"/>
  <c r="D29" i="18"/>
  <c r="G171" i="18"/>
  <c r="D56" i="18"/>
  <c r="C164" i="18"/>
  <c r="G140" i="18"/>
  <c r="D231" i="18"/>
  <c r="J19" i="18"/>
  <c r="J27" i="18"/>
  <c r="K14" i="18"/>
  <c r="F239" i="18"/>
  <c r="E175" i="18"/>
  <c r="F238" i="18"/>
  <c r="F49" i="18"/>
  <c r="H112" i="18"/>
  <c r="B118" i="18"/>
  <c r="N24" i="18"/>
  <c r="E13" i="18"/>
  <c r="G14" i="18"/>
  <c r="G178" i="18"/>
  <c r="E134" i="18"/>
  <c r="F13" i="18"/>
  <c r="D225" i="18"/>
  <c r="N14" i="18"/>
  <c r="F47" i="18"/>
  <c r="M27" i="18"/>
  <c r="H22" i="18"/>
  <c r="C115" i="18"/>
  <c r="G199" i="18"/>
  <c r="F133" i="18"/>
  <c r="G204" i="18"/>
  <c r="I22" i="18"/>
  <c r="B59" i="18"/>
  <c r="H14" i="18"/>
  <c r="G179" i="18"/>
  <c r="E110" i="18"/>
  <c r="K164" i="18"/>
  <c r="H138" i="18"/>
  <c r="L22" i="18"/>
  <c r="G17" i="18"/>
  <c r="I27" i="18"/>
  <c r="E131" i="18"/>
  <c r="I18" i="18"/>
  <c r="D237" i="18"/>
  <c r="I17" i="18"/>
  <c r="H21" i="18"/>
  <c r="D19" i="18"/>
  <c r="K175" i="18"/>
  <c r="E23" i="18"/>
  <c r="F230" i="18"/>
  <c r="C49" i="18"/>
  <c r="B230" i="18"/>
  <c r="J26" i="18"/>
  <c r="I169" i="18"/>
  <c r="G53" i="18"/>
  <c r="H27" i="18"/>
  <c r="AI182" i="12"/>
  <c r="D57" i="18"/>
  <c r="F41" i="18"/>
  <c r="M24" i="18"/>
  <c r="I165" i="18"/>
  <c r="I175" i="18"/>
  <c r="E170" i="18"/>
  <c r="F144" i="18"/>
  <c r="I140" i="18"/>
  <c r="C48" i="18"/>
  <c r="D48" i="18"/>
  <c r="E206" i="18"/>
  <c r="F134" i="18"/>
  <c r="C114" i="18"/>
  <c r="F148" i="18"/>
  <c r="J17" i="18"/>
  <c r="E113" i="18"/>
  <c r="L26" i="18"/>
  <c r="H9" i="18"/>
  <c r="H44" i="18"/>
  <c r="C149" i="18"/>
  <c r="J16" i="18"/>
  <c r="D239" i="18"/>
  <c r="G164" i="18"/>
  <c r="E42" i="18"/>
  <c r="C151" i="18"/>
  <c r="C108" i="18"/>
  <c r="F117" i="18"/>
  <c r="O26" i="18"/>
  <c r="G209" i="18"/>
  <c r="G42" i="18"/>
  <c r="I145" i="18"/>
  <c r="C205" i="18"/>
  <c r="C107" i="18"/>
  <c r="L12" i="18"/>
  <c r="F12" i="18"/>
  <c r="G46" i="18"/>
  <c r="M12" i="18"/>
  <c r="I166" i="18"/>
  <c r="E26" i="18"/>
  <c r="B16" i="18"/>
  <c r="H39" i="18"/>
  <c r="D42" i="18"/>
  <c r="J29" i="18"/>
  <c r="C105" i="18"/>
  <c r="H13" i="18"/>
  <c r="E133" i="18"/>
  <c r="C144" i="18"/>
  <c r="E146" i="18"/>
  <c r="I133" i="18"/>
  <c r="E54" i="18"/>
  <c r="D53" i="18"/>
  <c r="F48" i="18"/>
  <c r="G13" i="18"/>
  <c r="H104" i="18"/>
  <c r="C211" i="18"/>
  <c r="E169" i="18"/>
  <c r="B112" i="18"/>
  <c r="E196" i="18"/>
  <c r="C168" i="18"/>
  <c r="F113" i="18"/>
  <c r="B18" i="18"/>
  <c r="C53" i="18"/>
  <c r="B146" i="18"/>
  <c r="I138" i="18"/>
  <c r="B144" i="18"/>
  <c r="K28" i="18"/>
  <c r="G131" i="18"/>
  <c r="G163" i="18"/>
  <c r="B42" i="18"/>
  <c r="M29" i="18"/>
  <c r="K16" i="18"/>
  <c r="C206" i="18"/>
  <c r="D27" i="18"/>
  <c r="F139" i="18"/>
  <c r="C165" i="18"/>
  <c r="F138" i="18"/>
  <c r="C110" i="18"/>
  <c r="G115" i="18"/>
  <c r="AJ183" i="12"/>
  <c r="H115" i="18"/>
  <c r="G43" i="18"/>
  <c r="E22" i="18"/>
  <c r="F112" i="18"/>
  <c r="E197" i="18"/>
  <c r="C133" i="18"/>
  <c r="C135" i="18"/>
  <c r="E168" i="18"/>
  <c r="G205" i="18"/>
  <c r="H120" i="18"/>
  <c r="K170" i="18"/>
  <c r="B49" i="18"/>
  <c r="E139" i="18"/>
  <c r="K173" i="18"/>
  <c r="G149" i="18"/>
  <c r="B103" i="18"/>
  <c r="F14" i="18"/>
  <c r="K13" i="18"/>
  <c r="E201" i="18"/>
  <c r="D59" i="18"/>
  <c r="C163" i="18"/>
  <c r="C140" i="18"/>
  <c r="L27" i="18"/>
  <c r="G104" i="18"/>
  <c r="B47" i="18"/>
  <c r="K17" i="18"/>
  <c r="I108" i="18"/>
  <c r="E18" i="18"/>
  <c r="I180" i="18"/>
  <c r="F131" i="18"/>
  <c r="G194" i="18"/>
  <c r="O17" i="18"/>
  <c r="F232" i="18"/>
  <c r="F135" i="18"/>
  <c r="H100" i="18"/>
  <c r="I11" i="18"/>
  <c r="F233" i="18"/>
  <c r="E19" i="18"/>
  <c r="F146" i="18"/>
  <c r="B27" i="18"/>
  <c r="F53" i="18"/>
  <c r="C118" i="18"/>
  <c r="L17" i="18"/>
  <c r="B48" i="18"/>
  <c r="I103" i="18"/>
  <c r="G174" i="18"/>
  <c r="E103" i="18"/>
  <c r="F228" i="18"/>
  <c r="I119" i="18"/>
  <c r="H29" i="18"/>
  <c r="B109" i="18"/>
  <c r="N12" i="18"/>
  <c r="E11" i="18"/>
  <c r="I26" i="18"/>
  <c r="G47" i="18"/>
  <c r="H148" i="18"/>
  <c r="C209" i="18"/>
  <c r="B149" i="18"/>
  <c r="M28" i="18"/>
  <c r="F54" i="18"/>
  <c r="I117" i="18"/>
  <c r="E166" i="18"/>
  <c r="B12" i="18"/>
  <c r="B239" i="18"/>
  <c r="H17" i="18"/>
  <c r="D58" i="18"/>
  <c r="C56" i="18"/>
  <c r="H11" i="18"/>
  <c r="K29" i="18"/>
  <c r="B138" i="18"/>
  <c r="E46" i="18"/>
  <c r="E148" i="18"/>
  <c r="C148" i="18"/>
  <c r="B151" i="18"/>
  <c r="H46" i="18"/>
  <c r="G195" i="18"/>
  <c r="D41" i="18"/>
  <c r="K171" i="18"/>
  <c r="F104" i="18"/>
  <c r="N21" i="18"/>
  <c r="J13" i="18"/>
  <c r="E41" i="18"/>
  <c r="H143" i="18"/>
  <c r="E181" i="18"/>
  <c r="C145" i="18"/>
  <c r="G27" i="18"/>
  <c r="E48" i="18"/>
  <c r="C196" i="18"/>
  <c r="K22" i="18"/>
  <c r="C100" i="18"/>
  <c r="F19" i="18"/>
  <c r="G16" i="18"/>
  <c r="E27" i="18"/>
  <c r="H103" i="18"/>
  <c r="E114" i="18"/>
  <c r="G135" i="18"/>
  <c r="K19" i="18"/>
  <c r="C197" i="18"/>
  <c r="H58" i="18"/>
  <c r="E143" i="18"/>
  <c r="N23" i="18"/>
  <c r="F28" i="18"/>
  <c r="N28" i="18"/>
  <c r="C14" i="18"/>
  <c r="G200" i="18"/>
  <c r="H110" i="18"/>
  <c r="B222" i="18"/>
  <c r="C134" i="18"/>
  <c r="C207" i="18"/>
  <c r="F58" i="18"/>
  <c r="F234" i="18"/>
  <c r="G138" i="18"/>
  <c r="F136" i="18"/>
  <c r="G112" i="18"/>
  <c r="O19" i="18"/>
  <c r="B23" i="18"/>
  <c r="B115" i="18"/>
  <c r="B11" i="18"/>
  <c r="E16" i="18"/>
  <c r="M13" i="18"/>
  <c r="C175" i="18"/>
  <c r="H134" i="18"/>
  <c r="H133" i="18"/>
  <c r="C179" i="18"/>
  <c r="I102" i="18"/>
  <c r="H107" i="18"/>
  <c r="B14" i="18"/>
  <c r="H24" i="18"/>
  <c r="E119" i="18"/>
  <c r="B53" i="18"/>
  <c r="E163" i="18"/>
  <c r="G133" i="18"/>
  <c r="I24" i="18"/>
  <c r="C51" i="18"/>
  <c r="G181" i="18"/>
  <c r="E51" i="18"/>
  <c r="G26" i="18"/>
  <c r="D234" i="18"/>
  <c r="C12" i="18"/>
  <c r="D39" i="18"/>
  <c r="H28" i="18"/>
  <c r="C13" i="18"/>
  <c r="F27" i="18"/>
  <c r="G110" i="18"/>
  <c r="E210" i="18"/>
  <c r="I151" i="18"/>
  <c r="B56" i="18"/>
  <c r="H144" i="18"/>
  <c r="E102" i="18"/>
  <c r="C180" i="18"/>
  <c r="D51" i="18"/>
  <c r="I109" i="18"/>
  <c r="F21" i="18"/>
  <c r="G24" i="18"/>
  <c r="B28" i="18"/>
  <c r="K178" i="18"/>
  <c r="G173" i="18"/>
  <c r="B43" i="18"/>
  <c r="I181" i="18"/>
  <c r="G120" i="18"/>
  <c r="G145" i="18"/>
  <c r="I174" i="18"/>
  <c r="B120" i="18"/>
  <c r="H41" i="18"/>
  <c r="B227" i="18"/>
  <c r="I134" i="18"/>
  <c r="E205" i="18"/>
  <c r="C103" i="18"/>
  <c r="G118" i="18"/>
  <c r="H57" i="18"/>
  <c r="J22" i="18"/>
  <c r="G212" i="18"/>
  <c r="F16" i="18"/>
  <c r="B29" i="18"/>
  <c r="G23" i="18"/>
  <c r="B22" i="18"/>
  <c r="E195" i="18"/>
  <c r="O22" i="18"/>
  <c r="H54" i="18"/>
  <c r="D228" i="18"/>
  <c r="C138" i="18"/>
  <c r="E39" i="18"/>
  <c r="I14" i="18"/>
  <c r="F222" i="18"/>
  <c r="G176" i="18"/>
  <c r="C109" i="18"/>
  <c r="E115" i="18"/>
  <c r="G41" i="18"/>
  <c r="E108" i="18"/>
  <c r="M23" i="18"/>
  <c r="I115" i="18"/>
  <c r="D52" i="18"/>
  <c r="E180" i="18"/>
  <c r="D47" i="18"/>
  <c r="D11" i="18"/>
  <c r="H151" i="18"/>
  <c r="AI170" i="12"/>
  <c r="G109" i="18"/>
  <c r="I179" i="18"/>
  <c r="C173" i="18"/>
  <c r="E145" i="18"/>
  <c r="B232" i="18"/>
  <c r="C47" i="18"/>
  <c r="C150" i="18"/>
  <c r="D18" i="18"/>
  <c r="N11" i="18"/>
  <c r="N16" i="18"/>
  <c r="B114" i="18"/>
  <c r="F115" i="18"/>
  <c r="L9" i="18"/>
  <c r="E200" i="18"/>
  <c r="N17" i="18"/>
  <c r="D13" i="18"/>
  <c r="G150" i="18"/>
  <c r="D16" i="18"/>
  <c r="K168" i="18"/>
  <c r="C194" i="18"/>
  <c r="H149" i="18"/>
  <c r="I136" i="18"/>
  <c r="D229" i="18"/>
  <c r="E112" i="18"/>
  <c r="F237" i="18"/>
  <c r="C104" i="18"/>
  <c r="I131" i="18"/>
  <c r="K165" i="18"/>
  <c r="G56" i="18"/>
  <c r="C27" i="18"/>
  <c r="G28" i="18"/>
  <c r="F151" i="18"/>
  <c r="F226" i="18"/>
  <c r="H49" i="18"/>
  <c r="F23" i="18"/>
  <c r="F22" i="18"/>
  <c r="D233" i="18"/>
  <c r="I28" i="18"/>
  <c r="B26" i="18"/>
  <c r="G168" i="18"/>
  <c r="B58" i="18"/>
  <c r="C200" i="18"/>
  <c r="G210" i="18"/>
  <c r="G51" i="18"/>
  <c r="I170" i="18"/>
  <c r="I143" i="18"/>
  <c r="I100" i="18"/>
  <c r="B235" i="18"/>
  <c r="D227" i="18"/>
  <c r="C146" i="18"/>
  <c r="K163" i="18"/>
  <c r="H52" i="18"/>
  <c r="H119" i="18"/>
  <c r="O28" i="18"/>
  <c r="F52" i="18"/>
  <c r="I110" i="18"/>
  <c r="J21" i="18"/>
  <c r="L23" i="18"/>
  <c r="G103" i="18"/>
  <c r="B39" i="18"/>
  <c r="F46" i="18"/>
  <c r="B238" i="18"/>
  <c r="AI171" i="12"/>
  <c r="I150" i="18"/>
  <c r="J14" i="18"/>
  <c r="E140" i="18"/>
  <c r="F109" i="18"/>
  <c r="C112" i="18"/>
  <c r="G44" i="18"/>
  <c r="E144" i="18"/>
  <c r="G175" i="18"/>
  <c r="K23" i="18"/>
  <c r="D22" i="18"/>
  <c r="C42" i="18"/>
  <c r="F118" i="18"/>
  <c r="M26" i="18"/>
  <c r="B228" i="18"/>
  <c r="D21" i="18"/>
  <c r="C23" i="18"/>
  <c r="C44" i="18"/>
  <c r="N29" i="18"/>
  <c r="E57" i="18"/>
  <c r="G22" i="18"/>
  <c r="I173" i="18"/>
  <c r="H109" i="18"/>
  <c r="E100" i="18"/>
  <c r="G102" i="18"/>
  <c r="C26" i="18"/>
  <c r="F119" i="18"/>
  <c r="F59" i="18"/>
  <c r="E212" i="18"/>
  <c r="C22" i="18"/>
  <c r="B150" i="18"/>
  <c r="G49" i="18"/>
  <c r="N26" i="18"/>
  <c r="C19" i="18"/>
  <c r="C24" i="18"/>
  <c r="B234" i="18"/>
  <c r="F120" i="18"/>
  <c r="E52" i="18"/>
  <c r="C143" i="18"/>
  <c r="H19" i="18"/>
  <c r="L18" i="18"/>
  <c r="I148" i="18"/>
  <c r="K181" i="18"/>
  <c r="C170" i="18"/>
  <c r="D49" i="18"/>
  <c r="H53" i="18"/>
  <c r="D14" i="18"/>
  <c r="I114" i="18"/>
  <c r="E59" i="18"/>
  <c r="H131" i="18"/>
  <c r="B135" i="18"/>
  <c r="K179" i="18"/>
  <c r="AI183" i="12"/>
  <c r="H23" i="18"/>
  <c r="I164" i="18"/>
  <c r="G146" i="18"/>
  <c r="E174" i="18"/>
  <c r="K169" i="18"/>
  <c r="D238" i="18"/>
  <c r="G12" i="18"/>
  <c r="G108" i="18"/>
  <c r="B113" i="18"/>
  <c r="E104" i="18"/>
  <c r="C176" i="18"/>
  <c r="O29" i="18"/>
  <c r="E58" i="18"/>
  <c r="J11" i="18"/>
  <c r="L11" i="18"/>
  <c r="I135" i="18"/>
  <c r="C178" i="18"/>
  <c r="C102" i="18"/>
  <c r="E176" i="18"/>
  <c r="N9" i="18"/>
  <c r="L28" i="18"/>
  <c r="E173" i="18"/>
  <c r="B226" i="18"/>
  <c r="N19" i="18"/>
  <c r="E150" i="18"/>
  <c r="G211" i="18"/>
  <c r="E43" i="18"/>
  <c r="G202" i="18"/>
  <c r="B105" i="18"/>
  <c r="B140" i="18"/>
  <c r="E141" i="18"/>
  <c r="C16" i="18"/>
  <c r="H114" i="18"/>
  <c r="H16" i="18"/>
  <c r="G141" i="18"/>
  <c r="G18" i="18"/>
  <c r="G148" i="18"/>
  <c r="J24" i="18"/>
  <c r="E24" i="18"/>
  <c r="I16" i="18"/>
  <c r="O23" i="18"/>
  <c r="I12" i="18"/>
  <c r="B136" i="18"/>
  <c r="B19" i="18"/>
  <c r="H108" i="18"/>
  <c r="K26" i="18"/>
  <c r="H102" i="18"/>
  <c r="F9" i="18"/>
  <c r="I29" i="18"/>
  <c r="F100" i="18"/>
  <c r="E21" i="18"/>
  <c r="C52" i="18"/>
  <c r="K174" i="18"/>
  <c r="F17" i="18"/>
  <c r="G117" i="18"/>
  <c r="L16" i="18"/>
  <c r="C169" i="18"/>
  <c r="G58" i="18"/>
  <c r="B57" i="18"/>
  <c r="D54" i="18"/>
  <c r="G119" i="18"/>
  <c r="M14" i="18"/>
  <c r="B229" i="18"/>
  <c r="C74" i="18" l="1"/>
  <c r="D82" i="18"/>
  <c r="H87" i="18"/>
  <c r="B179" i="18"/>
  <c r="E82" i="18"/>
  <c r="B88" i="18"/>
  <c r="B166" i="18"/>
  <c r="D72" i="18"/>
  <c r="E73" i="18"/>
  <c r="E75" i="18"/>
  <c r="F77" i="18"/>
  <c r="F78" i="18"/>
  <c r="B84" i="18"/>
  <c r="G89" i="18"/>
  <c r="J166" i="18"/>
  <c r="F204" i="18"/>
  <c r="F210" i="18"/>
  <c r="H230" i="18"/>
  <c r="F82" i="18"/>
  <c r="C84" i="18"/>
  <c r="C88" i="18"/>
  <c r="B90" i="18"/>
  <c r="B168" i="18"/>
  <c r="B174" i="18"/>
  <c r="B180" i="18"/>
  <c r="B70" i="18"/>
  <c r="F73" i="18"/>
  <c r="G74" i="18"/>
  <c r="B79" i="18"/>
  <c r="F84" i="18"/>
  <c r="F90" i="18"/>
  <c r="H163" i="18"/>
  <c r="D200" i="18"/>
  <c r="D206" i="18"/>
  <c r="D212" i="18"/>
  <c r="H234" i="18"/>
  <c r="C73" i="18"/>
  <c r="F202" i="18"/>
  <c r="E77" i="18"/>
  <c r="E78" i="18"/>
  <c r="D210" i="18"/>
  <c r="D70" i="18"/>
  <c r="H77" i="18"/>
  <c r="C83" i="18"/>
  <c r="G88" i="18"/>
  <c r="F194" i="18"/>
  <c r="F200" i="18"/>
  <c r="F206" i="18"/>
  <c r="F212" i="18"/>
  <c r="G70" i="18"/>
  <c r="H72" i="18"/>
  <c r="B74" i="18"/>
  <c r="H74" i="18"/>
  <c r="B77" i="18"/>
  <c r="G80" i="18"/>
  <c r="D87" i="18"/>
  <c r="B164" i="18"/>
  <c r="B170" i="18"/>
  <c r="B176" i="18"/>
  <c r="D75" i="18"/>
  <c r="F196" i="18"/>
  <c r="H79" i="18"/>
  <c r="E85" i="18"/>
  <c r="H173" i="18"/>
  <c r="C79" i="18"/>
  <c r="G84" i="18"/>
  <c r="G90" i="18"/>
  <c r="B72" i="18"/>
  <c r="C75" i="18"/>
  <c r="D79" i="18"/>
  <c r="H80" i="18"/>
  <c r="H84" i="18"/>
  <c r="E87" i="18"/>
  <c r="H90" i="18"/>
  <c r="H164" i="18"/>
  <c r="H170" i="18"/>
  <c r="J176" i="18"/>
  <c r="H224" i="18"/>
  <c r="F79" i="18"/>
  <c r="H82" i="18"/>
  <c r="C85" i="18"/>
  <c r="E88" i="18"/>
  <c r="D192" i="18"/>
  <c r="J165" i="18"/>
  <c r="D199" i="18"/>
  <c r="J171" i="18"/>
  <c r="F205" i="18"/>
  <c r="J178" i="18"/>
  <c r="H181" i="18"/>
  <c r="H70" i="18"/>
  <c r="F72" i="18"/>
  <c r="F74" i="18"/>
  <c r="H75" i="18"/>
  <c r="C78" i="18"/>
  <c r="G79" i="18"/>
  <c r="E80" i="18"/>
  <c r="B83" i="18"/>
  <c r="G83" i="18"/>
  <c r="D85" i="18"/>
  <c r="B87" i="18"/>
  <c r="F88" i="18"/>
  <c r="E89" i="18"/>
  <c r="F192" i="18"/>
  <c r="D196" i="18"/>
  <c r="B169" i="18"/>
  <c r="D202" i="18"/>
  <c r="J175" i="18"/>
  <c r="D209" i="18"/>
  <c r="J181" i="18"/>
  <c r="B73" i="18"/>
  <c r="D77" i="18"/>
  <c r="E83" i="18"/>
  <c r="G85" i="18"/>
  <c r="B89" i="18"/>
  <c r="H161" i="18"/>
  <c r="J164" i="18"/>
  <c r="H168" i="18"/>
  <c r="D201" i="18"/>
  <c r="H174" i="18"/>
  <c r="B178" i="18"/>
  <c r="H180" i="18"/>
  <c r="E70" i="18"/>
  <c r="D74" i="18"/>
  <c r="C80" i="18"/>
  <c r="F70" i="18"/>
  <c r="E72" i="18"/>
  <c r="G73" i="18"/>
  <c r="G75" i="18"/>
  <c r="B78" i="18"/>
  <c r="G78" i="18"/>
  <c r="D80" i="18"/>
  <c r="B82" i="18"/>
  <c r="F83" i="18"/>
  <c r="D84" i="18"/>
  <c r="H85" i="18"/>
  <c r="F87" i="18"/>
  <c r="C89" i="18"/>
  <c r="C90" i="18"/>
  <c r="J161" i="18"/>
  <c r="F195" i="18"/>
  <c r="J168" i="18"/>
  <c r="H171" i="18"/>
  <c r="J174" i="18"/>
  <c r="H178" i="18"/>
  <c r="D211" i="18"/>
  <c r="H232" i="18"/>
  <c r="H228" i="18"/>
  <c r="C70" i="18"/>
  <c r="C72" i="18"/>
  <c r="G72" i="18"/>
  <c r="D73" i="18"/>
  <c r="H73" i="18"/>
  <c r="E74" i="18"/>
  <c r="B75" i="18"/>
  <c r="F75" i="18"/>
  <c r="C77" i="18"/>
  <c r="G77" i="18"/>
  <c r="D78" i="18"/>
  <c r="H78" i="18"/>
  <c r="E79" i="18"/>
  <c r="B80" i="18"/>
  <c r="F80" i="18"/>
  <c r="C82" i="18"/>
  <c r="G82" i="18"/>
  <c r="D83" i="18"/>
  <c r="H83" i="18"/>
  <c r="E84" i="18"/>
  <c r="B85" i="18"/>
  <c r="F85" i="18"/>
  <c r="C87" i="18"/>
  <c r="G87" i="18"/>
  <c r="D88" i="18"/>
  <c r="H88" i="18"/>
  <c r="F89" i="18"/>
  <c r="D90" i="18"/>
  <c r="B163" i="18"/>
  <c r="D195" i="18"/>
  <c r="H166" i="18"/>
  <c r="F199" i="18"/>
  <c r="J170" i="18"/>
  <c r="B173" i="18"/>
  <c r="D205" i="18"/>
  <c r="H176" i="18"/>
  <c r="F209" i="18"/>
  <c r="J180" i="18"/>
  <c r="H238" i="18"/>
  <c r="J163" i="18"/>
  <c r="B165" i="18"/>
  <c r="D197" i="18"/>
  <c r="H169" i="18"/>
  <c r="F201" i="18"/>
  <c r="J173" i="18"/>
  <c r="B175" i="18"/>
  <c r="D207" i="18"/>
  <c r="H179" i="18"/>
  <c r="F211" i="18"/>
  <c r="H226" i="18"/>
  <c r="B161" i="18"/>
  <c r="D194" i="18"/>
  <c r="H165" i="18"/>
  <c r="F197" i="18"/>
  <c r="J169" i="18"/>
  <c r="B171" i="18"/>
  <c r="D204" i="18"/>
  <c r="H175" i="18"/>
  <c r="F207" i="18"/>
  <c r="J179" i="18"/>
  <c r="B181" i="18"/>
  <c r="H236" i="18"/>
  <c r="B192" i="18"/>
  <c r="B194" i="18"/>
  <c r="B195" i="18"/>
  <c r="B196" i="18"/>
  <c r="B197" i="18"/>
  <c r="B199" i="18"/>
  <c r="B200" i="18"/>
  <c r="B201" i="18"/>
  <c r="B202" i="18"/>
  <c r="B204" i="18"/>
  <c r="B205" i="18"/>
  <c r="B206" i="18"/>
  <c r="B207" i="18"/>
  <c r="B209" i="18"/>
  <c r="B210" i="18"/>
  <c r="B211" i="18"/>
  <c r="B212" i="18"/>
  <c r="D161" i="18"/>
  <c r="D163" i="18"/>
  <c r="D164" i="18"/>
  <c r="D165" i="18"/>
  <c r="D166" i="18"/>
  <c r="D168" i="18"/>
  <c r="D169" i="18"/>
  <c r="D170" i="18"/>
  <c r="D171" i="18"/>
  <c r="D173" i="18"/>
  <c r="D174" i="18"/>
  <c r="D175" i="18"/>
  <c r="D176" i="18"/>
  <c r="D178" i="18"/>
  <c r="D179" i="18"/>
  <c r="D180" i="18"/>
  <c r="D181" i="18"/>
  <c r="D89" i="18"/>
  <c r="H89" i="18"/>
  <c r="E90" i="18"/>
  <c r="H222" i="18"/>
  <c r="H225" i="18"/>
  <c r="H227" i="18"/>
  <c r="H229" i="18"/>
  <c r="H231" i="18"/>
  <c r="H233" i="18"/>
  <c r="H235" i="18"/>
  <c r="H237" i="18"/>
  <c r="H239" i="18"/>
  <c r="AK171" i="12"/>
  <c r="AK182" i="12"/>
  <c r="AK170" i="12"/>
  <c r="AK183" i="12"/>
  <c r="AB225" i="16" l="1"/>
  <c r="AW209" i="16"/>
  <c r="AV209" i="16"/>
  <c r="AU209" i="16"/>
  <c r="AR209" i="16"/>
  <c r="AQ209" i="16"/>
  <c r="AP209" i="16"/>
  <c r="W209" i="16"/>
  <c r="U209" i="16"/>
  <c r="S209" i="16"/>
  <c r="AW204" i="16"/>
  <c r="AV204" i="16"/>
  <c r="AU204" i="16"/>
  <c r="AR204" i="16"/>
  <c r="AQ204" i="16"/>
  <c r="AP204" i="16"/>
  <c r="AW199" i="16"/>
  <c r="AV199" i="16"/>
  <c r="AU199" i="16"/>
  <c r="AR199" i="16"/>
  <c r="AQ199" i="16"/>
  <c r="AP199" i="16"/>
  <c r="W193" i="16"/>
  <c r="U193" i="16"/>
  <c r="S193" i="16"/>
  <c r="AO181" i="16"/>
  <c r="AN181" i="16"/>
  <c r="AH181" i="16"/>
  <c r="AG181" i="16"/>
  <c r="AO180" i="16"/>
  <c r="AN180" i="16"/>
  <c r="AM180" i="16"/>
  <c r="AL180" i="16"/>
  <c r="AK180" i="16"/>
  <c r="AH180" i="16"/>
  <c r="AG180" i="16"/>
  <c r="AF180" i="16"/>
  <c r="AE180" i="16"/>
  <c r="AD180" i="16"/>
  <c r="BD178" i="16"/>
  <c r="BC178" i="16"/>
  <c r="BB178" i="16"/>
  <c r="BA178" i="16"/>
  <c r="AZ178" i="16"/>
  <c r="AW178" i="16"/>
  <c r="AV178" i="16"/>
  <c r="AU178" i="16"/>
  <c r="AT178" i="16"/>
  <c r="AS178" i="16"/>
  <c r="BD173" i="16"/>
  <c r="BC173" i="16"/>
  <c r="BB173" i="16"/>
  <c r="BA173" i="16"/>
  <c r="AZ173" i="16"/>
  <c r="AW173" i="16"/>
  <c r="AV173" i="16"/>
  <c r="AU173" i="16"/>
  <c r="AT173" i="16"/>
  <c r="AS173" i="16"/>
  <c r="BD168" i="16"/>
  <c r="BC168" i="16"/>
  <c r="BB168" i="16"/>
  <c r="BA168" i="16"/>
  <c r="AZ168" i="16"/>
  <c r="AW168" i="16"/>
  <c r="AV168" i="16"/>
  <c r="AU168" i="16"/>
  <c r="AT168" i="16"/>
  <c r="AS168" i="16"/>
  <c r="AA162" i="16"/>
  <c r="Y162" i="16"/>
  <c r="W162" i="16"/>
  <c r="U162" i="16"/>
  <c r="S162" i="16"/>
  <c r="AX25" i="16"/>
  <c r="AW25" i="16"/>
  <c r="AV25" i="16"/>
  <c r="AU25" i="16"/>
  <c r="AT25" i="16"/>
  <c r="AS25" i="16"/>
  <c r="AR25" i="16"/>
  <c r="AO25" i="16"/>
  <c r="AN25" i="16"/>
  <c r="AM25" i="16"/>
  <c r="AL25" i="16"/>
  <c r="AK25" i="16"/>
  <c r="AJ25" i="16"/>
  <c r="AI25" i="16"/>
  <c r="AX20" i="16"/>
  <c r="AW20" i="16"/>
  <c r="AV20" i="16"/>
  <c r="AU20" i="16"/>
  <c r="AT20" i="16"/>
  <c r="AS20" i="16"/>
  <c r="AR20" i="16"/>
  <c r="AO20" i="16"/>
  <c r="AN20" i="16"/>
  <c r="AM20" i="16"/>
  <c r="AL20" i="16"/>
  <c r="AK20" i="16"/>
  <c r="AJ20" i="16"/>
  <c r="AI20" i="16"/>
  <c r="AX15" i="16"/>
  <c r="AW15" i="16"/>
  <c r="AV15" i="16"/>
  <c r="AU15" i="16"/>
  <c r="AT15" i="16"/>
  <c r="AS15" i="16"/>
  <c r="AR15" i="16"/>
  <c r="AO15" i="16"/>
  <c r="AN15" i="16"/>
  <c r="AM15" i="16"/>
  <c r="AL15" i="16"/>
  <c r="AK15" i="16"/>
  <c r="AJ15" i="16"/>
  <c r="AI15" i="16"/>
  <c r="AE9" i="16"/>
  <c r="AC9" i="16"/>
  <c r="AA9" i="16"/>
  <c r="Y9" i="16"/>
  <c r="W9" i="16"/>
  <c r="U9" i="16"/>
  <c r="S9" i="16"/>
  <c r="AH162" i="16" l="1"/>
  <c r="AO162" i="16"/>
  <c r="E198" i="16"/>
  <c r="C24" i="16"/>
  <c r="E19" i="16"/>
  <c r="G167" i="16"/>
  <c r="O29" i="16"/>
  <c r="G26" i="16"/>
  <c r="Z14" i="16"/>
  <c r="T201" i="16"/>
  <c r="V201" i="16"/>
  <c r="X167" i="16"/>
  <c r="Z177" i="16"/>
  <c r="T210" i="16"/>
  <c r="K27" i="16"/>
  <c r="R200" i="16"/>
  <c r="I16" i="16"/>
  <c r="G198" i="16"/>
  <c r="R180" i="16"/>
  <c r="M22" i="16"/>
  <c r="R202" i="16"/>
  <c r="X166" i="16"/>
  <c r="X180" i="16"/>
  <c r="E176" i="16"/>
  <c r="I19" i="16"/>
  <c r="T165" i="16"/>
  <c r="R197" i="16"/>
  <c r="G23" i="16"/>
  <c r="V177" i="16"/>
  <c r="R213" i="16"/>
  <c r="X17" i="16"/>
  <c r="M13" i="16"/>
  <c r="O19" i="16"/>
  <c r="V211" i="16"/>
  <c r="K29" i="16"/>
  <c r="R206" i="16"/>
  <c r="T166" i="16"/>
  <c r="K171" i="16"/>
  <c r="Z26" i="16"/>
  <c r="I182" i="16"/>
  <c r="E206" i="16"/>
  <c r="V11" i="16"/>
  <c r="R18" i="16"/>
  <c r="C182" i="16"/>
  <c r="G195" i="16"/>
  <c r="T23" i="16"/>
  <c r="AD29" i="16"/>
  <c r="R172" i="16"/>
  <c r="T211" i="16"/>
  <c r="V12" i="16"/>
  <c r="V169" i="16"/>
  <c r="E169" i="16"/>
  <c r="Z164" i="16"/>
  <c r="E165" i="16"/>
  <c r="C172" i="16"/>
  <c r="R171" i="16"/>
  <c r="R13" i="16"/>
  <c r="AD27" i="16"/>
  <c r="R23" i="16"/>
  <c r="C176" i="16"/>
  <c r="K16" i="16"/>
  <c r="T200" i="16"/>
  <c r="R164" i="16"/>
  <c r="C213" i="16"/>
  <c r="G197" i="16"/>
  <c r="K23" i="16"/>
  <c r="V181" i="16"/>
  <c r="C26" i="16"/>
  <c r="K172" i="16"/>
  <c r="O11" i="16"/>
  <c r="X174" i="16"/>
  <c r="G12" i="16"/>
  <c r="AB19" i="16"/>
  <c r="G200" i="16"/>
  <c r="T27" i="16"/>
  <c r="R170" i="16"/>
  <c r="E23" i="16"/>
  <c r="X164" i="16"/>
  <c r="R211" i="16"/>
  <c r="G164" i="16"/>
  <c r="E24" i="16"/>
  <c r="X13" i="16"/>
  <c r="C29" i="16"/>
  <c r="R165" i="16"/>
  <c r="C203" i="16"/>
  <c r="R12" i="16"/>
  <c r="M28" i="16"/>
  <c r="V22" i="16"/>
  <c r="K18" i="16"/>
  <c r="R16" i="16"/>
  <c r="V174" i="16"/>
  <c r="AB24" i="16"/>
  <c r="V212" i="16"/>
  <c r="K14" i="16"/>
  <c r="E200" i="16"/>
  <c r="T177" i="16"/>
  <c r="X18" i="16"/>
  <c r="G18" i="16"/>
  <c r="K166" i="16"/>
  <c r="T167" i="16"/>
  <c r="E29" i="16"/>
  <c r="M12" i="16"/>
  <c r="G16" i="16"/>
  <c r="G180" i="16"/>
  <c r="O13" i="16"/>
  <c r="AD22" i="16"/>
  <c r="AB14" i="16"/>
  <c r="V182" i="16"/>
  <c r="R176" i="16"/>
  <c r="E182" i="16"/>
  <c r="T21" i="16"/>
  <c r="G174" i="16"/>
  <c r="G210" i="16"/>
  <c r="E18" i="16"/>
  <c r="V200" i="16"/>
  <c r="Z182" i="16"/>
  <c r="C18" i="16"/>
  <c r="AD19" i="16"/>
  <c r="K12" i="16"/>
  <c r="AB28" i="16"/>
  <c r="C208" i="16"/>
  <c r="AB13" i="16"/>
  <c r="C21" i="16"/>
  <c r="Z24" i="16"/>
  <c r="O27" i="16"/>
  <c r="T182" i="16"/>
  <c r="E195" i="16"/>
  <c r="AB22" i="16"/>
  <c r="C202" i="16"/>
  <c r="E17" i="16"/>
  <c r="R198" i="16"/>
  <c r="X24" i="16"/>
  <c r="T14" i="16"/>
  <c r="C174" i="16"/>
  <c r="C212" i="16"/>
  <c r="T202" i="16"/>
  <c r="K170" i="16"/>
  <c r="G207" i="16"/>
  <c r="V165" i="16"/>
  <c r="E22" i="16"/>
  <c r="O28" i="16"/>
  <c r="C197" i="16"/>
  <c r="G19" i="16"/>
  <c r="C14" i="16"/>
  <c r="I11" i="16"/>
  <c r="V203" i="16"/>
  <c r="M11" i="16"/>
  <c r="T212" i="16"/>
  <c r="M29" i="16"/>
  <c r="R28" i="16"/>
  <c r="R29" i="16"/>
  <c r="Z170" i="16"/>
  <c r="R26" i="16"/>
  <c r="C171" i="16"/>
  <c r="T19" i="16"/>
  <c r="G213" i="16"/>
  <c r="G205" i="16"/>
  <c r="E21" i="16"/>
  <c r="R22" i="16"/>
  <c r="V19" i="16"/>
  <c r="T206" i="16"/>
  <c r="G201" i="16"/>
  <c r="K17" i="16"/>
  <c r="T22" i="16"/>
  <c r="T195" i="16"/>
  <c r="Z13" i="16"/>
  <c r="Z166" i="16"/>
  <c r="T180" i="16"/>
  <c r="G24" i="16"/>
  <c r="T16" i="16"/>
  <c r="K169" i="16"/>
  <c r="K26" i="16"/>
  <c r="AD21" i="16"/>
  <c r="X169" i="16"/>
  <c r="G13" i="16"/>
  <c r="C195" i="16"/>
  <c r="M14" i="16"/>
  <c r="Z19" i="16"/>
  <c r="AD28" i="16"/>
  <c r="I23" i="16"/>
  <c r="R11" i="16"/>
  <c r="V170" i="16"/>
  <c r="V166" i="16"/>
  <c r="C200" i="16"/>
  <c r="I24" i="16"/>
  <c r="E167" i="16"/>
  <c r="I28" i="16"/>
  <c r="G172" i="16"/>
  <c r="G203" i="16"/>
  <c r="E210" i="16"/>
  <c r="K28" i="16"/>
  <c r="G182" i="16"/>
  <c r="I166" i="16"/>
  <c r="G206" i="16"/>
  <c r="R175" i="16"/>
  <c r="T205" i="16"/>
  <c r="I171" i="16"/>
  <c r="K165" i="16"/>
  <c r="X14" i="16"/>
  <c r="R27" i="16"/>
  <c r="T198" i="16"/>
  <c r="C13" i="16"/>
  <c r="R179" i="16"/>
  <c r="T13" i="16"/>
  <c r="AB23" i="16"/>
  <c r="E201" i="16"/>
  <c r="C177" i="16"/>
  <c r="V21" i="16"/>
  <c r="E202" i="16"/>
  <c r="K19" i="16"/>
  <c r="V17" i="16"/>
  <c r="I170" i="16"/>
  <c r="G166" i="16"/>
  <c r="E16" i="16"/>
  <c r="V195" i="16"/>
  <c r="X26" i="16"/>
  <c r="C169" i="16"/>
  <c r="T196" i="16"/>
  <c r="I29" i="16"/>
  <c r="C201" i="16"/>
  <c r="AB12" i="16"/>
  <c r="G208" i="16"/>
  <c r="T24" i="16"/>
  <c r="K21" i="16"/>
  <c r="G176" i="16"/>
  <c r="V23" i="16"/>
  <c r="E175" i="16"/>
  <c r="V171" i="16"/>
  <c r="C16" i="16"/>
  <c r="C22" i="16"/>
  <c r="C167" i="16"/>
  <c r="G179" i="16"/>
  <c r="V206" i="16"/>
  <c r="V208" i="16"/>
  <c r="I27" i="16"/>
  <c r="O12" i="16"/>
  <c r="K13" i="16"/>
  <c r="I21" i="16"/>
  <c r="G22" i="16"/>
  <c r="Z27" i="16"/>
  <c r="T17" i="16"/>
  <c r="I167" i="16"/>
  <c r="V202" i="16"/>
  <c r="G196" i="16"/>
  <c r="AB11" i="16"/>
  <c r="C179" i="16"/>
  <c r="T176" i="16"/>
  <c r="I18" i="16"/>
  <c r="E27" i="16"/>
  <c r="T172" i="16"/>
  <c r="X181" i="16"/>
  <c r="AB29" i="16"/>
  <c r="R201" i="16"/>
  <c r="E13" i="16"/>
  <c r="O14" i="16"/>
  <c r="Z28" i="16"/>
  <c r="Z167" i="16"/>
  <c r="I169" i="16"/>
  <c r="V207" i="16"/>
  <c r="I174" i="16"/>
  <c r="Z29" i="16"/>
  <c r="M21" i="16"/>
  <c r="Z18" i="16"/>
  <c r="V213" i="16"/>
  <c r="R208" i="16"/>
  <c r="X171" i="16"/>
  <c r="I172" i="16"/>
  <c r="V13" i="16"/>
  <c r="X27" i="16"/>
  <c r="R203" i="16"/>
  <c r="I12" i="16"/>
  <c r="O22" i="16"/>
  <c r="Z16" i="16"/>
  <c r="K174" i="16"/>
  <c r="M18" i="16"/>
  <c r="AD18" i="16"/>
  <c r="R195" i="16"/>
  <c r="E166" i="16"/>
  <c r="V205" i="16"/>
  <c r="E174" i="16"/>
  <c r="X21" i="16"/>
  <c r="AB18" i="16"/>
  <c r="I164" i="16"/>
  <c r="C210" i="16"/>
  <c r="AB16" i="16"/>
  <c r="T208" i="16"/>
  <c r="C23" i="16"/>
  <c r="R17" i="16"/>
  <c r="E181" i="16"/>
  <c r="O18" i="16"/>
  <c r="G175" i="16"/>
  <c r="M17" i="16"/>
  <c r="X19" i="16"/>
  <c r="AD16" i="16"/>
  <c r="G202" i="16"/>
  <c r="C205" i="16"/>
  <c r="E14" i="16"/>
  <c r="AD11" i="16"/>
  <c r="Z174" i="16"/>
  <c r="C11" i="16"/>
  <c r="C27" i="16"/>
  <c r="Z165" i="16"/>
  <c r="Z176" i="16"/>
  <c r="M26" i="16"/>
  <c r="C28" i="16"/>
  <c r="V196" i="16"/>
  <c r="AD24" i="16"/>
  <c r="K164" i="16"/>
  <c r="K175" i="16"/>
  <c r="T179" i="16"/>
  <c r="X12" i="16"/>
  <c r="V26" i="16"/>
  <c r="I180" i="16"/>
  <c r="T171" i="16"/>
  <c r="G177" i="16"/>
  <c r="I175" i="16"/>
  <c r="C165" i="16"/>
  <c r="X177" i="16"/>
  <c r="X165" i="16"/>
  <c r="X16" i="16"/>
  <c r="G14" i="16"/>
  <c r="G211" i="16"/>
  <c r="T213" i="16"/>
  <c r="G11" i="16"/>
  <c r="E208" i="16"/>
  <c r="E213" i="16"/>
  <c r="V179" i="16"/>
  <c r="G212" i="16"/>
  <c r="C206" i="16"/>
  <c r="V164" i="16"/>
  <c r="R166" i="16"/>
  <c r="T203" i="16"/>
  <c r="G171" i="16"/>
  <c r="I176" i="16"/>
  <c r="E196" i="16"/>
  <c r="E172" i="16"/>
  <c r="C198" i="16"/>
  <c r="T164" i="16"/>
  <c r="C19" i="16"/>
  <c r="R174" i="16"/>
  <c r="X23" i="16"/>
  <c r="X172" i="16"/>
  <c r="E212" i="16"/>
  <c r="C211" i="16"/>
  <c r="E12" i="16"/>
  <c r="X176" i="16"/>
  <c r="G28" i="16"/>
  <c r="V180" i="16"/>
  <c r="AD26" i="16"/>
  <c r="M24" i="16"/>
  <c r="E171" i="16"/>
  <c r="K167" i="16"/>
  <c r="Z171" i="16"/>
  <c r="C17" i="16"/>
  <c r="T11" i="16"/>
  <c r="T181" i="16"/>
  <c r="I179" i="16"/>
  <c r="I177" i="16"/>
  <c r="R207" i="16"/>
  <c r="C170" i="16"/>
  <c r="T18" i="16"/>
  <c r="AB26" i="16"/>
  <c r="Z175" i="16"/>
  <c r="Z180" i="16"/>
  <c r="X29" i="16"/>
  <c r="R212" i="16"/>
  <c r="G170" i="16"/>
  <c r="M19" i="16"/>
  <c r="Z12" i="16"/>
  <c r="G21" i="16"/>
  <c r="C181" i="16"/>
  <c r="K180" i="16"/>
  <c r="E205" i="16"/>
  <c r="O16" i="16"/>
  <c r="T12" i="16"/>
  <c r="I181" i="16"/>
  <c r="C175" i="16"/>
  <c r="AB27" i="16"/>
  <c r="AD17" i="16"/>
  <c r="T197" i="16"/>
  <c r="R19" i="16"/>
  <c r="V27" i="16"/>
  <c r="X175" i="16"/>
  <c r="R169" i="16"/>
  <c r="T29" i="16"/>
  <c r="R24" i="16"/>
  <c r="R182" i="16"/>
  <c r="T28" i="16"/>
  <c r="Z11" i="16"/>
  <c r="V18" i="16"/>
  <c r="E177" i="16"/>
  <c r="V16" i="16"/>
  <c r="K179" i="16"/>
  <c r="X22" i="16"/>
  <c r="V28" i="16"/>
  <c r="I17" i="16"/>
  <c r="C12" i="16"/>
  <c r="O21" i="16"/>
  <c r="R21" i="16"/>
  <c r="V14" i="16"/>
  <c r="K182" i="16"/>
  <c r="I26" i="16"/>
  <c r="I165" i="16"/>
  <c r="AD14" i="16"/>
  <c r="Z21" i="16"/>
  <c r="V167" i="16"/>
  <c r="E211" i="16"/>
  <c r="C180" i="16"/>
  <c r="X170" i="16"/>
  <c r="K22" i="16"/>
  <c r="K177" i="16"/>
  <c r="V176" i="16"/>
  <c r="Z17" i="16"/>
  <c r="M23" i="16"/>
  <c r="E207" i="16"/>
  <c r="R210" i="16"/>
  <c r="R205" i="16"/>
  <c r="Z172" i="16"/>
  <c r="X28" i="16"/>
  <c r="E203" i="16"/>
  <c r="X11" i="16"/>
  <c r="G165" i="16"/>
  <c r="Z181" i="16"/>
  <c r="R167" i="16"/>
  <c r="AD13" i="16"/>
  <c r="V29" i="16"/>
  <c r="V24" i="16"/>
  <c r="M27" i="16"/>
  <c r="G29" i="16"/>
  <c r="K181" i="16"/>
  <c r="AB21" i="16"/>
  <c r="G27" i="16"/>
  <c r="AD23" i="16"/>
  <c r="R181" i="16"/>
  <c r="E164" i="16"/>
  <c r="I13" i="16"/>
  <c r="G17" i="16"/>
  <c r="I14" i="16"/>
  <c r="E180" i="16"/>
  <c r="C207" i="16"/>
  <c r="M16" i="16"/>
  <c r="R14" i="16"/>
  <c r="O17" i="16"/>
  <c r="E170" i="16"/>
  <c r="R196" i="16"/>
  <c r="C196" i="16"/>
  <c r="T26" i="16"/>
  <c r="V197" i="16"/>
  <c r="K11" i="16"/>
  <c r="K24" i="16"/>
  <c r="T170" i="16"/>
  <c r="T169" i="16"/>
  <c r="C166" i="16"/>
  <c r="K176" i="16"/>
  <c r="G181" i="16"/>
  <c r="AB17" i="16"/>
  <c r="V175" i="16"/>
  <c r="E11" i="16"/>
  <c r="O23" i="16"/>
  <c r="Z179" i="16"/>
  <c r="V198" i="16"/>
  <c r="T175" i="16"/>
  <c r="I22" i="16"/>
  <c r="C164" i="16"/>
  <c r="Z169" i="16"/>
  <c r="X179" i="16"/>
  <c r="T174" i="16"/>
  <c r="G169" i="16"/>
  <c r="T207" i="16"/>
  <c r="O26" i="16"/>
  <c r="AD12" i="16"/>
  <c r="E179" i="16"/>
  <c r="V172" i="16"/>
  <c r="V210" i="16"/>
  <c r="O24" i="16"/>
  <c r="E197" i="16"/>
  <c r="Z23" i="16"/>
  <c r="R177" i="16"/>
  <c r="E28" i="16"/>
  <c r="Z22" i="16"/>
  <c r="X182" i="16"/>
  <c r="E26" i="16"/>
  <c r="AW13" i="16" l="1"/>
  <c r="W180" i="16"/>
  <c r="AU180" i="16"/>
  <c r="AT164" i="16"/>
  <c r="U164" i="16"/>
  <c r="AA182" i="16"/>
  <c r="AW182" i="16"/>
  <c r="W170" i="16"/>
  <c r="AU170" i="16"/>
  <c r="S17" i="16"/>
  <c r="AI17" i="16"/>
  <c r="W167" i="16"/>
  <c r="AU167" i="16"/>
  <c r="AI21" i="16"/>
  <c r="S21" i="16"/>
  <c r="AR18" i="16"/>
  <c r="AW12" i="16"/>
  <c r="AV210" i="16"/>
  <c r="AS24" i="16"/>
  <c r="AP213" i="16"/>
  <c r="S213" i="16"/>
  <c r="AJ14" i="16"/>
  <c r="U14" i="16"/>
  <c r="BD167" i="16"/>
  <c r="BB176" i="16"/>
  <c r="BA179" i="16"/>
  <c r="AS13" i="16"/>
  <c r="AM21" i="16"/>
  <c r="AA21" i="16"/>
  <c r="AS171" i="16"/>
  <c r="S171" i="16"/>
  <c r="AV200" i="16"/>
  <c r="AU165" i="16"/>
  <c r="W165" i="16"/>
  <c r="AV24" i="16"/>
  <c r="S182" i="16"/>
  <c r="AS182" i="16"/>
  <c r="AC26" i="16"/>
  <c r="AN26" i="16"/>
  <c r="S29" i="16"/>
  <c r="AI29" i="16"/>
  <c r="AZ169" i="16"/>
  <c r="W176" i="16"/>
  <c r="AU176" i="16"/>
  <c r="AU177" i="16"/>
  <c r="W177" i="16"/>
  <c r="BB169" i="16"/>
  <c r="W195" i="16"/>
  <c r="AR195" i="16"/>
  <c r="Y166" i="16"/>
  <c r="AV166" i="16"/>
  <c r="AR22" i="16"/>
  <c r="BD176" i="16"/>
  <c r="AU171" i="16"/>
  <c r="W171" i="16"/>
  <c r="S207" i="16"/>
  <c r="AP207" i="16"/>
  <c r="AW213" i="16"/>
  <c r="AN14" i="16"/>
  <c r="AC14" i="16"/>
  <c r="AV12" i="16"/>
  <c r="AV195" i="16"/>
  <c r="AV164" i="16"/>
  <c r="Y164" i="16"/>
  <c r="AS181" i="16"/>
  <c r="S181" i="16"/>
  <c r="AE14" i="16"/>
  <c r="AO14" i="16"/>
  <c r="AZ177" i="16"/>
  <c r="AL28" i="16"/>
  <c r="Y28" i="16"/>
  <c r="AV205" i="16"/>
  <c r="AW196" i="16"/>
  <c r="AU174" i="16"/>
  <c r="W174" i="16"/>
  <c r="AU27" i="16"/>
  <c r="AJ21" i="16"/>
  <c r="U21" i="16"/>
  <c r="AI27" i="16"/>
  <c r="S27" i="16"/>
  <c r="AZ166" i="16"/>
  <c r="AU200" i="16"/>
  <c r="AW200" i="16"/>
  <c r="AV206" i="16"/>
  <c r="AS179" i="16"/>
  <c r="S179" i="16"/>
  <c r="AE26" i="16"/>
  <c r="AO26" i="16"/>
  <c r="S174" i="16"/>
  <c r="AS174" i="16"/>
  <c r="AV16" i="16"/>
  <c r="AC21" i="16"/>
  <c r="AN21" i="16"/>
  <c r="AT170" i="16"/>
  <c r="U170" i="16"/>
  <c r="AM23" i="16"/>
  <c r="AA23" i="16"/>
  <c r="AW16" i="16"/>
  <c r="S28" i="16"/>
  <c r="AI28" i="16"/>
  <c r="BD164" i="16"/>
  <c r="AW18" i="16"/>
  <c r="AN19" i="16"/>
  <c r="AC19" i="16"/>
  <c r="W211" i="16"/>
  <c r="AR211" i="16"/>
  <c r="AX11" i="16"/>
  <c r="Y181" i="16"/>
  <c r="AV181" i="16"/>
  <c r="BB167" i="16"/>
  <c r="AQ205" i="16"/>
  <c r="U205" i="16"/>
  <c r="U28" i="16"/>
  <c r="AJ28" i="16"/>
  <c r="AL26" i="16"/>
  <c r="Y26" i="16"/>
  <c r="AU203" i="16"/>
  <c r="U171" i="16"/>
  <c r="AT171" i="16"/>
  <c r="BD181" i="16"/>
  <c r="S16" i="16"/>
  <c r="AI16" i="16"/>
  <c r="AO28" i="16"/>
  <c r="AE28" i="16"/>
  <c r="AT23" i="16"/>
  <c r="AV177" i="16"/>
  <c r="Y177" i="16"/>
  <c r="S13" i="16"/>
  <c r="AI13" i="16"/>
  <c r="AV19" i="16"/>
  <c r="U182" i="16"/>
  <c r="AT182" i="16"/>
  <c r="AW28" i="16"/>
  <c r="AS11" i="16"/>
  <c r="S172" i="16"/>
  <c r="AS172" i="16"/>
  <c r="AT19" i="16"/>
  <c r="AE12" i="16"/>
  <c r="AO12" i="16"/>
  <c r="AW22" i="16"/>
  <c r="BA177" i="16"/>
  <c r="AE16" i="16"/>
  <c r="AO16" i="16"/>
  <c r="AS170" i="16"/>
  <c r="S170" i="16"/>
  <c r="BD166" i="16"/>
  <c r="AM22" i="16"/>
  <c r="AA22" i="16"/>
  <c r="AW167" i="16"/>
  <c r="AA167" i="16"/>
  <c r="AT22" i="16"/>
  <c r="AV213" i="16"/>
  <c r="AU208" i="16"/>
  <c r="Y24" i="16"/>
  <c r="AL24" i="16"/>
  <c r="AV171" i="16"/>
  <c r="Y171" i="16"/>
  <c r="AV198" i="16"/>
  <c r="AZ165" i="16"/>
  <c r="S210" i="16"/>
  <c r="AP210" i="16"/>
  <c r="AW195" i="16"/>
  <c r="AT169" i="16"/>
  <c r="U169" i="16"/>
  <c r="W172" i="16"/>
  <c r="AU172" i="16"/>
  <c r="AU201" i="16"/>
  <c r="BD182" i="16"/>
  <c r="AE27" i="16"/>
  <c r="AO27" i="16"/>
  <c r="Y21" i="16"/>
  <c r="AL21" i="16"/>
  <c r="AI24" i="16"/>
  <c r="S24" i="16"/>
  <c r="AC23" i="16"/>
  <c r="AN23" i="16"/>
  <c r="BA166" i="16"/>
  <c r="AR213" i="16"/>
  <c r="W213" i="16"/>
  <c r="AX16" i="16"/>
  <c r="U200" i="16"/>
  <c r="AQ200" i="16"/>
  <c r="AS23" i="16"/>
  <c r="AR16" i="16"/>
  <c r="AZ164" i="16"/>
  <c r="AV28" i="16"/>
  <c r="AA174" i="16"/>
  <c r="AW174" i="16"/>
  <c r="AU196" i="16"/>
  <c r="AZ176" i="16"/>
  <c r="AS175" i="16"/>
  <c r="S175" i="16"/>
  <c r="S26" i="16"/>
  <c r="AI26" i="16"/>
  <c r="AS169" i="16"/>
  <c r="S169" i="16"/>
  <c r="Y172" i="16"/>
  <c r="AV172" i="16"/>
  <c r="AE11" i="16"/>
  <c r="AO11" i="16"/>
  <c r="AA11" i="16"/>
  <c r="AM11" i="16"/>
  <c r="BD174" i="16"/>
  <c r="AQ198" i="16"/>
  <c r="U198" i="16"/>
  <c r="S22" i="16"/>
  <c r="AI22" i="16"/>
  <c r="AX24" i="16"/>
  <c r="AU210" i="16"/>
  <c r="W11" i="16"/>
  <c r="AK11" i="16"/>
  <c r="S166" i="16"/>
  <c r="AS166" i="16"/>
  <c r="AL27" i="16"/>
  <c r="Y27" i="16"/>
  <c r="AZ167" i="16"/>
  <c r="AW197" i="16"/>
  <c r="BA181" i="16"/>
  <c r="W201" i="16"/>
  <c r="AR201" i="16"/>
  <c r="AQ210" i="16"/>
  <c r="U210" i="16"/>
  <c r="AT165" i="16"/>
  <c r="U165" i="16"/>
  <c r="Y167" i="16"/>
  <c r="AV167" i="16"/>
  <c r="AN28" i="16"/>
  <c r="AC28" i="16"/>
  <c r="AU198" i="16"/>
  <c r="AA24" i="16"/>
  <c r="AM24" i="16"/>
  <c r="AN24" i="16"/>
  <c r="AC24" i="16"/>
  <c r="AV208" i="16"/>
  <c r="BC182" i="16"/>
  <c r="W207" i="16"/>
  <c r="AR207" i="16"/>
  <c r="W24" i="16"/>
  <c r="AK24" i="16"/>
  <c r="AM29" i="16"/>
  <c r="AA29" i="16"/>
  <c r="AV21" i="16"/>
  <c r="U175" i="16"/>
  <c r="AT175" i="16"/>
  <c r="AU23" i="16"/>
  <c r="Y16" i="16"/>
  <c r="AL16" i="16"/>
  <c r="AU181" i="16"/>
  <c r="W181" i="16"/>
  <c r="AP196" i="16"/>
  <c r="S196" i="16"/>
  <c r="AZ180" i="16"/>
  <c r="AJ16" i="16"/>
  <c r="U16" i="16"/>
  <c r="AA165" i="16"/>
  <c r="AW165" i="16"/>
  <c r="AW202" i="16"/>
  <c r="BA182" i="16"/>
  <c r="AU22" i="16"/>
  <c r="AU206" i="16"/>
  <c r="AA13" i="16"/>
  <c r="AM13" i="16"/>
  <c r="AV212" i="16"/>
  <c r="AV17" i="16"/>
  <c r="AI18" i="16"/>
  <c r="S18" i="16"/>
  <c r="AR14" i="16"/>
  <c r="AX29" i="16"/>
  <c r="AZ171" i="16"/>
  <c r="AW169" i="16"/>
  <c r="AA169" i="16"/>
  <c r="AA18" i="16"/>
  <c r="AM18" i="16"/>
  <c r="AK28" i="16"/>
  <c r="W28" i="16"/>
  <c r="AV211" i="16"/>
  <c r="AA170" i="16"/>
  <c r="AW170" i="16"/>
  <c r="AV207" i="16"/>
  <c r="AI19" i="16"/>
  <c r="S19" i="16"/>
  <c r="AW172" i="16"/>
  <c r="AA172" i="16"/>
  <c r="AU202" i="16"/>
  <c r="AU26" i="16"/>
  <c r="Y165" i="16"/>
  <c r="AV165" i="16"/>
  <c r="AA177" i="16"/>
  <c r="AW177" i="16"/>
  <c r="AW27" i="16"/>
  <c r="BD171" i="16"/>
  <c r="AW164" i="16"/>
  <c r="AA164" i="16"/>
  <c r="AP195" i="16"/>
  <c r="S195" i="16"/>
  <c r="AR28" i="16"/>
  <c r="AQ207" i="16"/>
  <c r="U207" i="16"/>
  <c r="Y22" i="16"/>
  <c r="AL22" i="16"/>
  <c r="BA169" i="16"/>
  <c r="S167" i="16"/>
  <c r="AS167" i="16"/>
  <c r="AU14" i="16"/>
  <c r="AA17" i="16"/>
  <c r="AM17" i="16"/>
  <c r="W22" i="16"/>
  <c r="AK22" i="16"/>
  <c r="AX26" i="16"/>
  <c r="AR27" i="16"/>
  <c r="AR24" i="16"/>
  <c r="AL19" i="16"/>
  <c r="Y19" i="16"/>
  <c r="Y179" i="16"/>
  <c r="AV179" i="16"/>
  <c r="AW211" i="16"/>
  <c r="AI23" i="16"/>
  <c r="S23" i="16"/>
  <c r="BB174" i="16"/>
  <c r="AX12" i="16"/>
  <c r="AJ22" i="16"/>
  <c r="U22" i="16"/>
  <c r="AT181" i="16"/>
  <c r="U181" i="16"/>
  <c r="BA180" i="16"/>
  <c r="AA28" i="16"/>
  <c r="AM28" i="16"/>
  <c r="AU28" i="16"/>
  <c r="AW208" i="16"/>
  <c r="AV196" i="16"/>
  <c r="BD169" i="16"/>
  <c r="AA176" i="16"/>
  <c r="AW176" i="16"/>
  <c r="AK18" i="16"/>
  <c r="W18" i="16"/>
  <c r="W198" i="16"/>
  <c r="AR198" i="16"/>
  <c r="AR19" i="16"/>
  <c r="BC172" i="16"/>
  <c r="W196" i="16"/>
  <c r="AR196" i="16"/>
  <c r="BA170" i="16"/>
  <c r="AS28" i="16"/>
  <c r="BA171" i="16"/>
  <c r="AR197" i="16"/>
  <c r="W197" i="16"/>
  <c r="AN11" i="16"/>
  <c r="AC11" i="16"/>
  <c r="AQ195" i="16"/>
  <c r="U195" i="16"/>
  <c r="AP205" i="16"/>
  <c r="S205" i="16"/>
  <c r="AR13" i="16"/>
  <c r="W21" i="16"/>
  <c r="AK21" i="16"/>
  <c r="S11" i="16"/>
  <c r="AI11" i="16"/>
  <c r="AS16" i="16"/>
  <c r="AJ23" i="16"/>
  <c r="U23" i="16"/>
  <c r="BC176" i="16"/>
  <c r="AZ172" i="16"/>
  <c r="AZ181" i="16"/>
  <c r="BB165" i="16"/>
  <c r="AT21" i="16"/>
  <c r="BA167" i="16"/>
  <c r="AC22" i="16"/>
  <c r="AN22" i="16"/>
  <c r="AT166" i="16"/>
  <c r="U166" i="16"/>
  <c r="AV22" i="16"/>
  <c r="AW206" i="16"/>
  <c r="AJ19" i="16"/>
  <c r="U19" i="16"/>
  <c r="AU12" i="16"/>
  <c r="AW17" i="16"/>
  <c r="AZ174" i="16"/>
  <c r="AC29" i="16"/>
  <c r="AN29" i="16"/>
  <c r="W203" i="16"/>
  <c r="AR203" i="16"/>
  <c r="BA175" i="16"/>
  <c r="AW175" i="16"/>
  <c r="AA175" i="16"/>
  <c r="AT16" i="16"/>
  <c r="AV27" i="16"/>
  <c r="AO18" i="16"/>
  <c r="AE18" i="16"/>
  <c r="AU211" i="16"/>
  <c r="BB180" i="16"/>
  <c r="Y17" i="16"/>
  <c r="AL17" i="16"/>
  <c r="AS29" i="16"/>
  <c r="AS22" i="16"/>
  <c r="AP208" i="16"/>
  <c r="S208" i="16"/>
  <c r="AW24" i="16"/>
  <c r="AM26" i="16"/>
  <c r="AA26" i="16"/>
  <c r="AT174" i="16"/>
  <c r="U174" i="16"/>
  <c r="BD179" i="16"/>
  <c r="AS165" i="16"/>
  <c r="S165" i="16"/>
  <c r="AK13" i="16"/>
  <c r="W13" i="16"/>
  <c r="AR17" i="16"/>
  <c r="AU212" i="16"/>
  <c r="AL29" i="16"/>
  <c r="Y29" i="16"/>
  <c r="BC166" i="16"/>
  <c r="AM12" i="16"/>
  <c r="AA12" i="16"/>
  <c r="AS164" i="16"/>
  <c r="S164" i="16"/>
  <c r="AX28" i="16"/>
  <c r="AU18" i="16"/>
  <c r="AU205" i="16"/>
  <c r="BD177" i="16"/>
  <c r="U212" i="16"/>
  <c r="AQ212" i="16"/>
  <c r="AR29" i="16"/>
  <c r="AE21" i="16"/>
  <c r="AO21" i="16"/>
  <c r="AZ182" i="16"/>
  <c r="BB177" i="16"/>
  <c r="AO24" i="16"/>
  <c r="AE24" i="16"/>
  <c r="AT24" i="16"/>
  <c r="AW210" i="16"/>
  <c r="AT13" i="16"/>
  <c r="AU166" i="16"/>
  <c r="W166" i="16"/>
  <c r="BC165" i="16"/>
  <c r="AZ179" i="16"/>
  <c r="W29" i="16"/>
  <c r="AK29" i="16"/>
  <c r="AZ170" i="16"/>
  <c r="AX27" i="16"/>
  <c r="W205" i="16"/>
  <c r="AR205" i="16"/>
  <c r="AX18" i="16"/>
  <c r="AJ17" i="16"/>
  <c r="U17" i="16"/>
  <c r="AA27" i="16"/>
  <c r="AM27" i="16"/>
  <c r="AA166" i="16"/>
  <c r="AW166" i="16"/>
  <c r="AK26" i="16"/>
  <c r="W26" i="16"/>
  <c r="AU195" i="16"/>
  <c r="S177" i="16"/>
  <c r="AS177" i="16"/>
  <c r="AU11" i="16"/>
  <c r="BB175" i="16"/>
  <c r="BC179" i="16"/>
  <c r="AU17" i="16"/>
  <c r="U211" i="16"/>
  <c r="AQ211" i="16"/>
  <c r="AA19" i="16"/>
  <c r="AM19" i="16"/>
  <c r="AR23" i="16"/>
  <c r="AS26" i="16"/>
  <c r="AU21" i="16"/>
  <c r="Y182" i="16"/>
  <c r="AV182" i="16"/>
  <c r="AV11" i="16"/>
  <c r="AW21" i="16"/>
  <c r="BC164" i="16"/>
  <c r="AV176" i="16"/>
  <c r="Y176" i="16"/>
  <c r="AT28" i="16"/>
  <c r="AS17" i="16"/>
  <c r="AT26" i="16"/>
  <c r="AX21" i="16"/>
  <c r="AR208" i="16"/>
  <c r="W208" i="16"/>
  <c r="AV201" i="16"/>
  <c r="AW205" i="16"/>
  <c r="BB179" i="16"/>
  <c r="AV175" i="16"/>
  <c r="Y175" i="16"/>
  <c r="AW212" i="16"/>
  <c r="AS27" i="16"/>
  <c r="BC180" i="16"/>
  <c r="AJ29" i="16"/>
  <c r="U29" i="16"/>
  <c r="AV170" i="16"/>
  <c r="Y170" i="16"/>
  <c r="AP202" i="16"/>
  <c r="S202" i="16"/>
  <c r="AJ27" i="16"/>
  <c r="U27" i="16"/>
  <c r="AT27" i="16"/>
  <c r="AP201" i="16"/>
  <c r="S201" i="16"/>
  <c r="BA176" i="16"/>
  <c r="BD170" i="16"/>
  <c r="AL12" i="16"/>
  <c r="Y12" i="16"/>
  <c r="AX14" i="16"/>
  <c r="S12" i="16"/>
  <c r="AI12" i="16"/>
  <c r="BB182" i="16"/>
  <c r="W23" i="16"/>
  <c r="AK23" i="16"/>
  <c r="AQ206" i="16"/>
  <c r="U206" i="16"/>
  <c r="AA16" i="16"/>
  <c r="AM16" i="16"/>
  <c r="AA171" i="16"/>
  <c r="AW171" i="16"/>
  <c r="W164" i="16"/>
  <c r="AU164" i="16"/>
  <c r="S206" i="16"/>
  <c r="AP206" i="16"/>
  <c r="BC177" i="16"/>
  <c r="AV202" i="16"/>
  <c r="AN27" i="16"/>
  <c r="AC27" i="16"/>
  <c r="AC18" i="16"/>
  <c r="AN18" i="16"/>
  <c r="Y23" i="16"/>
  <c r="AL23" i="16"/>
  <c r="AW198" i="16"/>
  <c r="AQ201" i="16"/>
  <c r="U201" i="16"/>
  <c r="BC181" i="16"/>
  <c r="AX17" i="16"/>
  <c r="AW26" i="16"/>
  <c r="AE29" i="16"/>
  <c r="AO29" i="16"/>
  <c r="AJ12" i="16"/>
  <c r="U12" i="16"/>
  <c r="AP211" i="16"/>
  <c r="S211" i="16"/>
  <c r="BA174" i="16"/>
  <c r="AX22" i="16"/>
  <c r="BC175" i="16"/>
  <c r="AU213" i="16"/>
  <c r="BB172" i="16"/>
  <c r="AQ202" i="16"/>
  <c r="U202" i="16"/>
  <c r="AJ11" i="16"/>
  <c r="U11" i="16"/>
  <c r="AT11" i="16"/>
  <c r="AT18" i="16"/>
  <c r="AR21" i="16"/>
  <c r="AS180" i="16"/>
  <c r="S180" i="16"/>
  <c r="AW181" i="16"/>
  <c r="AA181" i="16"/>
  <c r="W19" i="16"/>
  <c r="AK19" i="16"/>
  <c r="AO23" i="16"/>
  <c r="AE23" i="16"/>
  <c r="AP203" i="16"/>
  <c r="S203" i="16"/>
  <c r="AZ175" i="16"/>
  <c r="BA165" i="16"/>
  <c r="AU16" i="16"/>
  <c r="BD180" i="16"/>
  <c r="AV14" i="16"/>
  <c r="AX19" i="16"/>
  <c r="AQ213" i="16"/>
  <c r="U213" i="16"/>
  <c r="BC169" i="16"/>
  <c r="AV18" i="16"/>
  <c r="AC12" i="16"/>
  <c r="AN12" i="16"/>
  <c r="Y13" i="16"/>
  <c r="AL13" i="16"/>
  <c r="BA164" i="16"/>
  <c r="AT17" i="16"/>
  <c r="AW207" i="16"/>
  <c r="AL18" i="16"/>
  <c r="Y18" i="16"/>
  <c r="U176" i="16"/>
  <c r="AT176" i="16"/>
  <c r="AV203" i="16"/>
  <c r="AP212" i="16"/>
  <c r="S212" i="16"/>
  <c r="AC13" i="16"/>
  <c r="AN13" i="16"/>
  <c r="AL11" i="16"/>
  <c r="Y11" i="16"/>
  <c r="AA179" i="16"/>
  <c r="AW179" i="16"/>
  <c r="BB170" i="16"/>
  <c r="AV180" i="16"/>
  <c r="Y180" i="16"/>
  <c r="AR26" i="16"/>
  <c r="AW19" i="16"/>
  <c r="AJ24" i="16"/>
  <c r="U24" i="16"/>
  <c r="AK27" i="16"/>
  <c r="W27" i="16"/>
  <c r="AT12" i="16"/>
  <c r="W212" i="16"/>
  <c r="AR212" i="16"/>
  <c r="AV26" i="16"/>
  <c r="AO22" i="16"/>
  <c r="AE22" i="16"/>
  <c r="BD165" i="16"/>
  <c r="U18" i="16"/>
  <c r="AJ18" i="16"/>
  <c r="AR12" i="16"/>
  <c r="AW201" i="16"/>
  <c r="AV29" i="16"/>
  <c r="BA172" i="16"/>
  <c r="AT180" i="16"/>
  <c r="U180" i="16"/>
  <c r="AS18" i="16"/>
  <c r="AU197" i="16"/>
  <c r="AT167" i="16"/>
  <c r="U167" i="16"/>
  <c r="W175" i="16"/>
  <c r="AU175" i="16"/>
  <c r="U179" i="16"/>
  <c r="AT179" i="16"/>
  <c r="S200" i="16"/>
  <c r="AP200" i="16"/>
  <c r="AX13" i="16"/>
  <c r="AU19" i="16"/>
  <c r="S198" i="16"/>
  <c r="AP198" i="16"/>
  <c r="AU169" i="16"/>
  <c r="W169" i="16"/>
  <c r="AJ13" i="16"/>
  <c r="U13" i="16"/>
  <c r="AT14" i="16"/>
  <c r="AQ208" i="16"/>
  <c r="U208" i="16"/>
  <c r="AU179" i="16"/>
  <c r="W179" i="16"/>
  <c r="AV23" i="16"/>
  <c r="BD172" i="16"/>
  <c r="AP197" i="16"/>
  <c r="S197" i="16"/>
  <c r="AT177" i="16"/>
  <c r="U177" i="16"/>
  <c r="AS19" i="16"/>
  <c r="W14" i="16"/>
  <c r="AK14" i="16"/>
  <c r="BB164" i="16"/>
  <c r="AN16" i="16"/>
  <c r="AC16" i="16"/>
  <c r="BD175" i="16"/>
  <c r="AK12" i="16"/>
  <c r="W12" i="16"/>
  <c r="BC174" i="16"/>
  <c r="AV13" i="16"/>
  <c r="AU207" i="16"/>
  <c r="AT29" i="16"/>
  <c r="AW29" i="16"/>
  <c r="AR202" i="16"/>
  <c r="W202" i="16"/>
  <c r="AU24" i="16"/>
  <c r="BC171" i="16"/>
  <c r="Y169" i="16"/>
  <c r="AV169" i="16"/>
  <c r="AK16" i="16"/>
  <c r="W16" i="16"/>
  <c r="AV197" i="16"/>
  <c r="AE19" i="16"/>
  <c r="AO19" i="16"/>
  <c r="AE13" i="16"/>
  <c r="AO13" i="16"/>
  <c r="U203" i="16"/>
  <c r="AQ203" i="16"/>
  <c r="AI14" i="16"/>
  <c r="S14" i="16"/>
  <c r="W182" i="16"/>
  <c r="AU182" i="16"/>
  <c r="AR11" i="16"/>
  <c r="U197" i="16"/>
  <c r="AQ197" i="16"/>
  <c r="AS12" i="16"/>
  <c r="AX23" i="16"/>
  <c r="AW23" i="16"/>
  <c r="W200" i="16"/>
  <c r="AR200" i="16"/>
  <c r="AS176" i="16"/>
  <c r="S176" i="16"/>
  <c r="AS21" i="16"/>
  <c r="AW11" i="16"/>
  <c r="AU13" i="16"/>
  <c r="BB171" i="16"/>
  <c r="BC167" i="16"/>
  <c r="AU29" i="16"/>
  <c r="U196" i="16"/>
  <c r="AQ196" i="16"/>
  <c r="AV174" i="16"/>
  <c r="Y174" i="16"/>
  <c r="BC170" i="16"/>
  <c r="AL14" i="16"/>
  <c r="Y14" i="16"/>
  <c r="AW14" i="16"/>
  <c r="AO17" i="16"/>
  <c r="AE17" i="16"/>
  <c r="AJ26" i="16"/>
  <c r="U26" i="16"/>
  <c r="AS14" i="16"/>
  <c r="AR206" i="16"/>
  <c r="W206" i="16"/>
  <c r="BB166" i="16"/>
  <c r="AA180" i="16"/>
  <c r="AW180" i="16"/>
  <c r="AN17" i="16"/>
  <c r="AC17" i="16"/>
  <c r="U172" i="16"/>
  <c r="AT172" i="16"/>
  <c r="BB181" i="16"/>
  <c r="AK17" i="16"/>
  <c r="W17" i="16"/>
  <c r="AW203" i="16"/>
  <c r="W210" i="16"/>
  <c r="AR210" i="16"/>
  <c r="AA14" i="16"/>
  <c r="AM14" i="16"/>
  <c r="AM165" i="16"/>
  <c r="F165" i="16"/>
  <c r="AF165" i="16" s="1"/>
  <c r="F171" i="16"/>
  <c r="AF171" i="16" s="1"/>
  <c r="AM166" i="16"/>
  <c r="AM170" i="16"/>
  <c r="F179" i="16"/>
  <c r="AF179" i="16" s="1"/>
  <c r="F169" i="16"/>
  <c r="AF169" i="16" s="1"/>
  <c r="AM167" i="16"/>
  <c r="F180" i="16"/>
  <c r="F177" i="16"/>
  <c r="AF177" i="16" s="1"/>
  <c r="F162" i="16"/>
  <c r="AM171" i="16"/>
  <c r="F176" i="16"/>
  <c r="AF176" i="16" s="1"/>
  <c r="AM169" i="16"/>
  <c r="AM174" i="16"/>
  <c r="F170" i="16"/>
  <c r="AF170" i="16" s="1"/>
  <c r="F182" i="16"/>
  <c r="AF182" i="16" s="1"/>
  <c r="F167" i="16"/>
  <c r="AF167" i="16" s="1"/>
  <c r="F172" i="16"/>
  <c r="AF172" i="16" s="1"/>
  <c r="F174" i="16"/>
  <c r="AF174" i="16" s="1"/>
  <c r="AM164" i="16"/>
  <c r="F164" i="16"/>
  <c r="AF164" i="16" s="1"/>
  <c r="F181" i="16"/>
  <c r="AF181" i="16" s="1"/>
  <c r="AM182" i="16"/>
  <c r="AM179" i="16"/>
  <c r="F175" i="16"/>
  <c r="AF175" i="16" s="1"/>
  <c r="AM176" i="16"/>
  <c r="AM172" i="16"/>
  <c r="F166" i="16"/>
  <c r="AF166" i="16" s="1"/>
  <c r="AM177" i="16"/>
  <c r="AM175" i="16"/>
  <c r="AM162" i="16" l="1"/>
  <c r="AF162" i="16"/>
  <c r="L9" i="16" l="1"/>
  <c r="N22" i="16"/>
  <c r="F150" i="16"/>
  <c r="F26" i="16"/>
  <c r="H140" i="16"/>
  <c r="D230" i="16"/>
  <c r="F224" i="16"/>
  <c r="R72" i="16"/>
  <c r="F48" i="16"/>
  <c r="V82" i="16"/>
  <c r="R89" i="16"/>
  <c r="T239" i="16"/>
  <c r="G140" i="16"/>
  <c r="N13" i="16"/>
  <c r="H57" i="16"/>
  <c r="W103" i="16"/>
  <c r="I139" i="16"/>
  <c r="X120" i="16"/>
  <c r="E56" i="16"/>
  <c r="E103" i="16"/>
  <c r="D22" i="16"/>
  <c r="V87" i="16"/>
  <c r="B46" i="16"/>
  <c r="C103" i="16"/>
  <c r="W136" i="16"/>
  <c r="W119" i="16"/>
  <c r="U87" i="16"/>
  <c r="Q142" i="16"/>
  <c r="X147" i="16"/>
  <c r="H144" i="16"/>
  <c r="N9" i="16"/>
  <c r="S103" i="16"/>
  <c r="I109" i="16"/>
  <c r="S105" i="16"/>
  <c r="Y118" i="16"/>
  <c r="V101" i="16"/>
  <c r="F233" i="16"/>
  <c r="R231" i="16"/>
  <c r="T88" i="16"/>
  <c r="N16" i="16"/>
  <c r="C132" i="16"/>
  <c r="U89" i="16"/>
  <c r="E101" i="16"/>
  <c r="I140" i="16"/>
  <c r="B146" i="16"/>
  <c r="B59" i="16"/>
  <c r="N29" i="16"/>
  <c r="V89" i="16"/>
  <c r="N23" i="16"/>
  <c r="W77" i="16"/>
  <c r="V115" i="16"/>
  <c r="F121" i="16"/>
  <c r="T145" i="16"/>
  <c r="X104" i="16"/>
  <c r="L17" i="16"/>
  <c r="H58" i="16"/>
  <c r="G149" i="16"/>
  <c r="V104" i="16"/>
  <c r="C106" i="16"/>
  <c r="T235" i="16"/>
  <c r="Q72" i="16"/>
  <c r="E116" i="16"/>
  <c r="D14" i="16"/>
  <c r="S237" i="16"/>
  <c r="B150" i="16"/>
  <c r="C108" i="16"/>
  <c r="D39" i="16"/>
  <c r="E52" i="16"/>
  <c r="C149" i="16"/>
  <c r="F135" i="16"/>
  <c r="I110" i="16"/>
  <c r="S121" i="16"/>
  <c r="F235" i="16"/>
  <c r="I134" i="16"/>
  <c r="B22" i="16"/>
  <c r="V106" i="16"/>
  <c r="B118" i="16"/>
  <c r="F147" i="16"/>
  <c r="R115" i="16"/>
  <c r="S234" i="16"/>
  <c r="U75" i="16"/>
  <c r="U83" i="16"/>
  <c r="L26" i="16"/>
  <c r="S226" i="16"/>
  <c r="F47" i="16"/>
  <c r="F151" i="16"/>
  <c r="T150" i="16"/>
  <c r="H23" i="16"/>
  <c r="R233" i="16"/>
  <c r="D43" i="16"/>
  <c r="F232" i="16"/>
  <c r="G101" i="16"/>
  <c r="H109" i="16"/>
  <c r="U90" i="16"/>
  <c r="Q75" i="16"/>
  <c r="W74" i="16"/>
  <c r="B142" i="16"/>
  <c r="S236" i="16"/>
  <c r="S119" i="16"/>
  <c r="F139" i="16"/>
  <c r="B58" i="16"/>
  <c r="D12" i="16"/>
  <c r="S118" i="16"/>
  <c r="H119" i="16"/>
  <c r="B54" i="16"/>
  <c r="W85" i="16"/>
  <c r="Q82" i="16"/>
  <c r="R78" i="16"/>
  <c r="V144" i="16"/>
  <c r="N12" i="16"/>
  <c r="U136" i="16"/>
  <c r="F56" i="16"/>
  <c r="R104" i="16"/>
  <c r="R234" i="16"/>
  <c r="B21" i="16"/>
  <c r="G119" i="16"/>
  <c r="B239" i="16"/>
  <c r="W150" i="16"/>
  <c r="I132" i="16"/>
  <c r="I149" i="16"/>
  <c r="V136" i="16"/>
  <c r="T147" i="16"/>
  <c r="B236" i="16"/>
  <c r="S82" i="16"/>
  <c r="J18" i="16"/>
  <c r="F234" i="16"/>
  <c r="N11" i="16"/>
  <c r="H18" i="16"/>
  <c r="F141" i="16"/>
  <c r="E105" i="16"/>
  <c r="S87" i="16"/>
  <c r="C42" i="16"/>
  <c r="N28" i="16"/>
  <c r="E139" i="16"/>
  <c r="R119" i="16"/>
  <c r="J22" i="16"/>
  <c r="S101" i="16"/>
  <c r="B28" i="16"/>
  <c r="B41" i="16"/>
  <c r="U118" i="16"/>
  <c r="H113" i="16"/>
  <c r="E134" i="16"/>
  <c r="S89" i="16"/>
  <c r="S231" i="16"/>
  <c r="D16" i="16"/>
  <c r="G44" i="16"/>
  <c r="F144" i="16"/>
  <c r="R139" i="16"/>
  <c r="H120" i="16"/>
  <c r="U108" i="16"/>
  <c r="F152" i="16"/>
  <c r="G135" i="16"/>
  <c r="W88" i="16"/>
  <c r="F13" i="16"/>
  <c r="C144" i="16"/>
  <c r="U120" i="16"/>
  <c r="F27" i="16"/>
  <c r="U84" i="16"/>
  <c r="R229" i="16"/>
  <c r="Y120" i="16"/>
  <c r="F12" i="16"/>
  <c r="C136" i="16"/>
  <c r="X136" i="16"/>
  <c r="V70" i="16"/>
  <c r="E54" i="16"/>
  <c r="R118" i="16"/>
  <c r="Q79" i="16"/>
  <c r="B18" i="16"/>
  <c r="D18" i="16"/>
  <c r="F227" i="16"/>
  <c r="D53" i="16"/>
  <c r="F140" i="16"/>
  <c r="B149" i="16"/>
  <c r="S110" i="16"/>
  <c r="W72" i="16"/>
  <c r="E109" i="16"/>
  <c r="E140" i="16"/>
  <c r="U147" i="16"/>
  <c r="N14" i="16"/>
  <c r="Q77" i="16"/>
  <c r="L19" i="16"/>
  <c r="E59" i="16"/>
  <c r="T136" i="16"/>
  <c r="F43" i="16"/>
  <c r="B121" i="16"/>
  <c r="L16" i="16"/>
  <c r="Q84" i="16"/>
  <c r="R80" i="16"/>
  <c r="B29" i="16"/>
  <c r="B48" i="16"/>
  <c r="Q149" i="16"/>
  <c r="E152" i="16"/>
  <c r="C54" i="16"/>
  <c r="W83" i="16"/>
  <c r="D29" i="16"/>
  <c r="H145" i="16"/>
  <c r="Y110" i="16"/>
  <c r="W70" i="16"/>
  <c r="V139" i="16"/>
  <c r="S73" i="16"/>
  <c r="D236" i="16"/>
  <c r="F114" i="16"/>
  <c r="G39" i="16"/>
  <c r="D19" i="16"/>
  <c r="C109" i="16"/>
  <c r="F23" i="16"/>
  <c r="Q134" i="16"/>
  <c r="L29" i="16"/>
  <c r="F41" i="16"/>
  <c r="Y113" i="16"/>
  <c r="Q89" i="16"/>
  <c r="B51" i="16"/>
  <c r="T87" i="16"/>
  <c r="N21" i="16"/>
  <c r="F21" i="16"/>
  <c r="Q151" i="16"/>
  <c r="B13" i="16"/>
  <c r="H105" i="16"/>
  <c r="H106" i="16"/>
  <c r="C111" i="16"/>
  <c r="B52" i="16"/>
  <c r="N26" i="16"/>
  <c r="E136" i="16"/>
  <c r="W149" i="16"/>
  <c r="B237" i="16"/>
  <c r="C49" i="16"/>
  <c r="D51" i="16"/>
  <c r="G52" i="16"/>
  <c r="C137" i="16"/>
  <c r="X135" i="16"/>
  <c r="F39" i="16"/>
  <c r="E58" i="16"/>
  <c r="S238" i="16"/>
  <c r="I104" i="16"/>
  <c r="I114" i="16"/>
  <c r="H147" i="16"/>
  <c r="E39" i="16"/>
  <c r="D24" i="16"/>
  <c r="H41" i="16"/>
  <c r="W142" i="16"/>
  <c r="B53" i="16"/>
  <c r="E137" i="16"/>
  <c r="D57" i="16"/>
  <c r="S240" i="16"/>
  <c r="R135" i="16"/>
  <c r="T70" i="16"/>
  <c r="W75" i="16"/>
  <c r="R149" i="16"/>
  <c r="L28" i="16"/>
  <c r="D56" i="16"/>
  <c r="R113" i="16"/>
  <c r="I121" i="16"/>
  <c r="I116" i="16"/>
  <c r="L11" i="16"/>
  <c r="Q70" i="16"/>
  <c r="B141" i="16"/>
  <c r="H132" i="16"/>
  <c r="U101" i="16"/>
  <c r="X149" i="16"/>
  <c r="B11" i="16"/>
  <c r="V149" i="16"/>
  <c r="N19" i="16"/>
  <c r="W146" i="16"/>
  <c r="D26" i="16"/>
  <c r="H149" i="16"/>
  <c r="W90" i="16"/>
  <c r="L27" i="16"/>
  <c r="F134" i="16"/>
  <c r="F146" i="16"/>
  <c r="S113" i="16"/>
  <c r="S78" i="16"/>
  <c r="F116" i="16"/>
  <c r="B44" i="16"/>
  <c r="G109" i="16"/>
  <c r="R150" i="16"/>
  <c r="T237" i="16"/>
  <c r="F231" i="16"/>
  <c r="T146" i="16"/>
  <c r="H110" i="16"/>
  <c r="Y103" i="16"/>
  <c r="E44" i="16"/>
  <c r="Q74" i="16"/>
  <c r="H139" i="16"/>
  <c r="I115" i="16"/>
  <c r="W101" i="16"/>
  <c r="B238" i="16"/>
  <c r="W113" i="16"/>
  <c r="V79" i="16"/>
  <c r="C119" i="16"/>
  <c r="I113" i="16"/>
  <c r="B234" i="16"/>
  <c r="Q147" i="16"/>
  <c r="F110" i="16"/>
  <c r="G106" i="16"/>
  <c r="T241" i="16"/>
  <c r="E149" i="16"/>
  <c r="W110" i="16"/>
  <c r="T236" i="16"/>
  <c r="B235" i="16"/>
  <c r="W109" i="16"/>
  <c r="H42" i="16"/>
  <c r="N27" i="16"/>
  <c r="S239" i="16"/>
  <c r="J16" i="16"/>
  <c r="E114" i="16"/>
  <c r="Q85" i="16"/>
  <c r="U109" i="16"/>
  <c r="D41" i="16"/>
  <c r="R145" i="16"/>
  <c r="R73" i="16"/>
  <c r="R239" i="16"/>
  <c r="B231" i="16"/>
  <c r="U145" i="16"/>
  <c r="X140" i="16"/>
  <c r="C113" i="16"/>
  <c r="B56" i="16"/>
  <c r="F29" i="16"/>
  <c r="S104" i="16"/>
  <c r="J26" i="16"/>
  <c r="R121" i="16"/>
  <c r="F106" i="16"/>
  <c r="R235" i="16"/>
  <c r="V113" i="16"/>
  <c r="V140" i="16"/>
  <c r="C51" i="16"/>
  <c r="J12" i="16"/>
  <c r="D13" i="16"/>
  <c r="N18" i="16"/>
  <c r="J29" i="16"/>
  <c r="H118" i="16"/>
  <c r="D227" i="16"/>
  <c r="G43" i="16"/>
  <c r="U104" i="16"/>
  <c r="H53" i="16"/>
  <c r="X141" i="16"/>
  <c r="H43" i="16"/>
  <c r="D59" i="16"/>
  <c r="R83" i="16"/>
  <c r="H17" i="16"/>
  <c r="D46" i="16"/>
  <c r="R228" i="16"/>
  <c r="I106" i="16"/>
  <c r="W80" i="16"/>
  <c r="Q136" i="16"/>
  <c r="T135" i="16"/>
  <c r="I118" i="16"/>
  <c r="C43" i="16"/>
  <c r="E151" i="16"/>
  <c r="U79" i="16"/>
  <c r="V73" i="16"/>
  <c r="R70" i="16"/>
  <c r="V77" i="16"/>
  <c r="H152" i="16"/>
  <c r="I111" i="16"/>
  <c r="Q150" i="16"/>
  <c r="V119" i="16"/>
  <c r="S72" i="16"/>
  <c r="X101" i="16"/>
  <c r="H48" i="16"/>
  <c r="E147" i="16"/>
  <c r="R144" i="16"/>
  <c r="E145" i="16"/>
  <c r="H151" i="16"/>
  <c r="U132" i="16"/>
  <c r="V111" i="16"/>
  <c r="U139" i="16"/>
  <c r="U73" i="16"/>
  <c r="E150" i="16"/>
  <c r="Y109" i="16"/>
  <c r="G56" i="16"/>
  <c r="X113" i="16"/>
  <c r="H12" i="16"/>
  <c r="J23" i="16"/>
  <c r="I147" i="16"/>
  <c r="F229" i="16"/>
  <c r="B116" i="16"/>
  <c r="S88" i="16"/>
  <c r="U88" i="16"/>
  <c r="V80" i="16"/>
  <c r="W89" i="16"/>
  <c r="U146" i="16"/>
  <c r="H137" i="16"/>
  <c r="U142" i="16"/>
  <c r="X152" i="16"/>
  <c r="U140" i="16"/>
  <c r="W120" i="16"/>
  <c r="F54" i="16"/>
  <c r="H114" i="16"/>
  <c r="C151" i="16"/>
  <c r="W132" i="16"/>
  <c r="Y121" i="16"/>
  <c r="U137" i="16"/>
  <c r="L22" i="16"/>
  <c r="B14" i="16"/>
  <c r="I103" i="16"/>
  <c r="I101" i="16"/>
  <c r="U85" i="16"/>
  <c r="E42" i="16"/>
  <c r="B47" i="16"/>
  <c r="G47" i="16"/>
  <c r="U141" i="16"/>
  <c r="B120" i="16"/>
  <c r="V78" i="16"/>
  <c r="S232" i="16"/>
  <c r="E113" i="16"/>
  <c r="R226" i="16"/>
  <c r="B27" i="16"/>
  <c r="Q146" i="16"/>
  <c r="F119" i="16"/>
  <c r="G104" i="16"/>
  <c r="W84" i="16"/>
  <c r="G146" i="16"/>
  <c r="H29" i="16"/>
  <c r="D240" i="16"/>
  <c r="H14" i="16"/>
  <c r="C46" i="16"/>
  <c r="X115" i="16"/>
  <c r="Q73" i="16"/>
  <c r="U144" i="16"/>
  <c r="V134" i="16"/>
  <c r="B137" i="16"/>
  <c r="G152" i="16"/>
  <c r="S229" i="16"/>
  <c r="B57" i="16"/>
  <c r="R151" i="16"/>
  <c r="C104" i="16"/>
  <c r="G53" i="16"/>
  <c r="X103" i="16"/>
  <c r="B109" i="16"/>
  <c r="T85" i="16"/>
  <c r="R141" i="16"/>
  <c r="V151" i="16"/>
  <c r="B39" i="16"/>
  <c r="W137" i="16"/>
  <c r="E141" i="16"/>
  <c r="D233" i="16"/>
  <c r="T233" i="16"/>
  <c r="U116" i="16"/>
  <c r="X137" i="16"/>
  <c r="H150" i="16"/>
  <c r="B43" i="16"/>
  <c r="F109" i="16"/>
  <c r="I120" i="16"/>
  <c r="R84" i="16"/>
  <c r="E57" i="16"/>
  <c r="L18" i="16"/>
  <c r="H16" i="16"/>
  <c r="V147" i="16"/>
  <c r="L24" i="16"/>
  <c r="X142" i="16"/>
  <c r="R82" i="16"/>
  <c r="V137" i="16"/>
  <c r="I119" i="16"/>
  <c r="V120" i="16"/>
  <c r="F57" i="16"/>
  <c r="R87" i="16"/>
  <c r="F42" i="16"/>
  <c r="V85" i="16"/>
  <c r="F237" i="16"/>
  <c r="S109" i="16"/>
  <c r="L14" i="16"/>
  <c r="F145" i="16"/>
  <c r="L13" i="16"/>
  <c r="Q83" i="16"/>
  <c r="B226" i="16"/>
  <c r="F49" i="16"/>
  <c r="C56" i="16"/>
  <c r="H28" i="16"/>
  <c r="S70" i="16"/>
  <c r="J28" i="16"/>
  <c r="T141" i="16"/>
  <c r="D23" i="16"/>
  <c r="Q87" i="16"/>
  <c r="W141" i="16"/>
  <c r="U115" i="16"/>
  <c r="H46" i="16"/>
  <c r="F24" i="16"/>
  <c r="H134" i="16"/>
  <c r="F105" i="16"/>
  <c r="H39" i="16"/>
  <c r="U103" i="16"/>
  <c r="F149" i="16"/>
  <c r="E120" i="16"/>
  <c r="C141" i="16"/>
  <c r="J17" i="16"/>
  <c r="H9" i="16"/>
  <c r="E119" i="16"/>
  <c r="X132" i="16"/>
  <c r="Y106" i="16"/>
  <c r="H103" i="16"/>
  <c r="G41" i="16"/>
  <c r="J19" i="16"/>
  <c r="H26" i="16"/>
  <c r="G113" i="16"/>
  <c r="C101" i="16"/>
  <c r="G118" i="16"/>
  <c r="H142" i="16"/>
  <c r="S106" i="16"/>
  <c r="I108" i="16"/>
  <c r="G49" i="16"/>
  <c r="D234" i="16"/>
  <c r="D28" i="16"/>
  <c r="D52" i="16"/>
  <c r="H136" i="16"/>
  <c r="F226" i="16"/>
  <c r="U77" i="16"/>
  <c r="C110" i="16"/>
  <c r="C114" i="16"/>
  <c r="R111" i="16"/>
  <c r="B23" i="16"/>
  <c r="G144" i="16"/>
  <c r="B110" i="16"/>
  <c r="F46" i="16"/>
  <c r="F14" i="16"/>
  <c r="G136" i="16"/>
  <c r="D48" i="16"/>
  <c r="G105" i="16"/>
  <c r="X118" i="16"/>
  <c r="R146" i="16"/>
  <c r="D47" i="16"/>
  <c r="U149" i="16"/>
  <c r="T224" i="16"/>
  <c r="B101" i="16"/>
  <c r="E51" i="16"/>
  <c r="C59" i="16"/>
  <c r="R137" i="16"/>
  <c r="B113" i="16"/>
  <c r="F236" i="16"/>
  <c r="Q139" i="16"/>
  <c r="D229" i="16"/>
  <c r="F111" i="16"/>
  <c r="G120" i="16"/>
  <c r="V145" i="16"/>
  <c r="W87" i="16"/>
  <c r="I135" i="16"/>
  <c r="D232" i="16"/>
  <c r="N17" i="16"/>
  <c r="U152" i="16"/>
  <c r="G145" i="16"/>
  <c r="F239" i="16"/>
  <c r="H104" i="16"/>
  <c r="E142" i="16"/>
  <c r="V88" i="16"/>
  <c r="S90" i="16"/>
  <c r="R132" i="16"/>
  <c r="B241" i="16"/>
  <c r="W78" i="16"/>
  <c r="E49" i="16"/>
  <c r="D239" i="16"/>
  <c r="T151" i="16"/>
  <c r="D241" i="16"/>
  <c r="E43" i="16"/>
  <c r="S241" i="16"/>
  <c r="D27" i="16"/>
  <c r="C146" i="16"/>
  <c r="Q135" i="16"/>
  <c r="S228" i="16"/>
  <c r="T234" i="16"/>
  <c r="H59" i="16"/>
  <c r="B119" i="16"/>
  <c r="C142" i="16"/>
  <c r="F59" i="16"/>
  <c r="D235" i="16"/>
  <c r="S116" i="16"/>
  <c r="U80" i="16"/>
  <c r="E135" i="16"/>
  <c r="U134" i="16"/>
  <c r="S85" i="16"/>
  <c r="D58" i="16"/>
  <c r="W140" i="16"/>
  <c r="T226" i="16"/>
  <c r="U70" i="16"/>
  <c r="E115" i="16"/>
  <c r="T231" i="16"/>
  <c r="G134" i="16"/>
  <c r="H21" i="16"/>
  <c r="D44" i="16"/>
  <c r="U82" i="16"/>
  <c r="F115" i="16"/>
  <c r="B49" i="16"/>
  <c r="H49" i="16"/>
  <c r="G42" i="16"/>
  <c r="V108" i="16"/>
  <c r="G108" i="16"/>
  <c r="D54" i="16"/>
  <c r="B233" i="16"/>
  <c r="R227" i="16"/>
  <c r="B135" i="16"/>
  <c r="D42" i="16"/>
  <c r="R140" i="16"/>
  <c r="R241" i="16"/>
  <c r="T83" i="16"/>
  <c r="F238" i="16"/>
  <c r="G114" i="16"/>
  <c r="F132" i="16"/>
  <c r="F136" i="16"/>
  <c r="Q88" i="16"/>
  <c r="H108" i="16"/>
  <c r="I152" i="16"/>
  <c r="H101" i="16"/>
  <c r="I150" i="16"/>
  <c r="E108" i="16"/>
  <c r="B19" i="16"/>
  <c r="X144" i="16"/>
  <c r="Q80" i="16"/>
  <c r="F103" i="16"/>
  <c r="B42" i="16"/>
  <c r="R103" i="16"/>
  <c r="U72" i="16"/>
  <c r="H13" i="16"/>
  <c r="V72" i="16"/>
  <c r="H47" i="16"/>
  <c r="Q141" i="16"/>
  <c r="T134" i="16"/>
  <c r="S83" i="16"/>
  <c r="U105" i="16"/>
  <c r="R90" i="16"/>
  <c r="R230" i="16"/>
  <c r="J24" i="16"/>
  <c r="I142" i="16"/>
  <c r="E46" i="16"/>
  <c r="F113" i="16"/>
  <c r="B24" i="16"/>
  <c r="V83" i="16"/>
  <c r="H54" i="16"/>
  <c r="B147" i="16"/>
  <c r="D49" i="16"/>
  <c r="F101" i="16"/>
  <c r="S235" i="16"/>
  <c r="D226" i="16"/>
  <c r="B224" i="16"/>
  <c r="T74" i="16"/>
  <c r="X145" i="16"/>
  <c r="B152" i="16"/>
  <c r="H27" i="16"/>
  <c r="Y108" i="16"/>
  <c r="G46" i="16"/>
  <c r="S115" i="16"/>
  <c r="E121" i="16"/>
  <c r="G116" i="16"/>
  <c r="C152" i="16"/>
  <c r="V135" i="16"/>
  <c r="W115" i="16"/>
  <c r="V74" i="16"/>
  <c r="F230" i="16"/>
  <c r="I144" i="16"/>
  <c r="Q90" i="16"/>
  <c r="B105" i="16"/>
  <c r="V121" i="16"/>
  <c r="Y104" i="16"/>
  <c r="T77" i="16"/>
  <c r="F28" i="16"/>
  <c r="U74" i="16"/>
  <c r="F240" i="16"/>
  <c r="V150" i="16"/>
  <c r="Q140" i="16"/>
  <c r="L12" i="16"/>
  <c r="W144" i="16"/>
  <c r="C134" i="16"/>
  <c r="Q152" i="16"/>
  <c r="R142" i="16"/>
  <c r="G142" i="16"/>
  <c r="C39" i="16"/>
  <c r="B134" i="16"/>
  <c r="B228" i="16"/>
  <c r="G151" i="16"/>
  <c r="X114" i="16"/>
  <c r="T75" i="16"/>
  <c r="D11" i="16"/>
  <c r="S120" i="16"/>
  <c r="R236" i="16"/>
  <c r="J27" i="16"/>
  <c r="V114" i="16"/>
  <c r="J13" i="16"/>
  <c r="V105" i="16"/>
  <c r="R77" i="16"/>
  <c r="E118" i="16"/>
  <c r="S77" i="16"/>
  <c r="T78" i="16"/>
  <c r="U150" i="16"/>
  <c r="T238" i="16"/>
  <c r="X108" i="16"/>
  <c r="B104" i="16"/>
  <c r="C41" i="16"/>
  <c r="Q144" i="16"/>
  <c r="R79" i="16"/>
  <c r="R240" i="16"/>
  <c r="I151" i="16"/>
  <c r="X109" i="16"/>
  <c r="I141" i="16"/>
  <c r="D224" i="16"/>
  <c r="C139" i="16"/>
  <c r="R152" i="16"/>
  <c r="J21" i="16"/>
  <c r="W134" i="16"/>
  <c r="U151" i="16"/>
  <c r="H22" i="16"/>
  <c r="F17" i="16"/>
  <c r="R134" i="16"/>
  <c r="F53" i="16"/>
  <c r="S74" i="16"/>
  <c r="R75" i="16"/>
  <c r="Y111" i="16"/>
  <c r="W121" i="16"/>
  <c r="T137" i="16"/>
  <c r="R120" i="16"/>
  <c r="X111" i="16"/>
  <c r="G147" i="16"/>
  <c r="S108" i="16"/>
  <c r="R105" i="16"/>
  <c r="B136" i="16"/>
  <c r="L21" i="16"/>
  <c r="R101" i="16"/>
  <c r="S227" i="16"/>
  <c r="R85" i="16"/>
  <c r="E104" i="16"/>
  <c r="W108" i="16"/>
  <c r="C58" i="16"/>
  <c r="H116" i="16"/>
  <c r="N24" i="16"/>
  <c r="W114" i="16"/>
  <c r="H19" i="16"/>
  <c r="Y114" i="16"/>
  <c r="W79" i="16"/>
  <c r="G57" i="16"/>
  <c r="B106" i="16"/>
  <c r="U119" i="16"/>
  <c r="Q137" i="16"/>
  <c r="F241" i="16"/>
  <c r="G150" i="16"/>
  <c r="T89" i="16"/>
  <c r="E132" i="16"/>
  <c r="C120" i="16"/>
  <c r="V116" i="16"/>
  <c r="W105" i="16"/>
  <c r="W111" i="16"/>
  <c r="F108" i="16"/>
  <c r="W139" i="16"/>
  <c r="T90" i="16"/>
  <c r="W106" i="16"/>
  <c r="B232" i="16"/>
  <c r="H24" i="16"/>
  <c r="C118" i="16"/>
  <c r="G54" i="16"/>
  <c r="T139" i="16"/>
  <c r="F118" i="16"/>
  <c r="U113" i="16"/>
  <c r="B17" i="16"/>
  <c r="T144" i="16"/>
  <c r="F52" i="16"/>
  <c r="R136" i="16"/>
  <c r="W135" i="16"/>
  <c r="X110" i="16"/>
  <c r="V103" i="16"/>
  <c r="H52" i="16"/>
  <c r="J14" i="16"/>
  <c r="F22" i="16"/>
  <c r="I145" i="16"/>
  <c r="S79" i="16"/>
  <c r="W151" i="16"/>
  <c r="T227" i="16"/>
  <c r="X119" i="16"/>
  <c r="F137" i="16"/>
  <c r="U121" i="16"/>
  <c r="U114" i="16"/>
  <c r="W104" i="16"/>
  <c r="X106" i="16"/>
  <c r="D21" i="16"/>
  <c r="B230" i="16"/>
  <c r="D228" i="16"/>
  <c r="F44" i="16"/>
  <c r="C121" i="16"/>
  <c r="T79" i="16"/>
  <c r="B108" i="16"/>
  <c r="J9" i="16"/>
  <c r="T84" i="16"/>
  <c r="F18" i="16"/>
  <c r="U106" i="16"/>
  <c r="T142" i="16"/>
  <c r="T152" i="16"/>
  <c r="C47" i="16"/>
  <c r="Q145" i="16"/>
  <c r="C116" i="16"/>
  <c r="B240" i="16"/>
  <c r="X150" i="16"/>
  <c r="E106" i="16"/>
  <c r="G111" i="16"/>
  <c r="T229" i="16"/>
  <c r="Y119" i="16"/>
  <c r="H56" i="16"/>
  <c r="T72" i="16"/>
  <c r="W116" i="16"/>
  <c r="C57" i="16"/>
  <c r="X139" i="16"/>
  <c r="W82" i="16"/>
  <c r="C53" i="16"/>
  <c r="T228" i="16"/>
  <c r="B144" i="16"/>
  <c r="X151" i="16"/>
  <c r="R238" i="16"/>
  <c r="T82" i="16"/>
  <c r="I105" i="16"/>
  <c r="B103" i="16"/>
  <c r="D237" i="16"/>
  <c r="W73" i="16"/>
  <c r="R110" i="16"/>
  <c r="S84" i="16"/>
  <c r="H146" i="16"/>
  <c r="R224" i="16"/>
  <c r="F51" i="16"/>
  <c r="T232" i="16"/>
  <c r="L23" i="16"/>
  <c r="T73" i="16"/>
  <c r="C48" i="16"/>
  <c r="W152" i="16"/>
  <c r="S233" i="16"/>
  <c r="E110" i="16"/>
  <c r="V141" i="16"/>
  <c r="H51" i="16"/>
  <c r="X121" i="16"/>
  <c r="F58" i="16"/>
  <c r="H44" i="16"/>
  <c r="T140" i="16"/>
  <c r="G59" i="16"/>
  <c r="E47" i="16"/>
  <c r="W147" i="16"/>
  <c r="V84" i="16"/>
  <c r="I146" i="16"/>
  <c r="U111" i="16"/>
  <c r="V142" i="16"/>
  <c r="V146" i="16"/>
  <c r="B114" i="16"/>
  <c r="H121" i="16"/>
  <c r="F228" i="16"/>
  <c r="V90" i="16"/>
  <c r="X134" i="16"/>
  <c r="V118" i="16"/>
  <c r="S224" i="16"/>
  <c r="R109" i="16"/>
  <c r="E48" i="16"/>
  <c r="H11" i="16"/>
  <c r="B140" i="16"/>
  <c r="B229" i="16"/>
  <c r="C135" i="16"/>
  <c r="R116" i="16"/>
  <c r="V109" i="16"/>
  <c r="S111" i="16"/>
  <c r="B16" i="16"/>
  <c r="X105" i="16"/>
  <c r="J11" i="16"/>
  <c r="G51" i="16"/>
  <c r="G115" i="16"/>
  <c r="S114" i="16"/>
  <c r="D9" i="16"/>
  <c r="X146" i="16"/>
  <c r="C147" i="16"/>
  <c r="T80" i="16"/>
  <c r="F120" i="16"/>
  <c r="G103" i="16"/>
  <c r="G141" i="16"/>
  <c r="U110" i="16"/>
  <c r="R106" i="16"/>
  <c r="V132" i="16"/>
  <c r="I137" i="16"/>
  <c r="V152" i="16"/>
  <c r="T132" i="16"/>
  <c r="G132" i="16"/>
  <c r="E53" i="16"/>
  <c r="R74" i="16"/>
  <c r="Y101" i="16"/>
  <c r="B132" i="16"/>
  <c r="F16" i="16"/>
  <c r="X116" i="16"/>
  <c r="G139" i="16"/>
  <c r="E41" i="16"/>
  <c r="W118" i="16"/>
  <c r="C150" i="16"/>
  <c r="C105" i="16"/>
  <c r="F104" i="16"/>
  <c r="D238" i="16"/>
  <c r="G58" i="16"/>
  <c r="G110" i="16"/>
  <c r="B227" i="16"/>
  <c r="V110" i="16"/>
  <c r="Q132" i="16"/>
  <c r="G48" i="16"/>
  <c r="B111" i="16"/>
  <c r="C140" i="16"/>
  <c r="Y105" i="16"/>
  <c r="F19" i="16"/>
  <c r="H135" i="16"/>
  <c r="B26" i="16"/>
  <c r="B12" i="16"/>
  <c r="C52" i="16"/>
  <c r="G137" i="16"/>
  <c r="R232" i="16"/>
  <c r="H115" i="16"/>
  <c r="S230" i="16"/>
  <c r="H141" i="16"/>
  <c r="C145" i="16"/>
  <c r="Y116" i="16"/>
  <c r="T230" i="16"/>
  <c r="V75" i="16"/>
  <c r="B151" i="16"/>
  <c r="W145" i="16"/>
  <c r="B145" i="16"/>
  <c r="C115" i="16"/>
  <c r="R147" i="16"/>
  <c r="E111" i="16"/>
  <c r="S75" i="16"/>
  <c r="F142" i="16"/>
  <c r="R108" i="16"/>
  <c r="I136" i="16"/>
  <c r="U78" i="16"/>
  <c r="T240" i="16"/>
  <c r="R88" i="16"/>
  <c r="B115" i="16"/>
  <c r="D17" i="16"/>
  <c r="H111" i="16"/>
  <c r="E146" i="16"/>
  <c r="Y115" i="16"/>
  <c r="F9" i="16"/>
  <c r="C44" i="16"/>
  <c r="T149" i="16"/>
  <c r="U135" i="16"/>
  <c r="B139" i="16"/>
  <c r="R237" i="16"/>
  <c r="G121" i="16"/>
  <c r="Q78" i="16"/>
  <c r="R114" i="16"/>
  <c r="E144" i="16"/>
  <c r="S80" i="16"/>
  <c r="D231" i="16"/>
  <c r="F11" i="16"/>
  <c r="D72" i="16" l="1"/>
  <c r="W231" i="16"/>
  <c r="AA231" i="16"/>
  <c r="AK175" i="16"/>
  <c r="B213" i="16"/>
  <c r="AD213" i="16" s="1"/>
  <c r="U237" i="16"/>
  <c r="D70" i="16"/>
  <c r="AL207" i="16"/>
  <c r="D203" i="16"/>
  <c r="AE203" i="16" s="1"/>
  <c r="C78" i="16"/>
  <c r="B176" i="16"/>
  <c r="AD176" i="16" s="1"/>
  <c r="AB240" i="16"/>
  <c r="AK169" i="16"/>
  <c r="H172" i="16"/>
  <c r="AG172" i="16" s="1"/>
  <c r="D176" i="16"/>
  <c r="AE176" i="16" s="1"/>
  <c r="AB230" i="16"/>
  <c r="AL208" i="16"/>
  <c r="D207" i="16"/>
  <c r="AE207" i="16" s="1"/>
  <c r="U232" i="16"/>
  <c r="B73" i="16"/>
  <c r="B87" i="16"/>
  <c r="D80" i="16"/>
  <c r="AL197" i="16"/>
  <c r="B172" i="16"/>
  <c r="AD172" i="16" s="1"/>
  <c r="AP171" i="16"/>
  <c r="Z227" i="16"/>
  <c r="V227" i="16"/>
  <c r="B202" i="16"/>
  <c r="AD202" i="16" s="1"/>
  <c r="AA238" i="16"/>
  <c r="W238" i="16"/>
  <c r="J165" i="16"/>
  <c r="AI165" i="16" s="1"/>
  <c r="D166" i="16"/>
  <c r="AE166" i="16" s="1"/>
  <c r="AJ210" i="16"/>
  <c r="AK208" i="16"/>
  <c r="D77" i="16"/>
  <c r="AK167" i="16"/>
  <c r="AN171" i="16"/>
  <c r="B195" i="16"/>
  <c r="AD195" i="16" s="1"/>
  <c r="J181" i="16"/>
  <c r="AI181" i="16" s="1"/>
  <c r="C70" i="16"/>
  <c r="AL175" i="16"/>
  <c r="B207" i="16"/>
  <c r="AD207" i="16" s="1"/>
  <c r="F72" i="16"/>
  <c r="AK197" i="16"/>
  <c r="B77" i="16"/>
  <c r="AL172" i="16"/>
  <c r="AP170" i="16"/>
  <c r="AK177" i="16"/>
  <c r="V229" i="16"/>
  <c r="Z229" i="16"/>
  <c r="E72" i="16"/>
  <c r="AK170" i="16"/>
  <c r="AP179" i="16"/>
  <c r="X228" i="16"/>
  <c r="H228" i="16"/>
  <c r="D213" i="16"/>
  <c r="AE213" i="16" s="1"/>
  <c r="B175" i="16"/>
  <c r="AD175" i="16" s="1"/>
  <c r="AN172" i="16"/>
  <c r="AK213" i="16"/>
  <c r="H171" i="16"/>
  <c r="AG171" i="16" s="1"/>
  <c r="G84" i="16"/>
  <c r="AB232" i="16"/>
  <c r="U224" i="16"/>
  <c r="AK171" i="16"/>
  <c r="W237" i="16"/>
  <c r="AA237" i="16"/>
  <c r="B164" i="16"/>
  <c r="AD164" i="16" s="1"/>
  <c r="F197" i="16"/>
  <c r="AF197" i="16" s="1"/>
  <c r="U238" i="16"/>
  <c r="AB228" i="16"/>
  <c r="AJ208" i="16"/>
  <c r="AL211" i="16"/>
  <c r="AB229" i="16"/>
  <c r="B203" i="16"/>
  <c r="AD203" i="16" s="1"/>
  <c r="H167" i="16"/>
  <c r="AG167" i="16" s="1"/>
  <c r="V240" i="16"/>
  <c r="Z240" i="16"/>
  <c r="D177" i="16"/>
  <c r="AE177" i="16" s="1"/>
  <c r="AN167" i="16"/>
  <c r="D79" i="16"/>
  <c r="F70" i="16"/>
  <c r="B169" i="16"/>
  <c r="AD169" i="16" s="1"/>
  <c r="D182" i="16"/>
  <c r="AE182" i="16" s="1"/>
  <c r="AA228" i="16"/>
  <c r="W228" i="16"/>
  <c r="V230" i="16"/>
  <c r="Z230" i="16"/>
  <c r="C82" i="16"/>
  <c r="AK198" i="16"/>
  <c r="AJ196" i="16"/>
  <c r="AN175" i="16"/>
  <c r="AN182" i="16"/>
  <c r="AK211" i="16"/>
  <c r="AB227" i="16"/>
  <c r="D83" i="16"/>
  <c r="F75" i="16"/>
  <c r="AP164" i="16"/>
  <c r="AK202" i="16"/>
  <c r="B78" i="16"/>
  <c r="AN174" i="16"/>
  <c r="J179" i="16"/>
  <c r="AI179" i="16" s="1"/>
  <c r="D179" i="16"/>
  <c r="AE179" i="16" s="1"/>
  <c r="E85" i="16"/>
  <c r="Z232" i="16"/>
  <c r="V232" i="16"/>
  <c r="AJ198" i="16"/>
  <c r="J169" i="16"/>
  <c r="AI169" i="16" s="1"/>
  <c r="AJ203" i="16"/>
  <c r="AJ197" i="16"/>
  <c r="AP177" i="16"/>
  <c r="D181" i="16"/>
  <c r="AE181" i="16" s="1"/>
  <c r="H241" i="16"/>
  <c r="X241" i="16"/>
  <c r="B167" i="16"/>
  <c r="AD167" i="16" s="1"/>
  <c r="AL206" i="16"/>
  <c r="E80" i="16"/>
  <c r="AJ206" i="16"/>
  <c r="H85" i="16"/>
  <c r="D208" i="16"/>
  <c r="AE208" i="16" s="1"/>
  <c r="AJ200" i="16"/>
  <c r="H165" i="16"/>
  <c r="AG165" i="16" s="1"/>
  <c r="G82" i="16"/>
  <c r="AK166" i="16"/>
  <c r="AL169" i="16"/>
  <c r="AK203" i="16"/>
  <c r="AJ213" i="16"/>
  <c r="AL203" i="16"/>
  <c r="D78" i="16"/>
  <c r="E83" i="16"/>
  <c r="F82" i="16"/>
  <c r="W224" i="16"/>
  <c r="AA224" i="16"/>
  <c r="AK201" i="16"/>
  <c r="U240" i="16"/>
  <c r="B165" i="16"/>
  <c r="AD165" i="16" s="1"/>
  <c r="AK200" i="16"/>
  <c r="AB238" i="16"/>
  <c r="H179" i="16"/>
  <c r="AG179" i="16" s="1"/>
  <c r="AP166" i="16"/>
  <c r="F74" i="16"/>
  <c r="AP175" i="16"/>
  <c r="F88" i="16"/>
  <c r="U236" i="16"/>
  <c r="C72" i="16"/>
  <c r="AK206" i="16"/>
  <c r="Z228" i="16"/>
  <c r="V228" i="16"/>
  <c r="G73" i="16"/>
  <c r="H240" i="16"/>
  <c r="X240" i="16"/>
  <c r="D89" i="16"/>
  <c r="AL196" i="16"/>
  <c r="AP182" i="16"/>
  <c r="B166" i="16"/>
  <c r="AD166" i="16" s="1"/>
  <c r="X230" i="16"/>
  <c r="H230" i="16"/>
  <c r="AJ207" i="16"/>
  <c r="B208" i="16"/>
  <c r="AD208" i="16" s="1"/>
  <c r="H182" i="16"/>
  <c r="AG182" i="16" s="1"/>
  <c r="AL176" i="16"/>
  <c r="AL200" i="16"/>
  <c r="E88" i="16"/>
  <c r="V224" i="16"/>
  <c r="Z224" i="16"/>
  <c r="AA226" i="16"/>
  <c r="W226" i="16"/>
  <c r="J162" i="16"/>
  <c r="B85" i="16"/>
  <c r="J174" i="16"/>
  <c r="AI174" i="16" s="1"/>
  <c r="F85" i="16"/>
  <c r="U230" i="16"/>
  <c r="AN166" i="16"/>
  <c r="E74" i="16"/>
  <c r="AK164" i="16"/>
  <c r="J164" i="16"/>
  <c r="AI164" i="16" s="1"/>
  <c r="B80" i="16"/>
  <c r="H169" i="16"/>
  <c r="AG169" i="16" s="1"/>
  <c r="D193" i="16"/>
  <c r="D200" i="16"/>
  <c r="AE200" i="16" s="1"/>
  <c r="B206" i="16"/>
  <c r="AD206" i="16" s="1"/>
  <c r="H238" i="16"/>
  <c r="X238" i="16"/>
  <c r="U241" i="16"/>
  <c r="U227" i="16"/>
  <c r="Z233" i="16"/>
  <c r="V233" i="16"/>
  <c r="B200" i="16"/>
  <c r="AD200" i="16" s="1"/>
  <c r="AP169" i="16"/>
  <c r="J176" i="16"/>
  <c r="AI176" i="16" s="1"/>
  <c r="E82" i="16"/>
  <c r="AB231" i="16"/>
  <c r="H176" i="16"/>
  <c r="AG176" i="16" s="1"/>
  <c r="AB226" i="16"/>
  <c r="AL177" i="16"/>
  <c r="AA235" i="16"/>
  <c r="W235" i="16"/>
  <c r="B180" i="16"/>
  <c r="AB234" i="16"/>
  <c r="C88" i="16"/>
  <c r="AA241" i="16"/>
  <c r="W241" i="16"/>
  <c r="W239" i="16"/>
  <c r="AA239" i="16"/>
  <c r="Z241" i="16"/>
  <c r="V241" i="16"/>
  <c r="D196" i="16"/>
  <c r="AE196" i="16" s="1"/>
  <c r="H239" i="16"/>
  <c r="X239" i="16"/>
  <c r="H78" i="16"/>
  <c r="W232" i="16"/>
  <c r="AA232" i="16"/>
  <c r="B212" i="16"/>
  <c r="AD212" i="16" s="1"/>
  <c r="J172" i="16"/>
  <c r="AI172" i="16" s="1"/>
  <c r="W229" i="16"/>
  <c r="AA229" i="16"/>
  <c r="X236" i="16"/>
  <c r="H236" i="16"/>
  <c r="B174" i="16"/>
  <c r="AD174" i="16" s="1"/>
  <c r="B162" i="16"/>
  <c r="AB224" i="16"/>
  <c r="AK210" i="16"/>
  <c r="B197" i="16"/>
  <c r="AD197" i="16" s="1"/>
  <c r="D75" i="16"/>
  <c r="B171" i="16"/>
  <c r="AD171" i="16" s="1"/>
  <c r="B84" i="16"/>
  <c r="AK172" i="16"/>
  <c r="D175" i="16"/>
  <c r="AE175" i="16" s="1"/>
  <c r="D171" i="16"/>
  <c r="AE171" i="16" s="1"/>
  <c r="X226" i="16"/>
  <c r="H226" i="16"/>
  <c r="C89" i="16"/>
  <c r="AA234" i="16"/>
  <c r="W234" i="16"/>
  <c r="F200" i="16"/>
  <c r="AF200" i="16" s="1"/>
  <c r="AL167" i="16"/>
  <c r="B210" i="16"/>
  <c r="AD210" i="16" s="1"/>
  <c r="D162" i="16"/>
  <c r="B205" i="16"/>
  <c r="AD205" i="16" s="1"/>
  <c r="E87" i="16"/>
  <c r="F80" i="16"/>
  <c r="D195" i="16"/>
  <c r="AE195" i="16" s="1"/>
  <c r="AL198" i="16"/>
  <c r="H180" i="16"/>
  <c r="E70" i="16"/>
  <c r="F78" i="16"/>
  <c r="H181" i="16"/>
  <c r="AN164" i="16"/>
  <c r="J166" i="16"/>
  <c r="AI166" i="16" s="1"/>
  <c r="D85" i="16"/>
  <c r="AN176" i="16"/>
  <c r="C84" i="16"/>
  <c r="F89" i="16"/>
  <c r="E89" i="16"/>
  <c r="Z226" i="16"/>
  <c r="V226" i="16"/>
  <c r="G74" i="16"/>
  <c r="G75" i="16"/>
  <c r="AL170" i="16"/>
  <c r="H237" i="16"/>
  <c r="X237" i="16"/>
  <c r="AP181" i="16"/>
  <c r="F211" i="16"/>
  <c r="AF211" i="16" s="1"/>
  <c r="G85" i="16"/>
  <c r="E77" i="16"/>
  <c r="G79" i="16"/>
  <c r="F212" i="16"/>
  <c r="AF212" i="16" s="1"/>
  <c r="J170" i="16"/>
  <c r="AI170" i="16" s="1"/>
  <c r="AN177" i="16"/>
  <c r="AB233" i="16"/>
  <c r="AA233" i="16"/>
  <c r="W233" i="16"/>
  <c r="B70" i="16"/>
  <c r="B170" i="16"/>
  <c r="AD170" i="16" s="1"/>
  <c r="AK195" i="16"/>
  <c r="D165" i="16"/>
  <c r="AE165" i="16" s="1"/>
  <c r="AK207" i="16"/>
  <c r="E75" i="16"/>
  <c r="AA240" i="16"/>
  <c r="W240" i="16"/>
  <c r="E90" i="16"/>
  <c r="B196" i="16"/>
  <c r="AD196" i="16" s="1"/>
  <c r="J180" i="16"/>
  <c r="AI180" i="16" s="1"/>
  <c r="B88" i="16"/>
  <c r="U226" i="16"/>
  <c r="H174" i="16"/>
  <c r="AG174" i="16" s="1"/>
  <c r="B181" i="16"/>
  <c r="F193" i="16"/>
  <c r="F195" i="16"/>
  <c r="AF195" i="16" s="1"/>
  <c r="B75" i="16"/>
  <c r="G83" i="16"/>
  <c r="AL213" i="16"/>
  <c r="D206" i="16"/>
  <c r="AE206" i="16" s="1"/>
  <c r="AJ212" i="16"/>
  <c r="B177" i="16"/>
  <c r="AD177" i="16" s="1"/>
  <c r="X229" i="16"/>
  <c r="H229" i="16"/>
  <c r="F84" i="16"/>
  <c r="E73" i="16"/>
  <c r="AK205" i="16"/>
  <c r="AL201" i="16"/>
  <c r="AP172" i="16"/>
  <c r="AP180" i="16"/>
  <c r="F203" i="16"/>
  <c r="AF203" i="16" s="1"/>
  <c r="F210" i="16"/>
  <c r="AF210" i="16" s="1"/>
  <c r="F198" i="16"/>
  <c r="AF198" i="16" s="1"/>
  <c r="U228" i="16"/>
  <c r="E78" i="16"/>
  <c r="AN165" i="16"/>
  <c r="W227" i="16"/>
  <c r="AA227" i="16"/>
  <c r="D210" i="16"/>
  <c r="AE210" i="16" s="1"/>
  <c r="F90" i="16"/>
  <c r="H79" i="16"/>
  <c r="C74" i="16"/>
  <c r="F73" i="16"/>
  <c r="AP174" i="16"/>
  <c r="U235" i="16"/>
  <c r="J167" i="16"/>
  <c r="AI167" i="16" s="1"/>
  <c r="AK182" i="16"/>
  <c r="F87" i="16"/>
  <c r="AL165" i="16"/>
  <c r="D90" i="16"/>
  <c r="D174" i="16"/>
  <c r="AE174" i="16" s="1"/>
  <c r="Z231" i="16"/>
  <c r="V231" i="16"/>
  <c r="U239" i="16"/>
  <c r="AN170" i="16"/>
  <c r="H175" i="16"/>
  <c r="AG175" i="16" s="1"/>
  <c r="F77" i="16"/>
  <c r="H88" i="16"/>
  <c r="AJ201" i="16"/>
  <c r="Z235" i="16"/>
  <c r="V235" i="16"/>
  <c r="AB236" i="16"/>
  <c r="AJ202" i="16"/>
  <c r="AB241" i="16"/>
  <c r="B198" i="16"/>
  <c r="AD198" i="16" s="1"/>
  <c r="J171" i="16"/>
  <c r="AI171" i="16" s="1"/>
  <c r="Z234" i="16"/>
  <c r="V234" i="16"/>
  <c r="F205" i="16"/>
  <c r="AF205" i="16" s="1"/>
  <c r="D180" i="16"/>
  <c r="AJ205" i="16"/>
  <c r="V238" i="16"/>
  <c r="Z238" i="16"/>
  <c r="F207" i="16"/>
  <c r="AF207" i="16" s="1"/>
  <c r="AL195" i="16"/>
  <c r="D202" i="16"/>
  <c r="AE202" i="16" s="1"/>
  <c r="H231" i="16"/>
  <c r="X231" i="16"/>
  <c r="AB237" i="16"/>
  <c r="B201" i="16"/>
  <c r="AD201" i="16" s="1"/>
  <c r="J177" i="16"/>
  <c r="AI177" i="16" s="1"/>
  <c r="AL174" i="16"/>
  <c r="G88" i="16"/>
  <c r="C87" i="16"/>
  <c r="H80" i="16"/>
  <c r="B72" i="16"/>
  <c r="G72" i="16"/>
  <c r="F208" i="16"/>
  <c r="AF208" i="16" s="1"/>
  <c r="F213" i="16"/>
  <c r="AF213" i="16" s="1"/>
  <c r="AK174" i="16"/>
  <c r="G89" i="16"/>
  <c r="C85" i="16"/>
  <c r="F206" i="16"/>
  <c r="AF206" i="16" s="1"/>
  <c r="F196" i="16"/>
  <c r="AF196" i="16" s="1"/>
  <c r="Z237" i="16"/>
  <c r="V237" i="16"/>
  <c r="H87" i="16"/>
  <c r="D172" i="16"/>
  <c r="AE172" i="16" s="1"/>
  <c r="D198" i="16"/>
  <c r="AE198" i="16" s="1"/>
  <c r="D197" i="16"/>
  <c r="AE197" i="16" s="1"/>
  <c r="B74" i="16"/>
  <c r="D82" i="16"/>
  <c r="H82" i="16"/>
  <c r="AL205" i="16"/>
  <c r="G90" i="16"/>
  <c r="D84" i="16"/>
  <c r="D170" i="16"/>
  <c r="AE170" i="16" s="1"/>
  <c r="C80" i="16"/>
  <c r="J175" i="16"/>
  <c r="AI175" i="16" s="1"/>
  <c r="AA236" i="16"/>
  <c r="W236" i="16"/>
  <c r="AL202" i="16"/>
  <c r="C90" i="16"/>
  <c r="B90" i="16"/>
  <c r="G77" i="16"/>
  <c r="B182" i="16"/>
  <c r="AD182" i="16" s="1"/>
  <c r="G80" i="16"/>
  <c r="H75" i="16"/>
  <c r="H170" i="16"/>
  <c r="AG170" i="16" s="1"/>
  <c r="AL171" i="16"/>
  <c r="H227" i="16"/>
  <c r="X227" i="16"/>
  <c r="C79" i="16"/>
  <c r="B79" i="16"/>
  <c r="AK179" i="16"/>
  <c r="D73" i="16"/>
  <c r="AL212" i="16"/>
  <c r="U229" i="16"/>
  <c r="D88" i="16"/>
  <c r="D74" i="16"/>
  <c r="AN169" i="16"/>
  <c r="D212" i="16"/>
  <c r="AE212" i="16" s="1"/>
  <c r="C77" i="16"/>
  <c r="D205" i="16"/>
  <c r="AE205" i="16" s="1"/>
  <c r="AN179" i="16"/>
  <c r="B89" i="16"/>
  <c r="F83" i="16"/>
  <c r="H89" i="16"/>
  <c r="H166" i="16"/>
  <c r="AG166" i="16" s="1"/>
  <c r="E79" i="16"/>
  <c r="H72" i="16"/>
  <c r="H234" i="16"/>
  <c r="X234" i="16"/>
  <c r="F79" i="16"/>
  <c r="V236" i="16"/>
  <c r="Z236" i="16"/>
  <c r="V239" i="16"/>
  <c r="Z239" i="16"/>
  <c r="B211" i="16"/>
  <c r="AD211" i="16" s="1"/>
  <c r="B82" i="16"/>
  <c r="U234" i="16"/>
  <c r="AK165" i="16"/>
  <c r="H73" i="16"/>
  <c r="D211" i="16"/>
  <c r="AE211" i="16" s="1"/>
  <c r="AL179" i="16"/>
  <c r="C73" i="16"/>
  <c r="D201" i="16"/>
  <c r="AE201" i="16" s="1"/>
  <c r="B193" i="16"/>
  <c r="X232" i="16"/>
  <c r="H232" i="16"/>
  <c r="U233" i="16"/>
  <c r="E84" i="16"/>
  <c r="G87" i="16"/>
  <c r="AK176" i="16"/>
  <c r="B179" i="16"/>
  <c r="AD179" i="16" s="1"/>
  <c r="AP167" i="16"/>
  <c r="B83" i="16"/>
  <c r="H235" i="16"/>
  <c r="X235" i="16"/>
  <c r="AL182" i="16"/>
  <c r="F202" i="16"/>
  <c r="AF202" i="16" s="1"/>
  <c r="D169" i="16"/>
  <c r="AE169" i="16" s="1"/>
  <c r="C75" i="16"/>
  <c r="H177" i="16"/>
  <c r="AG177" i="16" s="1"/>
  <c r="AB235" i="16"/>
  <c r="D167" i="16"/>
  <c r="AE167" i="16" s="1"/>
  <c r="AP165" i="16"/>
  <c r="G78" i="16"/>
  <c r="AK196" i="16"/>
  <c r="J182" i="16"/>
  <c r="AI182" i="16" s="1"/>
  <c r="AP176" i="16"/>
  <c r="H84" i="16"/>
  <c r="H90" i="16"/>
  <c r="H162" i="16"/>
  <c r="H77" i="16"/>
  <c r="U231" i="16"/>
  <c r="H233" i="16"/>
  <c r="X233" i="16"/>
  <c r="AL210" i="16"/>
  <c r="AL166" i="16"/>
  <c r="F201" i="16"/>
  <c r="AF201" i="16" s="1"/>
  <c r="AL164" i="16"/>
  <c r="H70" i="16"/>
  <c r="AJ211" i="16"/>
  <c r="D164" i="16"/>
  <c r="AE164" i="16" s="1"/>
  <c r="C83" i="16"/>
  <c r="H164" i="16"/>
  <c r="AG164" i="16" s="1"/>
  <c r="AK212" i="16"/>
  <c r="AJ195" i="16"/>
  <c r="AJ193" i="16" s="1"/>
  <c r="H74" i="16"/>
  <c r="AB239" i="16"/>
  <c r="H224" i="16"/>
  <c r="X224" i="16"/>
  <c r="AA230" i="16"/>
  <c r="W230" i="16"/>
  <c r="D87" i="16"/>
  <c r="H83" i="16"/>
  <c r="G70" i="16"/>
  <c r="AI162" i="16" l="1"/>
  <c r="AN162" i="16"/>
  <c r="AC239" i="16"/>
  <c r="Y239" i="16"/>
  <c r="Y224" i="16"/>
  <c r="AC224" i="16"/>
  <c r="AL162" i="16"/>
  <c r="Y235" i="16"/>
  <c r="AC235" i="16"/>
  <c r="AC232" i="16"/>
  <c r="Y232" i="16"/>
  <c r="Y229" i="16"/>
  <c r="AC229" i="16"/>
  <c r="AF193" i="16"/>
  <c r="AC241" i="16"/>
  <c r="Y241" i="16"/>
  <c r="Y234" i="16"/>
  <c r="AC234" i="16"/>
  <c r="AC226" i="16"/>
  <c r="Y226" i="16"/>
  <c r="AK162" i="16"/>
  <c r="AD193" i="16"/>
  <c r="AG162" i="16"/>
  <c r="AC231" i="16"/>
  <c r="Y231" i="16"/>
  <c r="Y238" i="16"/>
  <c r="AC238" i="16"/>
  <c r="AC240" i="16"/>
  <c r="Y240" i="16"/>
  <c r="Y230" i="16"/>
  <c r="AC230" i="16"/>
  <c r="AE162" i="16"/>
  <c r="Y233" i="16"/>
  <c r="AC233" i="16"/>
  <c r="AL193" i="16"/>
  <c r="Y237" i="16"/>
  <c r="AC237" i="16"/>
  <c r="AD162" i="16"/>
  <c r="AC228" i="16"/>
  <c r="Y228" i="16"/>
  <c r="AK193" i="16"/>
  <c r="Y227" i="16"/>
  <c r="AC227" i="16"/>
  <c r="AE193" i="16"/>
  <c r="Y236" i="16"/>
  <c r="AC236" i="16"/>
  <c r="AP16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163" authorId="0" shapeId="0" xr:uid="{00000000-0006-0000-0000-000008000000}">
      <text>
        <r>
          <rPr>
            <b/>
            <sz val="10"/>
            <color indexed="81"/>
            <rFont val="Tahoma"/>
            <family val="2"/>
          </rPr>
          <t>jmarks:</t>
        </r>
        <r>
          <rPr>
            <sz val="10"/>
            <color indexed="81"/>
            <rFont val="Tahoma"/>
            <family val="2"/>
          </rPr>
          <t xml:space="preserve">
Formulas for regional figures to use when all states report.</t>
        </r>
      </text>
    </comment>
    <comment ref="AE180" authorId="0" shapeId="0" xr:uid="{00000000-0006-0000-0000-000009000000}">
      <text>
        <r>
          <rPr>
            <b/>
            <sz val="8"/>
            <color indexed="81"/>
            <rFont val="Tahoma"/>
            <family val="2"/>
          </rPr>
          <t>jmarks:</t>
        </r>
        <r>
          <rPr>
            <sz val="8"/>
            <color indexed="81"/>
            <rFont val="Tahoma"/>
            <family val="2"/>
          </rPr>
          <t xml:space="preserve">
differs to match grouping of funding data</t>
        </r>
      </text>
    </comment>
    <comment ref="AF180" authorId="0" shapeId="0" xr:uid="{00000000-0006-0000-0000-00000A000000}">
      <text>
        <r>
          <rPr>
            <b/>
            <sz val="8"/>
            <color indexed="81"/>
            <rFont val="Tahoma"/>
            <family val="2"/>
          </rPr>
          <t>jmarks:</t>
        </r>
        <r>
          <rPr>
            <sz val="8"/>
            <color indexed="81"/>
            <rFont val="Tahoma"/>
            <family val="2"/>
          </rPr>
          <t xml:space="preserve">
differs to match grouping of funding data</t>
        </r>
      </text>
    </comment>
    <comment ref="AG180" authorId="0" shapeId="0" xr:uid="{00000000-0006-0000-0000-00000B000000}">
      <text>
        <r>
          <rPr>
            <b/>
            <sz val="8"/>
            <color indexed="81"/>
            <rFont val="Tahoma"/>
            <family val="2"/>
          </rPr>
          <t>jmarks:</t>
        </r>
        <r>
          <rPr>
            <sz val="8"/>
            <color indexed="81"/>
            <rFont val="Tahoma"/>
            <family val="2"/>
          </rPr>
          <t xml:space="preserve">
differs to match grouping of funding data</t>
        </r>
      </text>
    </comment>
    <comment ref="AL180" authorId="0" shapeId="0" xr:uid="{00000000-0006-0000-0000-00000C000000}">
      <text>
        <r>
          <rPr>
            <b/>
            <sz val="8"/>
            <color indexed="81"/>
            <rFont val="Tahoma"/>
            <family val="2"/>
          </rPr>
          <t>jmarks:</t>
        </r>
        <r>
          <rPr>
            <sz val="8"/>
            <color indexed="81"/>
            <rFont val="Tahoma"/>
            <family val="2"/>
          </rPr>
          <t xml:space="preserve">
differs to match grouping of funding data</t>
        </r>
      </text>
    </comment>
    <comment ref="AM180" authorId="0" shapeId="0" xr:uid="{00000000-0006-0000-0000-00000D000000}">
      <text>
        <r>
          <rPr>
            <b/>
            <sz val="8"/>
            <color indexed="81"/>
            <rFont val="Tahoma"/>
            <family val="2"/>
          </rPr>
          <t>jmarks:</t>
        </r>
        <r>
          <rPr>
            <sz val="8"/>
            <color indexed="81"/>
            <rFont val="Tahoma"/>
            <family val="2"/>
          </rPr>
          <t xml:space="preserve">
differs to match grouping of funding data</t>
        </r>
      </text>
    </comment>
    <comment ref="AN180" authorId="0" shapeId="0" xr:uid="{00000000-0006-0000-0000-00000E000000}">
      <text>
        <r>
          <rPr>
            <b/>
            <sz val="8"/>
            <color indexed="81"/>
            <rFont val="Tahoma"/>
            <family val="2"/>
          </rPr>
          <t>jmarks:</t>
        </r>
        <r>
          <rPr>
            <sz val="8"/>
            <color indexed="81"/>
            <rFont val="Tahoma"/>
            <family val="2"/>
          </rPr>
          <t xml:space="preserve">
differs to match grouping of funding data</t>
        </r>
      </text>
    </comment>
    <comment ref="AG181" authorId="0" shapeId="0" xr:uid="{00000000-0006-0000-0000-00000F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H181" authorId="0" shapeId="0" xr:uid="{00000000-0006-0000-0000-000010000000}">
      <text>
        <r>
          <rPr>
            <b/>
            <sz val="8"/>
            <color indexed="81"/>
            <rFont val="Tahoma"/>
            <family val="2"/>
          </rPr>
          <t>jmarks:</t>
        </r>
        <r>
          <rPr>
            <sz val="8"/>
            <color indexed="81"/>
            <rFont val="Tahoma"/>
            <family val="2"/>
          </rPr>
          <t xml:space="preserve">
differs to match grouping of funding dat</t>
        </r>
      </text>
    </comment>
    <comment ref="AN181" authorId="0" shapeId="0" xr:uid="{00000000-0006-0000-0000-000011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1" authorId="0" shapeId="0" xr:uid="{00000000-0006-0000-0100-00000100000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mloverde</author>
    <author>jmarks</author>
    <author>Barbara Schmertz</author>
  </authors>
  <commentList>
    <comment ref="Q4" authorId="0" shapeId="0" xr:uid="{EE6C5CB8-9338-4759-BB18-96D4B0D92FB9}">
      <text>
        <r>
          <rPr>
            <b/>
            <sz val="10"/>
            <color rgb="FF000000"/>
            <rFont val="Tahoma"/>
            <family val="2"/>
          </rPr>
          <t>jmarks: Formula must "fit" term code: /30 for semesters; /45 for quarters</t>
        </r>
      </text>
    </comment>
    <comment ref="V4" authorId="1" shapeId="0" xr:uid="{6656F9AB-9ADE-4F68-9103-3EBB0F3C40F4}">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G4" authorId="0" shapeId="0" xr:uid="{C5A1F657-33C9-4075-9A6E-306D6A3EBF28}">
      <text>
        <r>
          <rPr>
            <b/>
            <sz val="10"/>
            <color rgb="FF000000"/>
            <rFont val="Tahoma"/>
            <family val="2"/>
          </rPr>
          <t>jmarks: Formula must "fit" term code: /30 for semesters; /45 for quarters</t>
        </r>
      </text>
    </comment>
    <comment ref="AL4" authorId="1" shapeId="0" xr:uid="{39BD9DF5-CAEB-4793-A88A-E6A9FAD319F3}">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W4" authorId="0" shapeId="0" xr:uid="{032C667D-E5C3-49F6-BC4D-C31EA6928DB7}">
      <text>
        <r>
          <rPr>
            <b/>
            <sz val="10"/>
            <color rgb="FF000000"/>
            <rFont val="Tahoma"/>
            <family val="2"/>
          </rPr>
          <t>jmarks: Formula must "fit" term code: /30 for semesters; /45 for quarters</t>
        </r>
      </text>
    </comment>
    <comment ref="V6" authorId="1" shapeId="0" xr:uid="{BD791331-DE8E-4AFE-A1F1-BC266552ECDD}">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L6" authorId="1" shapeId="0" xr:uid="{B6ACF20E-A7BE-4FEE-94F8-1B791090878C}">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B231" authorId="2" shapeId="0" xr:uid="{EE5798EE-DC08-445D-BD12-D0F493357C42}">
      <text>
        <r>
          <rPr>
            <b/>
            <sz val="9"/>
            <color rgb="FF000000"/>
            <rFont val="Tahoma"/>
            <family val="2"/>
          </rPr>
          <t>Barbara Schmertz:</t>
        </r>
        <r>
          <rPr>
            <sz val="9"/>
            <color rgb="FF000000"/>
            <rFont val="Tahoma"/>
            <family val="2"/>
          </rPr>
          <t xml:space="preserve">
can you tell us why you omit UMB and UMGC? They have data to report for this and are included in Part 5.Is it because of the FTE calcs?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758E344-3AB3-401E-BD19-8073B2736990}" name="Dual07" type="6" refreshedVersion="3" deleted="1" background="1" saveData="1">
    <textPr codePage="437" sourceFile="\\CBNA42\UserDoc$\meaddd\My Documents\My SAS Files\SREB\QWK03256\Dual07.txt">
      <textFields>
        <textField/>
      </textFields>
    </textPr>
  </connection>
  <connection id="2" xr16:uid="{65EAFA96-8592-4DCF-B540-DE82A77D592F}" name="SCH15ug11" type="6" refreshedVersion="5" deleted="1" background="1" saveData="1">
    <textPr codePage="437" sourceFile="Z:\Mead\SASdocs\SREB\QWK05160\Page4\Paste\SCH15ug1.txt">
      <textFields>
        <textField/>
      </textFields>
    </textPr>
  </connection>
  <connection id="3" xr16:uid="{09C918AD-4566-4AA3-8F68-E05805CA6EE6}" name="SCH15ug111" type="6" refreshedVersion="5" deleted="1" background="1" saveData="1">
    <textPr codePage="437" sourceFile="Z:\Mead\SASdocs\SREB\QWK05160\Page4\Paste\SCH15ug1.txt">
      <textFields>
        <textField/>
      </textFields>
    </textPr>
  </connection>
</connections>
</file>

<file path=xl/sharedStrings.xml><?xml version="1.0" encoding="utf-8"?>
<sst xmlns="http://schemas.openxmlformats.org/spreadsheetml/2006/main" count="3717" uniqueCount="950">
  <si>
    <t xml:space="preserve">Part 4: Credit/Contact Hours </t>
  </si>
  <si>
    <t>Undergraduate Credit Hours</t>
  </si>
  <si>
    <t>Calculated</t>
  </si>
  <si>
    <t>Undergraduate Contact Hours</t>
  </si>
  <si>
    <t>Graduate Credit Hours</t>
  </si>
  <si>
    <t>Grand Total</t>
  </si>
  <si>
    <t>Comments:  Please look for comments and answer questions; add comments as needed</t>
  </si>
  <si>
    <t>Semester or Quarter</t>
  </si>
  <si>
    <t>Winter</t>
  </si>
  <si>
    <t>Spring</t>
  </si>
  <si>
    <t>Summer</t>
  </si>
  <si>
    <t>Fall</t>
  </si>
  <si>
    <t>Total Hours</t>
  </si>
  <si>
    <t>FTE</t>
  </si>
  <si>
    <t>Hours taken by students still in high school (dual enrollment, joint enrollment, early college, etc.)</t>
  </si>
  <si>
    <t>Total Hours for HS % of Total Calculation</t>
  </si>
  <si>
    <t>Grand
Total FTE</t>
  </si>
  <si>
    <t>State</t>
  </si>
  <si>
    <t>Institution</t>
  </si>
  <si>
    <t>Classification Notes</t>
  </si>
  <si>
    <t>IPEDS #</t>
  </si>
  <si>
    <t>Category</t>
  </si>
  <si>
    <t>Note</t>
  </si>
  <si>
    <t>IPEDS ID #</t>
  </si>
  <si>
    <t>Old-Term Code</t>
  </si>
  <si>
    <t>New-Term Code</t>
  </si>
  <si>
    <t>old-Winter Undg SCH</t>
  </si>
  <si>
    <t>new-Winter Undg SCH</t>
  </si>
  <si>
    <t>old-Spring Undg SCH</t>
  </si>
  <si>
    <t>new-Spring Undg SCH</t>
  </si>
  <si>
    <t>old-Summer Undg SCH</t>
  </si>
  <si>
    <t>new-Summer Undg SCH</t>
  </si>
  <si>
    <t>old-Fall Undg SCH</t>
  </si>
  <si>
    <t>new-Fall Undg SCH</t>
  </si>
  <si>
    <t>Old-Total Undg SCH</t>
  </si>
  <si>
    <t>Old-Total Undg SCH FTE</t>
  </si>
  <si>
    <t>New-Total Undg SCH</t>
  </si>
  <si>
    <t>New-Total Undg SCH FTE</t>
  </si>
  <si>
    <t>Old-Total HS SCH</t>
  </si>
  <si>
    <t>New-Total HS SCH</t>
  </si>
  <si>
    <t>Old-Total Undg SCH2</t>
  </si>
  <si>
    <t>New-Total Undg SCH2</t>
  </si>
  <si>
    <t>old-Winter Undg CH</t>
  </si>
  <si>
    <t>new-Winter Undg CH</t>
  </si>
  <si>
    <t>old-Spring Undg CH</t>
  </si>
  <si>
    <t>new-Spring Undg CH</t>
  </si>
  <si>
    <t>old-Summer Undg CH</t>
  </si>
  <si>
    <t>new-Summer Undg CH</t>
  </si>
  <si>
    <t>old-Fall Undg CH</t>
  </si>
  <si>
    <t>new-Fall Undg CH</t>
  </si>
  <si>
    <t>Old-Total Undg CH</t>
  </si>
  <si>
    <t>Old-Total Undg CH FTE</t>
  </si>
  <si>
    <t>New-Total Undg CH</t>
  </si>
  <si>
    <t>New-Total Undg CH FTE</t>
  </si>
  <si>
    <t>Old-Total HS CH</t>
  </si>
  <si>
    <t>New-Total HS CH</t>
  </si>
  <si>
    <t>Old-Total Undg CH2</t>
  </si>
  <si>
    <t>New-Total Undg CH2</t>
  </si>
  <si>
    <t>old-Winter Grad SCH</t>
  </si>
  <si>
    <t>new-Winter Grad SCH</t>
  </si>
  <si>
    <t>old-Spring Grad SCH</t>
  </si>
  <si>
    <t>new-Spring Grad SCH</t>
  </si>
  <si>
    <t>old-Summer Grad SCH</t>
  </si>
  <si>
    <t>new-Summer Grad SCH</t>
  </si>
  <si>
    <t>old-Fall Grad SCH</t>
  </si>
  <si>
    <t>new-Fall Grad SCH</t>
  </si>
  <si>
    <t>Old-Total Grad SCH</t>
  </si>
  <si>
    <t>Old-Total Grad FTE</t>
  </si>
  <si>
    <t>New-Total Grad SCH</t>
  </si>
  <si>
    <t>New-Total Grad FTE</t>
  </si>
  <si>
    <t>Old Grand Total FTE</t>
  </si>
  <si>
    <t>New Grand Total FTE</t>
  </si>
  <si>
    <t>AL</t>
  </si>
  <si>
    <t>Auburn University</t>
  </si>
  <si>
    <t>sem</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</si>
  <si>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</si>
  <si>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</si>
  <si>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</si>
  <si>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</si>
  <si>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</si>
  <si>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</si>
  <si>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</si>
  <si>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</si>
  <si>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</si>
  <si>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</si>
  <si>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</si>
  <si>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</si>
  <si>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</si>
  <si>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</si>
  <si>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Bevill State Community College</t>
  </si>
  <si>
    <t>Bishop State Community College</t>
  </si>
  <si>
    <t>Gadsden State Community College</t>
  </si>
  <si>
    <t xml:space="preserve">Lawson State Community College </t>
  </si>
  <si>
    <t>Northwest-Shoals Community College</t>
  </si>
  <si>
    <t>Shelton State Community College</t>
  </si>
  <si>
    <t>Southern Union State Community College</t>
  </si>
  <si>
    <t>Central Alabama Community College</t>
  </si>
  <si>
    <t>George Corley Wallace State Community College - Selma</t>
  </si>
  <si>
    <t xml:space="preserve">Lurleen B. Wallace Community College </t>
  </si>
  <si>
    <t xml:space="preserve">Snead State Community College </t>
  </si>
  <si>
    <t xml:space="preserve">J.F. Ingram State Technical College </t>
  </si>
  <si>
    <t xml:space="preserve">Reid State Technical College </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</si>
  <si>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</si>
  <si>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</si>
  <si>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</si>
  <si>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</si>
  <si>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</si>
  <si>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</si>
  <si>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</si>
  <si>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</si>
  <si>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</si>
  <si>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</si>
  <si>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</si>
  <si>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</si>
  <si>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</si>
  <si>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</si>
  <si>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</si>
  <si>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</si>
  <si>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</si>
  <si>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</si>
  <si>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</si>
  <si>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</si>
  <si>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</si>
  <si>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</si>
  <si>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</si>
  <si>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</si>
  <si>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</si>
  <si>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</si>
  <si>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</si>
  <si>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</si>
  <si>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Morrilton</t>
  </si>
  <si>
    <t>FL</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</si>
  <si>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</si>
  <si>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</si>
  <si>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</si>
  <si>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</si>
  <si>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</si>
  <si>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</si>
  <si>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</si>
  <si>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</si>
  <si>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</si>
  <si>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</si>
  <si>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</si>
  <si>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</si>
  <si>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</si>
  <si>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</si>
  <si>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</si>
  <si>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</si>
  <si>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</si>
  <si>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</si>
  <si>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</si>
  <si>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</si>
  <si>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</si>
  <si>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</si>
  <si>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</si>
  <si>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</si>
  <si>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</si>
  <si>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</si>
  <si>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</si>
  <si>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</si>
  <si>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</si>
  <si>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</si>
  <si>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</si>
  <si>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</si>
  <si>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</si>
  <si>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</si>
  <si>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Clayton State University</t>
  </si>
  <si>
    <t>Columbus State University</t>
  </si>
  <si>
    <t>Fort Valley State University</t>
  </si>
  <si>
    <t>Georgia College and State University</t>
  </si>
  <si>
    <t>University of North Georgia</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</si>
  <si>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</si>
  <si>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</si>
  <si>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</si>
  <si>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</si>
  <si>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</si>
  <si>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</si>
  <si>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</si>
  <si>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</si>
  <si>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Atlanta Metropolitan State College</t>
  </si>
  <si>
    <t>East Georgia State College</t>
  </si>
  <si>
    <t>Georgia Highlands College</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</si>
  <si>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</si>
  <si>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</si>
  <si>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</si>
  <si>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</si>
  <si>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</si>
  <si>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</si>
  <si>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</si>
  <si>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</si>
  <si>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</si>
  <si>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</si>
  <si>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</si>
  <si>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</si>
  <si>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</si>
  <si>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</si>
  <si>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</si>
  <si>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</si>
  <si>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</si>
  <si>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</si>
  <si>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</si>
  <si>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</si>
  <si>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</si>
  <si>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</si>
  <si>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</si>
  <si>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</si>
  <si>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</si>
  <si>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</si>
  <si>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</si>
  <si>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</si>
  <si>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</si>
  <si>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</si>
  <si>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</si>
  <si>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</si>
  <si>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</si>
  <si>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</si>
  <si>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</si>
  <si>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</si>
  <si>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</si>
  <si>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</si>
  <si>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</si>
  <si>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</si>
  <si>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</si>
  <si>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</si>
  <si>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</si>
  <si>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</si>
  <si>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</si>
  <si>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</si>
  <si>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</si>
  <si>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</si>
  <si>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</si>
  <si>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</si>
  <si>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</si>
  <si>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</si>
  <si>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</si>
  <si>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</si>
  <si>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</si>
  <si>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</si>
  <si>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</si>
  <si>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NC</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</si>
  <si>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</si>
  <si>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</si>
  <si>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</si>
  <si>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</si>
  <si>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</si>
  <si>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</si>
  <si>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</si>
  <si>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</si>
  <si>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</si>
  <si>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</si>
  <si>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</si>
  <si>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</si>
  <si>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</si>
  <si>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</si>
  <si>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</si>
  <si>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</si>
  <si>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</si>
  <si>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</si>
  <si>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</si>
  <si>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</si>
  <si>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</si>
  <si>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</si>
  <si>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</si>
  <si>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</si>
  <si>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</si>
  <si>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</si>
  <si>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</si>
  <si>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</si>
  <si>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</si>
  <si>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</si>
  <si>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</si>
  <si>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</si>
  <si>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</si>
  <si>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</si>
  <si>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</si>
  <si>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</si>
  <si>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</si>
  <si>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</si>
  <si>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</si>
  <si>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</si>
  <si>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</si>
  <si>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</si>
  <si>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</si>
  <si>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</si>
  <si>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</si>
  <si>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</si>
  <si>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</si>
  <si>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</si>
  <si>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</si>
  <si>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</si>
  <si>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</si>
  <si>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</si>
  <si>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</si>
  <si>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</si>
  <si>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</si>
  <si>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</si>
  <si>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</si>
  <si>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</si>
  <si>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</si>
  <si>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</si>
  <si>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</si>
  <si>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</si>
  <si>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</si>
  <si>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</si>
  <si>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</si>
  <si>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</si>
  <si>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</si>
  <si>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</si>
  <si>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</si>
  <si>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</si>
  <si>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</si>
  <si>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OK</t>
  </si>
  <si>
    <t xml:space="preserve">Canadian Valley Technology Center                 </t>
  </si>
  <si>
    <t xml:space="preserve">Francis Tuttle Technology Center                  </t>
  </si>
  <si>
    <t xml:space="preserve">Metro Technology Centers                          </t>
  </si>
  <si>
    <t xml:space="preserve">Tulsa Technology Center-Lemley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</si>
  <si>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</si>
  <si>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</si>
  <si>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</si>
  <si>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</si>
  <si>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</si>
  <si>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</si>
  <si>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</si>
  <si>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</si>
  <si>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</si>
  <si>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</si>
  <si>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</si>
  <si>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</si>
  <si>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</si>
  <si>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</si>
  <si>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</si>
  <si>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</si>
  <si>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</si>
  <si>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</si>
  <si>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</si>
  <si>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</si>
  <si>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</si>
  <si>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</si>
  <si>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</si>
  <si>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</si>
  <si>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</si>
  <si>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</si>
  <si>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</si>
  <si>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</si>
  <si>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</si>
  <si>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</si>
  <si>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</si>
  <si>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</si>
  <si>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</si>
  <si>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</si>
  <si>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</si>
  <si>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</si>
  <si>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</si>
  <si>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</si>
  <si>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</si>
  <si>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</si>
  <si>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Center-Riverside Campus          </t>
  </si>
  <si>
    <t xml:space="preserve">Wes Watkins Technology Center                     </t>
  </si>
  <si>
    <t xml:space="preserve">Western Technology Center                         </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</si>
  <si>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</si>
  <si>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</si>
  <si>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</si>
  <si>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</si>
  <si>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</si>
  <si>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</si>
  <si>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</si>
  <si>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</si>
  <si>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</si>
  <si>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</si>
  <si>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</si>
  <si>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</si>
  <si>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</si>
  <si>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</si>
  <si>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</si>
  <si>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</si>
  <si>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</si>
  <si>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</si>
  <si>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</si>
  <si>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</si>
  <si>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</si>
  <si>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</si>
  <si>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</si>
  <si>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</si>
  <si>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</si>
  <si>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</si>
  <si>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</si>
  <si>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</si>
  <si>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</si>
  <si>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</si>
  <si>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</si>
  <si>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</si>
  <si>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</si>
  <si>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</si>
  <si>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</si>
  <si>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</si>
  <si>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</si>
  <si>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</si>
  <si>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</si>
  <si>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</si>
  <si>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</si>
  <si>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</si>
  <si>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</si>
  <si>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</si>
  <si>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</si>
  <si>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</si>
  <si>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</si>
  <si>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</si>
  <si>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</si>
  <si>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</si>
  <si>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</si>
  <si>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WV</t>
  </si>
  <si>
    <t>West Virginia University</t>
  </si>
  <si>
    <t xml:space="preserve">Marshall University </t>
  </si>
  <si>
    <t>Fairmont State University</t>
  </si>
  <si>
    <t xml:space="preserve">Shepherd University </t>
  </si>
  <si>
    <t xml:space="preserve">Concord University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</si>
  <si>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</si>
  <si>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</si>
  <si>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</si>
  <si>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</si>
  <si>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</si>
  <si>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</si>
  <si>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</si>
  <si>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</si>
  <si>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</si>
  <si>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</si>
  <si>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</si>
  <si>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</si>
  <si>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</si>
  <si>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DE</t>
  </si>
  <si>
    <t>University of Delaware</t>
  </si>
  <si>
    <t>Delaware State University</t>
  </si>
  <si>
    <t>Delaware Technical and Community College--Terry</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</si>
  <si>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</si>
  <si>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</si>
  <si>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</si>
  <si>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</si>
  <si>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</si>
  <si>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</si>
  <si>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</si>
  <si>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</si>
  <si>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</si>
  <si>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</si>
  <si>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</si>
  <si>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</si>
  <si>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</si>
  <si>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</si>
  <si>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</si>
  <si>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</si>
  <si>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</si>
  <si>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</si>
  <si>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</si>
  <si>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</si>
  <si>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</si>
  <si>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</si>
  <si>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</si>
  <si>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</si>
  <si>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L.E. Fletcher Technical Community College</t>
  </si>
  <si>
    <t>Northshore Technical College</t>
  </si>
  <si>
    <t>Northwest LA Technical College</t>
  </si>
  <si>
    <t>Sowela Technical Community College</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</si>
  <si>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</si>
  <si>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</si>
  <si>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</si>
  <si>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</si>
  <si>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</si>
  <si>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</si>
  <si>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</si>
  <si>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</si>
  <si>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</si>
  <si>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</si>
  <si>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</si>
  <si>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</si>
  <si>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</si>
  <si>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</si>
  <si>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</si>
  <si>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</si>
  <si>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</si>
  <si>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</si>
  <si>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</si>
  <si>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</si>
  <si>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</si>
  <si>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</si>
  <si>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</si>
  <si>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</si>
  <si>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</si>
  <si>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</si>
  <si>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</si>
  <si>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</si>
  <si>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</si>
  <si>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</si>
  <si>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</si>
  <si>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</si>
  <si>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</si>
  <si>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</si>
  <si>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</si>
  <si>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</si>
  <si>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</si>
  <si>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</si>
  <si>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</si>
  <si>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</si>
  <si>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</si>
  <si>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</si>
  <si>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</si>
  <si>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</si>
  <si>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</si>
  <si>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</si>
  <si>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</si>
  <si>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</si>
  <si>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</si>
  <si>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</si>
  <si>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</si>
  <si>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</si>
  <si>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</si>
  <si>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</si>
  <si>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</si>
  <si>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</si>
  <si>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</si>
  <si>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</si>
  <si>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</si>
  <si>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</si>
  <si>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</si>
  <si>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</si>
  <si>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</si>
  <si>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</si>
  <si>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</si>
  <si>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</si>
  <si>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</si>
  <si>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</si>
  <si>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</si>
  <si>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</si>
  <si>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</si>
  <si>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</si>
  <si>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</si>
  <si>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</si>
  <si>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</si>
  <si>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</si>
  <si>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</si>
  <si>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</si>
  <si>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</si>
  <si>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</si>
  <si>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</si>
  <si>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</si>
  <si>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</si>
  <si>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</si>
  <si>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</si>
  <si>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</si>
  <si>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Tyler</t>
  </si>
  <si>
    <t>West Texas A&amp;M University</t>
  </si>
  <si>
    <t>Texas A&amp;M -Texarkana</t>
  </si>
  <si>
    <t>University of Houston-Victoria</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</si>
  <si>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</si>
  <si>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</si>
  <si>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</si>
  <si>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</si>
  <si>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</si>
  <si>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</si>
  <si>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</si>
  <si>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</si>
  <si>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</si>
  <si>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Central Texas College </t>
  </si>
  <si>
    <t>Collin County Community College District</t>
  </si>
  <si>
    <t xml:space="preserve">Del Mar College </t>
  </si>
  <si>
    <t>El Paso County Community College District</t>
  </si>
  <si>
    <t>Houston Community College</t>
  </si>
  <si>
    <t>Lone Star College System District</t>
  </si>
  <si>
    <t xml:space="preserve">McLennan Community College </t>
  </si>
  <si>
    <t xml:space="preserve">Navarro College </t>
  </si>
  <si>
    <t>North Central Texas Community College</t>
  </si>
  <si>
    <t>Northwest Vista College (ACCD)</t>
  </si>
  <si>
    <t>San Antonio College (ACCD)</t>
  </si>
  <si>
    <t>San Jacinto College</t>
  </si>
  <si>
    <t xml:space="preserve">South Plains College </t>
  </si>
  <si>
    <t>Tarrant County College</t>
  </si>
  <si>
    <t>Trinity Valley Community College</t>
  </si>
  <si>
    <t xml:space="preserve">Tyler Junior College </t>
  </si>
  <si>
    <t xml:space="preserve">Alvin Community College </t>
  </si>
  <si>
    <t xml:space="preserve">Angelina College </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</si>
  <si>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</si>
  <si>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</si>
  <si>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</si>
  <si>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</si>
  <si>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</si>
  <si>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</si>
  <si>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</si>
  <si>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</si>
  <si>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</si>
  <si>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</si>
  <si>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</si>
  <si>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</si>
  <si>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</si>
  <si>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</si>
  <si>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</si>
  <si>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</si>
  <si>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</si>
  <si>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</si>
  <si>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</si>
  <si>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</si>
  <si>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</si>
  <si>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</si>
  <si>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</si>
  <si>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</si>
  <si>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</si>
  <si>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</si>
  <si>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</si>
  <si>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</si>
  <si>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</si>
  <si>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</si>
  <si>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</si>
  <si>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</si>
  <si>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</si>
  <si>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</si>
  <si>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Howard County Community/Junior College District (HCJCD)</t>
  </si>
  <si>
    <t>University of North Texas at Dallas</t>
  </si>
  <si>
    <t>08b</t>
  </si>
  <si>
    <t>09b</t>
  </si>
  <si>
    <t>10b</t>
  </si>
  <si>
    <t>Texas State Technical College-North Texas</t>
  </si>
  <si>
    <t>Texas State Technical College-Fort Bend</t>
  </si>
  <si>
    <t>VA</t>
  </si>
  <si>
    <t xml:space="preserve">Danville Community College </t>
  </si>
  <si>
    <t>Germanna Community College</t>
  </si>
  <si>
    <t xml:space="preserve">New River Community College </t>
  </si>
  <si>
    <t xml:space="preserve">Piedmont Virginia Community College </t>
  </si>
  <si>
    <t>Southside Virginia Community College</t>
  </si>
  <si>
    <t xml:space="preserve">Virginia Western Community College </t>
  </si>
  <si>
    <t xml:space="preserve">Wytheville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</si>
  <si>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</si>
  <si>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</si>
  <si>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</si>
  <si>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</si>
  <si>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</si>
  <si>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</si>
  <si>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</si>
  <si>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All Community Colleges except R. Bland</t>
  </si>
  <si>
    <t>All CC - Bland</t>
  </si>
  <si>
    <t>Richard Bland College B</t>
  </si>
  <si>
    <t>Row Labels</t>
  </si>
  <si>
    <t>Sum of Old-Total Undg SCH FTE</t>
  </si>
  <si>
    <t>Sum of New-Total Undg SCH FTE</t>
  </si>
  <si>
    <t>08b Total</t>
  </si>
  <si>
    <t>09b Total</t>
  </si>
  <si>
    <t>10b Total</t>
  </si>
  <si>
    <t>Total Sum of Old-Total Undg SCH FTE</t>
  </si>
  <si>
    <t>Total Sum of New-Total Undg SCH FTE</t>
  </si>
  <si>
    <t>Column Labels</t>
  </si>
  <si>
    <t>Sum of Old-Total Undg CH FTE</t>
  </si>
  <si>
    <t>Total Sum of Old-Total Undg CH FTE</t>
  </si>
  <si>
    <t>Sum of New-Total Undg CH FTE</t>
  </si>
  <si>
    <t>Total Sum of New-Total Undg CH FTE</t>
  </si>
  <si>
    <t>Sum of Old-Total Grad FTE</t>
  </si>
  <si>
    <t>Total Sum of Old-Total Grad FTE</t>
  </si>
  <si>
    <t>Sum of New-Total Grad FTE</t>
  </si>
  <si>
    <t>Total Sum of New-Total Grad FTE</t>
  </si>
  <si>
    <t>Sum of Old Grand Total FTE</t>
  </si>
  <si>
    <t>Total Sum of Old Grand Total FTE</t>
  </si>
  <si>
    <t>Sum of New Grand Total FTE</t>
  </si>
  <si>
    <t>Total Sum of New Grand Total FTE</t>
  </si>
  <si>
    <t>Sum of % Change Undergrad SCH FTE</t>
  </si>
  <si>
    <t>Total Sum of % Change Undergrad SCH FTE</t>
  </si>
  <si>
    <t>Sum of % Change Undergrad CH FTE</t>
  </si>
  <si>
    <t>Total Sum of % Change Undergrad CH FTE</t>
  </si>
  <si>
    <t>Sum of % Change Graduate FTE</t>
  </si>
  <si>
    <t>Total Sum of % Change Graduate FTE</t>
  </si>
  <si>
    <t>Sum of % Change Grand Total FTE</t>
  </si>
  <si>
    <t>Total Sum of % Change Grand Total FTE</t>
  </si>
  <si>
    <t>Four-Year Total</t>
  </si>
  <si>
    <t>Four-Year</t>
  </si>
  <si>
    <t>Two-Year</t>
  </si>
  <si>
    <t>Two-Year Total</t>
  </si>
  <si>
    <t>Technical</t>
  </si>
  <si>
    <t>Technical Total</t>
  </si>
  <si>
    <t>Values</t>
  </si>
  <si>
    <t>Table 80</t>
  </si>
  <si>
    <t>Full-Year Full-Time-Equivalent Undergraduate Enrollment</t>
  </si>
  <si>
    <t>OLD</t>
  </si>
  <si>
    <t>For use in FB_42_43</t>
  </si>
  <si>
    <t>For use in DE Highlights and Fact Book</t>
  </si>
  <si>
    <t>NEW</t>
  </si>
  <si>
    <t>All</t>
  </si>
  <si>
    <t>Four-Year 1</t>
  </si>
  <si>
    <t>All Four Year</t>
  </si>
  <si>
    <t>Total</t>
  </si>
  <si>
    <t>Percent by Students Still in High School</t>
  </si>
  <si>
    <r>
      <rPr>
        <b/>
        <sz val="10"/>
        <rFont val="Arial"/>
        <family val="2"/>
      </rPr>
      <t>Old</t>
    </r>
    <r>
      <rPr>
        <sz val="10"/>
        <rFont val="Arial"/>
        <family val="2"/>
      </rPr>
      <t xml:space="preserve"> % by H.S. Students</t>
    </r>
  </si>
  <si>
    <t>Points change</t>
  </si>
  <si>
    <t>Pct by Students Still in HS</t>
  </si>
  <si>
    <t>SREB states</t>
  </si>
  <si>
    <t>=+GETPIVOTDATA("Sum of Old-HS % of Total",'Pivot-HS Student % of Undergrad'!$A$3,"Category",1,"Category2","Four-Year")</t>
  </si>
  <si>
    <t>=+GETPIVOTDATA("Sum of Old-HS % of Total",'Pivot-HS Student % of Undergrad'!$A$3,"Category",2,"Category2","Four-Year")</t>
  </si>
  <si>
    <t>=+GETPIVOTDATA("Sum of Old-HS % of Total",'Pivot-HS Student % of Undergrad'!$A$3,"Category",3,"Category2","Four-Year")</t>
  </si>
  <si>
    <t>=+GETPIVOTDATA("Sum of Old-HS % of Total",'Pivot-HS Student % of Undergrad'!$A$3,"Category",4,"Category2","Four-Year")</t>
  </si>
  <si>
    <t>=+GETPIVOTDATA("Sum of Old-HS % of Total",'Pivot-HS Student % of Undergrad'!$A$3,"Category",5,"Category2","Four-Year")</t>
  </si>
  <si>
    <t>=+GETPIVOTDATA("Sum of Old-HS % of Total",'Pivot-HS Student % of Undergrad'!$A$3,"Category",6,"Category2","Four-Year")</t>
  </si>
  <si>
    <t>=+GETPIVOTDATA("Sum of Old-HS % of Total",'Pivot-HS Student % of Undergrad'!$A$3,"Category2","Four-Year")</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</si>
  <si>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</si>
  <si>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</si>
  <si>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</si>
  <si>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</si>
  <si>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</si>
  <si>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</si>
  <si>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</si>
  <si>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</si>
  <si>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</si>
  <si>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</si>
  <si>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</si>
  <si>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</si>
  <si>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</si>
  <si>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</si>
  <si>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</si>
  <si>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</si>
  <si>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81</t>
  </si>
  <si>
    <t>Full-Year Full-Time-Equivalent Graduate Enrollment</t>
  </si>
  <si>
    <t>Table 82</t>
  </si>
  <si>
    <t>Total Full-Year Full-Time-Equivalent Enrollment</t>
  </si>
  <si>
    <t>for use in Highlights and Fact Book</t>
  </si>
  <si>
    <t>Table 83</t>
  </si>
  <si>
    <t>Full-Year Full-Time-Equivalent Credit-Hour Enrollment</t>
  </si>
  <si>
    <t>Public Two-Year Colleges and Technical Institutes or Colleges</t>
  </si>
  <si>
    <t xml:space="preserve"> Two-Year</t>
  </si>
  <si>
    <t>Technical Institutes or Colleges</t>
  </si>
  <si>
    <t xml:space="preserve"> </t>
  </si>
  <si>
    <t>With Bachelor's</t>
  </si>
  <si>
    <t>Table 84</t>
  </si>
  <si>
    <t>Full-Year Full-Time-Equivalent Contact-Hour Enrollment</t>
  </si>
  <si>
    <t>Table 85</t>
  </si>
  <si>
    <t>Totals for Per FTE Funding Calculation</t>
  </si>
  <si>
    <t>w/ Bachelors</t>
  </si>
  <si>
    <t>w/ Bachelor's</t>
  </si>
  <si>
    <t>Two Year 1</t>
  </si>
  <si>
    <t>All Two Year</t>
  </si>
  <si>
    <t>Old Percent by H.S. Students</t>
  </si>
  <si>
    <t>Size Unknown</t>
  </si>
  <si>
    <t>=+GETPIVOTDATA("Sum of New-HS % of Total",'Pivot-HS Student % of Undergrad'!$A$3,"Category",7,"Category2","Two-Year")</t>
  </si>
  <si>
    <t>=+GETPIVOTDATA("Sum of New-HS % of Total",'Pivot-HS Student % of Undergrad'!$A$3,"Category",8,"Category2","Two-Year")</t>
  </si>
  <si>
    <t>=+GETPIVOTDATA("Sum of New-HS % of Total",'Pivot-HS Student % of Undergrad'!$A$3,"Category",9,"Category2","Two-Year")</t>
  </si>
  <si>
    <t>=+GETPIVOTDATA("Sum of New-HS % of Total",'Pivot-HS Student % of Undergrad'!$A$3,"Category",10,"Category2","Two-Year")</t>
  </si>
  <si>
    <t>=+GETPIVOTDATA("Sum of New-HS % of Total",'Pivot-HS Student % of Undergrad'!$A$3,"Category2","Group2")</t>
  </si>
  <si>
    <t>=+GETPIVOTDATA("Sum of Old-HS % of Total",'Pivot-HS Student % of Undergrad'!$A$3,"Category",7,"Category2","Two-Year")</t>
  </si>
  <si>
    <t>=+GETPIVOTDATA("Sum of Old-HS % of Total",'Pivot-HS Student % of Undergrad'!$A$3,"Category",8,"Category2","Two-Year")</t>
  </si>
  <si>
    <t>=+GETPIVOTDATA("Sum of Old-HS % of Total",'Pivot-HS Student % of Undergrad'!$A$3,"Category",9,"Category2","Two-Year")</t>
  </si>
  <si>
    <t>=+GETPIVOTDATA("Sum of Old-HS % of Total",'Pivot-HS Student % of Undergrad'!$A$3,"Category",10,"Category2","Two-Year")</t>
  </si>
  <si>
    <t>=+GETPIVOTDATA("Sum of Old-HS % of Total",'Pivot-HS Student % of Undergrad'!$A$3,"Category2","Two-Year")</t>
  </si>
  <si>
    <t>Table 86</t>
  </si>
  <si>
    <t>Technical 1</t>
  </si>
  <si>
    <t>All Technical</t>
  </si>
  <si>
    <t>=+GETPIVOTDATA("Sum of New-HS % of Total",'Pivot-HS Student % of Undergrad'!$A$3,"Category",12,"Category2","Technical")</t>
  </si>
  <si>
    <t>=+GETPIVOTDATA("Sum of New-HS % of Total",'Pivot-HS Student % of Undergrad'!$A$3,"Category",13,"Category2","Technical")</t>
  </si>
  <si>
    <t>=+GETPIVOTDATA("Sum of New-HS % of Total",'Pivot-HS Student % of Undergrad'!$A$3,"Category2","Group3")</t>
  </si>
  <si>
    <r>
      <t>………. "86B"</t>
    </r>
    <r>
      <rPr>
        <b/>
        <sz val="14"/>
        <color rgb="FFC00000"/>
        <rFont val="Arial"/>
        <family val="2"/>
      </rPr>
      <t>Discontinued but still used for summary info and Fact Book</t>
    </r>
    <r>
      <rPr>
        <b/>
        <sz val="14"/>
        <rFont val="Arial"/>
        <family val="2"/>
      </rPr>
      <t>-------see sections to right---------------&gt;&gt;&gt;&gt;&gt;&gt;&gt;&gt;</t>
    </r>
  </si>
  <si>
    <t>Public Four-Year Universities, Two-Year Colleges</t>
  </si>
  <si>
    <t>For use in FB 37 and DE Highlights</t>
  </si>
  <si>
    <t>Prior year for Highlights report</t>
  </si>
  <si>
    <t>#Change from prior year</t>
  </si>
  <si>
    <t>%Change from prior year</t>
  </si>
  <si>
    <t>TOTAL</t>
  </si>
  <si>
    <t>=+GETPIVOTDATA("Sum of New-Total Undg SCH FTE",'Pivot-HS Student % of Undergrad'!$A$3,"Category",1,"Category2","Four-Year")</t>
  </si>
  <si>
    <t>=+GETPIVOTDATA("Sum of New-Total Undg SCH FTE",'Pivot-HS Student % of Undergrad'!$A$3,"Category",2,"Category2","Four-Year")</t>
  </si>
  <si>
    <t>=+GETPIVOTDATA("Sum of New-Total Undg SCH FTE",'Pivot-HS Student % of Undergrad'!$A$3,"Category",3,"Category2","Four-Year")</t>
  </si>
  <si>
    <t>=+GETPIVOTDATA("Sum of New-Total Undg SCH FTE",'Pivot-HS Student % of Undergrad'!$A$3,"Category",4,"Category2","Four-Year")</t>
  </si>
  <si>
    <t>=+GETPIVOTDATA("Sum of New-Total Undg SCH FTE",'Pivot-HS Student % of Undergrad'!$A$3,"Category",5,"Category2","Four-Year")</t>
  </si>
  <si>
    <t>=+GETPIVOTDATA("Sum of New-Total Undg SCH FTE",'Pivot-HS Student % of Undergrad'!$A$3,"Category",6,"Category2","Four-Year")</t>
  </si>
  <si>
    <t>=+GETPIVOTDATA("Sum of New-Total Undg SCH FTE",'Pivot-HS Student % of Undergrad'!$A$3,"Category2","Group1")</t>
  </si>
  <si>
    <t>—</t>
  </si>
  <si>
    <t>Category2</t>
  </si>
  <si>
    <t>11 Total</t>
  </si>
  <si>
    <t>Data</t>
  </si>
  <si>
    <t>Sum of Old-Total UGH</t>
  </si>
  <si>
    <t>Sum of Old-Total HSH</t>
  </si>
  <si>
    <t>Sum of Old-HS % of Total</t>
  </si>
  <si>
    <t>Sum of New-Total UGH</t>
  </si>
  <si>
    <t>Sum of New-Total HSH</t>
  </si>
  <si>
    <t>Sum of New-HS % of Total</t>
  </si>
  <si>
    <t xml:space="preserve"> HS Percentage-point Change</t>
  </si>
  <si>
    <t>Total Sum of Old-Total UGH</t>
  </si>
  <si>
    <t>Total Sum of Old-Total HSH</t>
  </si>
  <si>
    <t>Total Sum of Old-HS % of Total</t>
  </si>
  <si>
    <t>Total Sum of New-Total UGH</t>
  </si>
  <si>
    <t>Total Sum of New-Total HSH</t>
  </si>
  <si>
    <t>Total Sum of New-HS % of Total</t>
  </si>
  <si>
    <t>Total  HS Percentage-point Change</t>
  </si>
  <si>
    <t>10 minus 10b</t>
  </si>
  <si>
    <t>=+GETPIVOTDATA("Sum of New-HS % of Total",'Pivot-HS Student % of Undergrad'!$A$3,"Category",1,"Category2","Four-Year")</t>
  </si>
  <si>
    <t>=+GETPIVOTDATA("Sum of New-HS % of Total",'Pivot-HS Student % of Undergrad'!$A$3,"Category",2,"Category2","Four-Year")</t>
  </si>
  <si>
    <t>=+GETPIVOTDATA("Sum of New-HS % of Total",'Pivot-HS Student % of Undergrad'!$A$3,"Category",3,"Category2","Four-Year")</t>
  </si>
  <si>
    <t>=+GETPIVOTDATA("Sum of New-HS % of Total",'Pivot-HS Student % of Undergrad'!$A$3,"Category",4,"Category2","Four-Year")</t>
  </si>
  <si>
    <t>=+GETPIVOTDATA("Sum of New-HS % of Total",'Pivot-HS Student % of Undergrad'!$A$3,"Category",5,"Category2","Four-Year")</t>
  </si>
  <si>
    <t>=+GETPIVOTDATA("Sum of New-HS % of Total",'Pivot-HS Student % of Undergrad'!$A$3,"Category",6,"Category2","Four-Year")</t>
  </si>
  <si>
    <t>=+GETPIVOTDATA("Sum of New-HS % of Total",'Pivot-HS Student % of Undergrad'!$A$3,"Category2","Group1")</t>
  </si>
  <si>
    <t>=+GETPIVOTDATA("Sum of Old-HS % of Total",'Pivot-HS Student % of Undergrad'!$A$3,"Category",12,"Category2","Technical")</t>
  </si>
  <si>
    <t>=+GETPIVOTDATA("Sum of Old-HS % of Total",'Pivot-HS Student % of Undergrad'!$A$3,"Category",13,"Category2","Technical")</t>
  </si>
  <si>
    <t>=+GETPIVOTDATA("Sum of Old-HS % of Total",'Pivot-HS Student % of Undergrad'!$A$3,"Category2","Group3")</t>
  </si>
  <si>
    <r>
      <t>……….</t>
    </r>
    <r>
      <rPr>
        <b/>
        <sz val="14"/>
        <color rgb="FFC00000"/>
        <rFont val="Arial"/>
        <family val="2"/>
      </rPr>
      <t>Discontinued but still used for summary info and Fact Book</t>
    </r>
    <r>
      <rPr>
        <b/>
        <sz val="14"/>
        <rFont val="Arial"/>
        <family val="2"/>
      </rPr>
      <t>-----</t>
    </r>
  </si>
  <si>
    <t xml:space="preserve">Georgia State University </t>
  </si>
  <si>
    <t>233338</t>
  </si>
  <si>
    <r>
      <rPr>
        <b/>
        <sz val="10"/>
        <color rgb="FF000000"/>
        <rFont val="Arial"/>
        <family val="2"/>
      </rPr>
      <t xml:space="preserve">Data Columns:  </t>
    </r>
    <r>
      <rPr>
        <sz val="10"/>
        <color rgb="FF000000"/>
        <rFont val="Arial"/>
        <family val="2"/>
      </rPr>
      <t>White = New Data, Peach = Old Data, Purple/Grey = Calculated Data.</t>
    </r>
  </si>
  <si>
    <t xml:space="preserve">John C. Calhoun Community College </t>
  </si>
  <si>
    <t>George C. Wallace Community College-Dothan</t>
  </si>
  <si>
    <t>George C. Wallace State Community College-Hanceville</t>
  </si>
  <si>
    <t>Chattahoochee Valley Community College</t>
  </si>
  <si>
    <t>Enterprise State Community College</t>
  </si>
  <si>
    <t>Northeast Alabama Community College</t>
  </si>
  <si>
    <t>H. Councill Trenholm State Community College</t>
  </si>
  <si>
    <t>J.F. Drake State Community and Technical College</t>
  </si>
  <si>
    <t>University of Arkansas - Pulaski Technical College</t>
  </si>
  <si>
    <t>University of Arkansas Community College Rich Mountain</t>
  </si>
  <si>
    <t>Augusta University</t>
  </si>
  <si>
    <t>Central LA Technical Community College</t>
  </si>
  <si>
    <t>University of North Carolina School of the Arts</t>
  </si>
  <si>
    <t>Tulsa Technology Center-Owasso</t>
  </si>
  <si>
    <t>Tulsa Technology Center-Sand Springs</t>
  </si>
  <si>
    <t xml:space="preserve">Williamsburg Technical College </t>
  </si>
  <si>
    <t>Brookhaven College (DCCCD)</t>
  </si>
  <si>
    <t>Eastfield College (DCCCD)</t>
  </si>
  <si>
    <t>North Lake College (DCCCD)</t>
  </si>
  <si>
    <t>Palo Alto College (ACCD)</t>
  </si>
  <si>
    <t>Richland College (DCCCD)</t>
  </si>
  <si>
    <t>St. Philip's College (ACCD)</t>
  </si>
  <si>
    <t>Cedar Valley College (DCCCD)</t>
  </si>
  <si>
    <t>N/A</t>
  </si>
  <si>
    <t>Dallas County Community College District (DCCCD)</t>
  </si>
  <si>
    <t>15 Total</t>
  </si>
  <si>
    <t>Coastal Alabama Community College</t>
  </si>
  <si>
    <t>Arkansas State University Three Rivers</t>
  </si>
  <si>
    <t>University of Arkansas Community College at Hope-Texarkana</t>
  </si>
  <si>
    <t xml:space="preserve">North Florida College </t>
  </si>
  <si>
    <t>The College of the Florida Keys</t>
  </si>
  <si>
    <t>Southern University Law Center</t>
  </si>
  <si>
    <t>Texas A&amp;M University-San Antonio</t>
  </si>
  <si>
    <t>Maryland*</t>
  </si>
  <si>
    <t>*Provisionary data reported. Interpret with caution.</t>
  </si>
  <si>
    <t>Marion Military Institute</t>
  </si>
  <si>
    <t>Davidson-Davie Community College</t>
  </si>
  <si>
    <t>College of The Albemarle</t>
  </si>
  <si>
    <t>El Centro College  (DCCCD)</t>
  </si>
  <si>
    <t>Mountain View College  (DCCCD)</t>
  </si>
  <si>
    <t xml:space="preserve">Cisco Junior College </t>
  </si>
  <si>
    <t>University of Texas Permian Basin</t>
  </si>
  <si>
    <t>University of Texas-Rio Grande Valley</t>
  </si>
  <si>
    <t>Texas A&amp;M University-Central Texas</t>
  </si>
  <si>
    <t>Blinn College</t>
  </si>
  <si>
    <t xml:space="preserve">Laredo College </t>
  </si>
  <si>
    <t>Public Four-Year Institutions, 2020-21</t>
  </si>
  <si>
    <t>Public Two-Year Colleges and Technical Institutes or Colleges, 2020-21</t>
  </si>
  <si>
    <t>Public Two-Year Colleges, 2020-21</t>
  </si>
  <si>
    <t>Public Technical Institutes or Colleges, 2020-21</t>
  </si>
  <si>
    <t xml:space="preserve"> and Technical Institutes or Colleges, 2020-21</t>
  </si>
  <si>
    <t>Notes: Full-year full-time-equivalent (FTE) undergraduate enrollment for 2020-21 is estimated by taking the credit hours from calendar year 2020 (i.e. winter, spring, summer and fall terms of 2020) and by dividing total undergraduate semester credit hours by 30 and total undergraduate quarter hours by 45.</t>
  </si>
  <si>
    <t xml:space="preserve">   Oct 2022</t>
  </si>
  <si>
    <t xml:space="preserve">Notes:  Full-year full-time-equivalent (FTE) undergraduate enrollment for 2020-21 is estimated by taking the credit hours from calendar year 2020 (i.e. winter, spring, summer and fall terms of 2020) and by dividing total undergraduate semester credit hours by 30; total undergraduate quarter hours by 45; total undergraduate contact hours by 900 (the equivalent of a 30 hour week); total graduate semester credit hours by 24; and total graduate quarter hours by 36. </t>
  </si>
  <si>
    <t xml:space="preserve">George Mason University </t>
  </si>
  <si>
    <t xml:space="preserve">Old Dominion University </t>
  </si>
  <si>
    <t>University of Virginia</t>
  </si>
  <si>
    <t>Virginia Commonwealth University</t>
  </si>
  <si>
    <t xml:space="preserve">Virginia Tech </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</si>
  <si>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</si>
  <si>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</si>
  <si>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</si>
  <si>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</si>
  <si>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</si>
  <si>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</si>
  <si>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</si>
  <si>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J.S. Reynolds Community College</t>
  </si>
  <si>
    <t xml:space="preserve">Northern Virginia Community College </t>
  </si>
  <si>
    <t xml:space="preserve">Tidewater Community College </t>
  </si>
  <si>
    <t xml:space="preserve">Blue Ridge Community College </t>
  </si>
  <si>
    <t xml:space="preserve">Central Virginia Community College </t>
  </si>
  <si>
    <t>ok</t>
  </si>
  <si>
    <t>(blank)</t>
  </si>
  <si>
    <t>(blank) Total</t>
  </si>
  <si>
    <t xml:space="preserve">Hinds Community College </t>
  </si>
  <si>
    <t xml:space="preserve">Holmes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</si>
  <si>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</si>
  <si>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</si>
  <si>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</si>
  <si>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</si>
  <si>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</si>
  <si>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Itawamba Community College </t>
  </si>
  <si>
    <t>Jones College</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</si>
  <si>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</si>
  <si>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</si>
  <si>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</si>
  <si>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</si>
  <si>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</si>
  <si>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</si>
  <si>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Dallas College</t>
  </si>
  <si>
    <t>Texas State Technical College-Connect (Online Only)</t>
  </si>
  <si>
    <t>Reclassified: Met the criteria for Four-Year 5 in 2019-20 and 2020-21, and 2021-22</t>
  </si>
  <si>
    <t>Met the criteria for Four-Year 4 in 2020-21 , and 2021-22</t>
  </si>
  <si>
    <t>Meet the Criteria for Four-Year 3 in 2021-22</t>
  </si>
  <si>
    <t>Reclassifed: Met the criteria for Four-Year 2 in 2019-20 and 2020-21, and 2021-22</t>
  </si>
  <si>
    <t>Met the criteria for Four-Year 5 in 2021-22</t>
  </si>
  <si>
    <t>Reclassified Met the criteria for Four-Year 5 in 2019-20 and 2020-21, and 2021, 22</t>
  </si>
  <si>
    <t>Classification Corrected</t>
  </si>
  <si>
    <t>Met the requirments for Four-Year 1 in 2020-21, and 2021-22</t>
  </si>
  <si>
    <t>Met the requirments for 4-Year 2 in 2021-22</t>
  </si>
  <si>
    <t>Met the requirments for 4-Year 3 in 2021-22</t>
  </si>
  <si>
    <t>Met the requirments for 4-Year 4 in 2021-22</t>
  </si>
  <si>
    <t>Met the Requirment for Four-Year 4 in 2021-22</t>
  </si>
  <si>
    <t>Reclassifed: Met the criteria for Four-Year 4 in 2019-20 2020-21, and 2021-22</t>
  </si>
  <si>
    <t>Met the criteria for Two-Year 3 in 2020-21, and 2021-22</t>
  </si>
  <si>
    <t>Met the criteria for Two-Year 3 in 2020-21 and 2021,22</t>
  </si>
  <si>
    <t>Met the criteria for Two-Year 2 in 2021-22</t>
  </si>
  <si>
    <t>Met the criteria for Two-Year 3 in 2021-22</t>
  </si>
  <si>
    <t>Met the criteria for Two-Year 2 in 2020-21 and 2021-22</t>
  </si>
  <si>
    <t>Reclassifed Met the criteria for Two-Year with Bachelor's in 2019-20, 2020-21 and 2021-22</t>
  </si>
  <si>
    <t>Met the criteria for Two-Year 1 in 2020-21 and 2021-22</t>
  </si>
  <si>
    <t>Met the criteria for Two-Year 21in 2020-21 and 2021-22</t>
  </si>
  <si>
    <t>Met the criteria for Two-Year 3 in 2020-21 and 2021-22</t>
  </si>
  <si>
    <t>Met the crtiera for Technical College 2 in 2021-22</t>
  </si>
  <si>
    <t>Reclassifed Met the criteria for Two-Year 3 in 2019-20 and 2020-21, and 2022</t>
  </si>
  <si>
    <t>Met the criteria for Two-Year 3 in  2021-22</t>
  </si>
  <si>
    <t>Met the criteria for Two-Year 2 in  2021-22</t>
  </si>
  <si>
    <t>Met the criteria for Two-Year 1 in  2021-22</t>
  </si>
  <si>
    <t>Met the criteria for Technical Institute or College 2 in 2021-22</t>
  </si>
  <si>
    <t>Met the criteria for Two-Year 2 in 2020-21, and 2021-22</t>
  </si>
  <si>
    <t>Reclassifed Met the criteria for Two-Year 3 in 2019-20 and 2020-21, and 2021-22</t>
  </si>
  <si>
    <t>Bluefield State University</t>
  </si>
  <si>
    <t xml:space="preserve">Glenville State University </t>
  </si>
  <si>
    <t xml:space="preserve">   Oct. 2023</t>
  </si>
  <si>
    <t xml:space="preserve">  Oct. 2023</t>
  </si>
  <si>
    <t xml:space="preserve">   Oct 2023</t>
  </si>
  <si>
    <t>Met the criteria for Four-Year 6 in 2020-21 and 2021-22</t>
  </si>
  <si>
    <t>Met the criteria for Two-Year 3  in 2021-22</t>
  </si>
  <si>
    <t>William &amp; Mary</t>
  </si>
  <si>
    <t>University of Virginia's College at Wise</t>
  </si>
  <si>
    <t>Was University of Virginia's College Wise</t>
  </si>
  <si>
    <t>Virginia Peninsula Community College</t>
  </si>
  <si>
    <t>Reclassifed: Met the criteria for Two-Year 2 in 2019-20 and 2020-21 and 2021-22 Was Thomas Nelson</t>
  </si>
  <si>
    <t>Brightpoint Community College</t>
  </si>
  <si>
    <t>Was John Tyler Community College</t>
  </si>
  <si>
    <t>Laurel Ridge Community College</t>
  </si>
  <si>
    <t>Was Lord Fairfax Community College</t>
  </si>
  <si>
    <t>Mountain Gateway Community College</t>
  </si>
  <si>
    <t xml:space="preserve">Was D.S. Lancaster Community College </t>
  </si>
  <si>
    <t>Patrick &amp; Henry Community College</t>
  </si>
  <si>
    <t>Was  Patrick Henry Community College</t>
  </si>
  <si>
    <t>Public Four-Year Institutions, 2021-22</t>
  </si>
  <si>
    <t>Public Two-Year Colleges and Technical Institutes or Colleges, 2021-22</t>
  </si>
  <si>
    <t>Public Two-Year Colleges, 2021-22</t>
  </si>
  <si>
    <t>Public Technical Institutes or Colleges, 2021-22</t>
  </si>
  <si>
    <t xml:space="preserve"> and Technical Institutes or Colleges, 2021-22</t>
  </si>
  <si>
    <t>Notes: Full-year full-time-equivalent (FTE) undergraduate enrollment for 2021-22 is estimated by taking the credit hours from calendar year 2021 (i.e. winter, spring, summer and fall terms of 2021) and by dividing total undergraduate semester credit hours by 30 and total undergraduate quarter hours by 45.</t>
  </si>
  <si>
    <t>Notes: Full-year full-time-equivalent (FTE) graduate enrollment for 2021-22 is estimated by taking the credit hours from calendar year 2021 (i.e. winter, spring, summer and fall terms of 2021) and by dividing total graduate semester credit hours by 24 and total graduate quarter hours by 36.</t>
  </si>
  <si>
    <t>Notes: Full-year full-time-equivalent (FTE) enrollment for 2021-22 is estimated by taking the credit hours from calendar year 2021 (i.e. winter, spring, summer and fall terms of 2021), and by dividing total undergraduate semester credit hours by 30; total undergraduate quarter hours by 45; total graduate semester credit hours by 24; and total graduate quarter hours by 36.</t>
  </si>
  <si>
    <t xml:space="preserve">Notes:  Full-year full-time-equivalent (FTE) undergraduate enrollment for 2021-22 is estimated by taking the credit hours from calendar year 2021 (i.e. winter, spring, summer and fall terms of 2021) and by dividing total undergraduate semester credit hours by 30; total undergraduate contact hours by 900 (the equivalent of a 30 hour week); and total graduate semester credit hours by 24. </t>
  </si>
  <si>
    <t xml:space="preserve">Notes:  Full-year full-time-equivalent (FTE) undergraduate enrollment for 2021-22 is estimated by taking the credit hours from calendar year 2021 (i.e. winter, spring, summer and fall terms of 2021) and by dividing total undergraduate semester credit hours by 30; total undergraduate quarter hours by 45; total undergraduate contact hours by 900 (the equivalent of a 30 hour week); total graduate semester credit hours by 24; and total graduate quarter hours by 36. </t>
  </si>
  <si>
    <t xml:space="preserve">Notes:  Full-year full-time-equivalent (FTE) undergraduate enrollment for 2020-21 is estimated by taking the credit hours from calendar year 2018 (i.e. winter, spring, summer and fall terms of 2018) and by dividing total undergraduate semester credit hours by 30; total undergraduate quarter hours by 45; total undergraduate contact hours by 900 (the equivalent of a 30 hour week); total graduate semester credit hours by 24; and total graduate quarter hours by 36. </t>
  </si>
  <si>
    <t>Notes: Full-year full-time-equivalent (FTE) undergraduate enrollment for 2020-21 is estimated by taking the credit hours from calendar year 2020 (i.e. winter, spring, summer and fall terms of 2020) and by dividing total graduate semester credit hours by 24 and total graduate quarter hours by 36.</t>
  </si>
  <si>
    <t>Notes: Full-year full-time-equivalent (FTE) undergraduate enrollment for 2020-21 is estimated by taking the credit hours from calendar year 2020 (i.e. winter, spring, summer and fall terms of 2020) and by dividing total undergraduate semester credit hours by 30; total undergraduate quarter hours by 45; total graduate semester hours by 24; and total graduate quarter hours by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</si>
</sst>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_)"/>
    <numFmt numFmtId="165" formatCode="_(* #,##0_);_(* \(#,##0\);_(* &quot;-&quot;??_);_(@_)"/>
    <numFmt numFmtId="166" formatCode="General_)"/>
    <numFmt numFmtId="167" formatCode="#,##0.0"/>
    <numFmt numFmtId="168" formatCode="0.0%"/>
    <numFmt numFmtId="169" formatCode="0.000"/>
    <numFmt numFmtId="170" formatCode="0.0"/>
    <numFmt numFmtId="171" formatCode="#,##0.000"/>
  </numFmts>
  <fonts count="98">
    <font>
      <sz val="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sz val="12"/>
      <name val="AGaramond"/>
      <family val="1"/>
    </font>
    <font>
      <sz val="8"/>
      <name val="Arial"/>
      <family val="2"/>
    </font>
    <font>
      <sz val="10"/>
      <name val="Arial"/>
      <family val="2"/>
    </font>
    <font>
      <sz val="12"/>
      <name val="Arial"/>
      <family val="2"/>
    </font>
    <font>
      <b/>
      <sz val="14"/>
      <name val="Arial"/>
      <family val="2"/>
    </font>
    <font>
      <b/>
      <sz val="10"/>
      <name val="Arial"/>
      <family val="2"/>
    </font>
    <font>
      <sz val="10"/>
      <color indexed="8"/>
      <name val="Arial"/>
      <family val="2"/>
    </font>
    <font>
      <b/>
      <sz val="10"/>
      <color indexed="12"/>
      <name val="Arial"/>
      <family val="2"/>
    </font>
    <font>
      <sz val="10"/>
      <name val="Helv"/>
    </font>
    <font>
      <b/>
      <sz val="10"/>
      <color rgb="FFC00000"/>
      <name val="ARIAL"/>
      <family val="2"/>
    </font>
    <font>
      <sz val="10"/>
      <color rgb="FF0000FF"/>
      <name val="Arial"/>
      <family val="2"/>
    </font>
    <font>
      <b/>
      <sz val="10"/>
      <color theme="0"/>
      <name val="Arial"/>
      <family val="2"/>
    </font>
    <font>
      <b/>
      <sz val="10"/>
      <color rgb="FF0000FF"/>
      <name val="Arial"/>
      <family val="2"/>
    </font>
    <font>
      <b/>
      <sz val="12"/>
      <color rgb="FF0000FF"/>
      <name val="Arial"/>
      <family val="2"/>
    </font>
    <font>
      <b/>
      <sz val="14"/>
      <color theme="0"/>
      <name val="Arial"/>
      <family val="2"/>
    </font>
    <font>
      <sz val="10"/>
      <color theme="1"/>
      <name val="Arial"/>
      <family val="2"/>
    </font>
    <font>
      <sz val="11"/>
      <color indexed="8"/>
      <name val="Calibri"/>
      <family val="2"/>
    </font>
    <font>
      <sz val="10"/>
      <name val="Courier"/>
      <family val="3"/>
    </font>
    <font>
      <sz val="12"/>
      <name val="AGaramond"/>
      <family val="1"/>
    </font>
    <font>
      <sz val="10"/>
      <color rgb="FF000000"/>
      <name val="Times New Roman"/>
      <family val="1"/>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Garamond"/>
    </font>
    <font>
      <sz val="10"/>
      <name val="Arial"/>
      <family val="2"/>
    </font>
    <font>
      <sz val="11"/>
      <name val="Calibri"/>
      <family val="2"/>
    </font>
    <font>
      <sz val="10"/>
      <color indexed="12"/>
      <name val="Arial"/>
      <family val="2"/>
    </font>
    <font>
      <b/>
      <sz val="10"/>
      <color rgb="FFFF0000"/>
      <name val="Arial"/>
      <family val="2"/>
    </font>
    <font>
      <b/>
      <sz val="10"/>
      <color indexed="8"/>
      <name val="Arial"/>
      <family val="2"/>
    </font>
    <font>
      <sz val="10"/>
      <name val="Calibri"/>
      <family val="2"/>
    </font>
    <font>
      <sz val="14"/>
      <name val="Arial"/>
      <family val="2"/>
    </font>
    <font>
      <b/>
      <sz val="12"/>
      <name val="Arial"/>
      <family val="2"/>
    </font>
    <font>
      <sz val="10"/>
      <color indexed="16"/>
      <name val="Arial"/>
      <family val="2"/>
    </font>
    <font>
      <sz val="10"/>
      <color indexed="10"/>
      <name val="Arial"/>
      <family val="2"/>
    </font>
    <font>
      <b/>
      <sz val="9"/>
      <name val="Arial"/>
      <family val="2"/>
    </font>
    <font>
      <sz val="9"/>
      <name val="Arial"/>
      <family val="2"/>
    </font>
    <font>
      <sz val="10"/>
      <color indexed="17"/>
      <name val="Arial"/>
      <family val="2"/>
    </font>
    <font>
      <sz val="10"/>
      <color theme="0"/>
      <name val="Arial"/>
      <family val="2"/>
    </font>
    <font>
      <sz val="10"/>
      <color rgb="FFFFFF00"/>
      <name val="Arial"/>
      <family val="2"/>
    </font>
    <font>
      <b/>
      <sz val="9"/>
      <color indexed="12"/>
      <name val="Arial"/>
      <family val="2"/>
    </font>
    <font>
      <sz val="9"/>
      <color indexed="12"/>
      <name val="Arial"/>
      <family val="2"/>
    </font>
    <font>
      <sz val="10"/>
      <color rgb="FFC00000"/>
      <name val="Arial"/>
      <family val="2"/>
    </font>
    <font>
      <b/>
      <sz val="14"/>
      <color rgb="FFC00000"/>
      <name val="Arial"/>
      <family val="2"/>
    </font>
    <font>
      <b/>
      <sz val="10"/>
      <color indexed="81"/>
      <name val="Tahoma"/>
      <family val="2"/>
    </font>
    <font>
      <sz val="10"/>
      <color indexed="81"/>
      <name val="Tahoma"/>
      <family val="2"/>
    </font>
    <font>
      <b/>
      <sz val="8"/>
      <color indexed="81"/>
      <name val="Tahoma"/>
      <family val="2"/>
    </font>
    <font>
      <sz val="8"/>
      <color indexed="81"/>
      <name val="Tahoma"/>
      <family val="2"/>
    </font>
    <font>
      <b/>
      <sz val="10"/>
      <color rgb="FF000000"/>
      <name val="Arial"/>
      <family val="2"/>
    </font>
    <font>
      <sz val="10"/>
      <color rgb="FF000000"/>
      <name val="Arial"/>
      <family val="2"/>
    </font>
    <font>
      <b/>
      <sz val="10"/>
      <color rgb="FF000000"/>
      <name val="Tahoma"/>
      <family val="2"/>
    </font>
    <font>
      <sz val="10"/>
      <color rgb="FF000000"/>
      <name val="Tahoma"/>
      <family val="2"/>
    </font>
    <font>
      <b/>
      <sz val="11"/>
      <color rgb="FFC00000"/>
      <name val="Calibri"/>
      <family val="2"/>
    </font>
    <font>
      <b/>
      <sz val="11"/>
      <color rgb="FF000000"/>
      <name val="Calibri"/>
      <family val="2"/>
    </font>
    <font>
      <sz val="11"/>
      <color rgb="FF000000"/>
      <name val="Calibri"/>
      <family val="2"/>
    </font>
    <font>
      <sz val="10"/>
      <color rgb="FFFF0000"/>
      <name val="Arial"/>
      <family val="2"/>
    </font>
    <font>
      <b/>
      <sz val="11"/>
      <color theme="1"/>
      <name val="Calibri"/>
      <family val="2"/>
      <scheme val="minor"/>
    </font>
    <font>
      <b/>
      <sz val="9"/>
      <color rgb="FF000000"/>
      <name val="Tahoma"/>
      <family val="2"/>
    </font>
    <font>
      <sz val="9"/>
      <color rgb="FF000000"/>
      <name val="Tahoma"/>
      <family val="2"/>
    </font>
    <font>
      <b/>
      <sz val="11"/>
      <color rgb="FFFF0000"/>
      <name val="Calibri"/>
      <family val="2"/>
      <scheme val="minor"/>
    </font>
    <font>
      <b/>
      <sz val="11"/>
      <name val="Calibri"/>
      <family val="2"/>
      <scheme val="minor"/>
    </font>
    <font>
      <sz val="8"/>
      <color theme="5"/>
      <name val="Arial"/>
      <family val="2"/>
    </font>
    <font>
      <b/>
      <sz val="11"/>
      <name val="Calibri"/>
      <family val="2"/>
    </font>
  </fonts>
  <fills count="75">
    <fill>
      <patternFill patternType="none"/>
    </fill>
    <fill>
      <patternFill patternType="gray125"/>
    </fill>
    <fill>
      <patternFill patternType="solid">
        <fgColor indexed="13"/>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B2A1C7"/>
        <bgColor indexed="64"/>
      </patternFill>
    </fill>
    <fill>
      <patternFill patternType="solid">
        <fgColor theme="0"/>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47"/>
        <bgColor indexed="64"/>
      </patternFill>
    </fill>
    <fill>
      <patternFill patternType="solid">
        <fgColor rgb="FFFFCC99"/>
        <bgColor rgb="FFFFCC99"/>
      </patternFill>
    </fill>
    <fill>
      <patternFill patternType="solid">
        <fgColor indexed="42"/>
        <bgColor indexed="64"/>
      </patternFill>
    </fill>
    <fill>
      <patternFill patternType="solid">
        <fgColor rgb="FFFFFF00"/>
        <bgColor indexed="64"/>
      </patternFill>
    </fill>
    <fill>
      <patternFill patternType="solid">
        <fgColor rgb="FF00ABEA"/>
        <bgColor rgb="FF00ABEA"/>
      </patternFill>
    </fill>
    <fill>
      <patternFill patternType="solid">
        <fgColor rgb="FFFF99CC"/>
        <bgColor rgb="FFFF99CC"/>
      </patternFill>
    </fill>
    <fill>
      <patternFill patternType="solid">
        <fgColor rgb="FFCC99FF"/>
        <bgColor rgb="FFCC99FF"/>
      </patternFill>
    </fill>
    <fill>
      <patternFill patternType="solid">
        <fgColor rgb="FFCCFFCC"/>
        <bgColor rgb="FFCCFFCC"/>
      </patternFill>
    </fill>
    <fill>
      <patternFill patternType="solid">
        <fgColor theme="0" tint="-0.249977111117893"/>
        <bgColor indexed="64"/>
      </patternFill>
    </fill>
    <fill>
      <patternFill patternType="solid">
        <fgColor rgb="FFCCFFCC"/>
        <bgColor indexed="64"/>
      </patternFill>
    </fill>
    <fill>
      <patternFill patternType="solid">
        <fgColor rgb="FF99CCFF"/>
        <bgColor rgb="FF99CCFF"/>
      </patternFill>
    </fill>
    <fill>
      <patternFill patternType="solid">
        <fgColor rgb="FFFFCC00"/>
        <bgColor rgb="FFFFCC00"/>
      </patternFill>
    </fill>
    <fill>
      <patternFill patternType="solid">
        <fgColor rgb="FFFF99CC"/>
        <bgColor rgb="FF000000"/>
      </patternFill>
    </fill>
    <fill>
      <patternFill patternType="solid">
        <fgColor rgb="FFFCD5B4"/>
        <bgColor rgb="FFFCD5B4"/>
      </patternFill>
    </fill>
    <fill>
      <patternFill patternType="solid">
        <fgColor rgb="FFB1A0C7"/>
        <bgColor rgb="FF000000"/>
      </patternFill>
    </fill>
    <fill>
      <patternFill patternType="solid">
        <fgColor rgb="FFD9D9D9"/>
        <bgColor rgb="FF000000"/>
      </patternFill>
    </fill>
    <fill>
      <patternFill patternType="solid">
        <fgColor rgb="FFFFCC99"/>
        <bgColor rgb="FF000000"/>
      </patternFill>
    </fill>
    <fill>
      <patternFill patternType="solid">
        <fgColor rgb="FFFFFF99"/>
        <bgColor rgb="FF000000"/>
      </patternFill>
    </fill>
    <fill>
      <patternFill patternType="solid">
        <fgColor rgb="FFCCFFCC"/>
        <bgColor rgb="FF000000"/>
      </patternFill>
    </fill>
    <fill>
      <patternFill patternType="solid">
        <fgColor rgb="FF00FFFF"/>
        <bgColor rgb="FF000000"/>
      </patternFill>
    </fill>
    <fill>
      <patternFill patternType="solid">
        <fgColor rgb="FF99CCFF"/>
        <bgColor rgb="FF000000"/>
      </patternFill>
    </fill>
    <fill>
      <patternFill patternType="solid">
        <fgColor rgb="FFFFCC00"/>
        <bgColor rgb="FF000000"/>
      </patternFill>
    </fill>
    <fill>
      <patternFill patternType="solid">
        <fgColor rgb="FFCC99FF"/>
        <bgColor rgb="FF000000"/>
      </patternFill>
    </fill>
    <fill>
      <patternFill patternType="solid">
        <fgColor rgb="FF99CC00"/>
        <bgColor rgb="FF000000"/>
      </patternFill>
    </fill>
    <fill>
      <patternFill patternType="solid">
        <fgColor rgb="FF33CCCC"/>
        <bgColor rgb="FF000000"/>
      </patternFill>
    </fill>
    <fill>
      <patternFill patternType="solid">
        <fgColor rgb="FFCCFFCC"/>
        <bgColor rgb="FFFFC8C8"/>
      </patternFill>
    </fill>
    <fill>
      <patternFill patternType="solid">
        <fgColor rgb="FFFF99CC"/>
        <bgColor rgb="FFFFFFFF"/>
      </patternFill>
    </fill>
    <fill>
      <patternFill patternType="solid">
        <fgColor rgb="FF92D050"/>
        <bgColor rgb="FF000000"/>
      </patternFill>
    </fill>
    <fill>
      <patternFill patternType="solid">
        <fgColor rgb="FFE6B8B7"/>
        <bgColor rgb="FF000000"/>
      </patternFill>
    </fill>
    <fill>
      <patternFill patternType="solid">
        <fgColor rgb="FFFFFFCC"/>
        <bgColor rgb="FFFFFFFF"/>
      </patternFill>
    </fill>
    <fill>
      <patternFill patternType="solid">
        <fgColor rgb="FFFFC000"/>
        <bgColor rgb="FF000000"/>
      </patternFill>
    </fill>
    <fill>
      <patternFill patternType="solid">
        <fgColor theme="9" tint="0.59999389629810485"/>
        <bgColor theme="9" tint="0.59999389629810485"/>
      </patternFill>
    </fill>
    <fill>
      <patternFill patternType="solid">
        <fgColor indexed="43"/>
        <bgColor indexed="64"/>
      </patternFill>
    </fill>
    <fill>
      <patternFill patternType="solid">
        <fgColor rgb="FF99CCFF"/>
        <bgColor indexed="64"/>
      </patternFill>
    </fill>
    <fill>
      <patternFill patternType="solid">
        <fgColor rgb="FFFFCC00"/>
        <bgColor indexed="64"/>
      </patternFill>
    </fill>
    <fill>
      <patternFill patternType="solid">
        <fgColor indexed="15"/>
        <bgColor indexed="64"/>
      </patternFill>
    </fill>
    <fill>
      <patternFill patternType="solid">
        <fgColor rgb="FF00FFFF"/>
        <bgColor indexed="64"/>
      </patternFill>
    </fill>
    <fill>
      <patternFill patternType="solid">
        <fgColor rgb="FFFFFF99"/>
        <bgColor indexed="64"/>
      </patternFill>
    </fill>
    <fill>
      <patternFill patternType="solid">
        <fgColor theme="0"/>
        <bgColor theme="0"/>
      </patternFill>
    </fill>
    <fill>
      <patternFill patternType="solid">
        <fgColor rgb="FFFF99CC"/>
        <bgColor indexed="64"/>
      </patternFill>
    </fill>
    <fill>
      <patternFill patternType="solid">
        <fgColor rgb="FF99CCFF"/>
      </patternFill>
    </fill>
  </fills>
  <borders count="100">
    <border>
      <left/>
      <right/>
      <top/>
      <bottom/>
      <diagonal/>
    </border>
    <border>
      <left style="medium">
        <color auto="1"/>
      </left>
      <right style="medium">
        <color auto="1"/>
      </right>
      <top/>
      <bottom/>
      <diagonal/>
    </border>
    <border>
      <left style="thin">
        <color indexed="8"/>
      </left>
      <right/>
      <top style="thin">
        <color indexed="65"/>
      </top>
      <bottom/>
      <diagonal/>
    </border>
    <border>
      <left style="double">
        <color auto="1"/>
      </left>
      <right/>
      <top/>
      <bottom/>
      <diagonal/>
    </border>
    <border>
      <left style="medium">
        <color auto="1"/>
      </left>
      <right style="thin">
        <color auto="1"/>
      </right>
      <top/>
      <bottom/>
      <diagonal/>
    </border>
    <border>
      <left/>
      <right style="medium">
        <color auto="1"/>
      </right>
      <top/>
      <bottom/>
      <diagonal/>
    </border>
    <border>
      <left style="double">
        <color auto="1"/>
      </left>
      <right style="thin">
        <color auto="1"/>
      </right>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style="thin">
        <color auto="1"/>
      </right>
      <top style="thin">
        <color auto="1"/>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5"/>
      </left>
      <right/>
      <top style="thin">
        <color indexed="65"/>
      </top>
      <bottom/>
      <diagonal/>
    </border>
    <border>
      <left/>
      <right/>
      <top/>
      <bottom style="thin">
        <color indexed="8"/>
      </bottom>
      <diagonal/>
    </border>
    <border>
      <left style="thin">
        <color indexed="65"/>
      </left>
      <right/>
      <top style="thin">
        <color indexed="8"/>
      </top>
      <bottom/>
      <diagonal/>
    </border>
    <border>
      <left style="thin">
        <color indexed="64"/>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rgb="FF999999"/>
      </left>
      <right style="thin">
        <color rgb="FF999999"/>
      </right>
      <top style="thin">
        <color rgb="FF999999"/>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style="thin">
        <color indexed="8"/>
      </right>
      <top style="thin">
        <color indexed="65"/>
      </top>
      <bottom/>
      <diagonal/>
    </border>
    <border>
      <left style="thin">
        <color rgb="FF999999"/>
      </left>
      <right style="thin">
        <color rgb="FF999999"/>
      </right>
      <top style="thin">
        <color indexed="65"/>
      </top>
      <bottom/>
      <diagonal/>
    </border>
    <border>
      <left style="thin">
        <color indexed="8"/>
      </left>
      <right style="thin">
        <color indexed="64"/>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rgb="FF999999"/>
      </left>
      <right/>
      <top/>
      <bottom/>
      <diagonal/>
    </border>
    <border>
      <left style="thin">
        <color rgb="FF999999"/>
      </left>
      <right style="thin">
        <color rgb="FF999999"/>
      </right>
      <top/>
      <bottom/>
      <diagonal/>
    </border>
    <border>
      <left style="thin">
        <color indexed="64"/>
      </left>
      <right/>
      <top/>
      <bottom/>
      <diagonal/>
    </border>
    <border>
      <left style="thin">
        <color indexed="8"/>
      </left>
      <right style="thin">
        <color indexed="8"/>
      </right>
      <top/>
      <bottom style="thin">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right/>
      <top style="thin">
        <color indexed="64"/>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style="thin">
        <color indexed="8"/>
      </right>
      <top style="thin">
        <color indexed="64"/>
      </top>
      <bottom/>
      <diagonal/>
    </border>
    <border>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8"/>
      </right>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right style="thin">
        <color indexed="8"/>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8"/>
      </bottom>
      <diagonal/>
    </border>
    <border>
      <left style="thin">
        <color indexed="64"/>
      </left>
      <right/>
      <top/>
      <bottom style="thin">
        <color indexed="8"/>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double">
        <color auto="1"/>
      </right>
      <top/>
      <bottom/>
      <diagonal/>
    </border>
    <border>
      <left/>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auto="1"/>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A9A9A9"/>
      </left>
      <right style="thin">
        <color rgb="FFA9A9A9"/>
      </right>
      <top style="thin">
        <color rgb="FFA9A9A9"/>
      </top>
      <bottom style="thin">
        <color rgb="FFA9A9A9"/>
      </bottom>
      <diagonal/>
    </border>
    <border>
      <left style="thin">
        <color rgb="FFA9A9A9"/>
      </left>
      <right style="thin">
        <color rgb="FF000000"/>
      </right>
      <top style="thin">
        <color rgb="FFA9A9A9"/>
      </top>
      <bottom style="thin">
        <color rgb="FFA9A9A9"/>
      </bottom>
      <diagonal/>
    </border>
    <border>
      <left style="thin">
        <color rgb="FFA9A9A9"/>
      </left>
      <right style="thin">
        <color rgb="FFA9A9A9"/>
      </right>
      <top style="thin">
        <color rgb="FFA9A9A9"/>
      </top>
      <bottom style="thin">
        <color rgb="FF000000"/>
      </bottom>
      <diagonal/>
    </border>
    <border>
      <left style="thin">
        <color auto="1"/>
      </left>
      <right style="thin">
        <color auto="1"/>
      </right>
      <top/>
      <bottom style="thin">
        <color auto="1"/>
      </bottom>
      <diagonal/>
    </border>
    <border>
      <left/>
      <right/>
      <top style="medium">
        <color auto="1"/>
      </top>
      <bottom/>
      <diagonal/>
    </border>
    <border>
      <left style="thin">
        <color rgb="FF999999"/>
      </left>
      <right style="thin">
        <color rgb="FF999999"/>
      </right>
      <top style="thin">
        <color rgb="FF999999"/>
      </top>
      <bottom style="thin">
        <color rgb="FF999999"/>
      </bottom>
      <diagonal/>
    </border>
    <border>
      <left/>
      <right/>
      <top/>
      <bottom style="double">
        <color auto="1"/>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thin">
        <color auto="1"/>
      </left>
      <right style="double">
        <color auto="1"/>
      </right>
      <top/>
      <bottom style="double">
        <color auto="1"/>
      </bottom>
      <diagonal/>
    </border>
    <border>
      <left style="double">
        <color auto="1"/>
      </left>
      <right style="thin">
        <color auto="1"/>
      </right>
      <top/>
      <bottom style="double">
        <color auto="1"/>
      </bottom>
      <diagonal/>
    </border>
    <border>
      <left style="thin">
        <color rgb="FF000000"/>
      </left>
      <right style="medium">
        <color rgb="FF000000"/>
      </right>
      <top style="thin">
        <color rgb="FF000000"/>
      </top>
      <bottom style="thin">
        <color rgb="FF000000"/>
      </bottom>
      <diagonal/>
    </border>
    <border>
      <left style="thin">
        <color auto="1"/>
      </left>
      <right style="thin">
        <color auto="1"/>
      </right>
      <top/>
      <bottom style="thin">
        <color auto="1"/>
      </bottom>
      <diagonal/>
    </border>
  </borders>
  <cellStyleXfs count="51606">
    <xf numFmtId="3" fontId="0" fillId="0" borderId="0"/>
    <xf numFmtId="166" fontId="30" fillId="0" borderId="0"/>
    <xf numFmtId="166" fontId="30" fillId="0" borderId="0"/>
    <xf numFmtId="3" fontId="24" fillId="0" borderId="1" applyFont="0"/>
    <xf numFmtId="164" fontId="27" fillId="0" borderId="2" applyNumberFormat="0" applyFont="0" applyBorder="0" applyAlignment="0"/>
    <xf numFmtId="164"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37" fillId="0" borderId="0"/>
    <xf numFmtId="9" fontId="37" fillId="0" borderId="0" applyFont="0" applyFill="0" applyBorder="0" applyAlignment="0" applyProtection="0"/>
    <xf numFmtId="9" fontId="22" fillId="0" borderId="0" applyFont="0" applyFill="0" applyBorder="0" applyAlignment="0" applyProtection="0"/>
    <xf numFmtId="164" fontId="22" fillId="0" borderId="0"/>
    <xf numFmtId="0" fontId="20"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38" fillId="0" borderId="0"/>
    <xf numFmtId="0" fontId="38" fillId="0" borderId="0"/>
    <xf numFmtId="0" fontId="38" fillId="0" borderId="0"/>
    <xf numFmtId="0" fontId="38" fillId="0" borderId="0"/>
    <xf numFmtId="0" fontId="28" fillId="0" borderId="0"/>
    <xf numFmtId="0" fontId="28" fillId="0" borderId="0">
      <alignment vertical="top"/>
    </xf>
    <xf numFmtId="0" fontId="24" fillId="0" borderId="0"/>
    <xf numFmtId="0" fontId="24" fillId="0" borderId="0"/>
    <xf numFmtId="0" fontId="20" fillId="0" borderId="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39" fillId="0" borderId="0">
      <alignment horizontal="left" wrapText="1"/>
    </xf>
    <xf numFmtId="0" fontId="37"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164" fontId="40" fillId="0" borderId="0"/>
    <xf numFmtId="164" fontId="21" fillId="0" borderId="0"/>
    <xf numFmtId="9" fontId="21"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0" fontId="19" fillId="0" borderId="0"/>
    <xf numFmtId="0" fontId="19" fillId="0" borderId="0"/>
    <xf numFmtId="0" fontId="19" fillId="0" borderId="0"/>
    <xf numFmtId="3" fontId="24" fillId="0" borderId="1" applyFont="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3" fontId="23" fillId="0" borderId="0"/>
    <xf numFmtId="43" fontId="22" fillId="0" borderId="0" applyFont="0" applyFill="0" applyBorder="0" applyAlignment="0" applyProtection="0"/>
    <xf numFmtId="166" fontId="30" fillId="0" borderId="0"/>
    <xf numFmtId="0" fontId="37" fillId="0" borderId="0"/>
    <xf numFmtId="9" fontId="37" fillId="0" borderId="0" applyFont="0" applyFill="0" applyBorder="0" applyAlignment="0" applyProtection="0"/>
    <xf numFmtId="0" fontId="24"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164" fontId="40" fillId="0" borderId="0"/>
    <xf numFmtId="164" fontId="40" fillId="0" borderId="0"/>
    <xf numFmtId="164" fontId="40"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166" fontId="30"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64" fontId="40" fillId="0" borderId="0"/>
    <xf numFmtId="164" fontId="40"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166" fontId="30" fillId="0" borderId="0"/>
    <xf numFmtId="164" fontId="40"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166" fontId="30" fillId="0" borderId="0"/>
    <xf numFmtId="0" fontId="16" fillId="0" borderId="0"/>
    <xf numFmtId="0" fontId="16" fillId="0" borderId="0"/>
    <xf numFmtId="0" fontId="16" fillId="0" borderId="0"/>
    <xf numFmtId="9" fontId="21" fillId="0" borderId="0" applyFont="0" applyFill="0" applyBorder="0" applyAlignment="0" applyProtection="0"/>
    <xf numFmtId="0" fontId="16" fillId="0" borderId="0"/>
    <xf numFmtId="0" fontId="24"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41" fillId="0" borderId="0"/>
    <xf numFmtId="0" fontId="15" fillId="0" borderId="0"/>
    <xf numFmtId="0" fontId="42" fillId="0" borderId="0"/>
    <xf numFmtId="0" fontId="15" fillId="0" borderId="0"/>
    <xf numFmtId="0" fontId="41" fillId="0" borderId="0"/>
    <xf numFmtId="0" fontId="15" fillId="0" borderId="0"/>
    <xf numFmtId="0" fontId="15" fillId="0" borderId="0"/>
    <xf numFmtId="164" fontId="40" fillId="0" borderId="0"/>
    <xf numFmtId="164" fontId="40"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8" applyNumberFormat="0" applyFont="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43" fillId="21"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8" borderId="0" applyNumberFormat="0" applyBorder="0" applyAlignment="0" applyProtection="0"/>
    <xf numFmtId="0" fontId="44" fillId="12" borderId="0" applyNumberFormat="0" applyBorder="0" applyAlignment="0" applyProtection="0"/>
    <xf numFmtId="0" fontId="45" fillId="29" borderId="9" applyNumberFormat="0" applyAlignment="0" applyProtection="0"/>
    <xf numFmtId="0" fontId="46" fillId="30" borderId="10" applyNumberFormat="0" applyAlignment="0" applyProtection="0"/>
    <xf numFmtId="43" fontId="38" fillId="0" borderId="0" applyFont="0" applyFill="0" applyBorder="0" applyAlignment="0" applyProtection="0"/>
    <xf numFmtId="0" fontId="47" fillId="0" borderId="0" applyNumberFormat="0" applyFill="0" applyBorder="0" applyAlignment="0" applyProtection="0"/>
    <xf numFmtId="0" fontId="48" fillId="13" borderId="0" applyNumberFormat="0" applyBorder="0" applyAlignment="0" applyProtection="0"/>
    <xf numFmtId="0" fontId="49" fillId="0" borderId="11" applyNumberFormat="0" applyFill="0" applyAlignment="0" applyProtection="0"/>
    <xf numFmtId="0" fontId="50" fillId="0" borderId="12" applyNumberFormat="0" applyFill="0" applyAlignment="0" applyProtection="0"/>
    <xf numFmtId="0" fontId="51" fillId="0" borderId="13" applyNumberFormat="0" applyFill="0" applyAlignment="0" applyProtection="0"/>
    <xf numFmtId="0" fontId="51" fillId="0" borderId="0" applyNumberFormat="0" applyFill="0" applyBorder="0" applyAlignment="0" applyProtection="0"/>
    <xf numFmtId="0" fontId="52" fillId="16" borderId="9" applyNumberFormat="0" applyAlignment="0" applyProtection="0"/>
    <xf numFmtId="0" fontId="53" fillId="0" borderId="14" applyNumberFormat="0" applyFill="0" applyAlignment="0" applyProtection="0"/>
    <xf numFmtId="0" fontId="54" fillId="31" borderId="0" applyNumberFormat="0" applyBorder="0" applyAlignment="0" applyProtection="0"/>
    <xf numFmtId="0" fontId="38" fillId="0" borderId="0"/>
    <xf numFmtId="0" fontId="24" fillId="32" borderId="15" applyNumberFormat="0" applyFont="0" applyAlignment="0" applyProtection="0"/>
    <xf numFmtId="0" fontId="38" fillId="32" borderId="15" applyNumberFormat="0" applyFont="0" applyAlignment="0" applyProtection="0"/>
    <xf numFmtId="0" fontId="55" fillId="29" borderId="16" applyNumberFormat="0" applyAlignment="0" applyProtection="0"/>
    <xf numFmtId="9" fontId="24" fillId="0" borderId="0" applyFont="0" applyFill="0" applyBorder="0" applyAlignment="0" applyProtection="0"/>
    <xf numFmtId="9" fontId="38" fillId="0" borderId="0" applyFont="0" applyFill="0" applyBorder="0" applyAlignment="0" applyProtection="0"/>
    <xf numFmtId="0" fontId="56" fillId="0" borderId="0" applyNumberFormat="0" applyFill="0" applyBorder="0" applyAlignment="0" applyProtection="0"/>
    <xf numFmtId="0" fontId="57" fillId="0" borderId="17" applyNumberFormat="0" applyFill="0" applyAlignment="0" applyProtection="0"/>
    <xf numFmtId="0" fontId="58" fillId="0" borderId="0" applyNumberFormat="0" applyFill="0" applyBorder="0" applyAlignment="0" applyProtection="0"/>
    <xf numFmtId="0" fontId="38" fillId="32" borderId="15" applyNumberFormat="0" applyFont="0" applyAlignment="0" applyProtection="0"/>
    <xf numFmtId="0" fontId="24" fillId="32" borderId="15" applyNumberFormat="0" applyFont="0" applyAlignment="0" applyProtection="0"/>
    <xf numFmtId="0" fontId="52" fillId="16" borderId="9" applyNumberFormat="0" applyAlignment="0" applyProtection="0"/>
    <xf numFmtId="0" fontId="45" fillId="29" borderId="9" applyNumberFormat="0" applyAlignment="0" applyProtection="0"/>
    <xf numFmtId="0" fontId="55" fillId="29" borderId="16" applyNumberFormat="0" applyAlignment="0" applyProtection="0"/>
    <xf numFmtId="0" fontId="57" fillId="0" borderId="17" applyNumberFormat="0" applyFill="0" applyAlignment="0" applyProtection="0"/>
    <xf numFmtId="164" fontId="59"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9" fillId="0" borderId="0"/>
    <xf numFmtId="166" fontId="30"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64" fontId="22"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164" fontId="22" fillId="0" borderId="0"/>
    <xf numFmtId="164" fontId="22"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164" fontId="59"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9" fillId="0" borderId="0"/>
    <xf numFmtId="164" fontId="59" fillId="0" borderId="0"/>
    <xf numFmtId="166" fontId="30" fillId="0" borderId="0"/>
    <xf numFmtId="166" fontId="30" fillId="0" borderId="0"/>
    <xf numFmtId="166" fontId="30" fillId="0" borderId="0"/>
    <xf numFmtId="164" fontId="59" fillId="0" borderId="0"/>
    <xf numFmtId="164" fontId="59" fillId="0" borderId="0"/>
    <xf numFmtId="164" fontId="59" fillId="0" borderId="0"/>
    <xf numFmtId="164"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59" fillId="0" borderId="0"/>
    <xf numFmtId="164" fontId="59" fillId="0" borderId="0"/>
    <xf numFmtId="164" fontId="5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164" fontId="5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0" borderId="8"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3" fontId="23"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164" fontId="59"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0" fillId="0" borderId="0"/>
    <xf numFmtId="0" fontId="60" fillId="0" borderId="0"/>
    <xf numFmtId="0" fontId="60" fillId="0" borderId="0"/>
    <xf numFmtId="0" fontId="60"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0" borderId="8"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 fillId="5" borderId="77">
      <protection locked="0"/>
    </xf>
    <xf numFmtId="37" fontId="24" fillId="0" borderId="77">
      <alignment horizontal="center" vertical="top"/>
      <protection locked="0"/>
    </xf>
    <xf numFmtId="38" fontId="32" fillId="6" borderId="77">
      <alignment horizontal="right"/>
    </xf>
    <xf numFmtId="38" fontId="32" fillId="3" borderId="77">
      <alignment horizontal="right"/>
    </xf>
    <xf numFmtId="3" fontId="23" fillId="0" borderId="0"/>
  </cellStyleXfs>
  <cellXfs count="657">
    <xf numFmtId="3" fontId="0" fillId="0" borderId="0" xfId="0"/>
    <xf numFmtId="3" fontId="24" fillId="0" borderId="0" xfId="0" applyFont="1"/>
    <xf numFmtId="0" fontId="24" fillId="0" borderId="0" xfId="0" applyNumberFormat="1" applyFont="1" applyAlignment="1">
      <alignment horizontal="center"/>
    </xf>
    <xf numFmtId="3" fontId="62" fillId="0" borderId="0" xfId="0" applyFont="1"/>
    <xf numFmtId="3" fontId="32" fillId="0" borderId="0" xfId="0" applyFont="1"/>
    <xf numFmtId="1" fontId="24" fillId="33" borderId="0" xfId="0" applyNumberFormat="1" applyFont="1" applyFill="1" applyAlignment="1" applyProtection="1">
      <alignment horizontal="center"/>
      <protection locked="0"/>
    </xf>
    <xf numFmtId="3" fontId="24" fillId="0" borderId="0" xfId="0" applyFont="1" applyAlignment="1">
      <alignment vertical="center"/>
    </xf>
    <xf numFmtId="3" fontId="24" fillId="0" borderId="24" xfId="0" applyFont="1" applyBorder="1"/>
    <xf numFmtId="3" fontId="24" fillId="42" borderId="0" xfId="0" applyFont="1" applyFill="1"/>
    <xf numFmtId="165" fontId="24" fillId="0" borderId="25" xfId="0" applyNumberFormat="1" applyFont="1" applyBorder="1"/>
    <xf numFmtId="165" fontId="24" fillId="0" borderId="26" xfId="0" applyNumberFormat="1" applyFont="1" applyBorder="1"/>
    <xf numFmtId="165" fontId="24" fillId="0" borderId="27" xfId="0" applyNumberFormat="1" applyFont="1" applyBorder="1"/>
    <xf numFmtId="165" fontId="24" fillId="0" borderId="28" xfId="0" applyNumberFormat="1" applyFont="1" applyBorder="1"/>
    <xf numFmtId="165" fontId="24" fillId="42" borderId="25" xfId="0" applyNumberFormat="1" applyFont="1" applyFill="1" applyBorder="1"/>
    <xf numFmtId="165" fontId="24" fillId="42" borderId="27" xfId="0" applyNumberFormat="1" applyFont="1" applyFill="1" applyBorder="1"/>
    <xf numFmtId="165" fontId="24" fillId="0" borderId="21" xfId="0" applyNumberFormat="1" applyFont="1" applyBorder="1"/>
    <xf numFmtId="165" fontId="24" fillId="0" borderId="22" xfId="0" applyNumberFormat="1" applyFont="1" applyBorder="1"/>
    <xf numFmtId="165" fontId="24" fillId="0" borderId="0" xfId="0" applyNumberFormat="1" applyFont="1"/>
    <xf numFmtId="165" fontId="24" fillId="0" borderId="29" xfId="0" applyNumberFormat="1" applyFont="1" applyBorder="1"/>
    <xf numFmtId="165" fontId="24" fillId="0" borderId="29" xfId="0" applyNumberFormat="1" applyFont="1" applyBorder="1" applyAlignment="1">
      <alignment wrapText="1"/>
    </xf>
    <xf numFmtId="165" fontId="24" fillId="42" borderId="29" xfId="0" applyNumberFormat="1" applyFont="1" applyFill="1" applyBorder="1"/>
    <xf numFmtId="165" fontId="24" fillId="42" borderId="30" xfId="0" applyNumberFormat="1" applyFont="1" applyFill="1" applyBorder="1"/>
    <xf numFmtId="165" fontId="24" fillId="0" borderId="20" xfId="0" applyNumberFormat="1" applyFont="1" applyBorder="1"/>
    <xf numFmtId="165" fontId="24" fillId="0" borderId="31" xfId="0" applyNumberFormat="1" applyFont="1" applyBorder="1"/>
    <xf numFmtId="165" fontId="24" fillId="0" borderId="30" xfId="0" applyNumberFormat="1" applyFont="1" applyBorder="1"/>
    <xf numFmtId="165" fontId="24" fillId="0" borderId="32" xfId="0" applyNumberFormat="1" applyFont="1" applyBorder="1"/>
    <xf numFmtId="165" fontId="24" fillId="0" borderId="33" xfId="0" applyNumberFormat="1" applyFont="1" applyBorder="1"/>
    <xf numFmtId="165" fontId="24" fillId="0" borderId="34" xfId="0" applyNumberFormat="1" applyFont="1" applyBorder="1" applyAlignment="1">
      <alignment wrapText="1"/>
    </xf>
    <xf numFmtId="165" fontId="24" fillId="0" borderId="32" xfId="0" applyNumberFormat="1" applyFont="1" applyBorder="1" applyAlignment="1">
      <alignment horizontal="right"/>
    </xf>
    <xf numFmtId="165" fontId="24" fillId="0" borderId="33" xfId="0" applyNumberFormat="1" applyFont="1" applyBorder="1" applyAlignment="1">
      <alignment horizontal="right"/>
    </xf>
    <xf numFmtId="165" fontId="24" fillId="0" borderId="2" xfId="0" applyNumberFormat="1" applyFont="1" applyBorder="1"/>
    <xf numFmtId="165" fontId="24" fillId="42" borderId="2" xfId="0" applyNumberFormat="1" applyFont="1" applyFill="1" applyBorder="1"/>
    <xf numFmtId="165" fontId="24" fillId="42" borderId="32" xfId="0" applyNumberFormat="1" applyFont="1" applyFill="1" applyBorder="1"/>
    <xf numFmtId="165" fontId="24" fillId="42" borderId="34" xfId="0" applyNumberFormat="1" applyFont="1" applyFill="1" applyBorder="1"/>
    <xf numFmtId="165" fontId="24" fillId="42" borderId="35" xfId="0" applyNumberFormat="1" applyFont="1" applyFill="1" applyBorder="1"/>
    <xf numFmtId="165" fontId="24" fillId="0" borderId="36" xfId="0" applyNumberFormat="1" applyFont="1" applyBorder="1"/>
    <xf numFmtId="165" fontId="27" fillId="0" borderId="29" xfId="0" applyNumberFormat="1" applyFont="1" applyBorder="1"/>
    <xf numFmtId="165" fontId="24" fillId="42" borderId="37" xfId="0" applyNumberFormat="1" applyFont="1" applyFill="1" applyBorder="1"/>
    <xf numFmtId="165" fontId="27" fillId="0" borderId="2" xfId="0" applyNumberFormat="1" applyFont="1" applyBorder="1"/>
    <xf numFmtId="165" fontId="24" fillId="0" borderId="38" xfId="0" applyNumberFormat="1" applyFont="1" applyBorder="1"/>
    <xf numFmtId="165" fontId="24" fillId="0" borderId="39" xfId="0" applyNumberFormat="1" applyFont="1" applyBorder="1"/>
    <xf numFmtId="165" fontId="24" fillId="42" borderId="39" xfId="0" applyNumberFormat="1" applyFont="1" applyFill="1" applyBorder="1"/>
    <xf numFmtId="165" fontId="24" fillId="42" borderId="40" xfId="0" applyNumberFormat="1" applyFont="1" applyFill="1" applyBorder="1"/>
    <xf numFmtId="165" fontId="24" fillId="0" borderId="41" xfId="0" applyNumberFormat="1" applyFont="1" applyBorder="1"/>
    <xf numFmtId="165" fontId="24" fillId="0" borderId="42" xfId="0" applyNumberFormat="1" applyFont="1" applyBorder="1"/>
    <xf numFmtId="167" fontId="27" fillId="0" borderId="38" xfId="0" applyNumberFormat="1" applyFont="1" applyBorder="1" applyAlignment="1">
      <alignment horizontal="right"/>
    </xf>
    <xf numFmtId="168" fontId="27" fillId="0" borderId="39" xfId="0" applyNumberFormat="1" applyFont="1" applyBorder="1" applyAlignment="1">
      <alignment horizontal="right"/>
    </xf>
    <xf numFmtId="168" fontId="27" fillId="0" borderId="0" xfId="0" applyNumberFormat="1" applyFont="1" applyAlignment="1">
      <alignment horizontal="right"/>
    </xf>
    <xf numFmtId="168" fontId="27" fillId="0" borderId="43" xfId="0" applyNumberFormat="1" applyFont="1" applyBorder="1" applyAlignment="1">
      <alignment horizontal="right"/>
    </xf>
    <xf numFmtId="168" fontId="27" fillId="42" borderId="39" xfId="0" applyNumberFormat="1" applyFont="1" applyFill="1" applyBorder="1" applyAlignment="1">
      <alignment horizontal="right"/>
    </xf>
    <xf numFmtId="168" fontId="27" fillId="42" borderId="40" xfId="0" applyNumberFormat="1" applyFont="1" applyFill="1" applyBorder="1" applyAlignment="1">
      <alignment horizontal="right"/>
    </xf>
    <xf numFmtId="167" fontId="27" fillId="0" borderId="41" xfId="0" applyNumberFormat="1" applyFont="1" applyBorder="1" applyAlignment="1">
      <alignment horizontal="right"/>
    </xf>
    <xf numFmtId="167" fontId="27" fillId="0" borderId="42" xfId="0" applyNumberFormat="1" applyFont="1" applyBorder="1" applyAlignment="1">
      <alignment horizontal="right"/>
    </xf>
    <xf numFmtId="165" fontId="24" fillId="0" borderId="43" xfId="0" applyNumberFormat="1" applyFont="1" applyBorder="1"/>
    <xf numFmtId="165" fontId="24" fillId="42" borderId="38" xfId="0" applyNumberFormat="1" applyFont="1" applyFill="1" applyBorder="1"/>
    <xf numFmtId="165" fontId="27" fillId="0" borderId="34" xfId="0" applyNumberFormat="1" applyFont="1" applyBorder="1"/>
    <xf numFmtId="165" fontId="27" fillId="0" borderId="44" xfId="0" applyNumberFormat="1" applyFont="1" applyBorder="1" applyAlignment="1">
      <alignment horizontal="right"/>
    </xf>
    <xf numFmtId="43" fontId="24" fillId="0" borderId="0" xfId="0" applyNumberFormat="1" applyFont="1"/>
    <xf numFmtId="43" fontId="24" fillId="0" borderId="39" xfId="0" applyNumberFormat="1" applyFont="1" applyBorder="1"/>
    <xf numFmtId="167" fontId="64" fillId="0" borderId="0" xfId="0" applyNumberFormat="1" applyFont="1"/>
    <xf numFmtId="3" fontId="64" fillId="0" borderId="0" xfId="0" applyFont="1"/>
    <xf numFmtId="3" fontId="31" fillId="0" borderId="0" xfId="0" applyFont="1"/>
    <xf numFmtId="167" fontId="31" fillId="0" borderId="0" xfId="0" applyNumberFormat="1" applyFont="1"/>
    <xf numFmtId="165" fontId="24" fillId="0" borderId="37" xfId="0" applyNumberFormat="1" applyFont="1" applyBorder="1"/>
    <xf numFmtId="165" fontId="24" fillId="0" borderId="40" xfId="0" applyNumberFormat="1" applyFont="1" applyBorder="1"/>
    <xf numFmtId="168" fontId="27" fillId="0" borderId="40" xfId="0" applyNumberFormat="1" applyFont="1" applyBorder="1" applyAlignment="1">
      <alignment horizontal="right"/>
    </xf>
    <xf numFmtId="167" fontId="27" fillId="0" borderId="20" xfId="0" applyNumberFormat="1" applyFont="1" applyBorder="1"/>
    <xf numFmtId="167" fontId="27" fillId="0" borderId="31" xfId="0" applyNumberFormat="1" applyFont="1" applyBorder="1"/>
    <xf numFmtId="167" fontId="27" fillId="0" borderId="20" xfId="0" applyNumberFormat="1" applyFont="1" applyBorder="1" applyAlignment="1">
      <alignment horizontal="right"/>
    </xf>
    <xf numFmtId="167" fontId="27" fillId="0" borderId="31" xfId="0" applyNumberFormat="1" applyFont="1" applyBorder="1" applyAlignment="1">
      <alignment horizontal="right"/>
    </xf>
    <xf numFmtId="165" fontId="24" fillId="0" borderId="45" xfId="0" applyNumberFormat="1" applyFont="1" applyBorder="1"/>
    <xf numFmtId="165" fontId="24" fillId="0" borderId="46" xfId="0" applyNumberFormat="1" applyFont="1" applyBorder="1"/>
    <xf numFmtId="3" fontId="24" fillId="0" borderId="47" xfId="0" applyFont="1" applyBorder="1"/>
    <xf numFmtId="3" fontId="65" fillId="0" borderId="0" xfId="0" applyFont="1"/>
    <xf numFmtId="167" fontId="24" fillId="0" borderId="0" xfId="0" applyNumberFormat="1" applyFont="1"/>
    <xf numFmtId="3" fontId="24" fillId="0" borderId="29" xfId="0" applyFont="1" applyBorder="1"/>
    <xf numFmtId="3" fontId="24" fillId="0" borderId="25" xfId="0" applyFont="1" applyBorder="1"/>
    <xf numFmtId="3" fontId="24" fillId="42" borderId="25" xfId="0" applyFont="1" applyFill="1" applyBorder="1"/>
    <xf numFmtId="3" fontId="24" fillId="42" borderId="27" xfId="0" applyFont="1" applyFill="1" applyBorder="1"/>
    <xf numFmtId="3" fontId="24" fillId="0" borderId="21" xfId="0" applyFont="1" applyBorder="1"/>
    <xf numFmtId="3" fontId="24" fillId="0" borderId="22" xfId="0" applyFont="1" applyBorder="1"/>
    <xf numFmtId="3" fontId="24" fillId="0" borderId="2" xfId="0" applyFont="1" applyBorder="1"/>
    <xf numFmtId="3" fontId="24" fillId="0" borderId="23" xfId="0" applyFont="1" applyBorder="1"/>
    <xf numFmtId="3" fontId="24" fillId="42" borderId="29" xfId="0" applyFont="1" applyFill="1" applyBorder="1"/>
    <xf numFmtId="3" fontId="24" fillId="42" borderId="30" xfId="0" applyFont="1" applyFill="1" applyBorder="1"/>
    <xf numFmtId="3" fontId="24" fillId="0" borderId="20" xfId="0" applyFont="1" applyBorder="1"/>
    <xf numFmtId="3" fontId="24" fillId="0" borderId="31" xfId="0" applyFont="1" applyBorder="1"/>
    <xf numFmtId="3" fontId="24" fillId="0" borderId="28" xfId="0" applyFont="1" applyBorder="1"/>
    <xf numFmtId="3" fontId="24" fillId="42" borderId="2" xfId="0" applyFont="1" applyFill="1" applyBorder="1"/>
    <xf numFmtId="3" fontId="24" fillId="42" borderId="35" xfId="0" applyFont="1" applyFill="1" applyBorder="1"/>
    <xf numFmtId="3" fontId="24" fillId="0" borderId="36" xfId="0" applyFont="1" applyBorder="1"/>
    <xf numFmtId="3" fontId="27" fillId="0" borderId="29" xfId="0" applyFont="1" applyBorder="1"/>
    <xf numFmtId="3" fontId="27" fillId="0" borderId="2" xfId="0" applyFont="1" applyBorder="1"/>
    <xf numFmtId="3" fontId="24" fillId="0" borderId="39" xfId="0" applyFont="1" applyBorder="1"/>
    <xf numFmtId="3" fontId="24" fillId="42" borderId="39" xfId="0" applyFont="1" applyFill="1" applyBorder="1"/>
    <xf numFmtId="3" fontId="24" fillId="42" borderId="38" xfId="0" applyFont="1" applyFill="1" applyBorder="1"/>
    <xf numFmtId="3" fontId="24" fillId="0" borderId="41" xfId="0" applyFont="1" applyBorder="1"/>
    <xf numFmtId="3" fontId="24" fillId="0" borderId="42" xfId="0" applyFont="1" applyBorder="1"/>
    <xf numFmtId="168" fontId="27" fillId="0" borderId="39" xfId="0" applyNumberFormat="1" applyFont="1" applyBorder="1"/>
    <xf numFmtId="168" fontId="27" fillId="0" borderId="0" xfId="0" applyNumberFormat="1" applyFont="1"/>
    <xf numFmtId="168" fontId="27" fillId="42" borderId="39" xfId="0" applyNumberFormat="1" applyFont="1" applyFill="1" applyBorder="1"/>
    <xf numFmtId="168" fontId="27" fillId="42" borderId="38" xfId="0" applyNumberFormat="1" applyFont="1" applyFill="1" applyBorder="1"/>
    <xf numFmtId="168" fontId="27" fillId="0" borderId="48" xfId="0" applyNumberFormat="1" applyFont="1" applyBorder="1"/>
    <xf numFmtId="168" fontId="27" fillId="42" borderId="48" xfId="0" applyNumberFormat="1" applyFont="1" applyFill="1" applyBorder="1"/>
    <xf numFmtId="168" fontId="27" fillId="42" borderId="44" xfId="0" applyNumberFormat="1" applyFont="1" applyFill="1" applyBorder="1"/>
    <xf numFmtId="3" fontId="27" fillId="0" borderId="34" xfId="0" applyFont="1" applyBorder="1"/>
    <xf numFmtId="3" fontId="31" fillId="0" borderId="39" xfId="0" applyFont="1" applyBorder="1"/>
    <xf numFmtId="168" fontId="31" fillId="0" borderId="49" xfId="0" applyNumberFormat="1" applyFont="1" applyBorder="1"/>
    <xf numFmtId="168" fontId="31" fillId="0" borderId="47" xfId="0" applyNumberFormat="1" applyFont="1" applyBorder="1"/>
    <xf numFmtId="168" fontId="31" fillId="42" borderId="49" xfId="0" applyNumberFormat="1" applyFont="1" applyFill="1" applyBorder="1"/>
    <xf numFmtId="168" fontId="31" fillId="42" borderId="50" xfId="0" applyNumberFormat="1" applyFont="1" applyFill="1" applyBorder="1"/>
    <xf numFmtId="168" fontId="27" fillId="0" borderId="20" xfId="0" applyNumberFormat="1" applyFont="1" applyBorder="1"/>
    <xf numFmtId="168" fontId="27" fillId="0" borderId="31" xfId="0" applyNumberFormat="1" applyFont="1" applyBorder="1"/>
    <xf numFmtId="3" fontId="24" fillId="0" borderId="45" xfId="0" applyFont="1" applyBorder="1"/>
    <xf numFmtId="3" fontId="24" fillId="0" borderId="46" xfId="0" applyFont="1" applyBorder="1"/>
    <xf numFmtId="3" fontId="63" fillId="8" borderId="39" xfId="0" applyFont="1" applyFill="1" applyBorder="1"/>
    <xf numFmtId="37" fontId="26" fillId="0" borderId="0" xfId="0" applyNumberFormat="1" applyFont="1" applyAlignment="1">
      <alignment horizontal="centerContinuous"/>
    </xf>
    <xf numFmtId="3" fontId="66" fillId="0" borderId="0" xfId="0" applyFont="1" applyAlignment="1">
      <alignment horizontal="centerContinuous"/>
    </xf>
    <xf numFmtId="3" fontId="25" fillId="0" borderId="0" xfId="0" applyFont="1" applyAlignment="1">
      <alignment horizontal="centerContinuous"/>
    </xf>
    <xf numFmtId="3" fontId="24" fillId="0" borderId="0" xfId="0" applyFont="1" applyAlignment="1">
      <alignment horizontal="centerContinuous"/>
    </xf>
    <xf numFmtId="3" fontId="67" fillId="0" borderId="0" xfId="0" applyFont="1" applyAlignment="1">
      <alignment horizontal="centerContinuous"/>
    </xf>
    <xf numFmtId="3" fontId="68" fillId="0" borderId="0" xfId="0" applyFont="1" applyAlignment="1">
      <alignment horizontal="centerContinuous"/>
    </xf>
    <xf numFmtId="37" fontId="67" fillId="0" borderId="0" xfId="0" applyNumberFormat="1" applyFont="1" applyAlignment="1">
      <alignment horizontal="centerContinuous"/>
    </xf>
    <xf numFmtId="3" fontId="69" fillId="0" borderId="0" xfId="0" applyFont="1" applyAlignment="1">
      <alignment horizontal="centerContinuous"/>
    </xf>
    <xf numFmtId="37" fontId="27" fillId="0" borderId="28" xfId="0" applyNumberFormat="1" applyFont="1" applyBorder="1" applyAlignment="1">
      <alignment horizontal="centerContinuous"/>
    </xf>
    <xf numFmtId="37" fontId="70" fillId="0" borderId="51" xfId="0" applyNumberFormat="1" applyFont="1" applyBorder="1" applyAlignment="1">
      <alignment horizontal="centerContinuous"/>
    </xf>
    <xf numFmtId="3" fontId="71" fillId="0" borderId="51" xfId="0" applyFont="1" applyBorder="1" applyAlignment="1">
      <alignment horizontal="centerContinuous"/>
    </xf>
    <xf numFmtId="3" fontId="71" fillId="0" borderId="28" xfId="0" applyFont="1" applyBorder="1" applyAlignment="1">
      <alignment horizontal="centerContinuous"/>
    </xf>
    <xf numFmtId="3" fontId="71" fillId="0" borderId="33" xfId="0" applyFont="1" applyBorder="1" applyAlignment="1">
      <alignment horizontal="centerContinuous"/>
    </xf>
    <xf numFmtId="37" fontId="27" fillId="0" borderId="33" xfId="0" applyNumberFormat="1" applyFont="1" applyBorder="1" applyAlignment="1">
      <alignment horizontal="center"/>
    </xf>
    <xf numFmtId="37" fontId="70" fillId="0" borderId="33" xfId="0" applyNumberFormat="1" applyFont="1" applyBorder="1" applyAlignment="1">
      <alignment horizontal="centerContinuous"/>
    </xf>
    <xf numFmtId="37" fontId="70" fillId="0" borderId="52" xfId="0" applyNumberFormat="1" applyFont="1" applyBorder="1" applyAlignment="1">
      <alignment horizontal="centerContinuous"/>
    </xf>
    <xf numFmtId="37" fontId="70" fillId="0" borderId="53" xfId="0" applyNumberFormat="1" applyFont="1" applyBorder="1" applyAlignment="1">
      <alignment horizontal="centerContinuous" wrapText="1"/>
    </xf>
    <xf numFmtId="37" fontId="24" fillId="0" borderId="0" xfId="0" quotePrefix="1" applyNumberFormat="1" applyFont="1" applyAlignment="1">
      <alignment horizontal="left"/>
    </xf>
    <xf numFmtId="3" fontId="24" fillId="0" borderId="53" xfId="0" applyFont="1" applyBorder="1"/>
    <xf numFmtId="3" fontId="24" fillId="0" borderId="54" xfId="0" applyFont="1" applyBorder="1"/>
    <xf numFmtId="3" fontId="24" fillId="0" borderId="55" xfId="0" applyFont="1" applyBorder="1" applyAlignment="1">
      <alignment horizontal="center"/>
    </xf>
    <xf numFmtId="37" fontId="27" fillId="0" borderId="53" xfId="0" applyNumberFormat="1" applyFont="1" applyBorder="1" applyAlignment="1">
      <alignment horizontal="center"/>
    </xf>
    <xf numFmtId="37" fontId="70" fillId="0" borderId="53" xfId="0" applyNumberFormat="1" applyFont="1" applyBorder="1" applyAlignment="1">
      <alignment horizontal="center"/>
    </xf>
    <xf numFmtId="37" fontId="70" fillId="0" borderId="53" xfId="0" applyNumberFormat="1" applyFont="1" applyBorder="1" applyAlignment="1">
      <alignment horizontal="center" wrapText="1"/>
    </xf>
    <xf numFmtId="37" fontId="70" fillId="0" borderId="54" xfId="0" applyNumberFormat="1" applyFont="1" applyBorder="1" applyAlignment="1">
      <alignment horizontal="center"/>
    </xf>
    <xf numFmtId="3" fontId="27" fillId="0" borderId="55" xfId="0" applyFont="1" applyBorder="1"/>
    <xf numFmtId="3" fontId="24" fillId="0" borderId="55" xfId="0" applyFont="1" applyBorder="1" applyAlignment="1">
      <alignment horizontal="right" wrapText="1"/>
    </xf>
    <xf numFmtId="3" fontId="24" fillId="0" borderId="56" xfId="0" applyFont="1" applyBorder="1" applyAlignment="1">
      <alignment horizontal="right" wrapText="1"/>
    </xf>
    <xf numFmtId="3" fontId="24" fillId="0" borderId="55" xfId="0" applyFont="1" applyBorder="1" applyAlignment="1">
      <alignment wrapText="1"/>
    </xf>
    <xf numFmtId="37" fontId="24" fillId="0" borderId="0" xfId="0" quotePrefix="1" applyNumberFormat="1" applyFont="1" applyAlignment="1">
      <alignment horizontal="right"/>
    </xf>
    <xf numFmtId="168" fontId="24" fillId="0" borderId="0" xfId="24" quotePrefix="1" applyNumberFormat="1" applyFont="1" applyAlignment="1">
      <alignment horizontal="right"/>
    </xf>
    <xf numFmtId="37" fontId="24" fillId="0" borderId="43" xfId="0" quotePrefix="1" applyNumberFormat="1" applyFont="1" applyBorder="1" applyAlignment="1">
      <alignment horizontal="right"/>
    </xf>
    <xf numFmtId="37" fontId="24" fillId="0" borderId="43" xfId="0" applyNumberFormat="1" applyFont="1" applyBorder="1" applyAlignment="1">
      <alignment horizontal="right"/>
    </xf>
    <xf numFmtId="10" fontId="24" fillId="0" borderId="47" xfId="24" applyNumberFormat="1" applyFont="1" applyBorder="1"/>
    <xf numFmtId="2" fontId="72" fillId="37" borderId="57" xfId="18" applyNumberFormat="1" applyFont="1" applyFill="1" applyBorder="1" applyAlignment="1">
      <alignment horizontal="center"/>
    </xf>
    <xf numFmtId="10" fontId="24" fillId="0" borderId="43" xfId="24" applyNumberFormat="1" applyFont="1" applyBorder="1"/>
    <xf numFmtId="3" fontId="24" fillId="0" borderId="58" xfId="0" applyFont="1" applyBorder="1"/>
    <xf numFmtId="37" fontId="73" fillId="0" borderId="0" xfId="0" quotePrefix="1" applyNumberFormat="1" applyFont="1" applyAlignment="1">
      <alignment horizontal="right"/>
    </xf>
    <xf numFmtId="168" fontId="73" fillId="0" borderId="0" xfId="24" quotePrefix="1" applyNumberFormat="1" applyFont="1" applyAlignment="1">
      <alignment horizontal="right"/>
    </xf>
    <xf numFmtId="37" fontId="73" fillId="0" borderId="43" xfId="0" quotePrefix="1" applyNumberFormat="1" applyFont="1" applyBorder="1" applyAlignment="1">
      <alignment horizontal="right"/>
    </xf>
    <xf numFmtId="10" fontId="73" fillId="0" borderId="0" xfId="24" quotePrefix="1" applyNumberFormat="1" applyFont="1"/>
    <xf numFmtId="2" fontId="72" fillId="37" borderId="58" xfId="24" applyNumberFormat="1" applyFont="1" applyFill="1" applyBorder="1" applyAlignment="1">
      <alignment horizontal="center"/>
    </xf>
    <xf numFmtId="10" fontId="73" fillId="0" borderId="43" xfId="24" quotePrefix="1" applyNumberFormat="1" applyFont="1" applyBorder="1"/>
    <xf numFmtId="37" fontId="24" fillId="0" borderId="0" xfId="0" applyNumberFormat="1" applyFont="1" applyAlignment="1">
      <alignment horizontal="right"/>
    </xf>
    <xf numFmtId="168" fontId="24" fillId="0" borderId="0" xfId="24" applyNumberFormat="1" applyFont="1" applyAlignment="1">
      <alignment horizontal="right"/>
    </xf>
    <xf numFmtId="10" fontId="24" fillId="0" borderId="0" xfId="24" applyNumberFormat="1" applyFont="1"/>
    <xf numFmtId="2" fontId="72" fillId="37" borderId="58" xfId="18" applyNumberFormat="1" applyFont="1" applyFill="1" applyBorder="1" applyAlignment="1">
      <alignment horizontal="center"/>
    </xf>
    <xf numFmtId="4" fontId="74" fillId="0" borderId="0" xfId="0" applyNumberFormat="1" applyFont="1"/>
    <xf numFmtId="169" fontId="72" fillId="37" borderId="58" xfId="18" applyNumberFormat="1" applyFont="1" applyFill="1" applyBorder="1" applyAlignment="1">
      <alignment horizontal="center"/>
    </xf>
    <xf numFmtId="10" fontId="24" fillId="0" borderId="0" xfId="24" applyNumberFormat="1" applyFont="1" applyAlignment="1">
      <alignment horizontal="right"/>
    </xf>
    <xf numFmtId="3" fontId="24" fillId="0" borderId="55" xfId="0" applyFont="1" applyBorder="1"/>
    <xf numFmtId="37" fontId="24" fillId="0" borderId="55" xfId="0" applyNumberFormat="1" applyFont="1" applyBorder="1" applyAlignment="1">
      <alignment horizontal="right"/>
    </xf>
    <xf numFmtId="168" fontId="24" fillId="0" borderId="55" xfId="24" applyNumberFormat="1" applyFont="1" applyBorder="1" applyAlignment="1">
      <alignment horizontal="right"/>
    </xf>
    <xf numFmtId="37" fontId="24" fillId="0" borderId="56" xfId="0" applyNumberFormat="1" applyFont="1" applyBorder="1" applyAlignment="1">
      <alignment horizontal="right"/>
    </xf>
    <xf numFmtId="168" fontId="24" fillId="0" borderId="59" xfId="24" applyNumberFormat="1" applyFont="1" applyBorder="1" applyAlignment="1">
      <alignment horizontal="right"/>
    </xf>
    <xf numFmtId="10" fontId="24" fillId="0" borderId="55" xfId="24" applyNumberFormat="1" applyFont="1" applyBorder="1"/>
    <xf numFmtId="2" fontId="72" fillId="37" borderId="59" xfId="18" applyNumberFormat="1" applyFont="1" applyFill="1" applyBorder="1" applyAlignment="1">
      <alignment horizontal="center"/>
    </xf>
    <xf numFmtId="10" fontId="24" fillId="0" borderId="56" xfId="24" applyNumberFormat="1" applyFont="1" applyBorder="1"/>
    <xf numFmtId="3" fontId="24" fillId="0" borderId="59" xfId="0" applyFont="1" applyBorder="1"/>
    <xf numFmtId="4" fontId="74" fillId="0" borderId="55" xfId="0" applyNumberFormat="1" applyFont="1" applyBorder="1"/>
    <xf numFmtId="4" fontId="74" fillId="0" borderId="56" xfId="0" applyNumberFormat="1" applyFont="1" applyBorder="1"/>
    <xf numFmtId="37" fontId="0" fillId="0" borderId="0" xfId="0" applyNumberFormat="1" applyAlignment="1">
      <alignment horizontal="left"/>
    </xf>
    <xf numFmtId="3" fontId="23" fillId="0" borderId="0" xfId="0" applyFont="1"/>
    <xf numFmtId="17" fontId="0" fillId="0" borderId="0" xfId="0" quotePrefix="1" applyNumberFormat="1" applyAlignment="1">
      <alignment horizontal="right"/>
    </xf>
    <xf numFmtId="39" fontId="67" fillId="0" borderId="0" xfId="0" applyNumberFormat="1" applyFont="1" applyAlignment="1">
      <alignment horizontal="centerContinuous"/>
    </xf>
    <xf numFmtId="37" fontId="70" fillId="0" borderId="28" xfId="0" applyNumberFormat="1" applyFont="1" applyBorder="1"/>
    <xf numFmtId="37" fontId="70" fillId="0" borderId="33" xfId="0" applyNumberFormat="1" applyFont="1" applyBorder="1" applyAlignment="1">
      <alignment horizontal="center"/>
    </xf>
    <xf numFmtId="37" fontId="70" fillId="0" borderId="33" xfId="0" applyNumberFormat="1" applyFont="1" applyBorder="1" applyAlignment="1">
      <alignment horizontal="right"/>
    </xf>
    <xf numFmtId="37" fontId="70" fillId="0" borderId="60" xfId="0" applyNumberFormat="1" applyFont="1" applyBorder="1" applyAlignment="1">
      <alignment horizontal="right"/>
    </xf>
    <xf numFmtId="3" fontId="24" fillId="0" borderId="0" xfId="18" applyNumberFormat="1" applyFont="1" applyAlignment="1">
      <alignment horizontal="right"/>
    </xf>
    <xf numFmtId="3" fontId="24" fillId="0" borderId="58" xfId="18" applyNumberFormat="1" applyFont="1" applyBorder="1" applyAlignment="1">
      <alignment horizontal="right"/>
    </xf>
    <xf numFmtId="3" fontId="68" fillId="0" borderId="0" xfId="0" applyFont="1"/>
    <xf numFmtId="3" fontId="24" fillId="0" borderId="55" xfId="18" applyNumberFormat="1" applyFont="1" applyBorder="1" applyAlignment="1">
      <alignment horizontal="right"/>
    </xf>
    <xf numFmtId="3" fontId="24" fillId="0" borderId="59" xfId="18" applyNumberFormat="1" applyFont="1" applyBorder="1" applyAlignment="1">
      <alignment horizontal="right"/>
    </xf>
    <xf numFmtId="37" fontId="0" fillId="0" borderId="0" xfId="0" applyNumberFormat="1" applyAlignment="1">
      <alignment vertical="top" wrapText="1"/>
    </xf>
    <xf numFmtId="37" fontId="23" fillId="0" borderId="0" xfId="0" applyNumberFormat="1" applyFont="1" applyAlignment="1">
      <alignment horizontal="left"/>
    </xf>
    <xf numFmtId="49" fontId="0" fillId="0" borderId="0" xfId="0" applyNumberFormat="1" applyAlignment="1">
      <alignment horizontal="right"/>
    </xf>
    <xf numFmtId="37" fontId="25" fillId="0" borderId="0" xfId="0" applyNumberFormat="1" applyFont="1" applyAlignment="1">
      <alignment horizontal="centerContinuous"/>
    </xf>
    <xf numFmtId="37" fontId="75" fillId="0" borderId="51" xfId="0" applyNumberFormat="1" applyFont="1" applyBorder="1" applyAlignment="1">
      <alignment horizontal="center"/>
    </xf>
    <xf numFmtId="3" fontId="76" fillId="0" borderId="51" xfId="0" applyFont="1" applyBorder="1" applyAlignment="1">
      <alignment horizontal="center"/>
    </xf>
    <xf numFmtId="3" fontId="76" fillId="0" borderId="28" xfId="0" applyFont="1" applyBorder="1" applyAlignment="1">
      <alignment horizontal="center"/>
    </xf>
    <xf numFmtId="37" fontId="75" fillId="0" borderId="33" xfId="0" applyNumberFormat="1" applyFont="1" applyBorder="1" applyAlignment="1">
      <alignment horizontal="right"/>
    </xf>
    <xf numFmtId="37" fontId="75" fillId="0" borderId="51" xfId="0" applyNumberFormat="1" applyFont="1" applyBorder="1" applyAlignment="1">
      <alignment horizontal="right"/>
    </xf>
    <xf numFmtId="37" fontId="75" fillId="0" borderId="61" xfId="0" applyNumberFormat="1" applyFont="1" applyBorder="1" applyAlignment="1">
      <alignment horizontal="right"/>
    </xf>
    <xf numFmtId="37" fontId="26" fillId="0" borderId="0" xfId="0" applyNumberFormat="1" applyFont="1" applyAlignment="1">
      <alignment horizontal="center"/>
    </xf>
    <xf numFmtId="37" fontId="67" fillId="0" borderId="0" xfId="0" applyNumberFormat="1" applyFont="1" applyAlignment="1">
      <alignment horizontal="center"/>
    </xf>
    <xf numFmtId="37" fontId="67" fillId="0" borderId="0" xfId="0" applyNumberFormat="1" applyFont="1" applyAlignment="1">
      <alignment horizontal="left"/>
    </xf>
    <xf numFmtId="3" fontId="24" fillId="0" borderId="0" xfId="0" applyFont="1" applyAlignment="1">
      <alignment horizontal="left"/>
    </xf>
    <xf numFmtId="37" fontId="27" fillId="0" borderId="28" xfId="0" applyNumberFormat="1" applyFont="1" applyBorder="1"/>
    <xf numFmtId="37" fontId="70" fillId="0" borderId="28" xfId="0" applyNumberFormat="1" applyFont="1" applyBorder="1" applyAlignment="1">
      <alignment horizontal="centerContinuous"/>
    </xf>
    <xf numFmtId="3" fontId="71" fillId="0" borderId="62" xfId="0" applyFont="1" applyBorder="1" applyAlignment="1">
      <alignment horizontal="centerContinuous"/>
    </xf>
    <xf numFmtId="37" fontId="70" fillId="0" borderId="29" xfId="0" applyNumberFormat="1" applyFont="1" applyBorder="1" applyAlignment="1">
      <alignment horizontal="centerContinuous"/>
    </xf>
    <xf numFmtId="3" fontId="24" fillId="0" borderId="51" xfId="0" applyFont="1" applyBorder="1" applyAlignment="1">
      <alignment horizontal="centerContinuous"/>
    </xf>
    <xf numFmtId="37" fontId="70" fillId="0" borderId="29" xfId="0" applyNumberFormat="1" applyFont="1" applyBorder="1" applyAlignment="1">
      <alignment horizontal="centerContinuous" vertical="center"/>
    </xf>
    <xf numFmtId="3" fontId="71" fillId="0" borderId="28" xfId="0" applyFont="1" applyBorder="1" applyAlignment="1">
      <alignment horizontal="centerContinuous" vertical="center"/>
    </xf>
    <xf numFmtId="3" fontId="24" fillId="0" borderId="51" xfId="0" applyFont="1" applyBorder="1" applyAlignment="1">
      <alignment horizontal="centerContinuous" vertical="center"/>
    </xf>
    <xf numFmtId="37" fontId="70" fillId="0" borderId="33" xfId="0" applyNumberFormat="1" applyFont="1" applyBorder="1" applyAlignment="1">
      <alignment horizontal="center" wrapText="1"/>
    </xf>
    <xf numFmtId="37" fontId="70" fillId="0" borderId="63" xfId="0" applyNumberFormat="1" applyFont="1" applyBorder="1" applyAlignment="1">
      <alignment horizontal="right"/>
    </xf>
    <xf numFmtId="37" fontId="70" fillId="0" borderId="61" xfId="0" applyNumberFormat="1" applyFont="1" applyBorder="1" applyAlignment="1">
      <alignment horizontal="center" wrapText="1"/>
    </xf>
    <xf numFmtId="37" fontId="70" fillId="0" borderId="51" xfId="0" applyNumberFormat="1" applyFont="1" applyBorder="1" applyAlignment="1">
      <alignment horizontal="right"/>
    </xf>
    <xf numFmtId="37" fontId="70" fillId="0" borderId="0" xfId="0" applyNumberFormat="1" applyFont="1" applyAlignment="1">
      <alignment horizontal="right"/>
    </xf>
    <xf numFmtId="37" fontId="24" fillId="0" borderId="64" xfId="0" applyNumberFormat="1" applyFont="1" applyBorder="1" applyAlignment="1">
      <alignment horizontal="right"/>
    </xf>
    <xf numFmtId="37" fontId="24" fillId="0" borderId="39" xfId="0" applyNumberFormat="1" applyFont="1" applyBorder="1" applyAlignment="1">
      <alignment horizontal="right"/>
    </xf>
    <xf numFmtId="37" fontId="24" fillId="0" borderId="60" xfId="0" applyNumberFormat="1" applyFont="1" applyBorder="1" applyAlignment="1">
      <alignment horizontal="right"/>
    </xf>
    <xf numFmtId="37" fontId="24" fillId="0" borderId="48" xfId="0" applyNumberFormat="1" applyFont="1" applyBorder="1" applyAlignment="1">
      <alignment horizontal="right"/>
    </xf>
    <xf numFmtId="37" fontId="23" fillId="0" borderId="0" xfId="0" applyNumberFormat="1" applyFont="1" applyAlignment="1">
      <alignment horizontal="left" vertical="top" wrapText="1"/>
    </xf>
    <xf numFmtId="49" fontId="23" fillId="0" borderId="0" xfId="0" quotePrefix="1" applyNumberFormat="1" applyFont="1" applyAlignment="1">
      <alignment horizontal="right"/>
    </xf>
    <xf numFmtId="39" fontId="25" fillId="0" borderId="0" xfId="0" applyNumberFormat="1" applyFont="1" applyAlignment="1">
      <alignment horizontal="left"/>
    </xf>
    <xf numFmtId="37" fontId="27" fillId="0" borderId="28" xfId="0" applyNumberFormat="1" applyFont="1" applyBorder="1" applyAlignment="1">
      <alignment horizontal="center"/>
    </xf>
    <xf numFmtId="37" fontId="70" fillId="0" borderId="28" xfId="0" applyNumberFormat="1" applyFont="1" applyBorder="1" applyAlignment="1">
      <alignment horizontal="center"/>
    </xf>
    <xf numFmtId="3" fontId="71" fillId="0" borderId="51" xfId="0" applyFont="1" applyBorder="1" applyAlignment="1">
      <alignment horizontal="center"/>
    </xf>
    <xf numFmtId="37" fontId="70" fillId="0" borderId="29" xfId="0" applyNumberFormat="1" applyFont="1" applyBorder="1" applyAlignment="1">
      <alignment horizontal="center"/>
    </xf>
    <xf numFmtId="3" fontId="71" fillId="0" borderId="28" xfId="0" applyFont="1" applyBorder="1" applyAlignment="1">
      <alignment horizontal="center"/>
    </xf>
    <xf numFmtId="3" fontId="24" fillId="0" borderId="51" xfId="0" applyFont="1" applyBorder="1" applyAlignment="1">
      <alignment horizontal="center"/>
    </xf>
    <xf numFmtId="3" fontId="24" fillId="0" borderId="0" xfId="0" applyFont="1" applyAlignment="1">
      <alignment horizontal="right"/>
    </xf>
    <xf numFmtId="3" fontId="24" fillId="0" borderId="58" xfId="0" applyFont="1" applyBorder="1" applyAlignment="1">
      <alignment horizontal="right"/>
    </xf>
    <xf numFmtId="4" fontId="24" fillId="0" borderId="0" xfId="0" applyNumberFormat="1" applyFont="1" applyAlignment="1">
      <alignment horizontal="right"/>
    </xf>
    <xf numFmtId="4" fontId="24" fillId="0" borderId="58" xfId="0" applyNumberFormat="1" applyFont="1" applyBorder="1" applyAlignment="1">
      <alignment horizontal="right"/>
    </xf>
    <xf numFmtId="3" fontId="24" fillId="0" borderId="55" xfId="0" applyFont="1" applyBorder="1" applyAlignment="1">
      <alignment horizontal="right"/>
    </xf>
    <xf numFmtId="3" fontId="24" fillId="0" borderId="59" xfId="0" applyFont="1" applyBorder="1" applyAlignment="1">
      <alignment horizontal="right"/>
    </xf>
    <xf numFmtId="3" fontId="24" fillId="36" borderId="0" xfId="0" applyFont="1" applyFill="1"/>
    <xf numFmtId="3" fontId="31" fillId="0" borderId="55" xfId="0" applyFont="1" applyBorder="1"/>
    <xf numFmtId="3" fontId="31" fillId="36" borderId="0" xfId="0" applyFont="1" applyFill="1"/>
    <xf numFmtId="3" fontId="62" fillId="43" borderId="56" xfId="0" applyFont="1" applyFill="1" applyBorder="1"/>
    <xf numFmtId="3" fontId="31" fillId="43" borderId="0" xfId="0" applyFont="1" applyFill="1"/>
    <xf numFmtId="3" fontId="62" fillId="43" borderId="0" xfId="0" applyFont="1" applyFill="1"/>
    <xf numFmtId="37" fontId="70" fillId="0" borderId="33" xfId="0" applyNumberFormat="1" applyFont="1" applyBorder="1" applyAlignment="1">
      <alignment horizontal="centerContinuous" wrapText="1"/>
    </xf>
    <xf numFmtId="37" fontId="70" fillId="0" borderId="52" xfId="0" applyNumberFormat="1" applyFont="1" applyBorder="1" applyAlignment="1">
      <alignment horizontal="right"/>
    </xf>
    <xf numFmtId="37" fontId="70" fillId="0" borderId="54" xfId="0" applyNumberFormat="1" applyFont="1" applyBorder="1" applyAlignment="1">
      <alignment horizontal="right"/>
    </xf>
    <xf numFmtId="37" fontId="70" fillId="0" borderId="55" xfId="0" applyNumberFormat="1" applyFont="1" applyBorder="1" applyAlignment="1">
      <alignment horizontal="center" wrapText="1"/>
    </xf>
    <xf numFmtId="37" fontId="70" fillId="36" borderId="28" xfId="0" applyNumberFormat="1" applyFont="1" applyFill="1" applyBorder="1" applyAlignment="1">
      <alignment horizontal="centerContinuous"/>
    </xf>
    <xf numFmtId="3" fontId="71" fillId="36" borderId="51" xfId="0" applyFont="1" applyFill="1" applyBorder="1" applyAlignment="1">
      <alignment horizontal="centerContinuous"/>
    </xf>
    <xf numFmtId="3" fontId="62" fillId="43" borderId="43" xfId="0" applyFont="1" applyFill="1" applyBorder="1"/>
    <xf numFmtId="37" fontId="75" fillId="43" borderId="28" xfId="0" applyNumberFormat="1" applyFont="1" applyFill="1" applyBorder="1" applyAlignment="1">
      <alignment horizontal="centerContinuous"/>
    </xf>
    <xf numFmtId="3" fontId="76" fillId="43" borderId="51" xfId="0" applyFont="1" applyFill="1" applyBorder="1" applyAlignment="1">
      <alignment horizontal="centerContinuous"/>
    </xf>
    <xf numFmtId="37" fontId="27" fillId="0" borderId="55" xfId="0" applyNumberFormat="1" applyFont="1" applyBorder="1" applyAlignment="1">
      <alignment horizontal="center"/>
    </xf>
    <xf numFmtId="37" fontId="70" fillId="0" borderId="56" xfId="0" applyNumberFormat="1" applyFont="1" applyBorder="1" applyAlignment="1">
      <alignment horizontal="center" wrapText="1"/>
    </xf>
    <xf numFmtId="3" fontId="29" fillId="0" borderId="65" xfId="0" applyFont="1" applyBorder="1" applyAlignment="1">
      <alignment vertical="center"/>
    </xf>
    <xf numFmtId="37" fontId="70" fillId="36" borderId="33" xfId="0" applyNumberFormat="1" applyFont="1" applyFill="1" applyBorder="1" applyAlignment="1">
      <alignment horizontal="center" wrapText="1"/>
    </xf>
    <xf numFmtId="37" fontId="70" fillId="43" borderId="33" xfId="0" applyNumberFormat="1" applyFont="1" applyFill="1" applyBorder="1" applyAlignment="1">
      <alignment horizontal="right"/>
    </xf>
    <xf numFmtId="37" fontId="70" fillId="36" borderId="33" xfId="0" applyNumberFormat="1" applyFont="1" applyFill="1" applyBorder="1" applyAlignment="1">
      <alignment horizontal="right"/>
    </xf>
    <xf numFmtId="3" fontId="29" fillId="43" borderId="66" xfId="0" applyFont="1" applyFill="1" applyBorder="1" applyAlignment="1">
      <alignment vertical="center"/>
    </xf>
    <xf numFmtId="37" fontId="75" fillId="43" borderId="33" xfId="0" applyNumberFormat="1" applyFont="1" applyFill="1" applyBorder="1" applyAlignment="1">
      <alignment horizontal="center" wrapText="1"/>
    </xf>
    <xf numFmtId="37" fontId="75" fillId="43" borderId="33" xfId="0" applyNumberFormat="1" applyFont="1" applyFill="1" applyBorder="1" applyAlignment="1">
      <alignment horizontal="right"/>
    </xf>
    <xf numFmtId="3" fontId="24" fillId="0" borderId="43" xfId="0" applyFont="1" applyBorder="1" applyAlignment="1">
      <alignment horizontal="right"/>
    </xf>
    <xf numFmtId="10" fontId="24" fillId="0" borderId="47" xfId="24" quotePrefix="1" applyNumberFormat="1" applyFont="1" applyBorder="1"/>
    <xf numFmtId="10" fontId="72" fillId="37" borderId="0" xfId="24" applyNumberFormat="1" applyFont="1" applyFill="1" applyAlignment="1">
      <alignment horizontal="center"/>
    </xf>
    <xf numFmtId="3" fontId="24" fillId="36" borderId="0" xfId="0" applyFont="1" applyFill="1" applyAlignment="1">
      <alignment vertical="center"/>
    </xf>
    <xf numFmtId="3" fontId="62" fillId="43" borderId="0" xfId="0" applyFont="1" applyFill="1" applyAlignment="1">
      <alignment horizontal="right"/>
    </xf>
    <xf numFmtId="3" fontId="73" fillId="0" borderId="0" xfId="0" applyFont="1"/>
    <xf numFmtId="3" fontId="73" fillId="0" borderId="0" xfId="0" applyFont="1" applyAlignment="1">
      <alignment horizontal="right"/>
    </xf>
    <xf numFmtId="168" fontId="73" fillId="0" borderId="0" xfId="24" quotePrefix="1" applyNumberFormat="1" applyFont="1" applyAlignment="1">
      <alignment vertical="center"/>
    </xf>
    <xf numFmtId="3" fontId="73" fillId="0" borderId="43" xfId="0" applyFont="1" applyBorder="1" applyAlignment="1">
      <alignment horizontal="right"/>
    </xf>
    <xf numFmtId="3" fontId="73" fillId="0" borderId="43" xfId="0" applyFont="1" applyBorder="1"/>
    <xf numFmtId="10" fontId="73" fillId="37" borderId="0" xfId="24" quotePrefix="1" applyNumberFormat="1" applyFont="1" applyFill="1" applyAlignment="1">
      <alignment horizontal="center"/>
    </xf>
    <xf numFmtId="168" fontId="24" fillId="0" borderId="0" xfId="24" applyNumberFormat="1" applyFont="1"/>
    <xf numFmtId="170" fontId="72" fillId="37" borderId="0" xfId="24" applyNumberFormat="1" applyFont="1" applyFill="1" applyAlignment="1">
      <alignment horizontal="center"/>
    </xf>
    <xf numFmtId="3" fontId="62" fillId="43" borderId="58" xfId="0" applyFont="1" applyFill="1" applyBorder="1" applyAlignment="1">
      <alignment horizontal="right"/>
    </xf>
    <xf numFmtId="167" fontId="74" fillId="0" borderId="0" xfId="0" applyNumberFormat="1" applyFont="1" applyAlignment="1">
      <alignment vertical="center"/>
    </xf>
    <xf numFmtId="171" fontId="24" fillId="0" borderId="0" xfId="0" applyNumberFormat="1" applyFont="1"/>
    <xf numFmtId="10" fontId="24" fillId="0" borderId="43" xfId="0" applyNumberFormat="1" applyFont="1" applyBorder="1"/>
    <xf numFmtId="3" fontId="77" fillId="36" borderId="0" xfId="0" applyFont="1" applyFill="1" applyAlignment="1">
      <alignment vertical="center"/>
    </xf>
    <xf numFmtId="3" fontId="77" fillId="43" borderId="0" xfId="0" applyFont="1" applyFill="1" applyAlignment="1">
      <alignment vertical="center"/>
    </xf>
    <xf numFmtId="168" fontId="24" fillId="0" borderId="55" xfId="24" applyNumberFormat="1" applyFont="1" applyBorder="1"/>
    <xf numFmtId="3" fontId="24" fillId="0" borderId="56" xfId="0" applyFont="1" applyBorder="1" applyAlignment="1">
      <alignment horizontal="right"/>
    </xf>
    <xf numFmtId="3" fontId="32" fillId="43" borderId="56" xfId="0" applyFont="1" applyFill="1" applyBorder="1"/>
    <xf numFmtId="3" fontId="62" fillId="43" borderId="55" xfId="0" applyFont="1" applyFill="1" applyBorder="1" applyAlignment="1">
      <alignment horizontal="right"/>
    </xf>
    <xf numFmtId="3" fontId="62" fillId="43" borderId="59" xfId="0" applyFont="1" applyFill="1" applyBorder="1" applyAlignment="1">
      <alignment horizontal="right"/>
    </xf>
    <xf numFmtId="167" fontId="74" fillId="0" borderId="55" xfId="0" applyNumberFormat="1" applyFont="1" applyBorder="1" applyAlignment="1">
      <alignment vertical="center"/>
    </xf>
    <xf numFmtId="3" fontId="27" fillId="36" borderId="0" xfId="0" applyFont="1" applyFill="1"/>
    <xf numFmtId="3" fontId="29" fillId="36" borderId="0" xfId="0" applyFont="1" applyFill="1"/>
    <xf numFmtId="37" fontId="70" fillId="0" borderId="67" xfId="0" applyNumberFormat="1" applyFont="1" applyBorder="1" applyAlignment="1">
      <alignment horizontal="center" wrapText="1"/>
    </xf>
    <xf numFmtId="37" fontId="70" fillId="0" borderId="68" xfId="0" applyNumberFormat="1" applyFont="1" applyBorder="1" applyAlignment="1">
      <alignment horizontal="right"/>
    </xf>
    <xf numFmtId="37" fontId="70" fillId="0" borderId="56" xfId="0" applyNumberFormat="1" applyFont="1" applyBorder="1" applyAlignment="1">
      <alignment horizontal="right"/>
    </xf>
    <xf numFmtId="3" fontId="24" fillId="0" borderId="69" xfId="0" applyFont="1" applyBorder="1"/>
    <xf numFmtId="37" fontId="70" fillId="36" borderId="26" xfId="0" applyNumberFormat="1" applyFont="1" applyFill="1" applyBorder="1" applyAlignment="1">
      <alignment horizontal="centerContinuous"/>
    </xf>
    <xf numFmtId="3" fontId="71" fillId="36" borderId="28" xfId="0" applyFont="1" applyFill="1" applyBorder="1" applyAlignment="1">
      <alignment horizontal="centerContinuous"/>
    </xf>
    <xf numFmtId="3" fontId="24" fillId="36" borderId="28" xfId="0" applyFont="1" applyFill="1" applyBorder="1" applyAlignment="1">
      <alignment horizontal="centerContinuous"/>
    </xf>
    <xf numFmtId="3" fontId="24" fillId="36" borderId="51" xfId="0" applyFont="1" applyFill="1" applyBorder="1" applyAlignment="1">
      <alignment horizontal="centerContinuous"/>
    </xf>
    <xf numFmtId="3" fontId="24" fillId="0" borderId="0" xfId="0" applyFont="1" applyAlignment="1">
      <alignment horizontal="right" wrapText="1"/>
    </xf>
    <xf numFmtId="37" fontId="70" fillId="36" borderId="70" xfId="0" applyNumberFormat="1" applyFont="1" applyFill="1" applyBorder="1" applyAlignment="1">
      <alignment horizontal="center" wrapText="1"/>
    </xf>
    <xf numFmtId="37" fontId="70" fillId="36" borderId="51" xfId="0" applyNumberFormat="1" applyFont="1" applyFill="1" applyBorder="1" applyAlignment="1">
      <alignment horizontal="right"/>
    </xf>
    <xf numFmtId="2" fontId="72" fillId="0" borderId="0" xfId="24" applyNumberFormat="1" applyFont="1" applyAlignment="1">
      <alignment horizontal="center"/>
    </xf>
    <xf numFmtId="3" fontId="24" fillId="36" borderId="43" xfId="0" applyFont="1" applyFill="1" applyBorder="1" applyAlignment="1">
      <alignment vertical="center"/>
    </xf>
    <xf numFmtId="170" fontId="72" fillId="0" borderId="0" xfId="24" applyNumberFormat="1" applyFont="1" applyAlignment="1">
      <alignment horizontal="center"/>
    </xf>
    <xf numFmtId="3" fontId="24" fillId="36" borderId="39" xfId="0" applyFont="1" applyFill="1" applyBorder="1" applyAlignment="1">
      <alignment vertical="center"/>
    </xf>
    <xf numFmtId="167" fontId="74" fillId="0" borderId="0" xfId="0" applyNumberFormat="1" applyFont="1"/>
    <xf numFmtId="169" fontId="72" fillId="0" borderId="0" xfId="24" applyNumberFormat="1" applyFont="1" applyAlignment="1">
      <alignment horizontal="center"/>
    </xf>
    <xf numFmtId="3" fontId="24" fillId="36" borderId="55" xfId="0" applyFont="1" applyFill="1" applyBorder="1"/>
    <xf numFmtId="3" fontId="24" fillId="36" borderId="56" xfId="0" applyFont="1" applyFill="1" applyBorder="1" applyAlignment="1">
      <alignment vertical="center"/>
    </xf>
    <xf numFmtId="3" fontId="24" fillId="36" borderId="55" xfId="0" applyFont="1" applyFill="1" applyBorder="1" applyAlignment="1">
      <alignment vertical="center"/>
    </xf>
    <xf numFmtId="3" fontId="24" fillId="36" borderId="48" xfId="0" applyFont="1" applyFill="1" applyBorder="1" applyAlignment="1">
      <alignment vertical="center"/>
    </xf>
    <xf numFmtId="37" fontId="26" fillId="0" borderId="0" xfId="0" applyNumberFormat="1" applyFont="1"/>
    <xf numFmtId="3" fontId="29" fillId="34" borderId="0" xfId="0" applyFont="1" applyFill="1"/>
    <xf numFmtId="3" fontId="24" fillId="34" borderId="0" xfId="0" applyFont="1" applyFill="1"/>
    <xf numFmtId="3" fontId="24" fillId="34" borderId="58" xfId="0" applyFont="1" applyFill="1" applyBorder="1"/>
    <xf numFmtId="3" fontId="27" fillId="34" borderId="43" xfId="0" applyFont="1" applyFill="1" applyBorder="1"/>
    <xf numFmtId="37" fontId="27" fillId="0" borderId="33" xfId="0" applyNumberFormat="1" applyFont="1" applyBorder="1"/>
    <xf numFmtId="37" fontId="70" fillId="0" borderId="53" xfId="0" applyNumberFormat="1" applyFont="1" applyBorder="1" applyAlignment="1">
      <alignment horizontal="centerContinuous"/>
    </xf>
    <xf numFmtId="37" fontId="70" fillId="0" borderId="54" xfId="0" applyNumberFormat="1" applyFont="1" applyBorder="1" applyAlignment="1">
      <alignment horizontal="centerContinuous"/>
    </xf>
    <xf numFmtId="37" fontId="70" fillId="0" borderId="0" xfId="0" applyNumberFormat="1" applyFont="1" applyAlignment="1">
      <alignment horizontal="centerContinuous" wrapText="1"/>
    </xf>
    <xf numFmtId="37" fontId="70" fillId="34" borderId="53" xfId="0" applyNumberFormat="1" applyFont="1" applyFill="1" applyBorder="1" applyAlignment="1">
      <alignment horizontal="centerContinuous"/>
    </xf>
    <xf numFmtId="37" fontId="70" fillId="34" borderId="53" xfId="0" applyNumberFormat="1" applyFont="1" applyFill="1" applyBorder="1" applyAlignment="1">
      <alignment horizontal="centerContinuous" wrapText="1"/>
    </xf>
    <xf numFmtId="37" fontId="70" fillId="34" borderId="71" xfId="0" applyNumberFormat="1" applyFont="1" applyFill="1" applyBorder="1" applyAlignment="1">
      <alignment horizontal="centerContinuous" wrapText="1"/>
    </xf>
    <xf numFmtId="37" fontId="70" fillId="34" borderId="54" xfId="0" applyNumberFormat="1" applyFont="1" applyFill="1" applyBorder="1" applyAlignment="1">
      <alignment horizontal="centerContinuous"/>
    </xf>
    <xf numFmtId="37" fontId="24" fillId="0" borderId="0" xfId="0" applyNumberFormat="1" applyFont="1" applyAlignment="1">
      <alignment horizontal="center"/>
    </xf>
    <xf numFmtId="3" fontId="24" fillId="0" borderId="43" xfId="0" applyFont="1" applyBorder="1"/>
    <xf numFmtId="165" fontId="24" fillId="34" borderId="57" xfId="18" applyNumberFormat="1" applyFont="1" applyFill="1" applyBorder="1"/>
    <xf numFmtId="3" fontId="24" fillId="34" borderId="43" xfId="18" applyNumberFormat="1" applyFont="1" applyFill="1" applyBorder="1"/>
    <xf numFmtId="3" fontId="24" fillId="34" borderId="0" xfId="18" applyNumberFormat="1" applyFont="1" applyFill="1"/>
    <xf numFmtId="168" fontId="24" fillId="34" borderId="43" xfId="24" applyNumberFormat="1" applyFont="1" applyFill="1" applyBorder="1"/>
    <xf numFmtId="168" fontId="24" fillId="34" borderId="0" xfId="24" applyNumberFormat="1" applyFont="1" applyFill="1"/>
    <xf numFmtId="165" fontId="24" fillId="34" borderId="58" xfId="18" applyNumberFormat="1" applyFont="1" applyFill="1" applyBorder="1"/>
    <xf numFmtId="37" fontId="24" fillId="0" borderId="55" xfId="0" applyNumberFormat="1" applyFont="1" applyBorder="1" applyAlignment="1">
      <alignment horizontal="center"/>
    </xf>
    <xf numFmtId="3" fontId="24" fillId="0" borderId="56" xfId="0" applyFont="1" applyBorder="1"/>
    <xf numFmtId="165" fontId="24" fillId="34" borderId="59" xfId="18" applyNumberFormat="1" applyFont="1" applyFill="1" applyBorder="1"/>
    <xf numFmtId="3" fontId="24" fillId="34" borderId="56" xfId="18" applyNumberFormat="1" applyFont="1" applyFill="1" applyBorder="1"/>
    <xf numFmtId="3" fontId="24" fillId="34" borderId="55" xfId="18" applyNumberFormat="1" applyFont="1" applyFill="1" applyBorder="1"/>
    <xf numFmtId="3" fontId="24" fillId="34" borderId="59" xfId="18" applyNumberFormat="1" applyFont="1" applyFill="1" applyBorder="1"/>
    <xf numFmtId="168" fontId="24" fillId="34" borderId="56" xfId="24" applyNumberFormat="1" applyFont="1" applyFill="1" applyBorder="1"/>
    <xf numFmtId="168" fontId="24" fillId="34" borderId="55" xfId="24" applyNumberFormat="1" applyFont="1" applyFill="1" applyBorder="1"/>
    <xf numFmtId="37" fontId="24" fillId="0" borderId="47" xfId="0" applyNumberFormat="1" applyFont="1" applyBorder="1" applyAlignment="1">
      <alignment horizontal="right"/>
    </xf>
    <xf numFmtId="3" fontId="69" fillId="0" borderId="0" xfId="0" applyFont="1"/>
    <xf numFmtId="3" fontId="71" fillId="0" borderId="33" xfId="0" applyFont="1" applyBorder="1" applyAlignment="1">
      <alignment horizontal="center"/>
    </xf>
    <xf numFmtId="37" fontId="23" fillId="0" borderId="0" xfId="0" applyNumberFormat="1" applyFont="1" applyAlignment="1">
      <alignment vertical="top" wrapText="1"/>
    </xf>
    <xf numFmtId="37" fontId="26" fillId="0" borderId="0" xfId="0" applyNumberFormat="1" applyFont="1" applyAlignment="1">
      <alignment horizontal="left"/>
    </xf>
    <xf numFmtId="49" fontId="24" fillId="38" borderId="0" xfId="0" applyNumberFormat="1" applyFont="1" applyFill="1" applyProtection="1">
      <protection locked="0"/>
    </xf>
    <xf numFmtId="164" fontId="28" fillId="0" borderId="0" xfId="0" applyNumberFormat="1" applyFont="1" applyAlignment="1">
      <alignment horizontal="center"/>
    </xf>
    <xf numFmtId="164" fontId="29" fillId="0" borderId="0" xfId="0" applyNumberFormat="1" applyFont="1" applyAlignment="1">
      <alignment horizontal="center"/>
    </xf>
    <xf numFmtId="164" fontId="28" fillId="0" borderId="0" xfId="0" applyNumberFormat="1" applyFont="1"/>
    <xf numFmtId="164" fontId="29" fillId="0" borderId="0" xfId="0" applyNumberFormat="1" applyFont="1"/>
    <xf numFmtId="164" fontId="24" fillId="0" borderId="0" xfId="0" applyNumberFormat="1" applyFont="1"/>
    <xf numFmtId="49" fontId="24" fillId="9" borderId="0" xfId="0" applyNumberFormat="1" applyFont="1" applyFill="1" applyAlignment="1" applyProtection="1">
      <alignment horizontal="left"/>
      <protection locked="0"/>
    </xf>
    <xf numFmtId="1" fontId="24" fillId="9" borderId="0" xfId="0" applyNumberFormat="1" applyFont="1" applyFill="1" applyAlignment="1" applyProtection="1">
      <alignment horizontal="center"/>
      <protection locked="0"/>
    </xf>
    <xf numFmtId="49" fontId="24" fillId="9" borderId="0" xfId="0" applyNumberFormat="1" applyFont="1" applyFill="1" applyAlignment="1" applyProtection="1">
      <alignment horizontal="center"/>
      <protection locked="0"/>
    </xf>
    <xf numFmtId="165" fontId="28" fillId="9" borderId="4" xfId="0" applyNumberFormat="1" applyFont="1" applyFill="1" applyBorder="1" applyAlignment="1" applyProtection="1">
      <alignment horizontal="center"/>
      <protection locked="0"/>
    </xf>
    <xf numFmtId="165" fontId="29" fillId="9" borderId="0" xfId="0" applyNumberFormat="1" applyFont="1" applyFill="1" applyAlignment="1" applyProtection="1">
      <alignment horizontal="center"/>
      <protection locked="0"/>
    </xf>
    <xf numFmtId="3" fontId="28" fillId="9" borderId="72" xfId="0" applyFont="1" applyFill="1" applyBorder="1" applyAlignment="1" applyProtection="1">
      <alignment horizontal="right"/>
      <protection locked="0"/>
    </xf>
    <xf numFmtId="3" fontId="29" fillId="9" borderId="0" xfId="0" applyFont="1" applyFill="1" applyAlignment="1" applyProtection="1">
      <alignment horizontal="right"/>
      <protection locked="0"/>
    </xf>
    <xf numFmtId="3" fontId="32" fillId="6" borderId="72" xfId="0" applyFont="1" applyFill="1" applyBorder="1" applyAlignment="1">
      <alignment horizontal="right"/>
    </xf>
    <xf numFmtId="3" fontId="32" fillId="6" borderId="43" xfId="0" applyFont="1" applyFill="1" applyBorder="1" applyAlignment="1">
      <alignment horizontal="right"/>
    </xf>
    <xf numFmtId="3" fontId="34" fillId="3" borderId="72" xfId="0" applyFont="1" applyFill="1" applyBorder="1" applyAlignment="1">
      <alignment horizontal="right"/>
    </xf>
    <xf numFmtId="3" fontId="34" fillId="3" borderId="43" xfId="0" applyFont="1" applyFill="1" applyBorder="1" applyAlignment="1">
      <alignment horizontal="right"/>
    </xf>
    <xf numFmtId="3" fontId="34" fillId="3" borderId="5" xfId="0" applyFont="1" applyFill="1" applyBorder="1" applyAlignment="1">
      <alignment horizontal="right"/>
    </xf>
    <xf numFmtId="3" fontId="28" fillId="9" borderId="4" xfId="0" applyFont="1" applyFill="1" applyBorder="1" applyAlignment="1" applyProtection="1">
      <alignment horizontal="right"/>
      <protection locked="0"/>
    </xf>
    <xf numFmtId="3" fontId="32" fillId="6" borderId="0" xfId="0" applyFont="1" applyFill="1" applyAlignment="1">
      <alignment horizontal="right"/>
    </xf>
    <xf numFmtId="3" fontId="34" fillId="3" borderId="73" xfId="0" applyFont="1" applyFill="1" applyBorder="1" applyAlignment="1">
      <alignment horizontal="right"/>
    </xf>
    <xf numFmtId="3" fontId="32" fillId="6" borderId="6" xfId="0" applyFont="1" applyFill="1" applyBorder="1" applyAlignment="1">
      <alignment horizontal="right"/>
    </xf>
    <xf numFmtId="0" fontId="36" fillId="4" borderId="74" xfId="0" applyNumberFormat="1" applyFont="1" applyFill="1" applyBorder="1" applyAlignment="1">
      <alignment horizontal="left"/>
    </xf>
    <xf numFmtId="0" fontId="0" fillId="0" borderId="0" xfId="0" applyNumberFormat="1"/>
    <xf numFmtId="165" fontId="27" fillId="0" borderId="0" xfId="0" applyNumberFormat="1" applyFont="1" applyAlignment="1">
      <alignment horizontal="left" vertical="top"/>
    </xf>
    <xf numFmtId="164" fontId="27" fillId="0" borderId="0" xfId="0" applyNumberFormat="1" applyFont="1" applyAlignment="1">
      <alignment horizontal="left" vertical="top"/>
    </xf>
    <xf numFmtId="164" fontId="27" fillId="0" borderId="18" xfId="0" applyNumberFormat="1" applyFont="1" applyBorder="1" applyAlignment="1">
      <alignment horizontal="center"/>
    </xf>
    <xf numFmtId="37" fontId="29" fillId="0" borderId="19" xfId="0" applyNumberFormat="1" applyFont="1" applyBorder="1" applyAlignment="1">
      <alignment horizontal="center"/>
    </xf>
    <xf numFmtId="164" fontId="26" fillId="0" borderId="78" xfId="0" applyNumberFormat="1" applyFont="1" applyBorder="1" applyAlignment="1">
      <alignment horizontal="centerContinuous"/>
    </xf>
    <xf numFmtId="37" fontId="29" fillId="0" borderId="79" xfId="0" applyNumberFormat="1" applyFont="1" applyBorder="1" applyAlignment="1">
      <alignment horizontal="centerContinuous"/>
    </xf>
    <xf numFmtId="164" fontId="27" fillId="0" borderId="79" xfId="0" applyNumberFormat="1" applyFont="1" applyBorder="1" applyAlignment="1">
      <alignment horizontal="centerContinuous"/>
    </xf>
    <xf numFmtId="165" fontId="29" fillId="0" borderId="79" xfId="0" applyNumberFormat="1" applyFont="1" applyBorder="1" applyAlignment="1">
      <alignment horizontal="centerContinuous"/>
    </xf>
    <xf numFmtId="164" fontId="27" fillId="0" borderId="79" xfId="0" applyNumberFormat="1" applyFont="1" applyBorder="1" applyAlignment="1">
      <alignment horizontal="center"/>
    </xf>
    <xf numFmtId="37" fontId="29" fillId="0" borderId="79" xfId="0" applyNumberFormat="1" applyFont="1" applyBorder="1" applyAlignment="1">
      <alignment horizontal="center"/>
    </xf>
    <xf numFmtId="37" fontId="29" fillId="0" borderId="80" xfId="0" applyNumberFormat="1" applyFont="1" applyBorder="1" applyAlignment="1">
      <alignment horizontal="centerContinuous"/>
    </xf>
    <xf numFmtId="164" fontId="27" fillId="0" borderId="78" xfId="0" applyNumberFormat="1" applyFont="1" applyBorder="1" applyAlignment="1">
      <alignment horizontal="centerContinuous"/>
    </xf>
    <xf numFmtId="37" fontId="29" fillId="0" borderId="78" xfId="0" applyNumberFormat="1" applyFont="1" applyBorder="1" applyAlignment="1">
      <alignment horizontal="centerContinuous"/>
    </xf>
    <xf numFmtId="37" fontId="29" fillId="0" borderId="7" xfId="0" applyNumberFormat="1" applyFont="1" applyBorder="1" applyAlignment="1">
      <alignment horizontal="centerContinuous"/>
    </xf>
    <xf numFmtId="164" fontId="24" fillId="0" borderId="0" xfId="0" applyNumberFormat="1" applyFont="1" applyAlignment="1">
      <alignment horizontal="center"/>
    </xf>
    <xf numFmtId="49" fontId="27" fillId="8" borderId="43" xfId="0" applyNumberFormat="1" applyFont="1" applyFill="1" applyBorder="1" applyAlignment="1">
      <alignment horizontal="left" vertical="top"/>
    </xf>
    <xf numFmtId="49" fontId="27" fillId="8" borderId="0" xfId="0" applyNumberFormat="1" applyFont="1" applyFill="1" applyAlignment="1">
      <alignment horizontal="left" vertical="top"/>
    </xf>
    <xf numFmtId="37" fontId="27" fillId="0" borderId="82" xfId="0" applyNumberFormat="1" applyFont="1" applyBorder="1" applyAlignment="1">
      <alignment horizontal="centerContinuous" wrapText="1"/>
    </xf>
    <xf numFmtId="37" fontId="29" fillId="0" borderId="83" xfId="0" applyNumberFormat="1" applyFont="1" applyBorder="1" applyAlignment="1">
      <alignment horizontal="centerContinuous" wrapText="1"/>
    </xf>
    <xf numFmtId="37" fontId="27" fillId="7" borderId="78" xfId="0" applyNumberFormat="1" applyFont="1" applyFill="1" applyBorder="1" applyAlignment="1">
      <alignment horizontal="center" wrapText="1"/>
    </xf>
    <xf numFmtId="37" fontId="29" fillId="3" borderId="78" xfId="0" applyNumberFormat="1" applyFont="1" applyFill="1" applyBorder="1" applyAlignment="1">
      <alignment horizontal="center" wrapText="1"/>
    </xf>
    <xf numFmtId="37" fontId="29" fillId="3" borderId="84" xfId="0" applyNumberFormat="1" applyFont="1" applyFill="1" applyBorder="1" applyAlignment="1">
      <alignment horizontal="center" wrapText="1"/>
    </xf>
    <xf numFmtId="37" fontId="29" fillId="0" borderId="79" xfId="0" applyNumberFormat="1" applyFont="1" applyBorder="1" applyAlignment="1">
      <alignment horizontal="centerContinuous" wrapText="1"/>
    </xf>
    <xf numFmtId="0" fontId="34" fillId="6" borderId="75" xfId="0" applyNumberFormat="1" applyFont="1" applyFill="1" applyBorder="1" applyAlignment="1">
      <alignment horizontal="centerContinuous"/>
    </xf>
    <xf numFmtId="0" fontId="34" fillId="3" borderId="76" xfId="0" applyNumberFormat="1" applyFont="1" applyFill="1" applyBorder="1" applyAlignment="1">
      <alignment horizontal="centerContinuous"/>
    </xf>
    <xf numFmtId="164" fontId="24" fillId="2" borderId="0" xfId="0" applyNumberFormat="1" applyFont="1" applyFill="1" applyAlignment="1">
      <alignment wrapText="1"/>
    </xf>
    <xf numFmtId="0" fontId="24" fillId="2" borderId="0" xfId="0" applyNumberFormat="1" applyFont="1" applyFill="1" applyAlignment="1">
      <alignment horizontal="center" wrapText="1"/>
    </xf>
    <xf numFmtId="164" fontId="24" fillId="2" borderId="0" xfId="0" applyNumberFormat="1" applyFont="1" applyFill="1" applyAlignment="1">
      <alignment horizontal="center" wrapText="1"/>
    </xf>
    <xf numFmtId="37" fontId="24" fillId="2" borderId="0" xfId="0" applyNumberFormat="1" applyFont="1" applyFill="1" applyAlignment="1">
      <alignment horizontal="center" wrapText="1"/>
    </xf>
    <xf numFmtId="165" fontId="24" fillId="2" borderId="0" xfId="0" applyNumberFormat="1" applyFont="1" applyFill="1" applyAlignment="1">
      <alignment horizontal="center" wrapText="1"/>
    </xf>
    <xf numFmtId="164" fontId="24" fillId="2" borderId="3" xfId="0" applyNumberFormat="1" applyFont="1" applyFill="1" applyBorder="1" applyAlignment="1">
      <alignment horizontal="center" wrapText="1"/>
    </xf>
    <xf numFmtId="164" fontId="24" fillId="0" borderId="0" xfId="0" applyNumberFormat="1" applyFont="1" applyAlignment="1">
      <alignment wrapText="1"/>
    </xf>
    <xf numFmtId="3" fontId="27" fillId="46" borderId="0" xfId="0" applyFont="1" applyFill="1" applyAlignment="1">
      <alignment horizontal="left"/>
    </xf>
    <xf numFmtId="3" fontId="24" fillId="46" borderId="43" xfId="0" applyFont="1" applyFill="1" applyBorder="1" applyAlignment="1">
      <alignment horizontal="center"/>
    </xf>
    <xf numFmtId="3" fontId="24" fillId="46" borderId="0" xfId="0" applyFont="1" applyFill="1" applyAlignment="1">
      <alignment horizontal="left"/>
    </xf>
    <xf numFmtId="3" fontId="24" fillId="46" borderId="0" xfId="0" applyFont="1" applyFill="1" applyAlignment="1">
      <alignment horizontal="center"/>
    </xf>
    <xf numFmtId="3" fontId="24" fillId="39" borderId="0" xfId="0" applyFont="1" applyFill="1" applyAlignment="1">
      <alignment horizontal="left"/>
    </xf>
    <xf numFmtId="37" fontId="0" fillId="0" borderId="0" xfId="0" applyNumberFormat="1" applyAlignment="1">
      <alignment horizontal="left" vertical="top" wrapText="1"/>
    </xf>
    <xf numFmtId="3" fontId="0" fillId="0" borderId="0" xfId="0" applyAlignment="1">
      <alignment horizontal="left" vertical="top" wrapText="1"/>
    </xf>
    <xf numFmtId="3" fontId="31" fillId="46" borderId="0" xfId="0" applyFont="1" applyFill="1" applyAlignment="1">
      <alignment horizontal="left"/>
    </xf>
    <xf numFmtId="3" fontId="24" fillId="50" borderId="43" xfId="0" applyFont="1" applyFill="1" applyBorder="1" applyAlignment="1">
      <alignment horizontal="center"/>
    </xf>
    <xf numFmtId="3" fontId="24" fillId="50" borderId="0" xfId="0" applyFont="1" applyFill="1" applyAlignment="1">
      <alignment horizontal="left"/>
    </xf>
    <xf numFmtId="3" fontId="27" fillId="50" borderId="0" xfId="0" applyFont="1" applyFill="1" applyAlignment="1">
      <alignment horizontal="left"/>
    </xf>
    <xf numFmtId="3" fontId="24" fillId="50" borderId="0" xfId="0" applyFont="1" applyFill="1" applyAlignment="1">
      <alignment horizontal="center"/>
    </xf>
    <xf numFmtId="3" fontId="31" fillId="50" borderId="0" xfId="0" applyFont="1" applyFill="1" applyAlignment="1">
      <alignment horizontal="left"/>
    </xf>
    <xf numFmtId="3" fontId="24" fillId="35" borderId="0" xfId="0" applyFont="1" applyFill="1" applyAlignment="1">
      <alignment horizontal="left"/>
    </xf>
    <xf numFmtId="3" fontId="24" fillId="51" borderId="0" xfId="0" applyFont="1" applyFill="1" applyAlignment="1">
      <alignment horizontal="center"/>
    </xf>
    <xf numFmtId="3" fontId="24" fillId="51" borderId="0" xfId="0" applyFont="1" applyFill="1" applyAlignment="1">
      <alignment horizontal="left"/>
    </xf>
    <xf numFmtId="3" fontId="27" fillId="51" borderId="0" xfId="0" applyFont="1" applyFill="1" applyAlignment="1">
      <alignment horizontal="left"/>
    </xf>
    <xf numFmtId="3" fontId="31" fillId="51" borderId="0" xfId="0" applyFont="1" applyFill="1" applyAlignment="1">
      <alignment horizontal="left"/>
    </xf>
    <xf numFmtId="3" fontId="24" fillId="53" borderId="0" xfId="0" applyFont="1" applyFill="1" applyAlignment="1">
      <alignment horizontal="center"/>
    </xf>
    <xf numFmtId="3" fontId="24" fillId="53" borderId="0" xfId="0" applyFont="1" applyFill="1" applyAlignment="1">
      <alignment horizontal="left"/>
    </xf>
    <xf numFmtId="3" fontId="24" fillId="54" borderId="43" xfId="0" applyFont="1" applyFill="1" applyBorder="1" applyAlignment="1">
      <alignment horizontal="center"/>
    </xf>
    <xf numFmtId="3" fontId="24" fillId="54" borderId="0" xfId="0" applyFont="1" applyFill="1" applyAlignment="1">
      <alignment horizontal="left"/>
    </xf>
    <xf numFmtId="3" fontId="27" fillId="54" borderId="0" xfId="0" applyFont="1" applyFill="1" applyAlignment="1">
      <alignment horizontal="left"/>
    </xf>
    <xf numFmtId="3" fontId="24" fillId="44" borderId="0" xfId="0" applyFont="1" applyFill="1" applyAlignment="1">
      <alignment horizontal="left"/>
    </xf>
    <xf numFmtId="3" fontId="31" fillId="54" borderId="0" xfId="0" applyFont="1" applyFill="1" applyAlignment="1">
      <alignment horizontal="left"/>
    </xf>
    <xf numFmtId="3" fontId="24" fillId="55" borderId="43" xfId="0" applyFont="1" applyFill="1" applyBorder="1" applyAlignment="1">
      <alignment horizontal="center"/>
    </xf>
    <xf numFmtId="3" fontId="24" fillId="55" borderId="0" xfId="0" applyFont="1" applyFill="1" applyAlignment="1">
      <alignment horizontal="left"/>
    </xf>
    <xf numFmtId="3" fontId="27" fillId="55" borderId="0" xfId="0" applyFont="1" applyFill="1" applyAlignment="1">
      <alignment horizontal="left"/>
    </xf>
    <xf numFmtId="3" fontId="24" fillId="55" borderId="0" xfId="0" applyFont="1" applyFill="1" applyAlignment="1">
      <alignment horizontal="center"/>
    </xf>
    <xf numFmtId="3" fontId="31" fillId="55" borderId="0" xfId="0" applyFont="1" applyFill="1" applyAlignment="1">
      <alignment horizontal="left"/>
    </xf>
    <xf numFmtId="3" fontId="24" fillId="45" borderId="0" xfId="0" applyFont="1" applyFill="1" applyAlignment="1">
      <alignment horizontal="left"/>
    </xf>
    <xf numFmtId="3" fontId="24" fillId="51" borderId="43" xfId="0" applyFont="1" applyFill="1" applyBorder="1" applyAlignment="1">
      <alignment horizontal="center"/>
    </xf>
    <xf numFmtId="3" fontId="24" fillId="52" borderId="43" xfId="0" applyFont="1" applyFill="1" applyBorder="1" applyAlignment="1">
      <alignment horizontal="center"/>
    </xf>
    <xf numFmtId="3" fontId="24" fillId="52" borderId="0" xfId="0" applyFont="1" applyFill="1" applyAlignment="1">
      <alignment horizontal="left"/>
    </xf>
    <xf numFmtId="3" fontId="27" fillId="52" borderId="0" xfId="0" applyFont="1" applyFill="1" applyAlignment="1">
      <alignment horizontal="left"/>
    </xf>
    <xf numFmtId="3" fontId="24" fillId="52" borderId="0" xfId="0" applyFont="1" applyFill="1" applyAlignment="1">
      <alignment horizontal="center"/>
    </xf>
    <xf numFmtId="3" fontId="87" fillId="52" borderId="0" xfId="0" applyFont="1" applyFill="1" applyAlignment="1">
      <alignment horizontal="left"/>
    </xf>
    <xf numFmtId="3" fontId="24" fillId="56" borderId="43" xfId="0" applyFont="1" applyFill="1" applyBorder="1" applyAlignment="1">
      <alignment horizontal="center"/>
    </xf>
    <xf numFmtId="3" fontId="24" fillId="56" borderId="0" xfId="0" applyFont="1" applyFill="1" applyAlignment="1">
      <alignment horizontal="left"/>
    </xf>
    <xf numFmtId="3" fontId="27" fillId="56" borderId="0" xfId="0" applyFont="1" applyFill="1" applyAlignment="1">
      <alignment horizontal="left"/>
    </xf>
    <xf numFmtId="3" fontId="24" fillId="56" borderId="0" xfId="0" applyFont="1" applyFill="1" applyAlignment="1">
      <alignment horizontal="center"/>
    </xf>
    <xf numFmtId="3" fontId="31" fillId="56" borderId="0" xfId="0" applyFont="1" applyFill="1" applyAlignment="1">
      <alignment horizontal="left"/>
    </xf>
    <xf numFmtId="3" fontId="24" fillId="50" borderId="89" xfId="0" applyFont="1" applyFill="1" applyBorder="1" applyAlignment="1">
      <alignment horizontal="center"/>
    </xf>
    <xf numFmtId="3" fontId="24" fillId="50" borderId="89" xfId="0" applyFont="1" applyFill="1" applyBorder="1"/>
    <xf numFmtId="3" fontId="27" fillId="50" borderId="89" xfId="0" applyFont="1" applyFill="1" applyBorder="1" applyAlignment="1">
      <alignment horizontal="left"/>
    </xf>
    <xf numFmtId="3" fontId="24" fillId="50" borderId="0" xfId="0" applyFont="1" applyFill="1"/>
    <xf numFmtId="3" fontId="87" fillId="55" borderId="0" xfId="0" applyFont="1" applyFill="1" applyAlignment="1">
      <alignment horizontal="left"/>
    </xf>
    <xf numFmtId="3" fontId="88" fillId="55" borderId="0" xfId="0" applyFont="1" applyFill="1" applyAlignment="1">
      <alignment horizontal="left"/>
    </xf>
    <xf numFmtId="3" fontId="87" fillId="51" borderId="0" xfId="0" applyFont="1" applyFill="1" applyAlignment="1">
      <alignment horizontal="left"/>
    </xf>
    <xf numFmtId="3" fontId="88" fillId="51" borderId="0" xfId="0" applyFont="1" applyFill="1" applyAlignment="1">
      <alignment horizontal="left"/>
    </xf>
    <xf numFmtId="3" fontId="24" fillId="41" borderId="0" xfId="0" applyFont="1" applyFill="1" applyAlignment="1">
      <alignment horizontal="left"/>
    </xf>
    <xf numFmtId="3" fontId="24" fillId="59" borderId="0" xfId="0" applyFont="1" applyFill="1" applyAlignment="1">
      <alignment horizontal="left"/>
    </xf>
    <xf numFmtId="3" fontId="24" fillId="52" borderId="0" xfId="0" applyFont="1" applyFill="1"/>
    <xf numFmtId="3" fontId="24" fillId="41" borderId="0" xfId="0" applyFont="1" applyFill="1"/>
    <xf numFmtId="3" fontId="24" fillId="57" borderId="0" xfId="0" applyFont="1" applyFill="1"/>
    <xf numFmtId="3" fontId="24" fillId="58" borderId="0" xfId="0" applyFont="1" applyFill="1"/>
    <xf numFmtId="3" fontId="24" fillId="56" borderId="0" xfId="0" applyFont="1" applyFill="1"/>
    <xf numFmtId="3" fontId="27" fillId="56" borderId="0" xfId="0" applyFont="1" applyFill="1"/>
    <xf numFmtId="3" fontId="87" fillId="56" borderId="0" xfId="0" applyFont="1" applyFill="1"/>
    <xf numFmtId="3" fontId="31" fillId="56" borderId="0" xfId="0" applyFont="1" applyFill="1"/>
    <xf numFmtId="3" fontId="24" fillId="40" borderId="0" xfId="0" applyFont="1" applyFill="1"/>
    <xf numFmtId="39" fontId="24" fillId="33" borderId="88" xfId="0" applyNumberFormat="1" applyFont="1" applyFill="1" applyBorder="1" applyAlignment="1" applyProtection="1">
      <alignment horizontal="center" vertical="top"/>
      <protection locked="0"/>
    </xf>
    <xf numFmtId="37" fontId="24" fillId="33" borderId="88" xfId="0" applyNumberFormat="1" applyFont="1" applyFill="1" applyBorder="1" applyAlignment="1" applyProtection="1">
      <alignment horizontal="center" vertical="top"/>
      <protection locked="0"/>
    </xf>
    <xf numFmtId="49" fontId="31" fillId="46" borderId="0" xfId="0" applyNumberFormat="1" applyFont="1" applyFill="1" applyAlignment="1" applyProtection="1">
      <alignment horizontal="left"/>
      <protection locked="0"/>
    </xf>
    <xf numFmtId="49" fontId="27" fillId="46" borderId="0" xfId="0" applyNumberFormat="1" applyFont="1" applyFill="1" applyAlignment="1" applyProtection="1">
      <alignment horizontal="left"/>
      <protection locked="0"/>
    </xf>
    <xf numFmtId="3" fontId="24" fillId="33" borderId="90" xfId="0" applyFont="1" applyFill="1" applyBorder="1" applyAlignment="1" applyProtection="1">
      <alignment wrapText="1"/>
      <protection locked="0"/>
    </xf>
    <xf numFmtId="49" fontId="24" fillId="53" borderId="0" xfId="0" applyNumberFormat="1" applyFont="1" applyFill="1" applyAlignment="1" applyProtection="1">
      <alignment horizontal="left"/>
      <protection locked="0"/>
    </xf>
    <xf numFmtId="49" fontId="27" fillId="53" borderId="0" xfId="0" applyNumberFormat="1" applyFont="1" applyFill="1" applyAlignment="1" applyProtection="1">
      <alignment horizontal="left"/>
      <protection locked="0"/>
    </xf>
    <xf numFmtId="1" fontId="24" fillId="53" borderId="0" xfId="0" applyNumberFormat="1" applyFont="1" applyFill="1" applyAlignment="1" applyProtection="1">
      <alignment horizontal="center"/>
      <protection locked="0"/>
    </xf>
    <xf numFmtId="39" fontId="24" fillId="47" borderId="88" xfId="0" applyNumberFormat="1" applyFont="1" applyFill="1" applyBorder="1" applyAlignment="1" applyProtection="1">
      <alignment horizontal="center"/>
      <protection locked="0"/>
    </xf>
    <xf numFmtId="49" fontId="24" fillId="60" borderId="43" xfId="0" applyNumberFormat="1" applyFont="1" applyFill="1" applyBorder="1" applyAlignment="1" applyProtection="1">
      <alignment horizontal="center"/>
      <protection locked="0"/>
    </xf>
    <xf numFmtId="49" fontId="24" fillId="60" borderId="0" xfId="0" applyNumberFormat="1" applyFont="1" applyFill="1" applyAlignment="1" applyProtection="1">
      <alignment horizontal="left"/>
      <protection locked="0"/>
    </xf>
    <xf numFmtId="49" fontId="27" fillId="60" borderId="0" xfId="0" applyNumberFormat="1" applyFont="1" applyFill="1" applyAlignment="1" applyProtection="1">
      <alignment horizontal="left"/>
      <protection locked="0"/>
    </xf>
    <xf numFmtId="1" fontId="24" fillId="60" borderId="0" xfId="0" applyNumberFormat="1" applyFont="1" applyFill="1" applyAlignment="1" applyProtection="1">
      <alignment horizontal="center"/>
      <protection locked="0"/>
    </xf>
    <xf numFmtId="39" fontId="24" fillId="47" borderId="88" xfId="0" applyNumberFormat="1" applyFont="1" applyFill="1" applyBorder="1" applyProtection="1">
      <protection locked="0"/>
    </xf>
    <xf numFmtId="49" fontId="24" fillId="53" borderId="0" xfId="0" applyNumberFormat="1" applyFont="1" applyFill="1" applyAlignment="1" applyProtection="1">
      <alignment horizontal="center"/>
      <protection locked="0"/>
    </xf>
    <xf numFmtId="3" fontId="88" fillId="53" borderId="0" xfId="0" applyFont="1" applyFill="1" applyAlignment="1" applyProtection="1">
      <alignment horizontal="left"/>
      <protection locked="0"/>
    </xf>
    <xf numFmtId="49" fontId="31" fillId="53" borderId="0" xfId="0" applyNumberFormat="1" applyFont="1" applyFill="1" applyAlignment="1" applyProtection="1">
      <alignment horizontal="left"/>
      <protection locked="0"/>
    </xf>
    <xf numFmtId="3" fontId="87" fillId="53" borderId="0" xfId="0" applyFont="1" applyFill="1" applyAlignment="1" applyProtection="1">
      <alignment horizontal="left"/>
      <protection locked="0"/>
    </xf>
    <xf numFmtId="1" fontId="31" fillId="53" borderId="0" xfId="0" applyNumberFormat="1" applyFont="1" applyFill="1" applyAlignment="1" applyProtection="1">
      <alignment horizontal="center"/>
      <protection locked="0"/>
    </xf>
    <xf numFmtId="49" fontId="24" fillId="49" borderId="0" xfId="0" applyNumberFormat="1" applyFont="1" applyFill="1" applyProtection="1">
      <protection locked="0"/>
    </xf>
    <xf numFmtId="49" fontId="24" fillId="61" borderId="0" xfId="0" applyNumberFormat="1" applyFont="1" applyFill="1" applyProtection="1">
      <protection locked="0"/>
    </xf>
    <xf numFmtId="49" fontId="24" fillId="62" borderId="0" xfId="0" applyNumberFormat="1" applyFont="1" applyFill="1" applyProtection="1">
      <protection locked="0"/>
    </xf>
    <xf numFmtId="49" fontId="24" fillId="62" borderId="0" xfId="0" applyNumberFormat="1" applyFont="1" applyFill="1" applyAlignment="1" applyProtection="1">
      <alignment horizontal="right"/>
      <protection locked="0"/>
    </xf>
    <xf numFmtId="49" fontId="24" fillId="63" borderId="0" xfId="0" applyNumberFormat="1" applyFont="1" applyFill="1" applyProtection="1">
      <protection locked="0"/>
    </xf>
    <xf numFmtId="49" fontId="24" fillId="63" borderId="0" xfId="0" applyNumberFormat="1" applyFont="1" applyFill="1" applyAlignment="1" applyProtection="1">
      <alignment horizontal="right"/>
      <protection locked="0"/>
    </xf>
    <xf numFmtId="49" fontId="24" fillId="64" borderId="0" xfId="0" applyNumberFormat="1" applyFont="1" applyFill="1" applyProtection="1">
      <protection locked="0"/>
    </xf>
    <xf numFmtId="49" fontId="24" fillId="64" borderId="0" xfId="0" applyNumberFormat="1" applyFont="1" applyFill="1" applyAlignment="1" applyProtection="1">
      <alignment horizontal="right"/>
      <protection locked="0"/>
    </xf>
    <xf numFmtId="37" fontId="24" fillId="65" borderId="88" xfId="0" applyNumberFormat="1" applyFont="1" applyFill="1" applyBorder="1" applyAlignment="1" applyProtection="1">
      <alignment horizontal="center"/>
      <protection locked="0"/>
    </xf>
    <xf numFmtId="3" fontId="23" fillId="65" borderId="85" xfId="0" applyFont="1" applyFill="1" applyBorder="1" applyAlignment="1" applyProtection="1">
      <alignment horizontal="right" wrapText="1" readingOrder="1"/>
      <protection locked="0"/>
    </xf>
    <xf numFmtId="3" fontId="23" fillId="33" borderId="85" xfId="0" applyFont="1" applyFill="1" applyBorder="1" applyAlignment="1" applyProtection="1">
      <alignment horizontal="right" wrapText="1" readingOrder="1"/>
      <protection locked="0"/>
    </xf>
    <xf numFmtId="3" fontId="23" fillId="33" borderId="86" xfId="0" applyFont="1" applyFill="1" applyBorder="1" applyAlignment="1" applyProtection="1">
      <alignment horizontal="right" wrapText="1" readingOrder="1"/>
      <protection locked="0"/>
    </xf>
    <xf numFmtId="3" fontId="23" fillId="33" borderId="87" xfId="0" applyFont="1" applyFill="1" applyBorder="1" applyAlignment="1" applyProtection="1">
      <alignment horizontal="right" wrapText="1" readingOrder="1"/>
      <protection locked="0"/>
    </xf>
    <xf numFmtId="3" fontId="23" fillId="65" borderId="87" xfId="0" applyFont="1" applyFill="1" applyBorder="1" applyAlignment="1" applyProtection="1">
      <alignment horizontal="right" wrapText="1" readingOrder="1"/>
      <protection locked="0"/>
    </xf>
    <xf numFmtId="3" fontId="24" fillId="33" borderId="84" xfId="0" applyFont="1" applyFill="1" applyBorder="1" applyProtection="1">
      <protection locked="0"/>
    </xf>
    <xf numFmtId="3" fontId="24" fillId="46" borderId="0" xfId="0" applyFont="1" applyFill="1" applyAlignment="1" applyProtection="1">
      <alignment horizontal="center"/>
      <protection locked="0"/>
    </xf>
    <xf numFmtId="3" fontId="24" fillId="51" borderId="0" xfId="0" applyFont="1" applyFill="1" applyAlignment="1" applyProtection="1">
      <alignment horizontal="center"/>
      <protection locked="0"/>
    </xf>
    <xf numFmtId="3" fontId="24" fillId="65" borderId="88" xfId="0" applyFont="1" applyFill="1" applyBorder="1" applyAlignment="1" applyProtection="1">
      <alignment horizontal="center"/>
      <protection locked="0"/>
    </xf>
    <xf numFmtId="3" fontId="24" fillId="33" borderId="88" xfId="0" applyFont="1" applyFill="1" applyBorder="1" applyAlignment="1" applyProtection="1">
      <alignment horizontal="center" vertical="top"/>
      <protection locked="0"/>
    </xf>
    <xf numFmtId="3" fontId="27" fillId="66" borderId="0" xfId="0" applyFont="1" applyFill="1" applyAlignment="1" applyProtection="1">
      <alignment horizontal="left"/>
      <protection locked="0"/>
    </xf>
    <xf numFmtId="3" fontId="24" fillId="53" borderId="0" xfId="0" applyFont="1" applyFill="1" applyAlignment="1" applyProtection="1">
      <alignment horizontal="center"/>
      <protection locked="0"/>
    </xf>
    <xf numFmtId="0" fontId="89" fillId="33" borderId="90" xfId="0" applyNumberFormat="1" applyFont="1" applyFill="1" applyBorder="1" applyAlignment="1" applyProtection="1">
      <alignment horizontal="right" wrapText="1"/>
      <protection locked="0"/>
    </xf>
    <xf numFmtId="3" fontId="24" fillId="65" borderId="88" xfId="0" applyFont="1" applyFill="1" applyBorder="1" applyAlignment="1" applyProtection="1">
      <alignment horizontal="center" vertical="top"/>
      <protection locked="0"/>
    </xf>
    <xf numFmtId="3" fontId="24" fillId="33" borderId="84" xfId="0" applyFont="1" applyFill="1" applyBorder="1" applyAlignment="1" applyProtection="1">
      <alignment horizontal="center" vertical="top"/>
      <protection locked="0"/>
    </xf>
    <xf numFmtId="3" fontId="24" fillId="54" borderId="0" xfId="0" applyFont="1" applyFill="1" applyAlignment="1" applyProtection="1">
      <alignment horizontal="center"/>
      <protection locked="0"/>
    </xf>
    <xf numFmtId="49" fontId="31" fillId="67" borderId="0" xfId="0" applyNumberFormat="1" applyFont="1" applyFill="1" applyAlignment="1" applyProtection="1">
      <alignment horizontal="left"/>
      <protection locked="0"/>
    </xf>
    <xf numFmtId="3" fontId="90" fillId="54" borderId="0" xfId="0" applyFont="1" applyFill="1" applyAlignment="1" applyProtection="1">
      <alignment horizontal="center"/>
      <protection locked="0"/>
    </xf>
    <xf numFmtId="49" fontId="27" fillId="67" borderId="0" xfId="0" applyNumberFormat="1" applyFont="1" applyFill="1" applyAlignment="1" applyProtection="1">
      <alignment horizontal="left"/>
      <protection locked="0"/>
    </xf>
    <xf numFmtId="1" fontId="24" fillId="17" borderId="0" xfId="0" applyNumberFormat="1" applyFont="1" applyFill="1" applyAlignment="1" applyProtection="1">
      <alignment horizontal="center"/>
      <protection locked="0"/>
    </xf>
    <xf numFmtId="1" fontId="31" fillId="17" borderId="0" xfId="0" applyNumberFormat="1" applyFont="1" applyFill="1" applyAlignment="1" applyProtection="1">
      <alignment horizontal="center"/>
      <protection locked="0"/>
    </xf>
    <xf numFmtId="0" fontId="33" fillId="4" borderId="91" xfId="0" applyNumberFormat="1" applyFont="1" applyFill="1" applyBorder="1" applyAlignment="1">
      <alignment horizontal="center"/>
    </xf>
    <xf numFmtId="0" fontId="33" fillId="4" borderId="91" xfId="0" applyNumberFormat="1" applyFont="1" applyFill="1" applyBorder="1" applyAlignment="1">
      <alignment horizontal="left" wrapText="1"/>
    </xf>
    <xf numFmtId="1" fontId="33" fillId="4" borderId="91" xfId="0" applyNumberFormat="1" applyFont="1" applyFill="1" applyBorder="1" applyAlignment="1">
      <alignment horizontal="center"/>
    </xf>
    <xf numFmtId="0" fontId="27" fillId="5" borderId="92" xfId="0" applyNumberFormat="1" applyFont="1" applyFill="1" applyBorder="1" applyAlignment="1">
      <alignment horizontal="center"/>
    </xf>
    <xf numFmtId="0" fontId="27" fillId="0" borderId="91" xfId="0" applyNumberFormat="1" applyFont="1" applyBorder="1" applyAlignment="1">
      <alignment horizontal="center"/>
    </xf>
    <xf numFmtId="0" fontId="34" fillId="6" borderId="93" xfId="0" applyNumberFormat="1" applyFont="1" applyFill="1" applyBorder="1" applyAlignment="1">
      <alignment horizontal="center"/>
    </xf>
    <xf numFmtId="0" fontId="34" fillId="6" borderId="94" xfId="0" applyNumberFormat="1" applyFont="1" applyFill="1" applyBorder="1" applyAlignment="1">
      <alignment horizontal="center"/>
    </xf>
    <xf numFmtId="0" fontId="34" fillId="3" borderId="93" xfId="0" applyNumberFormat="1" applyFont="1" applyFill="1" applyBorder="1" applyAlignment="1">
      <alignment horizontal="center"/>
    </xf>
    <xf numFmtId="0" fontId="34" fillId="3" borderId="94" xfId="0" applyNumberFormat="1" applyFont="1" applyFill="1" applyBorder="1" applyAlignment="1">
      <alignment horizontal="center"/>
    </xf>
    <xf numFmtId="0" fontId="34" fillId="3" borderId="95" xfId="0" applyNumberFormat="1" applyFont="1" applyFill="1" applyBorder="1" applyAlignment="1">
      <alignment horizontal="center"/>
    </xf>
    <xf numFmtId="0" fontId="34" fillId="3" borderId="96" xfId="0" applyNumberFormat="1" applyFont="1" applyFill="1" applyBorder="1" applyAlignment="1">
      <alignment horizontal="center"/>
    </xf>
    <xf numFmtId="0" fontId="34" fillId="6" borderId="97" xfId="0" applyNumberFormat="1" applyFont="1" applyFill="1" applyBorder="1" applyAlignment="1">
      <alignment horizontal="center"/>
    </xf>
    <xf numFmtId="3" fontId="24" fillId="50" borderId="0" xfId="0" applyFont="1" applyFill="1" applyAlignment="1" applyProtection="1">
      <alignment horizontal="center"/>
      <protection locked="0"/>
    </xf>
    <xf numFmtId="3" fontId="24" fillId="65" borderId="84" xfId="0" applyFont="1" applyFill="1" applyBorder="1" applyAlignment="1" applyProtection="1">
      <alignment horizontal="center" wrapText="1" readingOrder="1"/>
      <protection locked="0"/>
    </xf>
    <xf numFmtId="3" fontId="23" fillId="33" borderId="84" xfId="0" applyFont="1" applyFill="1" applyBorder="1" applyAlignment="1" applyProtection="1">
      <alignment horizontal="right" wrapText="1" readingOrder="1"/>
      <protection locked="0"/>
    </xf>
    <xf numFmtId="49" fontId="27" fillId="16" borderId="0" xfId="0" applyNumberFormat="1" applyFont="1" applyFill="1" applyAlignment="1" applyProtection="1">
      <alignment horizontal="left"/>
      <protection locked="0"/>
    </xf>
    <xf numFmtId="3" fontId="24" fillId="55" borderId="0" xfId="0" applyFont="1" applyFill="1" applyAlignment="1" applyProtection="1">
      <alignment horizontal="center"/>
      <protection locked="0"/>
    </xf>
    <xf numFmtId="49" fontId="31" fillId="20" borderId="0" xfId="0" applyNumberFormat="1" applyFont="1" applyFill="1" applyAlignment="1" applyProtection="1">
      <alignment horizontal="left"/>
      <protection locked="0"/>
    </xf>
    <xf numFmtId="1" fontId="24" fillId="20" borderId="0" xfId="0" applyNumberFormat="1" applyFont="1" applyFill="1" applyAlignment="1" applyProtection="1">
      <alignment horizontal="center"/>
      <protection locked="0"/>
    </xf>
    <xf numFmtId="1" fontId="31" fillId="68" borderId="0" xfId="0" applyNumberFormat="1" applyFont="1" applyFill="1" applyAlignment="1" applyProtection="1">
      <alignment horizontal="center"/>
      <protection locked="0"/>
    </xf>
    <xf numFmtId="3" fontId="24" fillId="65" borderId="88" xfId="0" applyFont="1" applyFill="1" applyBorder="1" applyProtection="1">
      <protection locked="0"/>
    </xf>
    <xf numFmtId="3" fontId="27" fillId="51" borderId="0" xfId="0" applyFont="1" applyFill="1" applyAlignment="1" applyProtection="1">
      <alignment horizontal="center"/>
      <protection locked="0"/>
    </xf>
    <xf numFmtId="3" fontId="24" fillId="52" borderId="0" xfId="0" applyFont="1" applyFill="1" applyAlignment="1" applyProtection="1">
      <alignment horizontal="center"/>
      <protection locked="0"/>
    </xf>
    <xf numFmtId="49" fontId="24" fillId="69" borderId="43" xfId="0" applyNumberFormat="1" applyFont="1" applyFill="1" applyBorder="1" applyAlignment="1" applyProtection="1">
      <alignment horizontal="center"/>
      <protection locked="0"/>
    </xf>
    <xf numFmtId="49" fontId="24" fillId="69" borderId="0" xfId="0" applyNumberFormat="1" applyFont="1" applyFill="1" applyAlignment="1" applyProtection="1">
      <alignment horizontal="left"/>
      <protection locked="0"/>
    </xf>
    <xf numFmtId="49" fontId="27" fillId="69" borderId="0" xfId="0" applyNumberFormat="1" applyFont="1" applyFill="1" applyAlignment="1" applyProtection="1">
      <alignment horizontal="left"/>
      <protection locked="0"/>
    </xf>
    <xf numFmtId="1" fontId="24" fillId="69" borderId="0" xfId="0" applyNumberFormat="1" applyFont="1" applyFill="1" applyAlignment="1" applyProtection="1">
      <alignment horizontal="center"/>
      <protection locked="0"/>
    </xf>
    <xf numFmtId="1" fontId="24" fillId="70" borderId="0" xfId="0" applyNumberFormat="1" applyFont="1" applyFill="1" applyAlignment="1" applyProtection="1">
      <alignment horizontal="center"/>
      <protection locked="0"/>
    </xf>
    <xf numFmtId="49" fontId="31" fillId="69" borderId="0" xfId="0" applyNumberFormat="1" applyFont="1" applyFill="1" applyAlignment="1" applyProtection="1">
      <alignment horizontal="left"/>
      <protection locked="0"/>
    </xf>
    <xf numFmtId="1" fontId="31" fillId="70" borderId="0" xfId="0" applyNumberFormat="1" applyFont="1" applyFill="1" applyAlignment="1" applyProtection="1">
      <alignment horizontal="center"/>
      <protection locked="0"/>
    </xf>
    <xf numFmtId="3" fontId="24" fillId="56" borderId="0" xfId="0" applyFont="1" applyFill="1" applyAlignment="1" applyProtection="1">
      <alignment horizontal="center"/>
      <protection locked="0"/>
    </xf>
    <xf numFmtId="3" fontId="24" fillId="54" borderId="43" xfId="0" applyFont="1" applyFill="1" applyBorder="1" applyAlignment="1" applyProtection="1">
      <alignment horizontal="center"/>
      <protection locked="0"/>
    </xf>
    <xf numFmtId="3" fontId="24" fillId="54" borderId="0" xfId="0" applyFont="1" applyFill="1" applyAlignment="1" applyProtection="1">
      <alignment horizontal="left"/>
      <protection locked="0"/>
    </xf>
    <xf numFmtId="3" fontId="27" fillId="54" borderId="0" xfId="0" applyFont="1" applyFill="1" applyAlignment="1" applyProtection="1">
      <alignment horizontal="left"/>
      <protection locked="0"/>
    </xf>
    <xf numFmtId="3" fontId="0" fillId="33" borderId="84" xfId="0" applyFill="1" applyBorder="1" applyProtection="1">
      <protection locked="0"/>
    </xf>
    <xf numFmtId="3" fontId="0" fillId="0" borderId="0" xfId="0" applyProtection="1">
      <protection locked="0"/>
    </xf>
    <xf numFmtId="3" fontId="24" fillId="50" borderId="89" xfId="0" applyFont="1" applyFill="1" applyBorder="1" applyAlignment="1" applyProtection="1">
      <alignment horizontal="center"/>
      <protection locked="0"/>
    </xf>
    <xf numFmtId="3" fontId="24" fillId="65" borderId="82" xfId="0" applyFont="1" applyFill="1" applyBorder="1" applyAlignment="1" applyProtection="1">
      <alignment horizontal="center"/>
      <protection locked="0"/>
    </xf>
    <xf numFmtId="3" fontId="89" fillId="33" borderId="84" xfId="0" applyFont="1" applyFill="1" applyBorder="1" applyProtection="1">
      <protection locked="0"/>
    </xf>
    <xf numFmtId="3" fontId="24" fillId="65" borderId="83" xfId="0" applyFont="1" applyFill="1" applyBorder="1" applyAlignment="1" applyProtection="1">
      <alignment horizontal="center"/>
      <protection locked="0"/>
    </xf>
    <xf numFmtId="3" fontId="91" fillId="68" borderId="0" xfId="0" applyFont="1" applyFill="1" applyAlignment="1" applyProtection="1">
      <alignment horizontal="left"/>
      <protection locked="0"/>
    </xf>
    <xf numFmtId="3" fontId="87" fillId="71" borderId="0" xfId="0" applyFont="1" applyFill="1" applyAlignment="1" applyProtection="1">
      <alignment horizontal="left"/>
      <protection locked="0"/>
    </xf>
    <xf numFmtId="1" fontId="24" fillId="66" borderId="0" xfId="0" applyNumberFormat="1" applyFont="1" applyFill="1" applyAlignment="1" applyProtection="1">
      <alignment horizontal="center"/>
      <protection locked="0"/>
    </xf>
    <xf numFmtId="3" fontId="24" fillId="72" borderId="88" xfId="0" applyFont="1" applyFill="1" applyBorder="1" applyAlignment="1" applyProtection="1">
      <alignment horizontal="center" vertical="top"/>
      <protection locked="0"/>
    </xf>
    <xf numFmtId="3" fontId="0" fillId="33" borderId="98" xfId="0" applyFill="1" applyBorder="1" applyAlignment="1" applyProtection="1">
      <alignment vertical="top" wrapText="1"/>
      <protection locked="0"/>
    </xf>
    <xf numFmtId="1" fontId="24" fillId="13" borderId="0" xfId="0" applyNumberFormat="1" applyFont="1" applyFill="1" applyAlignment="1" applyProtection="1">
      <alignment horizontal="center"/>
      <protection locked="0"/>
    </xf>
    <xf numFmtId="1" fontId="63" fillId="13" borderId="0" xfId="0" applyNumberFormat="1" applyFont="1" applyFill="1" applyAlignment="1" applyProtection="1">
      <alignment horizontal="center"/>
      <protection locked="0"/>
    </xf>
    <xf numFmtId="3" fontId="0" fillId="72" borderId="84" xfId="0" applyFill="1" applyBorder="1" applyAlignment="1" applyProtection="1">
      <alignment vertical="top" wrapText="1"/>
      <protection locked="0"/>
    </xf>
    <xf numFmtId="3" fontId="0" fillId="33" borderId="84" xfId="0" applyFill="1" applyBorder="1" applyAlignment="1" applyProtection="1">
      <alignment vertical="top" wrapText="1"/>
      <protection locked="0"/>
    </xf>
    <xf numFmtId="3" fontId="31" fillId="52" borderId="0" xfId="0" applyFont="1" applyFill="1" applyAlignment="1" applyProtection="1">
      <alignment horizontal="center"/>
      <protection locked="0"/>
    </xf>
    <xf numFmtId="49" fontId="27" fillId="13" borderId="0" xfId="0" applyNumberFormat="1" applyFont="1" applyFill="1" applyAlignment="1" applyProtection="1">
      <alignment horizontal="left"/>
      <protection locked="0"/>
    </xf>
    <xf numFmtId="1" fontId="63" fillId="43" borderId="0" xfId="0" applyNumberFormat="1" applyFont="1" applyFill="1" applyAlignment="1" applyProtection="1">
      <alignment horizontal="center"/>
      <protection locked="0"/>
    </xf>
    <xf numFmtId="3" fontId="27" fillId="33" borderId="0" xfId="0" applyFont="1" applyFill="1" applyProtection="1">
      <protection locked="0"/>
    </xf>
    <xf numFmtId="3" fontId="24" fillId="41" borderId="0" xfId="0" applyFont="1" applyFill="1" applyAlignment="1" applyProtection="1">
      <alignment horizontal="center"/>
      <protection locked="0"/>
    </xf>
    <xf numFmtId="3" fontId="24" fillId="65" borderId="0" xfId="0" applyFont="1" applyFill="1" applyAlignment="1" applyProtection="1">
      <alignment horizontal="center"/>
      <protection locked="0"/>
    </xf>
    <xf numFmtId="3" fontId="27" fillId="72" borderId="0" xfId="0" applyFont="1" applyFill="1" applyAlignment="1" applyProtection="1">
      <alignment horizontal="center"/>
      <protection locked="0"/>
    </xf>
    <xf numFmtId="3" fontId="24" fillId="65" borderId="0" xfId="0" applyFont="1" applyFill="1" applyProtection="1">
      <protection locked="0"/>
    </xf>
    <xf numFmtId="3" fontId="27" fillId="72" borderId="0" xfId="0" applyFont="1" applyFill="1" applyProtection="1">
      <protection locked="0"/>
    </xf>
    <xf numFmtId="3" fontId="27" fillId="65" borderId="0" xfId="0" applyFont="1" applyFill="1" applyProtection="1">
      <protection locked="0"/>
    </xf>
    <xf numFmtId="39" fontId="24" fillId="65" borderId="88" xfId="0" applyNumberFormat="1" applyFont="1" applyFill="1" applyBorder="1" applyAlignment="1" applyProtection="1">
      <alignment horizontal="center"/>
      <protection locked="0"/>
    </xf>
    <xf numFmtId="3" fontId="88" fillId="56" borderId="0" xfId="0" applyFont="1" applyFill="1" applyAlignment="1">
      <alignment horizontal="left"/>
    </xf>
    <xf numFmtId="3" fontId="27" fillId="56" borderId="0" xfId="0" applyFont="1" applyFill="1" applyAlignment="1" applyProtection="1">
      <alignment horizontal="center"/>
      <protection locked="0"/>
    </xf>
    <xf numFmtId="49" fontId="31" fillId="16" borderId="0" xfId="0" applyNumberFormat="1" applyFont="1" applyFill="1" applyAlignment="1" applyProtection="1">
      <alignment horizontal="left"/>
      <protection locked="0"/>
    </xf>
    <xf numFmtId="49" fontId="63" fillId="12" borderId="0" xfId="0" applyNumberFormat="1" applyFont="1" applyFill="1" applyAlignment="1" applyProtection="1">
      <alignment horizontal="left"/>
      <protection locked="0"/>
    </xf>
    <xf numFmtId="49" fontId="63" fillId="73" borderId="0" xfId="0" applyNumberFormat="1" applyFont="1" applyFill="1" applyAlignment="1" applyProtection="1">
      <alignment horizontal="left"/>
      <protection locked="0"/>
    </xf>
    <xf numFmtId="1" fontId="63" fillId="12" borderId="0" xfId="0" applyNumberFormat="1" applyFont="1" applyFill="1" applyAlignment="1" applyProtection="1">
      <alignment horizontal="center"/>
      <protection locked="0"/>
    </xf>
    <xf numFmtId="49" fontId="63" fillId="14" borderId="0" xfId="0" applyNumberFormat="1" applyFont="1" applyFill="1" applyAlignment="1" applyProtection="1">
      <alignment horizontal="left"/>
      <protection locked="0"/>
    </xf>
    <xf numFmtId="1" fontId="63" fillId="14" borderId="0" xfId="0" applyNumberFormat="1" applyFont="1" applyFill="1" applyAlignment="1" applyProtection="1">
      <alignment horizontal="center"/>
      <protection locked="0"/>
    </xf>
    <xf numFmtId="3" fontId="63" fillId="56" borderId="0" xfId="0" applyFont="1" applyFill="1" applyAlignment="1">
      <alignment horizontal="left"/>
    </xf>
    <xf numFmtId="3" fontId="94" fillId="68" borderId="0" xfId="0" applyFont="1" applyFill="1" applyAlignment="1" applyProtection="1">
      <alignment horizontal="left"/>
      <protection locked="0"/>
    </xf>
    <xf numFmtId="1" fontId="63" fillId="20" borderId="0" xfId="0" applyNumberFormat="1" applyFont="1" applyFill="1" applyAlignment="1" applyProtection="1">
      <alignment horizontal="center"/>
      <protection locked="0"/>
    </xf>
    <xf numFmtId="3" fontId="63" fillId="55" borderId="0" xfId="0" applyFont="1" applyFill="1" applyAlignment="1">
      <alignment horizontal="left"/>
    </xf>
    <xf numFmtId="3" fontId="94" fillId="70" borderId="0" xfId="0" applyFont="1" applyFill="1" applyAlignment="1" applyProtection="1">
      <alignment horizontal="left"/>
      <protection locked="0"/>
    </xf>
    <xf numFmtId="1" fontId="63" fillId="56" borderId="0" xfId="0" applyNumberFormat="1" applyFont="1" applyFill="1" applyAlignment="1" applyProtection="1">
      <alignment horizontal="center"/>
      <protection locked="0"/>
    </xf>
    <xf numFmtId="3" fontId="63" fillId="56" borderId="0" xfId="0" applyFont="1" applyFill="1"/>
    <xf numFmtId="49" fontId="27" fillId="73" borderId="0" xfId="0" applyNumberFormat="1" applyFont="1" applyFill="1" applyAlignment="1" applyProtection="1">
      <alignment horizontal="left"/>
      <protection locked="0"/>
    </xf>
    <xf numFmtId="49" fontId="63" fillId="16" borderId="0" xfId="0" applyNumberFormat="1" applyFont="1" applyFill="1" applyAlignment="1" applyProtection="1">
      <alignment horizontal="left"/>
      <protection locked="0"/>
    </xf>
    <xf numFmtId="3" fontId="63" fillId="66" borderId="0" xfId="0" applyFont="1" applyFill="1" applyAlignment="1" applyProtection="1">
      <alignment horizontal="left"/>
      <protection locked="0"/>
    </xf>
    <xf numFmtId="3" fontId="63" fillId="51" borderId="0" xfId="0" applyFont="1" applyFill="1" applyAlignment="1">
      <alignment horizontal="left"/>
    </xf>
    <xf numFmtId="3" fontId="63" fillId="51" borderId="0" xfId="0" applyFont="1" applyFill="1" applyAlignment="1" applyProtection="1">
      <alignment horizontal="center"/>
      <protection locked="0"/>
    </xf>
    <xf numFmtId="3" fontId="27" fillId="51" borderId="0" xfId="0" applyFont="1" applyFill="1" applyAlignment="1">
      <alignment horizontal="center"/>
    </xf>
    <xf numFmtId="3" fontId="63" fillId="50" borderId="0" xfId="0" applyFont="1" applyFill="1" applyAlignment="1">
      <alignment horizontal="left"/>
    </xf>
    <xf numFmtId="3" fontId="63" fillId="50" borderId="0" xfId="0" applyFont="1" applyFill="1" applyAlignment="1" applyProtection="1">
      <alignment horizontal="center"/>
      <protection locked="0"/>
    </xf>
    <xf numFmtId="49" fontId="27" fillId="20" borderId="0" xfId="0" applyNumberFormat="1" applyFont="1" applyFill="1" applyAlignment="1" applyProtection="1">
      <alignment horizontal="left"/>
      <protection locked="0"/>
    </xf>
    <xf numFmtId="49" fontId="27" fillId="74" borderId="0" xfId="0" applyNumberFormat="1" applyFont="1" applyFill="1" applyAlignment="1" applyProtection="1">
      <alignment horizontal="left"/>
      <protection locked="0"/>
    </xf>
    <xf numFmtId="3" fontId="95" fillId="68" borderId="0" xfId="0" applyFont="1" applyFill="1" applyAlignment="1" applyProtection="1">
      <alignment horizontal="left"/>
      <protection locked="0"/>
    </xf>
    <xf numFmtId="1" fontId="24" fillId="71" borderId="0" xfId="0" applyNumberFormat="1" applyFont="1" applyFill="1" applyAlignment="1" applyProtection="1">
      <alignment horizontal="center"/>
      <protection locked="0"/>
    </xf>
    <xf numFmtId="49" fontId="63" fillId="53" borderId="0" xfId="0" applyNumberFormat="1" applyFont="1" applyFill="1" applyAlignment="1" applyProtection="1">
      <alignment horizontal="left"/>
      <protection locked="0"/>
    </xf>
    <xf numFmtId="1" fontId="63" fillId="53" borderId="0" xfId="0" applyNumberFormat="1" applyFont="1" applyFill="1" applyAlignment="1" applyProtection="1">
      <alignment horizontal="center"/>
      <protection locked="0"/>
    </xf>
    <xf numFmtId="165" fontId="0" fillId="0" borderId="0" xfId="0" applyNumberFormat="1"/>
    <xf numFmtId="164" fontId="0" fillId="0" borderId="0" xfId="0" applyNumberFormat="1"/>
    <xf numFmtId="38" fontId="0" fillId="0" borderId="0" xfId="0" applyNumberFormat="1"/>
    <xf numFmtId="38" fontId="32" fillId="6" borderId="99" xfId="0" applyNumberFormat="1" applyFont="1" applyFill="1" applyBorder="1" applyAlignment="1" applyProtection="1">
      <alignment horizontal="right"/>
      <protection locked="0"/>
    </xf>
    <xf numFmtId="38" fontId="32" fillId="3" borderId="99" xfId="0" applyNumberFormat="1" applyFont="1" applyFill="1" applyBorder="1" applyAlignment="1" applyProtection="1">
      <alignment horizontal="right"/>
      <protection locked="0"/>
    </xf>
    <xf numFmtId="38" fontId="0" fillId="37" borderId="0" xfId="0" applyNumberFormat="1" applyFill="1"/>
    <xf numFmtId="3" fontId="0" fillId="37" borderId="0" xfId="0" applyFill="1"/>
    <xf numFmtId="3" fontId="96" fillId="0" borderId="0" xfId="0" applyFont="1"/>
    <xf numFmtId="49" fontId="27" fillId="12" borderId="0" xfId="0" applyNumberFormat="1" applyFont="1" applyFill="1" applyAlignment="1" applyProtection="1">
      <alignment horizontal="left"/>
      <protection locked="0"/>
    </xf>
    <xf numFmtId="3" fontId="59" fillId="0" borderId="0" xfId="0" applyFont="1"/>
    <xf numFmtId="3" fontId="95" fillId="43" borderId="0" xfId="0" applyFont="1" applyFill="1" applyAlignment="1" applyProtection="1">
      <alignment horizontal="left"/>
      <protection locked="0"/>
    </xf>
    <xf numFmtId="3" fontId="97" fillId="52" borderId="0" xfId="0" applyFont="1" applyFill="1" applyAlignment="1">
      <alignment horizontal="left"/>
    </xf>
    <xf numFmtId="3" fontId="97" fillId="43" borderId="0" xfId="0" applyFont="1" applyFill="1" applyAlignment="1" applyProtection="1">
      <alignment horizontal="left"/>
      <protection locked="0"/>
    </xf>
    <xf numFmtId="3" fontId="27" fillId="52" borderId="0" xfId="0" applyFont="1" applyFill="1" applyAlignment="1">
      <alignment horizontal="center"/>
    </xf>
    <xf numFmtId="3" fontId="95" fillId="70" borderId="0" xfId="0" applyFont="1" applyFill="1" applyAlignment="1" applyProtection="1">
      <alignment horizontal="left"/>
      <protection locked="0"/>
    </xf>
    <xf numFmtId="3" fontId="97" fillId="56" borderId="0" xfId="0" applyFont="1" applyFill="1"/>
    <xf numFmtId="3" fontId="24" fillId="65" borderId="99" xfId="0" applyFont="1" applyFill="1" applyBorder="1" applyAlignment="1" applyProtection="1">
      <alignment horizontal="center"/>
      <protection locked="0"/>
    </xf>
    <xf numFmtId="3" fontId="24" fillId="33" borderId="99" xfId="0" applyFont="1" applyFill="1" applyBorder="1" applyAlignment="1" applyProtection="1">
      <alignment horizontal="center" vertical="top"/>
      <protection locked="0"/>
    </xf>
    <xf numFmtId="3" fontId="24" fillId="33" borderId="99" xfId="0" applyFont="1" applyFill="1" applyBorder="1" applyProtection="1">
      <protection locked="0"/>
    </xf>
    <xf numFmtId="1" fontId="24" fillId="46" borderId="0" xfId="0" applyNumberFormat="1" applyFont="1" applyFill="1" applyAlignment="1">
      <alignment horizontal="center"/>
    </xf>
    <xf numFmtId="1" fontId="63" fillId="46" borderId="0" xfId="0" applyNumberFormat="1" applyFont="1" applyFill="1" applyAlignment="1">
      <alignment horizontal="center"/>
    </xf>
    <xf numFmtId="1" fontId="24" fillId="50" borderId="0" xfId="0" applyNumberFormat="1" applyFont="1" applyFill="1" applyAlignment="1">
      <alignment horizontal="center"/>
    </xf>
    <xf numFmtId="1" fontId="24" fillId="51" borderId="0" xfId="0" applyNumberFormat="1" applyFont="1" applyFill="1" applyAlignment="1">
      <alignment horizontal="center"/>
    </xf>
    <xf numFmtId="1" fontId="63" fillId="51" borderId="0" xfId="0" applyNumberFormat="1" applyFont="1" applyFill="1" applyAlignment="1">
      <alignment horizontal="center"/>
    </xf>
    <xf numFmtId="1" fontId="24" fillId="53" borderId="0" xfId="0" applyNumberFormat="1" applyFont="1" applyFill="1" applyAlignment="1">
      <alignment horizontal="center"/>
    </xf>
    <xf numFmtId="1" fontId="24" fillId="44" borderId="0" xfId="0" applyNumberFormat="1" applyFont="1" applyFill="1" applyAlignment="1">
      <alignment horizontal="center"/>
    </xf>
    <xf numFmtId="1" fontId="24" fillId="54" borderId="0" xfId="0" applyNumberFormat="1" applyFont="1" applyFill="1" applyAlignment="1">
      <alignment horizontal="center"/>
    </xf>
    <xf numFmtId="1" fontId="24" fillId="39" borderId="0" xfId="0" applyNumberFormat="1" applyFont="1" applyFill="1" applyAlignment="1">
      <alignment horizontal="center"/>
    </xf>
    <xf numFmtId="1" fontId="63" fillId="50" borderId="0" xfId="0" applyNumberFormat="1" applyFont="1" applyFill="1" applyAlignment="1">
      <alignment horizontal="center"/>
    </xf>
    <xf numFmtId="1" fontId="24" fillId="55" borderId="0" xfId="0" applyNumberFormat="1" applyFont="1" applyFill="1" applyAlignment="1">
      <alignment horizontal="center"/>
    </xf>
    <xf numFmtId="1" fontId="24" fillId="45" borderId="0" xfId="0" applyNumberFormat="1" applyFont="1" applyFill="1" applyAlignment="1">
      <alignment horizontal="center"/>
    </xf>
    <xf numFmtId="1" fontId="24" fillId="52" borderId="0" xfId="0" applyNumberFormat="1" applyFont="1" applyFill="1" applyAlignment="1">
      <alignment horizontal="center"/>
    </xf>
    <xf numFmtId="1" fontId="24" fillId="56" borderId="0" xfId="0" applyNumberFormat="1" applyFont="1" applyFill="1" applyAlignment="1">
      <alignment horizontal="center"/>
    </xf>
    <xf numFmtId="1" fontId="63" fillId="56" borderId="0" xfId="0" applyNumberFormat="1" applyFont="1" applyFill="1" applyAlignment="1">
      <alignment horizontal="center"/>
    </xf>
    <xf numFmtId="1" fontId="24" fillId="54" borderId="0" xfId="0" applyNumberFormat="1" applyFont="1" applyFill="1" applyAlignment="1" applyProtection="1">
      <alignment horizontal="center"/>
      <protection locked="0"/>
    </xf>
    <xf numFmtId="1" fontId="24" fillId="50" borderId="89" xfId="0" applyNumberFormat="1" applyFont="1" applyFill="1" applyBorder="1" applyAlignment="1">
      <alignment horizontal="center"/>
    </xf>
    <xf numFmtId="1" fontId="24" fillId="35" borderId="0" xfId="0" applyNumberFormat="1" applyFont="1" applyFill="1" applyAlignment="1">
      <alignment horizontal="center"/>
    </xf>
    <xf numFmtId="1" fontId="63" fillId="55" borderId="0" xfId="0" applyNumberFormat="1" applyFont="1" applyFill="1" applyAlignment="1">
      <alignment horizontal="center"/>
    </xf>
    <xf numFmtId="1" fontId="31" fillId="52" borderId="0" xfId="0" applyNumberFormat="1" applyFont="1" applyFill="1" applyAlignment="1">
      <alignment horizontal="center"/>
    </xf>
    <xf numFmtId="1" fontId="24" fillId="40" borderId="0" xfId="0" applyNumberFormat="1" applyFont="1" applyFill="1" applyAlignment="1">
      <alignment horizontal="center"/>
    </xf>
    <xf numFmtId="3" fontId="91" fillId="70" borderId="0" xfId="0" applyFont="1" applyFill="1" applyAlignment="1" applyProtection="1">
      <alignment horizontal="left"/>
      <protection locked="0"/>
    </xf>
    <xf numFmtId="37" fontId="24" fillId="65" borderId="99" xfId="0" applyNumberFormat="1" applyFont="1" applyFill="1" applyBorder="1" applyAlignment="1" applyProtection="1">
      <alignment horizontal="center"/>
      <protection locked="0"/>
    </xf>
    <xf numFmtId="37" fontId="24" fillId="33" borderId="99" xfId="0" applyNumberFormat="1" applyFont="1" applyFill="1" applyBorder="1" applyAlignment="1" applyProtection="1">
      <alignment horizontal="center" vertical="top"/>
      <protection locked="0"/>
    </xf>
    <xf numFmtId="38" fontId="32" fillId="48" borderId="99" xfId="0" applyNumberFormat="1" applyFont="1" applyFill="1" applyBorder="1" applyAlignment="1">
      <alignment horizontal="right"/>
    </xf>
    <xf numFmtId="38" fontId="32" fillId="49" borderId="99" xfId="0" applyNumberFormat="1" applyFont="1" applyFill="1" applyBorder="1" applyAlignment="1">
      <alignment horizontal="right"/>
    </xf>
    <xf numFmtId="3" fontId="84" fillId="53" borderId="0" xfId="0" applyFont="1" applyFill="1" applyAlignment="1">
      <alignment horizontal="left"/>
    </xf>
    <xf numFmtId="3" fontId="83" fillId="53" borderId="0" xfId="0" applyFont="1" applyFill="1" applyAlignment="1">
      <alignment horizontal="left"/>
    </xf>
    <xf numFmtId="37" fontId="67" fillId="0" borderId="0" xfId="0" applyNumberFormat="1" applyFont="1" applyAlignment="1">
      <alignment horizontal="center"/>
    </xf>
    <xf numFmtId="37" fontId="0" fillId="0" borderId="0" xfId="0" applyNumberFormat="1" applyAlignment="1">
      <alignment horizontal="left" vertical="top" wrapText="1"/>
    </xf>
    <xf numFmtId="3" fontId="23" fillId="0" borderId="0" xfId="0" applyFont="1" applyAlignment="1">
      <alignment wrapText="1"/>
    </xf>
    <xf numFmtId="3" fontId="0" fillId="0" borderId="0" xfId="0" applyAlignment="1">
      <alignment wrapText="1"/>
    </xf>
    <xf numFmtId="37" fontId="0" fillId="0" borderId="47" xfId="0" applyNumberFormat="1" applyBorder="1" applyAlignment="1">
      <alignment horizontal="left" vertical="top" wrapText="1"/>
    </xf>
    <xf numFmtId="37" fontId="26" fillId="0" borderId="0" xfId="0" applyNumberFormat="1" applyFont="1" applyAlignment="1">
      <alignment horizontal="center"/>
    </xf>
    <xf numFmtId="37" fontId="23" fillId="0" borderId="47" xfId="0" applyNumberFormat="1" applyFont="1" applyBorder="1" applyAlignment="1">
      <alignment horizontal="left" vertical="top" wrapText="1"/>
    </xf>
    <xf numFmtId="3" fontId="0" fillId="0" borderId="47" xfId="0" applyBorder="1" applyAlignment="1">
      <alignment horizontal="left" vertical="top" wrapText="1"/>
    </xf>
    <xf numFmtId="3" fontId="23" fillId="0" borderId="0" xfId="0" applyFont="1"/>
    <xf numFmtId="37" fontId="70" fillId="0" borderId="51" xfId="0" applyNumberFormat="1" applyFont="1" applyBorder="1" applyAlignment="1">
      <alignment horizontal="center"/>
    </xf>
    <xf numFmtId="3" fontId="71" fillId="0" borderId="51" xfId="0" applyFont="1" applyBorder="1" applyAlignment="1">
      <alignment horizontal="center"/>
    </xf>
    <xf numFmtId="165" fontId="35" fillId="0" borderId="81" xfId="0" applyNumberFormat="1" applyFont="1" applyBorder="1" applyAlignment="1">
      <alignment horizontal="center"/>
    </xf>
    <xf numFmtId="165" fontId="35" fillId="0" borderId="80" xfId="0" applyNumberFormat="1" applyFont="1" applyBorder="1" applyAlignment="1">
      <alignment horizontal="center"/>
    </xf>
  </cellXfs>
  <cellStyles count="51606">
    <cellStyle name="20% - Accent1 2" xfId="984" xr:uid="{00000000-0005-0000-0000-000000000000}"/>
    <cellStyle name="20% - Accent2 2" xfId="985" xr:uid="{00000000-0005-0000-0000-000001000000}"/>
    <cellStyle name="20% - Accent3 2" xfId="986" xr:uid="{00000000-0005-0000-0000-000002000000}"/>
    <cellStyle name="20% - Accent4 2" xfId="987" xr:uid="{00000000-0005-0000-0000-000003000000}"/>
    <cellStyle name="20% - Accent5 2" xfId="988" xr:uid="{00000000-0005-0000-0000-000004000000}"/>
    <cellStyle name="20% - Accent6 2" xfId="989" xr:uid="{00000000-0005-0000-0000-000005000000}"/>
    <cellStyle name="40% - Accent1 2" xfId="990" xr:uid="{00000000-0005-0000-0000-000006000000}"/>
    <cellStyle name="40% - Accent2 2" xfId="991" xr:uid="{00000000-0005-0000-0000-000007000000}"/>
    <cellStyle name="40% - Accent3 2" xfId="992" xr:uid="{00000000-0005-0000-0000-000008000000}"/>
    <cellStyle name="40% - Accent4 2" xfId="993" xr:uid="{00000000-0005-0000-0000-000009000000}"/>
    <cellStyle name="40% - Accent5 2" xfId="994" xr:uid="{00000000-0005-0000-0000-00000A000000}"/>
    <cellStyle name="40% - Accent6 2" xfId="995" xr:uid="{00000000-0005-0000-0000-00000B000000}"/>
    <cellStyle name="60% - Accent1 2" xfId="996" xr:uid="{00000000-0005-0000-0000-00000C000000}"/>
    <cellStyle name="60% - Accent2 2" xfId="997" xr:uid="{00000000-0005-0000-0000-00000D000000}"/>
    <cellStyle name="60% - Accent3 2" xfId="998" xr:uid="{00000000-0005-0000-0000-00000E000000}"/>
    <cellStyle name="60% - Accent4 2" xfId="999" xr:uid="{00000000-0005-0000-0000-00000F000000}"/>
    <cellStyle name="60% - Accent5 2" xfId="1000" xr:uid="{00000000-0005-0000-0000-000010000000}"/>
    <cellStyle name="60% - Accent6 2" xfId="1001" xr:uid="{00000000-0005-0000-0000-000011000000}"/>
    <cellStyle name="Accent1 2" xfId="1002" xr:uid="{00000000-0005-0000-0000-000012000000}"/>
    <cellStyle name="Accent2 2" xfId="1003" xr:uid="{00000000-0005-0000-0000-000013000000}"/>
    <cellStyle name="Accent3 2" xfId="1004" xr:uid="{00000000-0005-0000-0000-000014000000}"/>
    <cellStyle name="Accent4 2" xfId="1005" xr:uid="{00000000-0005-0000-0000-000015000000}"/>
    <cellStyle name="Accent5 2" xfId="1006" xr:uid="{00000000-0005-0000-0000-000016000000}"/>
    <cellStyle name="Accent6 2" xfId="1007" xr:uid="{00000000-0005-0000-0000-000017000000}"/>
    <cellStyle name="Bad 2" xfId="1008" xr:uid="{00000000-0005-0000-0000-000018000000}"/>
    <cellStyle name="CalcNumNew" xfId="51604" xr:uid="{BE529ECA-1812-44E6-B1D4-6C8C74172D27}"/>
    <cellStyle name="CalcNumOld" xfId="51603" xr:uid="{28633B53-81FC-4A89-83F7-496FA560CC99}"/>
    <cellStyle name="Calculation 2" xfId="1009" xr:uid="{00000000-0005-0000-0000-000019000000}"/>
    <cellStyle name="Calculation 3" xfId="1033" xr:uid="{00000000-0005-0000-0000-00001A000000}"/>
    <cellStyle name="Check Cell 2" xfId="1010" xr:uid="{00000000-0005-0000-0000-00001B000000}"/>
    <cellStyle name="Comma 2" xfId="18" xr:uid="{00000000-0005-0000-0000-00001C000000}"/>
    <cellStyle name="Comma 2 2" xfId="102" xr:uid="{00000000-0005-0000-0000-00001D000000}"/>
    <cellStyle name="Comma 2 3" xfId="60" xr:uid="{00000000-0005-0000-0000-00001E000000}"/>
    <cellStyle name="Comma 2 4" xfId="1011" xr:uid="{00000000-0005-0000-0000-00001F000000}"/>
    <cellStyle name="Comma 3" xfId="39" xr:uid="{00000000-0005-0000-0000-000020000000}"/>
    <cellStyle name="Comma 3 2" xfId="19" xr:uid="{00000000-0005-0000-0000-000021000000}"/>
    <cellStyle name="Comma 4" xfId="29" xr:uid="{00000000-0005-0000-0000-000022000000}"/>
    <cellStyle name="Comma 5" xfId="40" xr:uid="{00000000-0005-0000-0000-000023000000}"/>
    <cellStyle name="Comma 5 10" xfId="303" xr:uid="{00000000-0005-0000-0000-000024000000}"/>
    <cellStyle name="Comma 5 10 10" xfId="26232" xr:uid="{00000000-0005-0000-0000-000025000000}"/>
    <cellStyle name="Comma 5 10 11" xfId="26023" xr:uid="{00000000-0005-0000-0000-000026000000}"/>
    <cellStyle name="Comma 5 10 11 2" xfId="51576" xr:uid="{00000000-0005-0000-0000-000027000000}"/>
    <cellStyle name="Comma 5 10 2" xfId="618" xr:uid="{00000000-0005-0000-0000-000028000000}"/>
    <cellStyle name="Comma 5 10 2 2" xfId="3104" xr:uid="{00000000-0005-0000-0000-000029000000}"/>
    <cellStyle name="Comma 5 10 2 2 2" xfId="12247" xr:uid="{00000000-0005-0000-0000-00002A000000}"/>
    <cellStyle name="Comma 5 10 2 2 2 2" xfId="22465" xr:uid="{00000000-0005-0000-0000-00002B000000}"/>
    <cellStyle name="Comma 5 10 2 2 2 2 2" xfId="48018" xr:uid="{00000000-0005-0000-0000-00002C000000}"/>
    <cellStyle name="Comma 5 10 2 2 2 3" xfId="37802" xr:uid="{00000000-0005-0000-0000-00002D000000}"/>
    <cellStyle name="Comma 5 10 2 2 3" xfId="8669" xr:uid="{00000000-0005-0000-0000-00002E000000}"/>
    <cellStyle name="Comma 5 10 2 2 3 2" xfId="34226" xr:uid="{00000000-0005-0000-0000-00002F000000}"/>
    <cellStyle name="Comma 5 10 2 2 4" xfId="17458" xr:uid="{00000000-0005-0000-0000-000030000000}"/>
    <cellStyle name="Comma 5 10 2 2 4 2" xfId="43011" xr:uid="{00000000-0005-0000-0000-000031000000}"/>
    <cellStyle name="Comma 5 10 2 2 5" xfId="28948" xr:uid="{00000000-0005-0000-0000-000032000000}"/>
    <cellStyle name="Comma 5 10 2 3" xfId="4433" xr:uid="{00000000-0005-0000-0000-000033000000}"/>
    <cellStyle name="Comma 5 10 2 3 2" xfId="13271" xr:uid="{00000000-0005-0000-0000-000034000000}"/>
    <cellStyle name="Comma 5 10 2 3 2 2" xfId="23522" xr:uid="{00000000-0005-0000-0000-000035000000}"/>
    <cellStyle name="Comma 5 10 2 3 2 2 2" xfId="49075" xr:uid="{00000000-0005-0000-0000-000036000000}"/>
    <cellStyle name="Comma 5 10 2 3 2 3" xfId="38826" xr:uid="{00000000-0005-0000-0000-000037000000}"/>
    <cellStyle name="Comma 5 10 2 3 3" xfId="9692" xr:uid="{00000000-0005-0000-0000-000038000000}"/>
    <cellStyle name="Comma 5 10 2 3 3 2" xfId="35249" xr:uid="{00000000-0005-0000-0000-000039000000}"/>
    <cellStyle name="Comma 5 10 2 3 4" xfId="18515" xr:uid="{00000000-0005-0000-0000-00003A000000}"/>
    <cellStyle name="Comma 5 10 2 3 4 2" xfId="44068" xr:uid="{00000000-0005-0000-0000-00003B000000}"/>
    <cellStyle name="Comma 5 10 2 3 5" xfId="30005" xr:uid="{00000000-0005-0000-0000-00003C000000}"/>
    <cellStyle name="Comma 5 10 2 4" xfId="2213" xr:uid="{00000000-0005-0000-0000-00003D000000}"/>
    <cellStyle name="Comma 5 10 2 4 2" xfId="11578" xr:uid="{00000000-0005-0000-0000-00003E000000}"/>
    <cellStyle name="Comma 5 10 2 4 2 2" xfId="37133" xr:uid="{00000000-0005-0000-0000-00003F000000}"/>
    <cellStyle name="Comma 5 10 2 4 3" xfId="21582" xr:uid="{00000000-0005-0000-0000-000040000000}"/>
    <cellStyle name="Comma 5 10 2 4 3 2" xfId="47135" xr:uid="{00000000-0005-0000-0000-000041000000}"/>
    <cellStyle name="Comma 5 10 2 4 4" xfId="28065" xr:uid="{00000000-0005-0000-0000-000042000000}"/>
    <cellStyle name="Comma 5 10 2 5" xfId="5889" xr:uid="{00000000-0005-0000-0000-000043000000}"/>
    <cellStyle name="Comma 5 10 2 5 2" xfId="14716" xr:uid="{00000000-0005-0000-0000-000044000000}"/>
    <cellStyle name="Comma 5 10 2 5 2 2" xfId="40271" xr:uid="{00000000-0005-0000-0000-000045000000}"/>
    <cellStyle name="Comma 5 10 2 5 3" xfId="24967" xr:uid="{00000000-0005-0000-0000-000046000000}"/>
    <cellStyle name="Comma 5 10 2 5 3 2" xfId="50520" xr:uid="{00000000-0005-0000-0000-000047000000}"/>
    <cellStyle name="Comma 5 10 2 5 4" xfId="31450" xr:uid="{00000000-0005-0000-0000-000048000000}"/>
    <cellStyle name="Comma 5 10 2 6" xfId="7333" xr:uid="{00000000-0005-0000-0000-000049000000}"/>
    <cellStyle name="Comma 5 10 2 6 2" xfId="20064" xr:uid="{00000000-0005-0000-0000-00004A000000}"/>
    <cellStyle name="Comma 5 10 2 6 2 2" xfId="45617" xr:uid="{00000000-0005-0000-0000-00004B000000}"/>
    <cellStyle name="Comma 5 10 2 6 3" xfId="32890" xr:uid="{00000000-0005-0000-0000-00004C000000}"/>
    <cellStyle name="Comma 5 10 2 7" xfId="16575" xr:uid="{00000000-0005-0000-0000-00004D000000}"/>
    <cellStyle name="Comma 5 10 2 7 2" xfId="42128" xr:uid="{00000000-0005-0000-0000-00004E000000}"/>
    <cellStyle name="Comma 5 10 2 8" xfId="26547" xr:uid="{00000000-0005-0000-0000-00004F000000}"/>
    <cellStyle name="Comma 5 10 3" xfId="1075" xr:uid="{00000000-0005-0000-0000-000050000000}"/>
    <cellStyle name="Comma 5 10 3 2" xfId="3504" xr:uid="{00000000-0005-0000-0000-000051000000}"/>
    <cellStyle name="Comma 5 10 3 2 2" xfId="12640" xr:uid="{00000000-0005-0000-0000-000052000000}"/>
    <cellStyle name="Comma 5 10 3 2 2 2" xfId="22859" xr:uid="{00000000-0005-0000-0000-000053000000}"/>
    <cellStyle name="Comma 5 10 3 2 2 2 2" xfId="48412" xr:uid="{00000000-0005-0000-0000-000054000000}"/>
    <cellStyle name="Comma 5 10 3 2 2 3" xfId="38195" xr:uid="{00000000-0005-0000-0000-000055000000}"/>
    <cellStyle name="Comma 5 10 3 2 3" xfId="9062" xr:uid="{00000000-0005-0000-0000-000056000000}"/>
    <cellStyle name="Comma 5 10 3 2 3 2" xfId="34619" xr:uid="{00000000-0005-0000-0000-000057000000}"/>
    <cellStyle name="Comma 5 10 3 2 4" xfId="17852" xr:uid="{00000000-0005-0000-0000-000058000000}"/>
    <cellStyle name="Comma 5 10 3 2 4 2" xfId="43405" xr:uid="{00000000-0005-0000-0000-000059000000}"/>
    <cellStyle name="Comma 5 10 3 2 5" xfId="29342" xr:uid="{00000000-0005-0000-0000-00005A000000}"/>
    <cellStyle name="Comma 5 10 3 3" xfId="4782" xr:uid="{00000000-0005-0000-0000-00005B000000}"/>
    <cellStyle name="Comma 5 10 3 3 2" xfId="13619" xr:uid="{00000000-0005-0000-0000-00005C000000}"/>
    <cellStyle name="Comma 5 10 3 3 2 2" xfId="23870" xr:uid="{00000000-0005-0000-0000-00005D000000}"/>
    <cellStyle name="Comma 5 10 3 3 2 2 2" xfId="49423" xr:uid="{00000000-0005-0000-0000-00005E000000}"/>
    <cellStyle name="Comma 5 10 3 3 2 3" xfId="39174" xr:uid="{00000000-0005-0000-0000-00005F000000}"/>
    <cellStyle name="Comma 5 10 3 3 3" xfId="10040" xr:uid="{00000000-0005-0000-0000-000060000000}"/>
    <cellStyle name="Comma 5 10 3 3 3 2" xfId="35597" xr:uid="{00000000-0005-0000-0000-000061000000}"/>
    <cellStyle name="Comma 5 10 3 3 4" xfId="18863" xr:uid="{00000000-0005-0000-0000-000062000000}"/>
    <cellStyle name="Comma 5 10 3 3 4 2" xfId="44416" xr:uid="{00000000-0005-0000-0000-000063000000}"/>
    <cellStyle name="Comma 5 10 3 3 5" xfId="30353" xr:uid="{00000000-0005-0000-0000-000064000000}"/>
    <cellStyle name="Comma 5 10 3 4" xfId="2581" xr:uid="{00000000-0005-0000-0000-000065000000}"/>
    <cellStyle name="Comma 5 10 3 4 2" xfId="11945" xr:uid="{00000000-0005-0000-0000-000066000000}"/>
    <cellStyle name="Comma 5 10 3 4 2 2" xfId="37500" xr:uid="{00000000-0005-0000-0000-000067000000}"/>
    <cellStyle name="Comma 5 10 3 4 3" xfId="21949" xr:uid="{00000000-0005-0000-0000-000068000000}"/>
    <cellStyle name="Comma 5 10 3 4 3 2" xfId="47502" xr:uid="{00000000-0005-0000-0000-000069000000}"/>
    <cellStyle name="Comma 5 10 3 4 4" xfId="28432" xr:uid="{00000000-0005-0000-0000-00006A000000}"/>
    <cellStyle name="Comma 5 10 3 5" xfId="6237" xr:uid="{00000000-0005-0000-0000-00006B000000}"/>
    <cellStyle name="Comma 5 10 3 5 2" xfId="15064" xr:uid="{00000000-0005-0000-0000-00006C000000}"/>
    <cellStyle name="Comma 5 10 3 5 2 2" xfId="40619" xr:uid="{00000000-0005-0000-0000-00006D000000}"/>
    <cellStyle name="Comma 5 10 3 5 3" xfId="25315" xr:uid="{00000000-0005-0000-0000-00006E000000}"/>
    <cellStyle name="Comma 5 10 3 5 3 2" xfId="50868" xr:uid="{00000000-0005-0000-0000-00006F000000}"/>
    <cellStyle name="Comma 5 10 3 5 4" xfId="31798" xr:uid="{00000000-0005-0000-0000-000070000000}"/>
    <cellStyle name="Comma 5 10 3 6" xfId="7683" xr:uid="{00000000-0005-0000-0000-000071000000}"/>
    <cellStyle name="Comma 5 10 3 6 2" xfId="20458" xr:uid="{00000000-0005-0000-0000-000072000000}"/>
    <cellStyle name="Comma 5 10 3 6 2 2" xfId="46011" xr:uid="{00000000-0005-0000-0000-000073000000}"/>
    <cellStyle name="Comma 5 10 3 6 3" xfId="33240" xr:uid="{00000000-0005-0000-0000-000074000000}"/>
    <cellStyle name="Comma 5 10 3 7" xfId="16942" xr:uid="{00000000-0005-0000-0000-000075000000}"/>
    <cellStyle name="Comma 5 10 3 7 2" xfId="42495" xr:uid="{00000000-0005-0000-0000-000076000000}"/>
    <cellStyle name="Comma 5 10 3 8" xfId="26941" xr:uid="{00000000-0005-0000-0000-000077000000}"/>
    <cellStyle name="Comma 5 10 4" xfId="2789" xr:uid="{00000000-0005-0000-0000-000078000000}"/>
    <cellStyle name="Comma 5 10 4 2" xfId="5167" xr:uid="{00000000-0005-0000-0000-000079000000}"/>
    <cellStyle name="Comma 5 10 4 2 2" xfId="14004" xr:uid="{00000000-0005-0000-0000-00007A000000}"/>
    <cellStyle name="Comma 5 10 4 2 2 2" xfId="24255" xr:uid="{00000000-0005-0000-0000-00007B000000}"/>
    <cellStyle name="Comma 5 10 4 2 2 2 2" xfId="49808" xr:uid="{00000000-0005-0000-0000-00007C000000}"/>
    <cellStyle name="Comma 5 10 4 2 2 3" xfId="39559" xr:uid="{00000000-0005-0000-0000-00007D000000}"/>
    <cellStyle name="Comma 5 10 4 2 3" xfId="10425" xr:uid="{00000000-0005-0000-0000-00007E000000}"/>
    <cellStyle name="Comma 5 10 4 2 3 2" xfId="35982" xr:uid="{00000000-0005-0000-0000-00007F000000}"/>
    <cellStyle name="Comma 5 10 4 2 4" xfId="19248" xr:uid="{00000000-0005-0000-0000-000080000000}"/>
    <cellStyle name="Comma 5 10 4 2 4 2" xfId="44801" xr:uid="{00000000-0005-0000-0000-000081000000}"/>
    <cellStyle name="Comma 5 10 4 2 5" xfId="30738" xr:uid="{00000000-0005-0000-0000-000082000000}"/>
    <cellStyle name="Comma 5 10 4 3" xfId="6622" xr:uid="{00000000-0005-0000-0000-000083000000}"/>
    <cellStyle name="Comma 5 10 4 3 2" xfId="15449" xr:uid="{00000000-0005-0000-0000-000084000000}"/>
    <cellStyle name="Comma 5 10 4 3 2 2" xfId="41004" xr:uid="{00000000-0005-0000-0000-000085000000}"/>
    <cellStyle name="Comma 5 10 4 3 3" xfId="25700" xr:uid="{00000000-0005-0000-0000-000086000000}"/>
    <cellStyle name="Comma 5 10 4 3 3 2" xfId="51253" xr:uid="{00000000-0005-0000-0000-000087000000}"/>
    <cellStyle name="Comma 5 10 4 3 4" xfId="32183" xr:uid="{00000000-0005-0000-0000-000088000000}"/>
    <cellStyle name="Comma 5 10 4 4" xfId="8068" xr:uid="{00000000-0005-0000-0000-000089000000}"/>
    <cellStyle name="Comma 5 10 4 4 2" xfId="22150" xr:uid="{00000000-0005-0000-0000-00008A000000}"/>
    <cellStyle name="Comma 5 10 4 4 2 2" xfId="47703" xr:uid="{00000000-0005-0000-0000-00008B000000}"/>
    <cellStyle name="Comma 5 10 4 4 3" xfId="33625" xr:uid="{00000000-0005-0000-0000-00008C000000}"/>
    <cellStyle name="Comma 5 10 4 5" xfId="17143" xr:uid="{00000000-0005-0000-0000-00008D000000}"/>
    <cellStyle name="Comma 5 10 4 5 2" xfId="42696" xr:uid="{00000000-0005-0000-0000-00008E000000}"/>
    <cellStyle name="Comma 5 10 4 6" xfId="28633" xr:uid="{00000000-0005-0000-0000-00008F000000}"/>
    <cellStyle name="Comma 5 10 5" xfId="4121" xr:uid="{00000000-0005-0000-0000-000090000000}"/>
    <cellStyle name="Comma 5 10 5 2" xfId="12959" xr:uid="{00000000-0005-0000-0000-000091000000}"/>
    <cellStyle name="Comma 5 10 5 2 2" xfId="23210" xr:uid="{00000000-0005-0000-0000-000092000000}"/>
    <cellStyle name="Comma 5 10 5 2 2 2" xfId="48763" xr:uid="{00000000-0005-0000-0000-000093000000}"/>
    <cellStyle name="Comma 5 10 5 2 3" xfId="38514" xr:uid="{00000000-0005-0000-0000-000094000000}"/>
    <cellStyle name="Comma 5 10 5 3" xfId="9380" xr:uid="{00000000-0005-0000-0000-000095000000}"/>
    <cellStyle name="Comma 5 10 5 3 2" xfId="34937" xr:uid="{00000000-0005-0000-0000-000096000000}"/>
    <cellStyle name="Comma 5 10 5 4" xfId="18203" xr:uid="{00000000-0005-0000-0000-000097000000}"/>
    <cellStyle name="Comma 5 10 5 4 2" xfId="43756" xr:uid="{00000000-0005-0000-0000-000098000000}"/>
    <cellStyle name="Comma 5 10 5 5" xfId="29693" xr:uid="{00000000-0005-0000-0000-000099000000}"/>
    <cellStyle name="Comma 5 10 6" xfId="1898" xr:uid="{00000000-0005-0000-0000-00009A000000}"/>
    <cellStyle name="Comma 5 10 6 2" xfId="11263" xr:uid="{00000000-0005-0000-0000-00009B000000}"/>
    <cellStyle name="Comma 5 10 6 2 2" xfId="36818" xr:uid="{00000000-0005-0000-0000-00009C000000}"/>
    <cellStyle name="Comma 5 10 6 3" xfId="21267" xr:uid="{00000000-0005-0000-0000-00009D000000}"/>
    <cellStyle name="Comma 5 10 6 3 2" xfId="46820" xr:uid="{00000000-0005-0000-0000-00009E000000}"/>
    <cellStyle name="Comma 5 10 6 4" xfId="27750" xr:uid="{00000000-0005-0000-0000-00009F000000}"/>
    <cellStyle name="Comma 5 10 7" xfId="5579" xr:uid="{00000000-0005-0000-0000-0000A0000000}"/>
    <cellStyle name="Comma 5 10 7 2" xfId="14406" xr:uid="{00000000-0005-0000-0000-0000A1000000}"/>
    <cellStyle name="Comma 5 10 7 2 2" xfId="39961" xr:uid="{00000000-0005-0000-0000-0000A2000000}"/>
    <cellStyle name="Comma 5 10 7 3" xfId="24657" xr:uid="{00000000-0005-0000-0000-0000A3000000}"/>
    <cellStyle name="Comma 5 10 7 3 2" xfId="50210" xr:uid="{00000000-0005-0000-0000-0000A4000000}"/>
    <cellStyle name="Comma 5 10 7 4" xfId="31140" xr:uid="{00000000-0005-0000-0000-0000A5000000}"/>
    <cellStyle name="Comma 5 10 8" xfId="7023" xr:uid="{00000000-0005-0000-0000-0000A6000000}"/>
    <cellStyle name="Comma 5 10 8 2" xfId="19749" xr:uid="{00000000-0005-0000-0000-0000A7000000}"/>
    <cellStyle name="Comma 5 10 8 2 2" xfId="45302" xr:uid="{00000000-0005-0000-0000-0000A8000000}"/>
    <cellStyle name="Comma 5 10 8 3" xfId="32580" xr:uid="{00000000-0005-0000-0000-0000A9000000}"/>
    <cellStyle name="Comma 5 10 9" xfId="16260" xr:uid="{00000000-0005-0000-0000-0000AA000000}"/>
    <cellStyle name="Comma 5 10 9 2" xfId="41813" xr:uid="{00000000-0005-0000-0000-0000AB000000}"/>
    <cellStyle name="Comma 5 11" xfId="617" xr:uid="{00000000-0005-0000-0000-0000AC000000}"/>
    <cellStyle name="Comma 5 11 2" xfId="3103" xr:uid="{00000000-0005-0000-0000-0000AD000000}"/>
    <cellStyle name="Comma 5 11 2 2" xfId="12246" xr:uid="{00000000-0005-0000-0000-0000AE000000}"/>
    <cellStyle name="Comma 5 11 2 2 2" xfId="22464" xr:uid="{00000000-0005-0000-0000-0000AF000000}"/>
    <cellStyle name="Comma 5 11 2 2 2 2" xfId="48017" xr:uid="{00000000-0005-0000-0000-0000B0000000}"/>
    <cellStyle name="Comma 5 11 2 2 3" xfId="37801" xr:uid="{00000000-0005-0000-0000-0000B1000000}"/>
    <cellStyle name="Comma 5 11 2 3" xfId="8668" xr:uid="{00000000-0005-0000-0000-0000B2000000}"/>
    <cellStyle name="Comma 5 11 2 3 2" xfId="34225" xr:uid="{00000000-0005-0000-0000-0000B3000000}"/>
    <cellStyle name="Comma 5 11 2 4" xfId="17457" xr:uid="{00000000-0005-0000-0000-0000B4000000}"/>
    <cellStyle name="Comma 5 11 2 4 2" xfId="43010" xr:uid="{00000000-0005-0000-0000-0000B5000000}"/>
    <cellStyle name="Comma 5 11 2 5" xfId="28947" xr:uid="{00000000-0005-0000-0000-0000B6000000}"/>
    <cellStyle name="Comma 5 11 3" xfId="4432" xr:uid="{00000000-0005-0000-0000-0000B7000000}"/>
    <cellStyle name="Comma 5 11 3 2" xfId="13270" xr:uid="{00000000-0005-0000-0000-0000B8000000}"/>
    <cellStyle name="Comma 5 11 3 2 2" xfId="23521" xr:uid="{00000000-0005-0000-0000-0000B9000000}"/>
    <cellStyle name="Comma 5 11 3 2 2 2" xfId="49074" xr:uid="{00000000-0005-0000-0000-0000BA000000}"/>
    <cellStyle name="Comma 5 11 3 2 3" xfId="38825" xr:uid="{00000000-0005-0000-0000-0000BB000000}"/>
    <cellStyle name="Comma 5 11 3 3" xfId="9691" xr:uid="{00000000-0005-0000-0000-0000BC000000}"/>
    <cellStyle name="Comma 5 11 3 3 2" xfId="35248" xr:uid="{00000000-0005-0000-0000-0000BD000000}"/>
    <cellStyle name="Comma 5 11 3 4" xfId="18514" xr:uid="{00000000-0005-0000-0000-0000BE000000}"/>
    <cellStyle name="Comma 5 11 3 4 2" xfId="44067" xr:uid="{00000000-0005-0000-0000-0000BF000000}"/>
    <cellStyle name="Comma 5 11 3 5" xfId="30004" xr:uid="{00000000-0005-0000-0000-0000C0000000}"/>
    <cellStyle name="Comma 5 11 4" xfId="2212" xr:uid="{00000000-0005-0000-0000-0000C1000000}"/>
    <cellStyle name="Comma 5 11 4 2" xfId="11577" xr:uid="{00000000-0005-0000-0000-0000C2000000}"/>
    <cellStyle name="Comma 5 11 4 2 2" xfId="37132" xr:uid="{00000000-0005-0000-0000-0000C3000000}"/>
    <cellStyle name="Comma 5 11 4 3" xfId="21581" xr:uid="{00000000-0005-0000-0000-0000C4000000}"/>
    <cellStyle name="Comma 5 11 4 3 2" xfId="47134" xr:uid="{00000000-0005-0000-0000-0000C5000000}"/>
    <cellStyle name="Comma 5 11 4 4" xfId="28064" xr:uid="{00000000-0005-0000-0000-0000C6000000}"/>
    <cellStyle name="Comma 5 11 5" xfId="5888" xr:uid="{00000000-0005-0000-0000-0000C7000000}"/>
    <cellStyle name="Comma 5 11 5 2" xfId="14715" xr:uid="{00000000-0005-0000-0000-0000C8000000}"/>
    <cellStyle name="Comma 5 11 5 2 2" xfId="40270" xr:uid="{00000000-0005-0000-0000-0000C9000000}"/>
    <cellStyle name="Comma 5 11 5 3" xfId="24966" xr:uid="{00000000-0005-0000-0000-0000CA000000}"/>
    <cellStyle name="Comma 5 11 5 3 2" xfId="50519" xr:uid="{00000000-0005-0000-0000-0000CB000000}"/>
    <cellStyle name="Comma 5 11 5 4" xfId="31449" xr:uid="{00000000-0005-0000-0000-0000CC000000}"/>
    <cellStyle name="Comma 5 11 6" xfId="7332" xr:uid="{00000000-0005-0000-0000-0000CD000000}"/>
    <cellStyle name="Comma 5 11 6 2" xfId="20063" xr:uid="{00000000-0005-0000-0000-0000CE000000}"/>
    <cellStyle name="Comma 5 11 6 2 2" xfId="45616" xr:uid="{00000000-0005-0000-0000-0000CF000000}"/>
    <cellStyle name="Comma 5 11 6 3" xfId="32889" xr:uid="{00000000-0005-0000-0000-0000D0000000}"/>
    <cellStyle name="Comma 5 11 7" xfId="16574" xr:uid="{00000000-0005-0000-0000-0000D1000000}"/>
    <cellStyle name="Comma 5 11 7 2" xfId="42127" xr:uid="{00000000-0005-0000-0000-0000D2000000}"/>
    <cellStyle name="Comma 5 11 8" xfId="26546" xr:uid="{00000000-0005-0000-0000-0000D3000000}"/>
    <cellStyle name="Comma 5 12" xfId="1043" xr:uid="{00000000-0005-0000-0000-0000D4000000}"/>
    <cellStyle name="Comma 5 12 2" xfId="3472" xr:uid="{00000000-0005-0000-0000-0000D5000000}"/>
    <cellStyle name="Comma 5 12 2 2" xfId="12608" xr:uid="{00000000-0005-0000-0000-0000D6000000}"/>
    <cellStyle name="Comma 5 12 2 2 2" xfId="22827" xr:uid="{00000000-0005-0000-0000-0000D7000000}"/>
    <cellStyle name="Comma 5 12 2 2 2 2" xfId="48380" xr:uid="{00000000-0005-0000-0000-0000D8000000}"/>
    <cellStyle name="Comma 5 12 2 2 3" xfId="38163" xr:uid="{00000000-0005-0000-0000-0000D9000000}"/>
    <cellStyle name="Comma 5 12 2 3" xfId="9030" xr:uid="{00000000-0005-0000-0000-0000DA000000}"/>
    <cellStyle name="Comma 5 12 2 3 2" xfId="34587" xr:uid="{00000000-0005-0000-0000-0000DB000000}"/>
    <cellStyle name="Comma 5 12 2 4" xfId="17820" xr:uid="{00000000-0005-0000-0000-0000DC000000}"/>
    <cellStyle name="Comma 5 12 2 4 2" xfId="43373" xr:uid="{00000000-0005-0000-0000-0000DD000000}"/>
    <cellStyle name="Comma 5 12 2 5" xfId="29310" xr:uid="{00000000-0005-0000-0000-0000DE000000}"/>
    <cellStyle name="Comma 5 12 3" xfId="4781" xr:uid="{00000000-0005-0000-0000-0000DF000000}"/>
    <cellStyle name="Comma 5 12 3 2" xfId="13618" xr:uid="{00000000-0005-0000-0000-0000E0000000}"/>
    <cellStyle name="Comma 5 12 3 2 2" xfId="23869" xr:uid="{00000000-0005-0000-0000-0000E1000000}"/>
    <cellStyle name="Comma 5 12 3 2 2 2" xfId="49422" xr:uid="{00000000-0005-0000-0000-0000E2000000}"/>
    <cellStyle name="Comma 5 12 3 2 3" xfId="39173" xr:uid="{00000000-0005-0000-0000-0000E3000000}"/>
    <cellStyle name="Comma 5 12 3 3" xfId="10039" xr:uid="{00000000-0005-0000-0000-0000E4000000}"/>
    <cellStyle name="Comma 5 12 3 3 2" xfId="35596" xr:uid="{00000000-0005-0000-0000-0000E5000000}"/>
    <cellStyle name="Comma 5 12 3 4" xfId="18862" xr:uid="{00000000-0005-0000-0000-0000E6000000}"/>
    <cellStyle name="Comma 5 12 3 4 2" xfId="44415" xr:uid="{00000000-0005-0000-0000-0000E7000000}"/>
    <cellStyle name="Comma 5 12 3 5" xfId="30352" xr:uid="{00000000-0005-0000-0000-0000E8000000}"/>
    <cellStyle name="Comma 5 12 4" xfId="1707" xr:uid="{00000000-0005-0000-0000-0000E9000000}"/>
    <cellStyle name="Comma 5 12 4 2" xfId="11084" xr:uid="{00000000-0005-0000-0000-0000EA000000}"/>
    <cellStyle name="Comma 5 12 4 2 2" xfId="36639" xr:uid="{00000000-0005-0000-0000-0000EB000000}"/>
    <cellStyle name="Comma 5 12 4 3" xfId="21088" xr:uid="{00000000-0005-0000-0000-0000EC000000}"/>
    <cellStyle name="Comma 5 12 4 3 2" xfId="46641" xr:uid="{00000000-0005-0000-0000-0000ED000000}"/>
    <cellStyle name="Comma 5 12 4 4" xfId="27571" xr:uid="{00000000-0005-0000-0000-0000EE000000}"/>
    <cellStyle name="Comma 5 12 5" xfId="6236" xr:uid="{00000000-0005-0000-0000-0000EF000000}"/>
    <cellStyle name="Comma 5 12 5 2" xfId="15063" xr:uid="{00000000-0005-0000-0000-0000F0000000}"/>
    <cellStyle name="Comma 5 12 5 2 2" xfId="40618" xr:uid="{00000000-0005-0000-0000-0000F1000000}"/>
    <cellStyle name="Comma 5 12 5 3" xfId="25314" xr:uid="{00000000-0005-0000-0000-0000F2000000}"/>
    <cellStyle name="Comma 5 12 5 3 2" xfId="50867" xr:uid="{00000000-0005-0000-0000-0000F3000000}"/>
    <cellStyle name="Comma 5 12 5 4" xfId="31797" xr:uid="{00000000-0005-0000-0000-0000F4000000}"/>
    <cellStyle name="Comma 5 12 6" xfId="7682" xr:uid="{00000000-0005-0000-0000-0000F5000000}"/>
    <cellStyle name="Comma 5 12 6 2" xfId="20426" xr:uid="{00000000-0005-0000-0000-0000F6000000}"/>
    <cellStyle name="Comma 5 12 6 2 2" xfId="45979" xr:uid="{00000000-0005-0000-0000-0000F7000000}"/>
    <cellStyle name="Comma 5 12 6 3" xfId="33239" xr:uid="{00000000-0005-0000-0000-0000F8000000}"/>
    <cellStyle name="Comma 5 12 7" xfId="16081" xr:uid="{00000000-0005-0000-0000-0000F9000000}"/>
    <cellStyle name="Comma 5 12 7 2" xfId="41634" xr:uid="{00000000-0005-0000-0000-0000FA000000}"/>
    <cellStyle name="Comma 5 12 8" xfId="26909" xr:uid="{00000000-0005-0000-0000-0000FB000000}"/>
    <cellStyle name="Comma 5 13" xfId="2607" xr:uid="{00000000-0005-0000-0000-0000FC000000}"/>
    <cellStyle name="Comma 5 13 2" xfId="5135" xr:uid="{00000000-0005-0000-0000-0000FD000000}"/>
    <cellStyle name="Comma 5 13 2 2" xfId="13972" xr:uid="{00000000-0005-0000-0000-0000FE000000}"/>
    <cellStyle name="Comma 5 13 2 2 2" xfId="24223" xr:uid="{00000000-0005-0000-0000-0000FF000000}"/>
    <cellStyle name="Comma 5 13 2 2 2 2" xfId="49776" xr:uid="{00000000-0005-0000-0000-000000010000}"/>
    <cellStyle name="Comma 5 13 2 2 3" xfId="39527" xr:uid="{00000000-0005-0000-0000-000001010000}"/>
    <cellStyle name="Comma 5 13 2 3" xfId="10393" xr:uid="{00000000-0005-0000-0000-000002010000}"/>
    <cellStyle name="Comma 5 13 2 3 2" xfId="35950" xr:uid="{00000000-0005-0000-0000-000003010000}"/>
    <cellStyle name="Comma 5 13 2 4" xfId="19216" xr:uid="{00000000-0005-0000-0000-000004010000}"/>
    <cellStyle name="Comma 5 13 2 4 2" xfId="44769" xr:uid="{00000000-0005-0000-0000-000005010000}"/>
    <cellStyle name="Comma 5 13 2 5" xfId="30706" xr:uid="{00000000-0005-0000-0000-000006010000}"/>
    <cellStyle name="Comma 5 13 3" xfId="6590" xr:uid="{00000000-0005-0000-0000-000007010000}"/>
    <cellStyle name="Comma 5 13 3 2" xfId="15417" xr:uid="{00000000-0005-0000-0000-000008010000}"/>
    <cellStyle name="Comma 5 13 3 2 2" xfId="40972" xr:uid="{00000000-0005-0000-0000-000009010000}"/>
    <cellStyle name="Comma 5 13 3 3" xfId="25668" xr:uid="{00000000-0005-0000-0000-00000A010000}"/>
    <cellStyle name="Comma 5 13 3 3 2" xfId="51221" xr:uid="{00000000-0005-0000-0000-00000B010000}"/>
    <cellStyle name="Comma 5 13 3 4" xfId="32151" xr:uid="{00000000-0005-0000-0000-00000C010000}"/>
    <cellStyle name="Comma 5 13 4" xfId="8036" xr:uid="{00000000-0005-0000-0000-00000D010000}"/>
    <cellStyle name="Comma 5 13 4 2" xfId="21971" xr:uid="{00000000-0005-0000-0000-00000E010000}"/>
    <cellStyle name="Comma 5 13 4 2 2" xfId="47524" xr:uid="{00000000-0005-0000-0000-00000F010000}"/>
    <cellStyle name="Comma 5 13 4 3" xfId="33593" xr:uid="{00000000-0005-0000-0000-000010010000}"/>
    <cellStyle name="Comma 5 13 5" xfId="16964" xr:uid="{00000000-0005-0000-0000-000011010000}"/>
    <cellStyle name="Comma 5 13 5 2" xfId="42517" xr:uid="{00000000-0005-0000-0000-000012010000}"/>
    <cellStyle name="Comma 5 13 6" xfId="28454" xr:uid="{00000000-0005-0000-0000-000013010000}"/>
    <cellStyle name="Comma 5 14" xfId="4089" xr:uid="{00000000-0005-0000-0000-000014010000}"/>
    <cellStyle name="Comma 5 14 2" xfId="5547" xr:uid="{00000000-0005-0000-0000-000015010000}"/>
    <cellStyle name="Comma 5 14 2 2" xfId="14374" xr:uid="{00000000-0005-0000-0000-000016010000}"/>
    <cellStyle name="Comma 5 14 2 2 2" xfId="39929" xr:uid="{00000000-0005-0000-0000-000017010000}"/>
    <cellStyle name="Comma 5 14 2 3" xfId="24625" xr:uid="{00000000-0005-0000-0000-000018010000}"/>
    <cellStyle name="Comma 5 14 2 3 2" xfId="50178" xr:uid="{00000000-0005-0000-0000-000019010000}"/>
    <cellStyle name="Comma 5 14 2 4" xfId="31108" xr:uid="{00000000-0005-0000-0000-00001A010000}"/>
    <cellStyle name="Comma 5 14 3" xfId="6991" xr:uid="{00000000-0005-0000-0000-00001B010000}"/>
    <cellStyle name="Comma 5 14 3 2" xfId="23178" xr:uid="{00000000-0005-0000-0000-00001C010000}"/>
    <cellStyle name="Comma 5 14 3 2 2" xfId="48731" xr:uid="{00000000-0005-0000-0000-00001D010000}"/>
    <cellStyle name="Comma 5 14 3 3" xfId="32548" xr:uid="{00000000-0005-0000-0000-00001E010000}"/>
    <cellStyle name="Comma 5 14 4" xfId="18171" xr:uid="{00000000-0005-0000-0000-00001F010000}"/>
    <cellStyle name="Comma 5 14 4 2" xfId="43724" xr:uid="{00000000-0005-0000-0000-000020010000}"/>
    <cellStyle name="Comma 5 14 5" xfId="29661" xr:uid="{00000000-0005-0000-0000-000021010000}"/>
    <cellStyle name="Comma 5 15" xfId="1395" xr:uid="{00000000-0005-0000-0000-000022010000}"/>
    <cellStyle name="Comma 5 15 2" xfId="10772" xr:uid="{00000000-0005-0000-0000-000023010000}"/>
    <cellStyle name="Comma 5 15 2 2" xfId="36327" xr:uid="{00000000-0005-0000-0000-000024010000}"/>
    <cellStyle name="Comma 5 15 3" xfId="20776" xr:uid="{00000000-0005-0000-0000-000025010000}"/>
    <cellStyle name="Comma 5 15 3 2" xfId="46329" xr:uid="{00000000-0005-0000-0000-000026010000}"/>
    <cellStyle name="Comma 5 15 4" xfId="27259" xr:uid="{00000000-0005-0000-0000-000027010000}"/>
    <cellStyle name="Comma 5 16" xfId="5507" xr:uid="{00000000-0005-0000-0000-000028010000}"/>
    <cellStyle name="Comma 5 16 2" xfId="14334" xr:uid="{00000000-0005-0000-0000-000029010000}"/>
    <cellStyle name="Comma 5 16 2 2" xfId="39889" xr:uid="{00000000-0005-0000-0000-00002A010000}"/>
    <cellStyle name="Comma 5 16 3" xfId="24585" xr:uid="{00000000-0005-0000-0000-00002B010000}"/>
    <cellStyle name="Comma 5 16 3 2" xfId="50138" xr:uid="{00000000-0005-0000-0000-00002C010000}"/>
    <cellStyle name="Comma 5 16 4" xfId="31068" xr:uid="{00000000-0005-0000-0000-00002D010000}"/>
    <cellStyle name="Comma 5 17" xfId="6946" xr:uid="{00000000-0005-0000-0000-00002E010000}"/>
    <cellStyle name="Comma 5 17 2" xfId="19571" xr:uid="{00000000-0005-0000-0000-00002F010000}"/>
    <cellStyle name="Comma 5 17 2 2" xfId="45124" xr:uid="{00000000-0005-0000-0000-000030010000}"/>
    <cellStyle name="Comma 5 17 3" xfId="32504" xr:uid="{00000000-0005-0000-0000-000031010000}"/>
    <cellStyle name="Comma 5 18" xfId="15769" xr:uid="{00000000-0005-0000-0000-000032010000}"/>
    <cellStyle name="Comma 5 18 2" xfId="41322" xr:uid="{00000000-0005-0000-0000-000033010000}"/>
    <cellStyle name="Comma 5 19" xfId="26054" xr:uid="{00000000-0005-0000-0000-000034010000}"/>
    <cellStyle name="Comma 5 2" xfId="41" xr:uid="{00000000-0005-0000-0000-000035010000}"/>
    <cellStyle name="Comma 5 2 10" xfId="619" xr:uid="{00000000-0005-0000-0000-000036010000}"/>
    <cellStyle name="Comma 5 2 10 2" xfId="3105" xr:uid="{00000000-0005-0000-0000-000037010000}"/>
    <cellStyle name="Comma 5 2 10 2 2" xfId="12248" xr:uid="{00000000-0005-0000-0000-000038010000}"/>
    <cellStyle name="Comma 5 2 10 2 2 2" xfId="22466" xr:uid="{00000000-0005-0000-0000-000039010000}"/>
    <cellStyle name="Comma 5 2 10 2 2 2 2" xfId="48019" xr:uid="{00000000-0005-0000-0000-00003A010000}"/>
    <cellStyle name="Comma 5 2 10 2 2 3" xfId="37803" xr:uid="{00000000-0005-0000-0000-00003B010000}"/>
    <cellStyle name="Comma 5 2 10 2 3" xfId="8670" xr:uid="{00000000-0005-0000-0000-00003C010000}"/>
    <cellStyle name="Comma 5 2 10 2 3 2" xfId="34227" xr:uid="{00000000-0005-0000-0000-00003D010000}"/>
    <cellStyle name="Comma 5 2 10 2 4" xfId="17459" xr:uid="{00000000-0005-0000-0000-00003E010000}"/>
    <cellStyle name="Comma 5 2 10 2 4 2" xfId="43012" xr:uid="{00000000-0005-0000-0000-00003F010000}"/>
    <cellStyle name="Comma 5 2 10 2 5" xfId="28949" xr:uid="{00000000-0005-0000-0000-000040010000}"/>
    <cellStyle name="Comma 5 2 10 3" xfId="4434" xr:uid="{00000000-0005-0000-0000-000041010000}"/>
    <cellStyle name="Comma 5 2 10 3 2" xfId="13272" xr:uid="{00000000-0005-0000-0000-000042010000}"/>
    <cellStyle name="Comma 5 2 10 3 2 2" xfId="23523" xr:uid="{00000000-0005-0000-0000-000043010000}"/>
    <cellStyle name="Comma 5 2 10 3 2 2 2" xfId="49076" xr:uid="{00000000-0005-0000-0000-000044010000}"/>
    <cellStyle name="Comma 5 2 10 3 2 3" xfId="38827" xr:uid="{00000000-0005-0000-0000-000045010000}"/>
    <cellStyle name="Comma 5 2 10 3 3" xfId="9693" xr:uid="{00000000-0005-0000-0000-000046010000}"/>
    <cellStyle name="Comma 5 2 10 3 3 2" xfId="35250" xr:uid="{00000000-0005-0000-0000-000047010000}"/>
    <cellStyle name="Comma 5 2 10 3 4" xfId="18516" xr:uid="{00000000-0005-0000-0000-000048010000}"/>
    <cellStyle name="Comma 5 2 10 3 4 2" xfId="44069" xr:uid="{00000000-0005-0000-0000-000049010000}"/>
    <cellStyle name="Comma 5 2 10 3 5" xfId="30006" xr:uid="{00000000-0005-0000-0000-00004A010000}"/>
    <cellStyle name="Comma 5 2 10 4" xfId="2214" xr:uid="{00000000-0005-0000-0000-00004B010000}"/>
    <cellStyle name="Comma 5 2 10 4 2" xfId="11579" xr:uid="{00000000-0005-0000-0000-00004C010000}"/>
    <cellStyle name="Comma 5 2 10 4 2 2" xfId="37134" xr:uid="{00000000-0005-0000-0000-00004D010000}"/>
    <cellStyle name="Comma 5 2 10 4 3" xfId="21583" xr:uid="{00000000-0005-0000-0000-00004E010000}"/>
    <cellStyle name="Comma 5 2 10 4 3 2" xfId="47136" xr:uid="{00000000-0005-0000-0000-00004F010000}"/>
    <cellStyle name="Comma 5 2 10 4 4" xfId="28066" xr:uid="{00000000-0005-0000-0000-000050010000}"/>
    <cellStyle name="Comma 5 2 10 5" xfId="5890" xr:uid="{00000000-0005-0000-0000-000051010000}"/>
    <cellStyle name="Comma 5 2 10 5 2" xfId="14717" xr:uid="{00000000-0005-0000-0000-000052010000}"/>
    <cellStyle name="Comma 5 2 10 5 2 2" xfId="40272" xr:uid="{00000000-0005-0000-0000-000053010000}"/>
    <cellStyle name="Comma 5 2 10 5 3" xfId="24968" xr:uid="{00000000-0005-0000-0000-000054010000}"/>
    <cellStyle name="Comma 5 2 10 5 3 2" xfId="50521" xr:uid="{00000000-0005-0000-0000-000055010000}"/>
    <cellStyle name="Comma 5 2 10 5 4" xfId="31451" xr:uid="{00000000-0005-0000-0000-000056010000}"/>
    <cellStyle name="Comma 5 2 10 6" xfId="7334" xr:uid="{00000000-0005-0000-0000-000057010000}"/>
    <cellStyle name="Comma 5 2 10 6 2" xfId="20065" xr:uid="{00000000-0005-0000-0000-000058010000}"/>
    <cellStyle name="Comma 5 2 10 6 2 2" xfId="45618" xr:uid="{00000000-0005-0000-0000-000059010000}"/>
    <cellStyle name="Comma 5 2 10 6 3" xfId="32891" xr:uid="{00000000-0005-0000-0000-00005A010000}"/>
    <cellStyle name="Comma 5 2 10 7" xfId="16576" xr:uid="{00000000-0005-0000-0000-00005B010000}"/>
    <cellStyle name="Comma 5 2 10 7 2" xfId="42129" xr:uid="{00000000-0005-0000-0000-00005C010000}"/>
    <cellStyle name="Comma 5 2 10 8" xfId="26548" xr:uid="{00000000-0005-0000-0000-00005D010000}"/>
    <cellStyle name="Comma 5 2 11" xfId="1044" xr:uid="{00000000-0005-0000-0000-00005E010000}"/>
    <cellStyle name="Comma 5 2 11 2" xfId="3473" xr:uid="{00000000-0005-0000-0000-00005F010000}"/>
    <cellStyle name="Comma 5 2 11 2 2" xfId="12609" xr:uid="{00000000-0005-0000-0000-000060010000}"/>
    <cellStyle name="Comma 5 2 11 2 2 2" xfId="22828" xr:uid="{00000000-0005-0000-0000-000061010000}"/>
    <cellStyle name="Comma 5 2 11 2 2 2 2" xfId="48381" xr:uid="{00000000-0005-0000-0000-000062010000}"/>
    <cellStyle name="Comma 5 2 11 2 2 3" xfId="38164" xr:uid="{00000000-0005-0000-0000-000063010000}"/>
    <cellStyle name="Comma 5 2 11 2 3" xfId="9031" xr:uid="{00000000-0005-0000-0000-000064010000}"/>
    <cellStyle name="Comma 5 2 11 2 3 2" xfId="34588" xr:uid="{00000000-0005-0000-0000-000065010000}"/>
    <cellStyle name="Comma 5 2 11 2 4" xfId="17821" xr:uid="{00000000-0005-0000-0000-000066010000}"/>
    <cellStyle name="Comma 5 2 11 2 4 2" xfId="43374" xr:uid="{00000000-0005-0000-0000-000067010000}"/>
    <cellStyle name="Comma 5 2 11 2 5" xfId="29311" xr:uid="{00000000-0005-0000-0000-000068010000}"/>
    <cellStyle name="Comma 5 2 11 3" xfId="4783" xr:uid="{00000000-0005-0000-0000-000069010000}"/>
    <cellStyle name="Comma 5 2 11 3 2" xfId="13620" xr:uid="{00000000-0005-0000-0000-00006A010000}"/>
    <cellStyle name="Comma 5 2 11 3 2 2" xfId="23871" xr:uid="{00000000-0005-0000-0000-00006B010000}"/>
    <cellStyle name="Comma 5 2 11 3 2 2 2" xfId="49424" xr:uid="{00000000-0005-0000-0000-00006C010000}"/>
    <cellStyle name="Comma 5 2 11 3 2 3" xfId="39175" xr:uid="{00000000-0005-0000-0000-00006D010000}"/>
    <cellStyle name="Comma 5 2 11 3 3" xfId="10041" xr:uid="{00000000-0005-0000-0000-00006E010000}"/>
    <cellStyle name="Comma 5 2 11 3 3 2" xfId="35598" xr:uid="{00000000-0005-0000-0000-00006F010000}"/>
    <cellStyle name="Comma 5 2 11 3 4" xfId="18864" xr:uid="{00000000-0005-0000-0000-000070010000}"/>
    <cellStyle name="Comma 5 2 11 3 4 2" xfId="44417" xr:uid="{00000000-0005-0000-0000-000071010000}"/>
    <cellStyle name="Comma 5 2 11 3 5" xfId="30354" xr:uid="{00000000-0005-0000-0000-000072010000}"/>
    <cellStyle name="Comma 5 2 11 4" xfId="1708" xr:uid="{00000000-0005-0000-0000-000073010000}"/>
    <cellStyle name="Comma 5 2 11 4 2" xfId="11085" xr:uid="{00000000-0005-0000-0000-000074010000}"/>
    <cellStyle name="Comma 5 2 11 4 2 2" xfId="36640" xr:uid="{00000000-0005-0000-0000-000075010000}"/>
    <cellStyle name="Comma 5 2 11 4 3" xfId="21089" xr:uid="{00000000-0005-0000-0000-000076010000}"/>
    <cellStyle name="Comma 5 2 11 4 3 2" xfId="46642" xr:uid="{00000000-0005-0000-0000-000077010000}"/>
    <cellStyle name="Comma 5 2 11 4 4" xfId="27572" xr:uid="{00000000-0005-0000-0000-000078010000}"/>
    <cellStyle name="Comma 5 2 11 5" xfId="6238" xr:uid="{00000000-0005-0000-0000-000079010000}"/>
    <cellStyle name="Comma 5 2 11 5 2" xfId="15065" xr:uid="{00000000-0005-0000-0000-00007A010000}"/>
    <cellStyle name="Comma 5 2 11 5 2 2" xfId="40620" xr:uid="{00000000-0005-0000-0000-00007B010000}"/>
    <cellStyle name="Comma 5 2 11 5 3" xfId="25316" xr:uid="{00000000-0005-0000-0000-00007C010000}"/>
    <cellStyle name="Comma 5 2 11 5 3 2" xfId="50869" xr:uid="{00000000-0005-0000-0000-00007D010000}"/>
    <cellStyle name="Comma 5 2 11 5 4" xfId="31799" xr:uid="{00000000-0005-0000-0000-00007E010000}"/>
    <cellStyle name="Comma 5 2 11 6" xfId="7684" xr:uid="{00000000-0005-0000-0000-00007F010000}"/>
    <cellStyle name="Comma 5 2 11 6 2" xfId="20427" xr:uid="{00000000-0005-0000-0000-000080010000}"/>
    <cellStyle name="Comma 5 2 11 6 2 2" xfId="45980" xr:uid="{00000000-0005-0000-0000-000081010000}"/>
    <cellStyle name="Comma 5 2 11 6 3" xfId="33241" xr:uid="{00000000-0005-0000-0000-000082010000}"/>
    <cellStyle name="Comma 5 2 11 7" xfId="16082" xr:uid="{00000000-0005-0000-0000-000083010000}"/>
    <cellStyle name="Comma 5 2 11 7 2" xfId="41635" xr:uid="{00000000-0005-0000-0000-000084010000}"/>
    <cellStyle name="Comma 5 2 11 8" xfId="26910" xr:uid="{00000000-0005-0000-0000-000085010000}"/>
    <cellStyle name="Comma 5 2 12" xfId="2608" xr:uid="{00000000-0005-0000-0000-000086010000}"/>
    <cellStyle name="Comma 5 2 12 2" xfId="5136" xr:uid="{00000000-0005-0000-0000-000087010000}"/>
    <cellStyle name="Comma 5 2 12 2 2" xfId="13973" xr:uid="{00000000-0005-0000-0000-000088010000}"/>
    <cellStyle name="Comma 5 2 12 2 2 2" xfId="24224" xr:uid="{00000000-0005-0000-0000-000089010000}"/>
    <cellStyle name="Comma 5 2 12 2 2 2 2" xfId="49777" xr:uid="{00000000-0005-0000-0000-00008A010000}"/>
    <cellStyle name="Comma 5 2 12 2 2 3" xfId="39528" xr:uid="{00000000-0005-0000-0000-00008B010000}"/>
    <cellStyle name="Comma 5 2 12 2 3" xfId="10394" xr:uid="{00000000-0005-0000-0000-00008C010000}"/>
    <cellStyle name="Comma 5 2 12 2 3 2" xfId="35951" xr:uid="{00000000-0005-0000-0000-00008D010000}"/>
    <cellStyle name="Comma 5 2 12 2 4" xfId="19217" xr:uid="{00000000-0005-0000-0000-00008E010000}"/>
    <cellStyle name="Comma 5 2 12 2 4 2" xfId="44770" xr:uid="{00000000-0005-0000-0000-00008F010000}"/>
    <cellStyle name="Comma 5 2 12 2 5" xfId="30707" xr:uid="{00000000-0005-0000-0000-000090010000}"/>
    <cellStyle name="Comma 5 2 12 3" xfId="6591" xr:uid="{00000000-0005-0000-0000-000091010000}"/>
    <cellStyle name="Comma 5 2 12 3 2" xfId="15418" xr:uid="{00000000-0005-0000-0000-000092010000}"/>
    <cellStyle name="Comma 5 2 12 3 2 2" xfId="40973" xr:uid="{00000000-0005-0000-0000-000093010000}"/>
    <cellStyle name="Comma 5 2 12 3 3" xfId="25669" xr:uid="{00000000-0005-0000-0000-000094010000}"/>
    <cellStyle name="Comma 5 2 12 3 3 2" xfId="51222" xr:uid="{00000000-0005-0000-0000-000095010000}"/>
    <cellStyle name="Comma 5 2 12 3 4" xfId="32152" xr:uid="{00000000-0005-0000-0000-000096010000}"/>
    <cellStyle name="Comma 5 2 12 4" xfId="8037" xr:uid="{00000000-0005-0000-0000-000097010000}"/>
    <cellStyle name="Comma 5 2 12 4 2" xfId="21972" xr:uid="{00000000-0005-0000-0000-000098010000}"/>
    <cellStyle name="Comma 5 2 12 4 2 2" xfId="47525" xr:uid="{00000000-0005-0000-0000-000099010000}"/>
    <cellStyle name="Comma 5 2 12 4 3" xfId="33594" xr:uid="{00000000-0005-0000-0000-00009A010000}"/>
    <cellStyle name="Comma 5 2 12 5" xfId="16965" xr:uid="{00000000-0005-0000-0000-00009B010000}"/>
    <cellStyle name="Comma 5 2 12 5 2" xfId="42518" xr:uid="{00000000-0005-0000-0000-00009C010000}"/>
    <cellStyle name="Comma 5 2 12 6" xfId="28455" xr:uid="{00000000-0005-0000-0000-00009D010000}"/>
    <cellStyle name="Comma 5 2 13" xfId="4090" xr:uid="{00000000-0005-0000-0000-00009E010000}"/>
    <cellStyle name="Comma 5 2 13 2" xfId="5548" xr:uid="{00000000-0005-0000-0000-00009F010000}"/>
    <cellStyle name="Comma 5 2 13 2 2" xfId="14375" xr:uid="{00000000-0005-0000-0000-0000A0010000}"/>
    <cellStyle name="Comma 5 2 13 2 2 2" xfId="39930" xr:uid="{00000000-0005-0000-0000-0000A1010000}"/>
    <cellStyle name="Comma 5 2 13 2 3" xfId="24626" xr:uid="{00000000-0005-0000-0000-0000A2010000}"/>
    <cellStyle name="Comma 5 2 13 2 3 2" xfId="50179" xr:uid="{00000000-0005-0000-0000-0000A3010000}"/>
    <cellStyle name="Comma 5 2 13 2 4" xfId="31109" xr:uid="{00000000-0005-0000-0000-0000A4010000}"/>
    <cellStyle name="Comma 5 2 13 3" xfId="6992" xr:uid="{00000000-0005-0000-0000-0000A5010000}"/>
    <cellStyle name="Comma 5 2 13 3 2" xfId="23179" xr:uid="{00000000-0005-0000-0000-0000A6010000}"/>
    <cellStyle name="Comma 5 2 13 3 2 2" xfId="48732" xr:uid="{00000000-0005-0000-0000-0000A7010000}"/>
    <cellStyle name="Comma 5 2 13 3 3" xfId="32549" xr:uid="{00000000-0005-0000-0000-0000A8010000}"/>
    <cellStyle name="Comma 5 2 13 4" xfId="18172" xr:uid="{00000000-0005-0000-0000-0000A9010000}"/>
    <cellStyle name="Comma 5 2 13 4 2" xfId="43725" xr:uid="{00000000-0005-0000-0000-0000AA010000}"/>
    <cellStyle name="Comma 5 2 13 5" xfId="29662" xr:uid="{00000000-0005-0000-0000-0000AB010000}"/>
    <cellStyle name="Comma 5 2 14" xfId="1396" xr:uid="{00000000-0005-0000-0000-0000AC010000}"/>
    <cellStyle name="Comma 5 2 14 2" xfId="10773" xr:uid="{00000000-0005-0000-0000-0000AD010000}"/>
    <cellStyle name="Comma 5 2 14 2 2" xfId="36328" xr:uid="{00000000-0005-0000-0000-0000AE010000}"/>
    <cellStyle name="Comma 5 2 14 3" xfId="20777" xr:uid="{00000000-0005-0000-0000-0000AF010000}"/>
    <cellStyle name="Comma 5 2 14 3 2" xfId="46330" xr:uid="{00000000-0005-0000-0000-0000B0010000}"/>
    <cellStyle name="Comma 5 2 14 4" xfId="27260" xr:uid="{00000000-0005-0000-0000-0000B1010000}"/>
    <cellStyle name="Comma 5 2 15" xfId="5508" xr:uid="{00000000-0005-0000-0000-0000B2010000}"/>
    <cellStyle name="Comma 5 2 15 2" xfId="14335" xr:uid="{00000000-0005-0000-0000-0000B3010000}"/>
    <cellStyle name="Comma 5 2 15 2 2" xfId="39890" xr:uid="{00000000-0005-0000-0000-0000B4010000}"/>
    <cellStyle name="Comma 5 2 15 3" xfId="24586" xr:uid="{00000000-0005-0000-0000-0000B5010000}"/>
    <cellStyle name="Comma 5 2 15 3 2" xfId="50139" xr:uid="{00000000-0005-0000-0000-0000B6010000}"/>
    <cellStyle name="Comma 5 2 15 4" xfId="31069" xr:uid="{00000000-0005-0000-0000-0000B7010000}"/>
    <cellStyle name="Comma 5 2 16" xfId="6947" xr:uid="{00000000-0005-0000-0000-0000B8010000}"/>
    <cellStyle name="Comma 5 2 16 2" xfId="19572" xr:uid="{00000000-0005-0000-0000-0000B9010000}"/>
    <cellStyle name="Comma 5 2 16 2 2" xfId="45125" xr:uid="{00000000-0005-0000-0000-0000BA010000}"/>
    <cellStyle name="Comma 5 2 16 3" xfId="32505" xr:uid="{00000000-0005-0000-0000-0000BB010000}"/>
    <cellStyle name="Comma 5 2 17" xfId="15770" xr:uid="{00000000-0005-0000-0000-0000BC010000}"/>
    <cellStyle name="Comma 5 2 17 2" xfId="41323" xr:uid="{00000000-0005-0000-0000-0000BD010000}"/>
    <cellStyle name="Comma 5 2 18" xfId="26055" xr:uid="{00000000-0005-0000-0000-0000BE010000}"/>
    <cellStyle name="Comma 5 2 2" xfId="112" xr:uid="{00000000-0005-0000-0000-0000BF010000}"/>
    <cellStyle name="Comma 5 2 2 10" xfId="4102" xr:uid="{00000000-0005-0000-0000-0000C0010000}"/>
    <cellStyle name="Comma 5 2 2 10 2" xfId="5560" xr:uid="{00000000-0005-0000-0000-0000C1010000}"/>
    <cellStyle name="Comma 5 2 2 10 2 2" xfId="14387" xr:uid="{00000000-0005-0000-0000-0000C2010000}"/>
    <cellStyle name="Comma 5 2 2 10 2 2 2" xfId="39942" xr:uid="{00000000-0005-0000-0000-0000C3010000}"/>
    <cellStyle name="Comma 5 2 2 10 2 3" xfId="24638" xr:uid="{00000000-0005-0000-0000-0000C4010000}"/>
    <cellStyle name="Comma 5 2 2 10 2 3 2" xfId="50191" xr:uid="{00000000-0005-0000-0000-0000C5010000}"/>
    <cellStyle name="Comma 5 2 2 10 2 4" xfId="31121" xr:uid="{00000000-0005-0000-0000-0000C6010000}"/>
    <cellStyle name="Comma 5 2 2 10 3" xfId="7004" xr:uid="{00000000-0005-0000-0000-0000C7010000}"/>
    <cellStyle name="Comma 5 2 2 10 3 2" xfId="23191" xr:uid="{00000000-0005-0000-0000-0000C8010000}"/>
    <cellStyle name="Comma 5 2 2 10 3 2 2" xfId="48744" xr:uid="{00000000-0005-0000-0000-0000C9010000}"/>
    <cellStyle name="Comma 5 2 2 10 3 3" xfId="32561" xr:uid="{00000000-0005-0000-0000-0000CA010000}"/>
    <cellStyle name="Comma 5 2 2 10 4" xfId="18184" xr:uid="{00000000-0005-0000-0000-0000CB010000}"/>
    <cellStyle name="Comma 5 2 2 10 4 2" xfId="43737" xr:uid="{00000000-0005-0000-0000-0000CC010000}"/>
    <cellStyle name="Comma 5 2 2 10 5" xfId="29674" xr:uid="{00000000-0005-0000-0000-0000CD010000}"/>
    <cellStyle name="Comma 5 2 2 11" xfId="1421" xr:uid="{00000000-0005-0000-0000-0000CE010000}"/>
    <cellStyle name="Comma 5 2 2 11 2" xfId="10798" xr:uid="{00000000-0005-0000-0000-0000CF010000}"/>
    <cellStyle name="Comma 5 2 2 11 2 2" xfId="36353" xr:uid="{00000000-0005-0000-0000-0000D0010000}"/>
    <cellStyle name="Comma 5 2 2 11 3" xfId="20802" xr:uid="{00000000-0005-0000-0000-0000D1010000}"/>
    <cellStyle name="Comma 5 2 2 11 3 2" xfId="46355" xr:uid="{00000000-0005-0000-0000-0000D2010000}"/>
    <cellStyle name="Comma 5 2 2 11 4" xfId="27285" xr:uid="{00000000-0005-0000-0000-0000D3010000}"/>
    <cellStyle name="Comma 5 2 2 12" xfId="5530" xr:uid="{00000000-0005-0000-0000-0000D4010000}"/>
    <cellStyle name="Comma 5 2 2 12 2" xfId="14357" xr:uid="{00000000-0005-0000-0000-0000D5010000}"/>
    <cellStyle name="Comma 5 2 2 12 2 2" xfId="39912" xr:uid="{00000000-0005-0000-0000-0000D6010000}"/>
    <cellStyle name="Comma 5 2 2 12 3" xfId="24608" xr:uid="{00000000-0005-0000-0000-0000D7010000}"/>
    <cellStyle name="Comma 5 2 2 12 3 2" xfId="50161" xr:uid="{00000000-0005-0000-0000-0000D8010000}"/>
    <cellStyle name="Comma 5 2 2 12 4" xfId="31091" xr:uid="{00000000-0005-0000-0000-0000D9010000}"/>
    <cellStyle name="Comma 5 2 2 13" xfId="6974" xr:uid="{00000000-0005-0000-0000-0000DA010000}"/>
    <cellStyle name="Comma 5 2 2 13 2" xfId="19585" xr:uid="{00000000-0005-0000-0000-0000DB010000}"/>
    <cellStyle name="Comma 5 2 2 13 2 2" xfId="45138" xr:uid="{00000000-0005-0000-0000-0000DC010000}"/>
    <cellStyle name="Comma 5 2 2 13 3" xfId="32531" xr:uid="{00000000-0005-0000-0000-0000DD010000}"/>
    <cellStyle name="Comma 5 2 2 14" xfId="15795" xr:uid="{00000000-0005-0000-0000-0000DE010000}"/>
    <cellStyle name="Comma 5 2 2 14 2" xfId="41348" xr:uid="{00000000-0005-0000-0000-0000DF010000}"/>
    <cellStyle name="Comma 5 2 2 15" xfId="26068" xr:uid="{00000000-0005-0000-0000-0000E0010000}"/>
    <cellStyle name="Comma 5 2 2 2" xfId="156" xr:uid="{00000000-0005-0000-0000-0000E1010000}"/>
    <cellStyle name="Comma 5 2 2 2 10" xfId="5662" xr:uid="{00000000-0005-0000-0000-0000E2010000}"/>
    <cellStyle name="Comma 5 2 2 2 10 2" xfId="14489" xr:uid="{00000000-0005-0000-0000-0000E3010000}"/>
    <cellStyle name="Comma 5 2 2 2 10 2 2" xfId="40044" xr:uid="{00000000-0005-0000-0000-0000E4010000}"/>
    <cellStyle name="Comma 5 2 2 2 10 3" xfId="24740" xr:uid="{00000000-0005-0000-0000-0000E5010000}"/>
    <cellStyle name="Comma 5 2 2 2 10 3 2" xfId="50293" xr:uid="{00000000-0005-0000-0000-0000E6010000}"/>
    <cellStyle name="Comma 5 2 2 2 10 4" xfId="31223" xr:uid="{00000000-0005-0000-0000-0000E7010000}"/>
    <cellStyle name="Comma 5 2 2 2 11" xfId="7106" xr:uid="{00000000-0005-0000-0000-0000E8010000}"/>
    <cellStyle name="Comma 5 2 2 2 11 2" xfId="19615" xr:uid="{00000000-0005-0000-0000-0000E9010000}"/>
    <cellStyle name="Comma 5 2 2 2 11 2 2" xfId="45168" xr:uid="{00000000-0005-0000-0000-0000EA010000}"/>
    <cellStyle name="Comma 5 2 2 2 11 3" xfId="32663" xr:uid="{00000000-0005-0000-0000-0000EB010000}"/>
    <cellStyle name="Comma 5 2 2 2 12" xfId="15852" xr:uid="{00000000-0005-0000-0000-0000EC010000}"/>
    <cellStyle name="Comma 5 2 2 2 12 2" xfId="41405" xr:uid="{00000000-0005-0000-0000-0000ED010000}"/>
    <cellStyle name="Comma 5 2 2 2 13" xfId="26098" xr:uid="{00000000-0005-0000-0000-0000EE010000}"/>
    <cellStyle name="Comma 5 2 2 2 2" xfId="268" xr:uid="{00000000-0005-0000-0000-0000EF010000}"/>
    <cellStyle name="Comma 5 2 2 2 2 10" xfId="16056" xr:uid="{00000000-0005-0000-0000-0000F0010000}"/>
    <cellStyle name="Comma 5 2 2 2 2 10 2" xfId="41609" xr:uid="{00000000-0005-0000-0000-0000F1010000}"/>
    <cellStyle name="Comma 5 2 2 2 2 11" xfId="26202" xr:uid="{00000000-0005-0000-0000-0000F2010000}"/>
    <cellStyle name="Comma 5 2 2 2 2 2" xfId="590" xr:uid="{00000000-0005-0000-0000-0000F3010000}"/>
    <cellStyle name="Comma 5 2 2 2 2 2 2" xfId="3076" xr:uid="{00000000-0005-0000-0000-0000F4010000}"/>
    <cellStyle name="Comma 5 2 2 2 2 2 2 2" xfId="12223" xr:uid="{00000000-0005-0000-0000-0000F5010000}"/>
    <cellStyle name="Comma 5 2 2 2 2 2 2 2 2" xfId="22437" xr:uid="{00000000-0005-0000-0000-0000F6010000}"/>
    <cellStyle name="Comma 5 2 2 2 2 2 2 2 2 2" xfId="47990" xr:uid="{00000000-0005-0000-0000-0000F7010000}"/>
    <cellStyle name="Comma 5 2 2 2 2 2 2 2 3" xfId="37778" xr:uid="{00000000-0005-0000-0000-0000F8010000}"/>
    <cellStyle name="Comma 5 2 2 2 2 2 2 3" xfId="8645" xr:uid="{00000000-0005-0000-0000-0000F9010000}"/>
    <cellStyle name="Comma 5 2 2 2 2 2 2 3 2" xfId="34202" xr:uid="{00000000-0005-0000-0000-0000FA010000}"/>
    <cellStyle name="Comma 5 2 2 2 2 2 2 4" xfId="17430" xr:uid="{00000000-0005-0000-0000-0000FB010000}"/>
    <cellStyle name="Comma 5 2 2 2 2 2 2 4 2" xfId="42983" xr:uid="{00000000-0005-0000-0000-0000FC010000}"/>
    <cellStyle name="Comma 5 2 2 2 2 2 2 5" xfId="28920" xr:uid="{00000000-0005-0000-0000-0000FD010000}"/>
    <cellStyle name="Comma 5 2 2 2 2 2 3" xfId="4437" xr:uid="{00000000-0005-0000-0000-0000FE010000}"/>
    <cellStyle name="Comma 5 2 2 2 2 2 3 2" xfId="13275" xr:uid="{00000000-0005-0000-0000-0000FF010000}"/>
    <cellStyle name="Comma 5 2 2 2 2 2 3 2 2" xfId="23526" xr:uid="{00000000-0005-0000-0000-000000020000}"/>
    <cellStyle name="Comma 5 2 2 2 2 2 3 2 2 2" xfId="49079" xr:uid="{00000000-0005-0000-0000-000001020000}"/>
    <cellStyle name="Comma 5 2 2 2 2 2 3 2 3" xfId="38830" xr:uid="{00000000-0005-0000-0000-000002020000}"/>
    <cellStyle name="Comma 5 2 2 2 2 2 3 3" xfId="9696" xr:uid="{00000000-0005-0000-0000-000003020000}"/>
    <cellStyle name="Comma 5 2 2 2 2 2 3 3 2" xfId="35253" xr:uid="{00000000-0005-0000-0000-000004020000}"/>
    <cellStyle name="Comma 5 2 2 2 2 2 3 4" xfId="18519" xr:uid="{00000000-0005-0000-0000-000005020000}"/>
    <cellStyle name="Comma 5 2 2 2 2 2 3 4 2" xfId="44072" xr:uid="{00000000-0005-0000-0000-000006020000}"/>
    <cellStyle name="Comma 5 2 2 2 2 2 3 5" xfId="30009" xr:uid="{00000000-0005-0000-0000-000007020000}"/>
    <cellStyle name="Comma 5 2 2 2 2 2 4" xfId="2185" xr:uid="{00000000-0005-0000-0000-000008020000}"/>
    <cellStyle name="Comma 5 2 2 2 2 2 4 2" xfId="11550" xr:uid="{00000000-0005-0000-0000-000009020000}"/>
    <cellStyle name="Comma 5 2 2 2 2 2 4 2 2" xfId="37105" xr:uid="{00000000-0005-0000-0000-00000A020000}"/>
    <cellStyle name="Comma 5 2 2 2 2 2 4 3" xfId="21554" xr:uid="{00000000-0005-0000-0000-00000B020000}"/>
    <cellStyle name="Comma 5 2 2 2 2 2 4 3 2" xfId="47107" xr:uid="{00000000-0005-0000-0000-00000C020000}"/>
    <cellStyle name="Comma 5 2 2 2 2 2 4 4" xfId="28037" xr:uid="{00000000-0005-0000-0000-00000D020000}"/>
    <cellStyle name="Comma 5 2 2 2 2 2 5" xfId="5893" xr:uid="{00000000-0005-0000-0000-00000E020000}"/>
    <cellStyle name="Comma 5 2 2 2 2 2 5 2" xfId="14720" xr:uid="{00000000-0005-0000-0000-00000F020000}"/>
    <cellStyle name="Comma 5 2 2 2 2 2 5 2 2" xfId="40275" xr:uid="{00000000-0005-0000-0000-000010020000}"/>
    <cellStyle name="Comma 5 2 2 2 2 2 5 3" xfId="24971" xr:uid="{00000000-0005-0000-0000-000011020000}"/>
    <cellStyle name="Comma 5 2 2 2 2 2 5 3 2" xfId="50524" xr:uid="{00000000-0005-0000-0000-000012020000}"/>
    <cellStyle name="Comma 5 2 2 2 2 2 5 4" xfId="31454" xr:uid="{00000000-0005-0000-0000-000013020000}"/>
    <cellStyle name="Comma 5 2 2 2 2 2 6" xfId="7337" xr:uid="{00000000-0005-0000-0000-000014020000}"/>
    <cellStyle name="Comma 5 2 2 2 2 2 6 2" xfId="20036" xr:uid="{00000000-0005-0000-0000-000015020000}"/>
    <cellStyle name="Comma 5 2 2 2 2 2 6 2 2" xfId="45589" xr:uid="{00000000-0005-0000-0000-000016020000}"/>
    <cellStyle name="Comma 5 2 2 2 2 2 6 3" xfId="32894" xr:uid="{00000000-0005-0000-0000-000017020000}"/>
    <cellStyle name="Comma 5 2 2 2 2 2 7" xfId="16547" xr:uid="{00000000-0005-0000-0000-000018020000}"/>
    <cellStyle name="Comma 5 2 2 2 2 2 7 2" xfId="42100" xr:uid="{00000000-0005-0000-0000-000019020000}"/>
    <cellStyle name="Comma 5 2 2 2 2 2 8" xfId="26519" xr:uid="{00000000-0005-0000-0000-00001A020000}"/>
    <cellStyle name="Comma 5 2 2 2 2 3" xfId="622" xr:uid="{00000000-0005-0000-0000-00001B020000}"/>
    <cellStyle name="Comma 5 2 2 2 2 3 2" xfId="3108" xr:uid="{00000000-0005-0000-0000-00001C020000}"/>
    <cellStyle name="Comma 5 2 2 2 2 3 2 2" xfId="12251" xr:uid="{00000000-0005-0000-0000-00001D020000}"/>
    <cellStyle name="Comma 5 2 2 2 2 3 2 2 2" xfId="22469" xr:uid="{00000000-0005-0000-0000-00001E020000}"/>
    <cellStyle name="Comma 5 2 2 2 2 3 2 2 2 2" xfId="48022" xr:uid="{00000000-0005-0000-0000-00001F020000}"/>
    <cellStyle name="Comma 5 2 2 2 2 3 2 2 3" xfId="37806" xr:uid="{00000000-0005-0000-0000-000020020000}"/>
    <cellStyle name="Comma 5 2 2 2 2 3 2 3" xfId="8673" xr:uid="{00000000-0005-0000-0000-000021020000}"/>
    <cellStyle name="Comma 5 2 2 2 2 3 2 3 2" xfId="34230" xr:uid="{00000000-0005-0000-0000-000022020000}"/>
    <cellStyle name="Comma 5 2 2 2 2 3 2 4" xfId="17462" xr:uid="{00000000-0005-0000-0000-000023020000}"/>
    <cellStyle name="Comma 5 2 2 2 2 3 2 4 2" xfId="43015" xr:uid="{00000000-0005-0000-0000-000024020000}"/>
    <cellStyle name="Comma 5 2 2 2 2 3 2 5" xfId="28952" xr:uid="{00000000-0005-0000-0000-000025020000}"/>
    <cellStyle name="Comma 5 2 2 2 2 3 3" xfId="4786" xr:uid="{00000000-0005-0000-0000-000026020000}"/>
    <cellStyle name="Comma 5 2 2 2 2 3 3 2" xfId="13623" xr:uid="{00000000-0005-0000-0000-000027020000}"/>
    <cellStyle name="Comma 5 2 2 2 2 3 3 2 2" xfId="23874" xr:uid="{00000000-0005-0000-0000-000028020000}"/>
    <cellStyle name="Comma 5 2 2 2 2 3 3 2 2 2" xfId="49427" xr:uid="{00000000-0005-0000-0000-000029020000}"/>
    <cellStyle name="Comma 5 2 2 2 2 3 3 2 3" xfId="39178" xr:uid="{00000000-0005-0000-0000-00002A020000}"/>
    <cellStyle name="Comma 5 2 2 2 2 3 3 3" xfId="10044" xr:uid="{00000000-0005-0000-0000-00002B020000}"/>
    <cellStyle name="Comma 5 2 2 2 2 3 3 3 2" xfId="35601" xr:uid="{00000000-0005-0000-0000-00002C020000}"/>
    <cellStyle name="Comma 5 2 2 2 2 3 3 4" xfId="18867" xr:uid="{00000000-0005-0000-0000-00002D020000}"/>
    <cellStyle name="Comma 5 2 2 2 2 3 3 4 2" xfId="44420" xr:uid="{00000000-0005-0000-0000-00002E020000}"/>
    <cellStyle name="Comma 5 2 2 2 2 3 3 5" xfId="30357" xr:uid="{00000000-0005-0000-0000-00002F020000}"/>
    <cellStyle name="Comma 5 2 2 2 2 3 4" xfId="2217" xr:uid="{00000000-0005-0000-0000-000030020000}"/>
    <cellStyle name="Comma 5 2 2 2 2 3 4 2" xfId="11582" xr:uid="{00000000-0005-0000-0000-000031020000}"/>
    <cellStyle name="Comma 5 2 2 2 2 3 4 2 2" xfId="37137" xr:uid="{00000000-0005-0000-0000-000032020000}"/>
    <cellStyle name="Comma 5 2 2 2 2 3 4 3" xfId="21586" xr:uid="{00000000-0005-0000-0000-000033020000}"/>
    <cellStyle name="Comma 5 2 2 2 2 3 4 3 2" xfId="47139" xr:uid="{00000000-0005-0000-0000-000034020000}"/>
    <cellStyle name="Comma 5 2 2 2 2 3 4 4" xfId="28069" xr:uid="{00000000-0005-0000-0000-000035020000}"/>
    <cellStyle name="Comma 5 2 2 2 2 3 5" xfId="6241" xr:uid="{00000000-0005-0000-0000-000036020000}"/>
    <cellStyle name="Comma 5 2 2 2 2 3 5 2" xfId="15068" xr:uid="{00000000-0005-0000-0000-000037020000}"/>
    <cellStyle name="Comma 5 2 2 2 2 3 5 2 2" xfId="40623" xr:uid="{00000000-0005-0000-0000-000038020000}"/>
    <cellStyle name="Comma 5 2 2 2 2 3 5 3" xfId="25319" xr:uid="{00000000-0005-0000-0000-000039020000}"/>
    <cellStyle name="Comma 5 2 2 2 2 3 5 3 2" xfId="50872" xr:uid="{00000000-0005-0000-0000-00003A020000}"/>
    <cellStyle name="Comma 5 2 2 2 2 3 5 4" xfId="31802" xr:uid="{00000000-0005-0000-0000-00003B020000}"/>
    <cellStyle name="Comma 5 2 2 2 2 3 6" xfId="7687" xr:uid="{00000000-0005-0000-0000-00003C020000}"/>
    <cellStyle name="Comma 5 2 2 2 2 3 6 2" xfId="20068" xr:uid="{00000000-0005-0000-0000-00003D020000}"/>
    <cellStyle name="Comma 5 2 2 2 2 3 6 2 2" xfId="45621" xr:uid="{00000000-0005-0000-0000-00003E020000}"/>
    <cellStyle name="Comma 5 2 2 2 2 3 6 3" xfId="33244" xr:uid="{00000000-0005-0000-0000-00003F020000}"/>
    <cellStyle name="Comma 5 2 2 2 2 3 7" xfId="16579" xr:uid="{00000000-0005-0000-0000-000040020000}"/>
    <cellStyle name="Comma 5 2 2 2 2 3 7 2" xfId="42132" xr:uid="{00000000-0005-0000-0000-000041020000}"/>
    <cellStyle name="Comma 5 2 2 2 2 3 8" xfId="26551" xr:uid="{00000000-0005-0000-0000-000042020000}"/>
    <cellStyle name="Comma 5 2 2 2 2 4" xfId="1362" xr:uid="{00000000-0005-0000-0000-000043020000}"/>
    <cellStyle name="Comma 5 2 2 2 2 4 2" xfId="3791" xr:uid="{00000000-0005-0000-0000-000044020000}"/>
    <cellStyle name="Comma 5 2 2 2 2 4 2 2" xfId="12927" xr:uid="{00000000-0005-0000-0000-000045020000}"/>
    <cellStyle name="Comma 5 2 2 2 2 4 2 2 2" xfId="23146" xr:uid="{00000000-0005-0000-0000-000046020000}"/>
    <cellStyle name="Comma 5 2 2 2 2 4 2 2 2 2" xfId="48699" xr:uid="{00000000-0005-0000-0000-000047020000}"/>
    <cellStyle name="Comma 5 2 2 2 2 4 2 2 3" xfId="38482" xr:uid="{00000000-0005-0000-0000-000048020000}"/>
    <cellStyle name="Comma 5 2 2 2 2 4 2 3" xfId="9348" xr:uid="{00000000-0005-0000-0000-000049020000}"/>
    <cellStyle name="Comma 5 2 2 2 2 4 2 3 2" xfId="34905" xr:uid="{00000000-0005-0000-0000-00004A020000}"/>
    <cellStyle name="Comma 5 2 2 2 2 4 2 4" xfId="18139" xr:uid="{00000000-0005-0000-0000-00004B020000}"/>
    <cellStyle name="Comma 5 2 2 2 2 4 2 4 2" xfId="43692" xr:uid="{00000000-0005-0000-0000-00004C020000}"/>
    <cellStyle name="Comma 5 2 2 2 2 4 2 5" xfId="29629" xr:uid="{00000000-0005-0000-0000-00004D020000}"/>
    <cellStyle name="Comma 5 2 2 2 2 4 3" xfId="5454" xr:uid="{00000000-0005-0000-0000-00004E020000}"/>
    <cellStyle name="Comma 5 2 2 2 2 4 3 2" xfId="14291" xr:uid="{00000000-0005-0000-0000-00004F020000}"/>
    <cellStyle name="Comma 5 2 2 2 2 4 3 2 2" xfId="24542" xr:uid="{00000000-0005-0000-0000-000050020000}"/>
    <cellStyle name="Comma 5 2 2 2 2 4 3 2 2 2" xfId="50095" xr:uid="{00000000-0005-0000-0000-000051020000}"/>
    <cellStyle name="Comma 5 2 2 2 2 4 3 2 3" xfId="39846" xr:uid="{00000000-0005-0000-0000-000052020000}"/>
    <cellStyle name="Comma 5 2 2 2 2 4 3 3" xfId="10712" xr:uid="{00000000-0005-0000-0000-000053020000}"/>
    <cellStyle name="Comma 5 2 2 2 2 4 3 3 2" xfId="36269" xr:uid="{00000000-0005-0000-0000-000054020000}"/>
    <cellStyle name="Comma 5 2 2 2 2 4 3 4" xfId="19535" xr:uid="{00000000-0005-0000-0000-000055020000}"/>
    <cellStyle name="Comma 5 2 2 2 2 4 3 4 2" xfId="45088" xr:uid="{00000000-0005-0000-0000-000056020000}"/>
    <cellStyle name="Comma 5 2 2 2 2 4 3 5" xfId="31025" xr:uid="{00000000-0005-0000-0000-000057020000}"/>
    <cellStyle name="Comma 5 2 2 2 2 4 4" xfId="1865" xr:uid="{00000000-0005-0000-0000-000058020000}"/>
    <cellStyle name="Comma 5 2 2 2 2 4 4 2" xfId="11233" xr:uid="{00000000-0005-0000-0000-000059020000}"/>
    <cellStyle name="Comma 5 2 2 2 2 4 4 2 2" xfId="36788" xr:uid="{00000000-0005-0000-0000-00005A020000}"/>
    <cellStyle name="Comma 5 2 2 2 2 4 4 3" xfId="21237" xr:uid="{00000000-0005-0000-0000-00005B020000}"/>
    <cellStyle name="Comma 5 2 2 2 2 4 4 3 2" xfId="46790" xr:uid="{00000000-0005-0000-0000-00005C020000}"/>
    <cellStyle name="Comma 5 2 2 2 2 4 4 4" xfId="27720" xr:uid="{00000000-0005-0000-0000-00005D020000}"/>
    <cellStyle name="Comma 5 2 2 2 2 4 5" xfId="6909" xr:uid="{00000000-0005-0000-0000-00005E020000}"/>
    <cellStyle name="Comma 5 2 2 2 2 4 5 2" xfId="15736" xr:uid="{00000000-0005-0000-0000-00005F020000}"/>
    <cellStyle name="Comma 5 2 2 2 2 4 5 2 2" xfId="41291" xr:uid="{00000000-0005-0000-0000-000060020000}"/>
    <cellStyle name="Comma 5 2 2 2 2 4 5 3" xfId="25987" xr:uid="{00000000-0005-0000-0000-000061020000}"/>
    <cellStyle name="Comma 5 2 2 2 2 4 5 3 2" xfId="51540" xr:uid="{00000000-0005-0000-0000-000062020000}"/>
    <cellStyle name="Comma 5 2 2 2 2 4 5 4" xfId="32470" xr:uid="{00000000-0005-0000-0000-000063020000}"/>
    <cellStyle name="Comma 5 2 2 2 2 4 6" xfId="8355" xr:uid="{00000000-0005-0000-0000-000064020000}"/>
    <cellStyle name="Comma 5 2 2 2 2 4 6 2" xfId="20745" xr:uid="{00000000-0005-0000-0000-000065020000}"/>
    <cellStyle name="Comma 5 2 2 2 2 4 6 2 2" xfId="46298" xr:uid="{00000000-0005-0000-0000-000066020000}"/>
    <cellStyle name="Comma 5 2 2 2 2 4 6 3" xfId="33912" xr:uid="{00000000-0005-0000-0000-000067020000}"/>
    <cellStyle name="Comma 5 2 2 2 2 4 7" xfId="16230" xr:uid="{00000000-0005-0000-0000-000068020000}"/>
    <cellStyle name="Comma 5 2 2 2 2 4 7 2" xfId="41783" xr:uid="{00000000-0005-0000-0000-000069020000}"/>
    <cellStyle name="Comma 5 2 2 2 2 4 8" xfId="27228" xr:uid="{00000000-0005-0000-0000-00006A020000}"/>
    <cellStyle name="Comma 5 2 2 2 2 5" xfId="2759" xr:uid="{00000000-0005-0000-0000-00006B020000}"/>
    <cellStyle name="Comma 5 2 2 2 2 5 2" xfId="12076" xr:uid="{00000000-0005-0000-0000-00006C020000}"/>
    <cellStyle name="Comma 5 2 2 2 2 5 2 2" xfId="22120" xr:uid="{00000000-0005-0000-0000-00006D020000}"/>
    <cellStyle name="Comma 5 2 2 2 2 5 2 2 2" xfId="47673" xr:uid="{00000000-0005-0000-0000-00006E020000}"/>
    <cellStyle name="Comma 5 2 2 2 2 5 2 3" xfId="37631" xr:uid="{00000000-0005-0000-0000-00006F020000}"/>
    <cellStyle name="Comma 5 2 2 2 2 5 3" xfId="8410" xr:uid="{00000000-0005-0000-0000-000070020000}"/>
    <cellStyle name="Comma 5 2 2 2 2 5 3 2" xfId="33967" xr:uid="{00000000-0005-0000-0000-000071020000}"/>
    <cellStyle name="Comma 5 2 2 2 2 5 4" xfId="17113" xr:uid="{00000000-0005-0000-0000-000072020000}"/>
    <cellStyle name="Comma 5 2 2 2 2 5 4 2" xfId="42666" xr:uid="{00000000-0005-0000-0000-000073020000}"/>
    <cellStyle name="Comma 5 2 2 2 2 5 5" xfId="28603" xr:uid="{00000000-0005-0000-0000-000074020000}"/>
    <cellStyle name="Comma 5 2 2 2 2 6" xfId="4410" xr:uid="{00000000-0005-0000-0000-000075020000}"/>
    <cellStyle name="Comma 5 2 2 2 2 6 2" xfId="13248" xr:uid="{00000000-0005-0000-0000-000076020000}"/>
    <cellStyle name="Comma 5 2 2 2 2 6 2 2" xfId="23499" xr:uid="{00000000-0005-0000-0000-000077020000}"/>
    <cellStyle name="Comma 5 2 2 2 2 6 2 2 2" xfId="49052" xr:uid="{00000000-0005-0000-0000-000078020000}"/>
    <cellStyle name="Comma 5 2 2 2 2 6 2 3" xfId="38803" xr:uid="{00000000-0005-0000-0000-000079020000}"/>
    <cellStyle name="Comma 5 2 2 2 2 6 3" xfId="9669" xr:uid="{00000000-0005-0000-0000-00007A020000}"/>
    <cellStyle name="Comma 5 2 2 2 2 6 3 2" xfId="35226" xr:uid="{00000000-0005-0000-0000-00007B020000}"/>
    <cellStyle name="Comma 5 2 2 2 2 6 4" xfId="18492" xr:uid="{00000000-0005-0000-0000-00007C020000}"/>
    <cellStyle name="Comma 5 2 2 2 2 6 4 2" xfId="44045" xr:uid="{00000000-0005-0000-0000-00007D020000}"/>
    <cellStyle name="Comma 5 2 2 2 2 6 5" xfId="29982" xr:uid="{00000000-0005-0000-0000-00007E020000}"/>
    <cellStyle name="Comma 5 2 2 2 2 7" xfId="1682" xr:uid="{00000000-0005-0000-0000-00007F020000}"/>
    <cellStyle name="Comma 5 2 2 2 2 7 2" xfId="11059" xr:uid="{00000000-0005-0000-0000-000080020000}"/>
    <cellStyle name="Comma 5 2 2 2 2 7 2 2" xfId="36614" xr:uid="{00000000-0005-0000-0000-000081020000}"/>
    <cellStyle name="Comma 5 2 2 2 2 7 3" xfId="21063" xr:uid="{00000000-0005-0000-0000-000082020000}"/>
    <cellStyle name="Comma 5 2 2 2 2 7 3 2" xfId="46616" xr:uid="{00000000-0005-0000-0000-000083020000}"/>
    <cellStyle name="Comma 5 2 2 2 2 7 4" xfId="27546" xr:uid="{00000000-0005-0000-0000-000084020000}"/>
    <cellStyle name="Comma 5 2 2 2 2 8" xfId="5866" xr:uid="{00000000-0005-0000-0000-000085020000}"/>
    <cellStyle name="Comma 5 2 2 2 2 8 2" xfId="14693" xr:uid="{00000000-0005-0000-0000-000086020000}"/>
    <cellStyle name="Comma 5 2 2 2 2 8 2 2" xfId="40248" xr:uid="{00000000-0005-0000-0000-000087020000}"/>
    <cellStyle name="Comma 5 2 2 2 2 8 3" xfId="24944" xr:uid="{00000000-0005-0000-0000-000088020000}"/>
    <cellStyle name="Comma 5 2 2 2 2 8 3 2" xfId="50497" xr:uid="{00000000-0005-0000-0000-000089020000}"/>
    <cellStyle name="Comma 5 2 2 2 2 8 4" xfId="31427" xr:uid="{00000000-0005-0000-0000-00008A020000}"/>
    <cellStyle name="Comma 5 2 2 2 2 9" xfId="7310" xr:uid="{00000000-0005-0000-0000-00008B020000}"/>
    <cellStyle name="Comma 5 2 2 2 2 9 2" xfId="19719" xr:uid="{00000000-0005-0000-0000-00008C020000}"/>
    <cellStyle name="Comma 5 2 2 2 2 9 2 2" xfId="45272" xr:uid="{00000000-0005-0000-0000-00008D020000}"/>
    <cellStyle name="Comma 5 2 2 2 2 9 3" xfId="32867" xr:uid="{00000000-0005-0000-0000-00008E020000}"/>
    <cellStyle name="Comma 5 2 2 2 3" xfId="486" xr:uid="{00000000-0005-0000-0000-00008F020000}"/>
    <cellStyle name="Comma 5 2 2 2 3 10" xfId="26415" xr:uid="{00000000-0005-0000-0000-000090020000}"/>
    <cellStyle name="Comma 5 2 2 2 3 2" xfId="623" xr:uid="{00000000-0005-0000-0000-000091020000}"/>
    <cellStyle name="Comma 5 2 2 2 3 2 2" xfId="3109" xr:uid="{00000000-0005-0000-0000-000092020000}"/>
    <cellStyle name="Comma 5 2 2 2 3 2 2 2" xfId="12252" xr:uid="{00000000-0005-0000-0000-000093020000}"/>
    <cellStyle name="Comma 5 2 2 2 3 2 2 2 2" xfId="22470" xr:uid="{00000000-0005-0000-0000-000094020000}"/>
    <cellStyle name="Comma 5 2 2 2 3 2 2 2 2 2" xfId="48023" xr:uid="{00000000-0005-0000-0000-000095020000}"/>
    <cellStyle name="Comma 5 2 2 2 3 2 2 2 3" xfId="37807" xr:uid="{00000000-0005-0000-0000-000096020000}"/>
    <cellStyle name="Comma 5 2 2 2 3 2 2 3" xfId="8674" xr:uid="{00000000-0005-0000-0000-000097020000}"/>
    <cellStyle name="Comma 5 2 2 2 3 2 2 3 2" xfId="34231" xr:uid="{00000000-0005-0000-0000-000098020000}"/>
    <cellStyle name="Comma 5 2 2 2 3 2 2 4" xfId="17463" xr:uid="{00000000-0005-0000-0000-000099020000}"/>
    <cellStyle name="Comma 5 2 2 2 3 2 2 4 2" xfId="43016" xr:uid="{00000000-0005-0000-0000-00009A020000}"/>
    <cellStyle name="Comma 5 2 2 2 3 2 2 5" xfId="28953" xr:uid="{00000000-0005-0000-0000-00009B020000}"/>
    <cellStyle name="Comma 5 2 2 2 3 2 3" xfId="4438" xr:uid="{00000000-0005-0000-0000-00009C020000}"/>
    <cellStyle name="Comma 5 2 2 2 3 2 3 2" xfId="13276" xr:uid="{00000000-0005-0000-0000-00009D020000}"/>
    <cellStyle name="Comma 5 2 2 2 3 2 3 2 2" xfId="23527" xr:uid="{00000000-0005-0000-0000-00009E020000}"/>
    <cellStyle name="Comma 5 2 2 2 3 2 3 2 2 2" xfId="49080" xr:uid="{00000000-0005-0000-0000-00009F020000}"/>
    <cellStyle name="Comma 5 2 2 2 3 2 3 2 3" xfId="38831" xr:uid="{00000000-0005-0000-0000-0000A0020000}"/>
    <cellStyle name="Comma 5 2 2 2 3 2 3 3" xfId="9697" xr:uid="{00000000-0005-0000-0000-0000A1020000}"/>
    <cellStyle name="Comma 5 2 2 2 3 2 3 3 2" xfId="35254" xr:uid="{00000000-0005-0000-0000-0000A2020000}"/>
    <cellStyle name="Comma 5 2 2 2 3 2 3 4" xfId="18520" xr:uid="{00000000-0005-0000-0000-0000A3020000}"/>
    <cellStyle name="Comma 5 2 2 2 3 2 3 4 2" xfId="44073" xr:uid="{00000000-0005-0000-0000-0000A4020000}"/>
    <cellStyle name="Comma 5 2 2 2 3 2 3 5" xfId="30010" xr:uid="{00000000-0005-0000-0000-0000A5020000}"/>
    <cellStyle name="Comma 5 2 2 2 3 2 4" xfId="2218" xr:uid="{00000000-0005-0000-0000-0000A6020000}"/>
    <cellStyle name="Comma 5 2 2 2 3 2 4 2" xfId="11583" xr:uid="{00000000-0005-0000-0000-0000A7020000}"/>
    <cellStyle name="Comma 5 2 2 2 3 2 4 2 2" xfId="37138" xr:uid="{00000000-0005-0000-0000-0000A8020000}"/>
    <cellStyle name="Comma 5 2 2 2 3 2 4 3" xfId="21587" xr:uid="{00000000-0005-0000-0000-0000A9020000}"/>
    <cellStyle name="Comma 5 2 2 2 3 2 4 3 2" xfId="47140" xr:uid="{00000000-0005-0000-0000-0000AA020000}"/>
    <cellStyle name="Comma 5 2 2 2 3 2 4 4" xfId="28070" xr:uid="{00000000-0005-0000-0000-0000AB020000}"/>
    <cellStyle name="Comma 5 2 2 2 3 2 5" xfId="5894" xr:uid="{00000000-0005-0000-0000-0000AC020000}"/>
    <cellStyle name="Comma 5 2 2 2 3 2 5 2" xfId="14721" xr:uid="{00000000-0005-0000-0000-0000AD020000}"/>
    <cellStyle name="Comma 5 2 2 2 3 2 5 2 2" xfId="40276" xr:uid="{00000000-0005-0000-0000-0000AE020000}"/>
    <cellStyle name="Comma 5 2 2 2 3 2 5 3" xfId="24972" xr:uid="{00000000-0005-0000-0000-0000AF020000}"/>
    <cellStyle name="Comma 5 2 2 2 3 2 5 3 2" xfId="50525" xr:uid="{00000000-0005-0000-0000-0000B0020000}"/>
    <cellStyle name="Comma 5 2 2 2 3 2 5 4" xfId="31455" xr:uid="{00000000-0005-0000-0000-0000B1020000}"/>
    <cellStyle name="Comma 5 2 2 2 3 2 6" xfId="7338" xr:uid="{00000000-0005-0000-0000-0000B2020000}"/>
    <cellStyle name="Comma 5 2 2 2 3 2 6 2" xfId="20069" xr:uid="{00000000-0005-0000-0000-0000B3020000}"/>
    <cellStyle name="Comma 5 2 2 2 3 2 6 2 2" xfId="45622" xr:uid="{00000000-0005-0000-0000-0000B4020000}"/>
    <cellStyle name="Comma 5 2 2 2 3 2 6 3" xfId="32895" xr:uid="{00000000-0005-0000-0000-0000B5020000}"/>
    <cellStyle name="Comma 5 2 2 2 3 2 7" xfId="16580" xr:uid="{00000000-0005-0000-0000-0000B6020000}"/>
    <cellStyle name="Comma 5 2 2 2 3 2 7 2" xfId="42133" xr:uid="{00000000-0005-0000-0000-0000B7020000}"/>
    <cellStyle name="Comma 5 2 2 2 3 2 8" xfId="26552" xr:uid="{00000000-0005-0000-0000-0000B8020000}"/>
    <cellStyle name="Comma 5 2 2 2 3 3" xfId="1258" xr:uid="{00000000-0005-0000-0000-0000B9020000}"/>
    <cellStyle name="Comma 5 2 2 2 3 3 2" xfId="3687" xr:uid="{00000000-0005-0000-0000-0000BA020000}"/>
    <cellStyle name="Comma 5 2 2 2 3 3 2 2" xfId="12823" xr:uid="{00000000-0005-0000-0000-0000BB020000}"/>
    <cellStyle name="Comma 5 2 2 2 3 3 2 2 2" xfId="23042" xr:uid="{00000000-0005-0000-0000-0000BC020000}"/>
    <cellStyle name="Comma 5 2 2 2 3 3 2 2 2 2" xfId="48595" xr:uid="{00000000-0005-0000-0000-0000BD020000}"/>
    <cellStyle name="Comma 5 2 2 2 3 3 2 2 3" xfId="38378" xr:uid="{00000000-0005-0000-0000-0000BE020000}"/>
    <cellStyle name="Comma 5 2 2 2 3 3 2 3" xfId="9244" xr:uid="{00000000-0005-0000-0000-0000BF020000}"/>
    <cellStyle name="Comma 5 2 2 2 3 3 2 3 2" xfId="34801" xr:uid="{00000000-0005-0000-0000-0000C0020000}"/>
    <cellStyle name="Comma 5 2 2 2 3 3 2 4" xfId="18035" xr:uid="{00000000-0005-0000-0000-0000C1020000}"/>
    <cellStyle name="Comma 5 2 2 2 3 3 2 4 2" xfId="43588" xr:uid="{00000000-0005-0000-0000-0000C2020000}"/>
    <cellStyle name="Comma 5 2 2 2 3 3 2 5" xfId="29525" xr:uid="{00000000-0005-0000-0000-0000C3020000}"/>
    <cellStyle name="Comma 5 2 2 2 3 3 3" xfId="4787" xr:uid="{00000000-0005-0000-0000-0000C4020000}"/>
    <cellStyle name="Comma 5 2 2 2 3 3 3 2" xfId="13624" xr:uid="{00000000-0005-0000-0000-0000C5020000}"/>
    <cellStyle name="Comma 5 2 2 2 3 3 3 2 2" xfId="23875" xr:uid="{00000000-0005-0000-0000-0000C6020000}"/>
    <cellStyle name="Comma 5 2 2 2 3 3 3 2 2 2" xfId="49428" xr:uid="{00000000-0005-0000-0000-0000C7020000}"/>
    <cellStyle name="Comma 5 2 2 2 3 3 3 2 3" xfId="39179" xr:uid="{00000000-0005-0000-0000-0000C8020000}"/>
    <cellStyle name="Comma 5 2 2 2 3 3 3 3" xfId="10045" xr:uid="{00000000-0005-0000-0000-0000C9020000}"/>
    <cellStyle name="Comma 5 2 2 2 3 3 3 3 2" xfId="35602" xr:uid="{00000000-0005-0000-0000-0000CA020000}"/>
    <cellStyle name="Comma 5 2 2 2 3 3 3 4" xfId="18868" xr:uid="{00000000-0005-0000-0000-0000CB020000}"/>
    <cellStyle name="Comma 5 2 2 2 3 3 3 4 2" xfId="44421" xr:uid="{00000000-0005-0000-0000-0000CC020000}"/>
    <cellStyle name="Comma 5 2 2 2 3 3 3 5" xfId="30358" xr:uid="{00000000-0005-0000-0000-0000CD020000}"/>
    <cellStyle name="Comma 5 2 2 2 3 3 4" xfId="2081" xr:uid="{00000000-0005-0000-0000-0000CE020000}"/>
    <cellStyle name="Comma 5 2 2 2 3 3 4 2" xfId="11446" xr:uid="{00000000-0005-0000-0000-0000CF020000}"/>
    <cellStyle name="Comma 5 2 2 2 3 3 4 2 2" xfId="37001" xr:uid="{00000000-0005-0000-0000-0000D0020000}"/>
    <cellStyle name="Comma 5 2 2 2 3 3 4 3" xfId="21450" xr:uid="{00000000-0005-0000-0000-0000D1020000}"/>
    <cellStyle name="Comma 5 2 2 2 3 3 4 3 2" xfId="47003" xr:uid="{00000000-0005-0000-0000-0000D2020000}"/>
    <cellStyle name="Comma 5 2 2 2 3 3 4 4" xfId="27933" xr:uid="{00000000-0005-0000-0000-0000D3020000}"/>
    <cellStyle name="Comma 5 2 2 2 3 3 5" xfId="6242" xr:uid="{00000000-0005-0000-0000-0000D4020000}"/>
    <cellStyle name="Comma 5 2 2 2 3 3 5 2" xfId="15069" xr:uid="{00000000-0005-0000-0000-0000D5020000}"/>
    <cellStyle name="Comma 5 2 2 2 3 3 5 2 2" xfId="40624" xr:uid="{00000000-0005-0000-0000-0000D6020000}"/>
    <cellStyle name="Comma 5 2 2 2 3 3 5 3" xfId="25320" xr:uid="{00000000-0005-0000-0000-0000D7020000}"/>
    <cellStyle name="Comma 5 2 2 2 3 3 5 3 2" xfId="50873" xr:uid="{00000000-0005-0000-0000-0000D8020000}"/>
    <cellStyle name="Comma 5 2 2 2 3 3 5 4" xfId="31803" xr:uid="{00000000-0005-0000-0000-0000D9020000}"/>
    <cellStyle name="Comma 5 2 2 2 3 3 6" xfId="7688" xr:uid="{00000000-0005-0000-0000-0000DA020000}"/>
    <cellStyle name="Comma 5 2 2 2 3 3 6 2" xfId="20641" xr:uid="{00000000-0005-0000-0000-0000DB020000}"/>
    <cellStyle name="Comma 5 2 2 2 3 3 6 2 2" xfId="46194" xr:uid="{00000000-0005-0000-0000-0000DC020000}"/>
    <cellStyle name="Comma 5 2 2 2 3 3 6 3" xfId="33245" xr:uid="{00000000-0005-0000-0000-0000DD020000}"/>
    <cellStyle name="Comma 5 2 2 2 3 3 7" xfId="16443" xr:uid="{00000000-0005-0000-0000-0000DE020000}"/>
    <cellStyle name="Comma 5 2 2 2 3 3 7 2" xfId="41996" xr:uid="{00000000-0005-0000-0000-0000DF020000}"/>
    <cellStyle name="Comma 5 2 2 2 3 3 8" xfId="27124" xr:uid="{00000000-0005-0000-0000-0000E0020000}"/>
    <cellStyle name="Comma 5 2 2 2 3 4" xfId="2972" xr:uid="{00000000-0005-0000-0000-0000E1020000}"/>
    <cellStyle name="Comma 5 2 2 2 3 4 2" xfId="5350" xr:uid="{00000000-0005-0000-0000-0000E2020000}"/>
    <cellStyle name="Comma 5 2 2 2 3 4 2 2" xfId="14187" xr:uid="{00000000-0005-0000-0000-0000E3020000}"/>
    <cellStyle name="Comma 5 2 2 2 3 4 2 2 2" xfId="24438" xr:uid="{00000000-0005-0000-0000-0000E4020000}"/>
    <cellStyle name="Comma 5 2 2 2 3 4 2 2 2 2" xfId="49991" xr:uid="{00000000-0005-0000-0000-0000E5020000}"/>
    <cellStyle name="Comma 5 2 2 2 3 4 2 2 3" xfId="39742" xr:uid="{00000000-0005-0000-0000-0000E6020000}"/>
    <cellStyle name="Comma 5 2 2 2 3 4 2 3" xfId="10608" xr:uid="{00000000-0005-0000-0000-0000E7020000}"/>
    <cellStyle name="Comma 5 2 2 2 3 4 2 3 2" xfId="36165" xr:uid="{00000000-0005-0000-0000-0000E8020000}"/>
    <cellStyle name="Comma 5 2 2 2 3 4 2 4" xfId="19431" xr:uid="{00000000-0005-0000-0000-0000E9020000}"/>
    <cellStyle name="Comma 5 2 2 2 3 4 2 4 2" xfId="44984" xr:uid="{00000000-0005-0000-0000-0000EA020000}"/>
    <cellStyle name="Comma 5 2 2 2 3 4 2 5" xfId="30921" xr:uid="{00000000-0005-0000-0000-0000EB020000}"/>
    <cellStyle name="Comma 5 2 2 2 3 4 3" xfId="6805" xr:uid="{00000000-0005-0000-0000-0000EC020000}"/>
    <cellStyle name="Comma 5 2 2 2 3 4 3 2" xfId="15632" xr:uid="{00000000-0005-0000-0000-0000ED020000}"/>
    <cellStyle name="Comma 5 2 2 2 3 4 3 2 2" xfId="41187" xr:uid="{00000000-0005-0000-0000-0000EE020000}"/>
    <cellStyle name="Comma 5 2 2 2 3 4 3 3" xfId="25883" xr:uid="{00000000-0005-0000-0000-0000EF020000}"/>
    <cellStyle name="Comma 5 2 2 2 3 4 3 3 2" xfId="51436" xr:uid="{00000000-0005-0000-0000-0000F0020000}"/>
    <cellStyle name="Comma 5 2 2 2 3 4 3 4" xfId="32366" xr:uid="{00000000-0005-0000-0000-0000F1020000}"/>
    <cellStyle name="Comma 5 2 2 2 3 4 4" xfId="8251" xr:uid="{00000000-0005-0000-0000-0000F2020000}"/>
    <cellStyle name="Comma 5 2 2 2 3 4 4 2" xfId="22333" xr:uid="{00000000-0005-0000-0000-0000F3020000}"/>
    <cellStyle name="Comma 5 2 2 2 3 4 4 2 2" xfId="47886" xr:uid="{00000000-0005-0000-0000-0000F4020000}"/>
    <cellStyle name="Comma 5 2 2 2 3 4 4 3" xfId="33808" xr:uid="{00000000-0005-0000-0000-0000F5020000}"/>
    <cellStyle name="Comma 5 2 2 2 3 4 5" xfId="17326" xr:uid="{00000000-0005-0000-0000-0000F6020000}"/>
    <cellStyle name="Comma 5 2 2 2 3 4 5 2" xfId="42879" xr:uid="{00000000-0005-0000-0000-0000F7020000}"/>
    <cellStyle name="Comma 5 2 2 2 3 4 6" xfId="28816" xr:uid="{00000000-0005-0000-0000-0000F8020000}"/>
    <cellStyle name="Comma 5 2 2 2 3 5" xfId="4306" xr:uid="{00000000-0005-0000-0000-0000F9020000}"/>
    <cellStyle name="Comma 5 2 2 2 3 5 2" xfId="13144" xr:uid="{00000000-0005-0000-0000-0000FA020000}"/>
    <cellStyle name="Comma 5 2 2 2 3 5 2 2" xfId="23395" xr:uid="{00000000-0005-0000-0000-0000FB020000}"/>
    <cellStyle name="Comma 5 2 2 2 3 5 2 2 2" xfId="48948" xr:uid="{00000000-0005-0000-0000-0000FC020000}"/>
    <cellStyle name="Comma 5 2 2 2 3 5 2 3" xfId="38699" xr:uid="{00000000-0005-0000-0000-0000FD020000}"/>
    <cellStyle name="Comma 5 2 2 2 3 5 3" xfId="9565" xr:uid="{00000000-0005-0000-0000-0000FE020000}"/>
    <cellStyle name="Comma 5 2 2 2 3 5 3 2" xfId="35122" xr:uid="{00000000-0005-0000-0000-0000FF020000}"/>
    <cellStyle name="Comma 5 2 2 2 3 5 4" xfId="18388" xr:uid="{00000000-0005-0000-0000-000000030000}"/>
    <cellStyle name="Comma 5 2 2 2 3 5 4 2" xfId="43941" xr:uid="{00000000-0005-0000-0000-000001030000}"/>
    <cellStyle name="Comma 5 2 2 2 3 5 5" xfId="29878" xr:uid="{00000000-0005-0000-0000-000002030000}"/>
    <cellStyle name="Comma 5 2 2 2 3 6" xfId="1578" xr:uid="{00000000-0005-0000-0000-000003030000}"/>
    <cellStyle name="Comma 5 2 2 2 3 6 2" xfId="10955" xr:uid="{00000000-0005-0000-0000-000004030000}"/>
    <cellStyle name="Comma 5 2 2 2 3 6 2 2" xfId="36510" xr:uid="{00000000-0005-0000-0000-000005030000}"/>
    <cellStyle name="Comma 5 2 2 2 3 6 3" xfId="20959" xr:uid="{00000000-0005-0000-0000-000006030000}"/>
    <cellStyle name="Comma 5 2 2 2 3 6 3 2" xfId="46512" xr:uid="{00000000-0005-0000-0000-000007030000}"/>
    <cellStyle name="Comma 5 2 2 2 3 6 4" xfId="27442" xr:uid="{00000000-0005-0000-0000-000008030000}"/>
    <cellStyle name="Comma 5 2 2 2 3 7" xfId="5762" xr:uid="{00000000-0005-0000-0000-000009030000}"/>
    <cellStyle name="Comma 5 2 2 2 3 7 2" xfId="14589" xr:uid="{00000000-0005-0000-0000-00000A030000}"/>
    <cellStyle name="Comma 5 2 2 2 3 7 2 2" xfId="40144" xr:uid="{00000000-0005-0000-0000-00000B030000}"/>
    <cellStyle name="Comma 5 2 2 2 3 7 3" xfId="24840" xr:uid="{00000000-0005-0000-0000-00000C030000}"/>
    <cellStyle name="Comma 5 2 2 2 3 7 3 2" xfId="50393" xr:uid="{00000000-0005-0000-0000-00000D030000}"/>
    <cellStyle name="Comma 5 2 2 2 3 7 4" xfId="31323" xr:uid="{00000000-0005-0000-0000-00000E030000}"/>
    <cellStyle name="Comma 5 2 2 2 3 8" xfId="7206" xr:uid="{00000000-0005-0000-0000-00000F030000}"/>
    <cellStyle name="Comma 5 2 2 2 3 8 2" xfId="19932" xr:uid="{00000000-0005-0000-0000-000010030000}"/>
    <cellStyle name="Comma 5 2 2 2 3 8 2 2" xfId="45485" xr:uid="{00000000-0005-0000-0000-000011030000}"/>
    <cellStyle name="Comma 5 2 2 2 3 8 3" xfId="32763" xr:uid="{00000000-0005-0000-0000-000012030000}"/>
    <cellStyle name="Comma 5 2 2 2 3 9" xfId="15952" xr:uid="{00000000-0005-0000-0000-000013030000}"/>
    <cellStyle name="Comma 5 2 2 2 3 9 2" xfId="41505" xr:uid="{00000000-0005-0000-0000-000014030000}"/>
    <cellStyle name="Comma 5 2 2 2 4" xfId="386" xr:uid="{00000000-0005-0000-0000-000015030000}"/>
    <cellStyle name="Comma 5 2 2 2 4 2" xfId="2872" xr:uid="{00000000-0005-0000-0000-000016030000}"/>
    <cellStyle name="Comma 5 2 2 2 4 2 2" xfId="12160" xr:uid="{00000000-0005-0000-0000-000017030000}"/>
    <cellStyle name="Comma 5 2 2 2 4 2 2 2" xfId="22233" xr:uid="{00000000-0005-0000-0000-000018030000}"/>
    <cellStyle name="Comma 5 2 2 2 4 2 2 2 2" xfId="47786" xr:uid="{00000000-0005-0000-0000-000019030000}"/>
    <cellStyle name="Comma 5 2 2 2 4 2 2 3" xfId="37715" xr:uid="{00000000-0005-0000-0000-00001A030000}"/>
    <cellStyle name="Comma 5 2 2 2 4 2 3" xfId="8407" xr:uid="{00000000-0005-0000-0000-00001B030000}"/>
    <cellStyle name="Comma 5 2 2 2 4 2 3 2" xfId="33964" xr:uid="{00000000-0005-0000-0000-00001C030000}"/>
    <cellStyle name="Comma 5 2 2 2 4 2 4" xfId="17226" xr:uid="{00000000-0005-0000-0000-00001D030000}"/>
    <cellStyle name="Comma 5 2 2 2 4 2 4 2" xfId="42779" xr:uid="{00000000-0005-0000-0000-00001E030000}"/>
    <cellStyle name="Comma 5 2 2 2 4 2 5" xfId="28716" xr:uid="{00000000-0005-0000-0000-00001F030000}"/>
    <cellStyle name="Comma 5 2 2 2 4 3" xfId="4436" xr:uid="{00000000-0005-0000-0000-000020030000}"/>
    <cellStyle name="Comma 5 2 2 2 4 3 2" xfId="13274" xr:uid="{00000000-0005-0000-0000-000021030000}"/>
    <cellStyle name="Comma 5 2 2 2 4 3 2 2" xfId="23525" xr:uid="{00000000-0005-0000-0000-000022030000}"/>
    <cellStyle name="Comma 5 2 2 2 4 3 2 2 2" xfId="49078" xr:uid="{00000000-0005-0000-0000-000023030000}"/>
    <cellStyle name="Comma 5 2 2 2 4 3 2 3" xfId="38829" xr:uid="{00000000-0005-0000-0000-000024030000}"/>
    <cellStyle name="Comma 5 2 2 2 4 3 3" xfId="9695" xr:uid="{00000000-0005-0000-0000-000025030000}"/>
    <cellStyle name="Comma 5 2 2 2 4 3 3 2" xfId="35252" xr:uid="{00000000-0005-0000-0000-000026030000}"/>
    <cellStyle name="Comma 5 2 2 2 4 3 4" xfId="18518" xr:uid="{00000000-0005-0000-0000-000027030000}"/>
    <cellStyle name="Comma 5 2 2 2 4 3 4 2" xfId="44071" xr:uid="{00000000-0005-0000-0000-000028030000}"/>
    <cellStyle name="Comma 5 2 2 2 4 3 5" xfId="30008" xr:uid="{00000000-0005-0000-0000-000029030000}"/>
    <cellStyle name="Comma 5 2 2 2 4 4" xfId="1981" xr:uid="{00000000-0005-0000-0000-00002A030000}"/>
    <cellStyle name="Comma 5 2 2 2 4 4 2" xfId="11346" xr:uid="{00000000-0005-0000-0000-00002B030000}"/>
    <cellStyle name="Comma 5 2 2 2 4 4 2 2" xfId="36901" xr:uid="{00000000-0005-0000-0000-00002C030000}"/>
    <cellStyle name="Comma 5 2 2 2 4 4 3" xfId="21350" xr:uid="{00000000-0005-0000-0000-00002D030000}"/>
    <cellStyle name="Comma 5 2 2 2 4 4 3 2" xfId="46903" xr:uid="{00000000-0005-0000-0000-00002E030000}"/>
    <cellStyle name="Comma 5 2 2 2 4 4 4" xfId="27833" xr:uid="{00000000-0005-0000-0000-00002F030000}"/>
    <cellStyle name="Comma 5 2 2 2 4 5" xfId="5892" xr:uid="{00000000-0005-0000-0000-000030030000}"/>
    <cellStyle name="Comma 5 2 2 2 4 5 2" xfId="14719" xr:uid="{00000000-0005-0000-0000-000031030000}"/>
    <cellStyle name="Comma 5 2 2 2 4 5 2 2" xfId="40274" xr:uid="{00000000-0005-0000-0000-000032030000}"/>
    <cellStyle name="Comma 5 2 2 2 4 5 3" xfId="24970" xr:uid="{00000000-0005-0000-0000-000033030000}"/>
    <cellStyle name="Comma 5 2 2 2 4 5 3 2" xfId="50523" xr:uid="{00000000-0005-0000-0000-000034030000}"/>
    <cellStyle name="Comma 5 2 2 2 4 5 4" xfId="31453" xr:uid="{00000000-0005-0000-0000-000035030000}"/>
    <cellStyle name="Comma 5 2 2 2 4 6" xfId="7336" xr:uid="{00000000-0005-0000-0000-000036030000}"/>
    <cellStyle name="Comma 5 2 2 2 4 6 2" xfId="19832" xr:uid="{00000000-0005-0000-0000-000037030000}"/>
    <cellStyle name="Comma 5 2 2 2 4 6 2 2" xfId="45385" xr:uid="{00000000-0005-0000-0000-000038030000}"/>
    <cellStyle name="Comma 5 2 2 2 4 6 3" xfId="32893" xr:uid="{00000000-0005-0000-0000-000039030000}"/>
    <cellStyle name="Comma 5 2 2 2 4 7" xfId="16343" xr:uid="{00000000-0005-0000-0000-00003A030000}"/>
    <cellStyle name="Comma 5 2 2 2 4 7 2" xfId="41896" xr:uid="{00000000-0005-0000-0000-00003B030000}"/>
    <cellStyle name="Comma 5 2 2 2 4 8" xfId="26315" xr:uid="{00000000-0005-0000-0000-00003C030000}"/>
    <cellStyle name="Comma 5 2 2 2 5" xfId="621" xr:uid="{00000000-0005-0000-0000-00003D030000}"/>
    <cellStyle name="Comma 5 2 2 2 5 2" xfId="3107" xr:uid="{00000000-0005-0000-0000-00003E030000}"/>
    <cellStyle name="Comma 5 2 2 2 5 2 2" xfId="12250" xr:uid="{00000000-0005-0000-0000-00003F030000}"/>
    <cellStyle name="Comma 5 2 2 2 5 2 2 2" xfId="22468" xr:uid="{00000000-0005-0000-0000-000040030000}"/>
    <cellStyle name="Comma 5 2 2 2 5 2 2 2 2" xfId="48021" xr:uid="{00000000-0005-0000-0000-000041030000}"/>
    <cellStyle name="Comma 5 2 2 2 5 2 2 3" xfId="37805" xr:uid="{00000000-0005-0000-0000-000042030000}"/>
    <cellStyle name="Comma 5 2 2 2 5 2 3" xfId="8672" xr:uid="{00000000-0005-0000-0000-000043030000}"/>
    <cellStyle name="Comma 5 2 2 2 5 2 3 2" xfId="34229" xr:uid="{00000000-0005-0000-0000-000044030000}"/>
    <cellStyle name="Comma 5 2 2 2 5 2 4" xfId="17461" xr:uid="{00000000-0005-0000-0000-000045030000}"/>
    <cellStyle name="Comma 5 2 2 2 5 2 4 2" xfId="43014" xr:uid="{00000000-0005-0000-0000-000046030000}"/>
    <cellStyle name="Comma 5 2 2 2 5 2 5" xfId="28951" xr:uid="{00000000-0005-0000-0000-000047030000}"/>
    <cellStyle name="Comma 5 2 2 2 5 3" xfId="4785" xr:uid="{00000000-0005-0000-0000-000048030000}"/>
    <cellStyle name="Comma 5 2 2 2 5 3 2" xfId="13622" xr:uid="{00000000-0005-0000-0000-000049030000}"/>
    <cellStyle name="Comma 5 2 2 2 5 3 2 2" xfId="23873" xr:uid="{00000000-0005-0000-0000-00004A030000}"/>
    <cellStyle name="Comma 5 2 2 2 5 3 2 2 2" xfId="49426" xr:uid="{00000000-0005-0000-0000-00004B030000}"/>
    <cellStyle name="Comma 5 2 2 2 5 3 2 3" xfId="39177" xr:uid="{00000000-0005-0000-0000-00004C030000}"/>
    <cellStyle name="Comma 5 2 2 2 5 3 3" xfId="10043" xr:uid="{00000000-0005-0000-0000-00004D030000}"/>
    <cellStyle name="Comma 5 2 2 2 5 3 3 2" xfId="35600" xr:uid="{00000000-0005-0000-0000-00004E030000}"/>
    <cellStyle name="Comma 5 2 2 2 5 3 4" xfId="18866" xr:uid="{00000000-0005-0000-0000-00004F030000}"/>
    <cellStyle name="Comma 5 2 2 2 5 3 4 2" xfId="44419" xr:uid="{00000000-0005-0000-0000-000050030000}"/>
    <cellStyle name="Comma 5 2 2 2 5 3 5" xfId="30356" xr:uid="{00000000-0005-0000-0000-000051030000}"/>
    <cellStyle name="Comma 5 2 2 2 5 4" xfId="2216" xr:uid="{00000000-0005-0000-0000-000052030000}"/>
    <cellStyle name="Comma 5 2 2 2 5 4 2" xfId="11581" xr:uid="{00000000-0005-0000-0000-000053030000}"/>
    <cellStyle name="Comma 5 2 2 2 5 4 2 2" xfId="37136" xr:uid="{00000000-0005-0000-0000-000054030000}"/>
    <cellStyle name="Comma 5 2 2 2 5 4 3" xfId="21585" xr:uid="{00000000-0005-0000-0000-000055030000}"/>
    <cellStyle name="Comma 5 2 2 2 5 4 3 2" xfId="47138" xr:uid="{00000000-0005-0000-0000-000056030000}"/>
    <cellStyle name="Comma 5 2 2 2 5 4 4" xfId="28068" xr:uid="{00000000-0005-0000-0000-000057030000}"/>
    <cellStyle name="Comma 5 2 2 2 5 5" xfId="6240" xr:uid="{00000000-0005-0000-0000-000058030000}"/>
    <cellStyle name="Comma 5 2 2 2 5 5 2" xfId="15067" xr:uid="{00000000-0005-0000-0000-000059030000}"/>
    <cellStyle name="Comma 5 2 2 2 5 5 2 2" xfId="40622" xr:uid="{00000000-0005-0000-0000-00005A030000}"/>
    <cellStyle name="Comma 5 2 2 2 5 5 3" xfId="25318" xr:uid="{00000000-0005-0000-0000-00005B030000}"/>
    <cellStyle name="Comma 5 2 2 2 5 5 3 2" xfId="50871" xr:uid="{00000000-0005-0000-0000-00005C030000}"/>
    <cellStyle name="Comma 5 2 2 2 5 5 4" xfId="31801" xr:uid="{00000000-0005-0000-0000-00005D030000}"/>
    <cellStyle name="Comma 5 2 2 2 5 6" xfId="7686" xr:uid="{00000000-0005-0000-0000-00005E030000}"/>
    <cellStyle name="Comma 5 2 2 2 5 6 2" xfId="20067" xr:uid="{00000000-0005-0000-0000-00005F030000}"/>
    <cellStyle name="Comma 5 2 2 2 5 6 2 2" xfId="45620" xr:uid="{00000000-0005-0000-0000-000060030000}"/>
    <cellStyle name="Comma 5 2 2 2 5 6 3" xfId="33243" xr:uid="{00000000-0005-0000-0000-000061030000}"/>
    <cellStyle name="Comma 5 2 2 2 5 7" xfId="16578" xr:uid="{00000000-0005-0000-0000-000062030000}"/>
    <cellStyle name="Comma 5 2 2 2 5 7 2" xfId="42131" xr:uid="{00000000-0005-0000-0000-000063030000}"/>
    <cellStyle name="Comma 5 2 2 2 5 8" xfId="26550" xr:uid="{00000000-0005-0000-0000-000064030000}"/>
    <cellStyle name="Comma 5 2 2 2 6" xfId="1158" xr:uid="{00000000-0005-0000-0000-000065030000}"/>
    <cellStyle name="Comma 5 2 2 2 6 2" xfId="3587" xr:uid="{00000000-0005-0000-0000-000066030000}"/>
    <cellStyle name="Comma 5 2 2 2 6 2 2" xfId="12723" xr:uid="{00000000-0005-0000-0000-000067030000}"/>
    <cellStyle name="Comma 5 2 2 2 6 2 2 2" xfId="22942" xr:uid="{00000000-0005-0000-0000-000068030000}"/>
    <cellStyle name="Comma 5 2 2 2 6 2 2 2 2" xfId="48495" xr:uid="{00000000-0005-0000-0000-000069030000}"/>
    <cellStyle name="Comma 5 2 2 2 6 2 2 3" xfId="38278" xr:uid="{00000000-0005-0000-0000-00006A030000}"/>
    <cellStyle name="Comma 5 2 2 2 6 2 3" xfId="9144" xr:uid="{00000000-0005-0000-0000-00006B030000}"/>
    <cellStyle name="Comma 5 2 2 2 6 2 3 2" xfId="34701" xr:uid="{00000000-0005-0000-0000-00006C030000}"/>
    <cellStyle name="Comma 5 2 2 2 6 2 4" xfId="17935" xr:uid="{00000000-0005-0000-0000-00006D030000}"/>
    <cellStyle name="Comma 5 2 2 2 6 2 4 2" xfId="43488" xr:uid="{00000000-0005-0000-0000-00006E030000}"/>
    <cellStyle name="Comma 5 2 2 2 6 2 5" xfId="29425" xr:uid="{00000000-0005-0000-0000-00006F030000}"/>
    <cellStyle name="Comma 5 2 2 2 6 3" xfId="5250" xr:uid="{00000000-0005-0000-0000-000070030000}"/>
    <cellStyle name="Comma 5 2 2 2 6 3 2" xfId="14087" xr:uid="{00000000-0005-0000-0000-000071030000}"/>
    <cellStyle name="Comma 5 2 2 2 6 3 2 2" xfId="24338" xr:uid="{00000000-0005-0000-0000-000072030000}"/>
    <cellStyle name="Comma 5 2 2 2 6 3 2 2 2" xfId="49891" xr:uid="{00000000-0005-0000-0000-000073030000}"/>
    <cellStyle name="Comma 5 2 2 2 6 3 2 3" xfId="39642" xr:uid="{00000000-0005-0000-0000-000074030000}"/>
    <cellStyle name="Comma 5 2 2 2 6 3 3" xfId="10508" xr:uid="{00000000-0005-0000-0000-000075030000}"/>
    <cellStyle name="Comma 5 2 2 2 6 3 3 2" xfId="36065" xr:uid="{00000000-0005-0000-0000-000076030000}"/>
    <cellStyle name="Comma 5 2 2 2 6 3 4" xfId="19331" xr:uid="{00000000-0005-0000-0000-000077030000}"/>
    <cellStyle name="Comma 5 2 2 2 6 3 4 2" xfId="44884" xr:uid="{00000000-0005-0000-0000-000078030000}"/>
    <cellStyle name="Comma 5 2 2 2 6 3 5" xfId="30821" xr:uid="{00000000-0005-0000-0000-000079030000}"/>
    <cellStyle name="Comma 5 2 2 2 6 4" xfId="1758" xr:uid="{00000000-0005-0000-0000-00007A030000}"/>
    <cellStyle name="Comma 5 2 2 2 6 4 2" xfId="11129" xr:uid="{00000000-0005-0000-0000-00007B030000}"/>
    <cellStyle name="Comma 5 2 2 2 6 4 2 2" xfId="36684" xr:uid="{00000000-0005-0000-0000-00007C030000}"/>
    <cellStyle name="Comma 5 2 2 2 6 4 3" xfId="21133" xr:uid="{00000000-0005-0000-0000-00007D030000}"/>
    <cellStyle name="Comma 5 2 2 2 6 4 3 2" xfId="46686" xr:uid="{00000000-0005-0000-0000-00007E030000}"/>
    <cellStyle name="Comma 5 2 2 2 6 4 4" xfId="27616" xr:uid="{00000000-0005-0000-0000-00007F030000}"/>
    <cellStyle name="Comma 5 2 2 2 6 5" xfId="6705" xr:uid="{00000000-0005-0000-0000-000080030000}"/>
    <cellStyle name="Comma 5 2 2 2 6 5 2" xfId="15532" xr:uid="{00000000-0005-0000-0000-000081030000}"/>
    <cellStyle name="Comma 5 2 2 2 6 5 2 2" xfId="41087" xr:uid="{00000000-0005-0000-0000-000082030000}"/>
    <cellStyle name="Comma 5 2 2 2 6 5 3" xfId="25783" xr:uid="{00000000-0005-0000-0000-000083030000}"/>
    <cellStyle name="Comma 5 2 2 2 6 5 3 2" xfId="51336" xr:uid="{00000000-0005-0000-0000-000084030000}"/>
    <cellStyle name="Comma 5 2 2 2 6 5 4" xfId="32266" xr:uid="{00000000-0005-0000-0000-000085030000}"/>
    <cellStyle name="Comma 5 2 2 2 6 6" xfId="8151" xr:uid="{00000000-0005-0000-0000-000086030000}"/>
    <cellStyle name="Comma 5 2 2 2 6 6 2" xfId="20541" xr:uid="{00000000-0005-0000-0000-000087030000}"/>
    <cellStyle name="Comma 5 2 2 2 6 6 2 2" xfId="46094" xr:uid="{00000000-0005-0000-0000-000088030000}"/>
    <cellStyle name="Comma 5 2 2 2 6 6 3" xfId="33708" xr:uid="{00000000-0005-0000-0000-000089030000}"/>
    <cellStyle name="Comma 5 2 2 2 6 7" xfId="16126" xr:uid="{00000000-0005-0000-0000-00008A030000}"/>
    <cellStyle name="Comma 5 2 2 2 6 7 2" xfId="41679" xr:uid="{00000000-0005-0000-0000-00008B030000}"/>
    <cellStyle name="Comma 5 2 2 2 6 8" xfId="27024" xr:uid="{00000000-0005-0000-0000-00008C030000}"/>
    <cellStyle name="Comma 5 2 2 2 7" xfId="2655" xr:uid="{00000000-0005-0000-0000-00008D030000}"/>
    <cellStyle name="Comma 5 2 2 2 7 2" xfId="11975" xr:uid="{00000000-0005-0000-0000-00008E030000}"/>
    <cellStyle name="Comma 5 2 2 2 7 2 2" xfId="22016" xr:uid="{00000000-0005-0000-0000-00008F030000}"/>
    <cellStyle name="Comma 5 2 2 2 7 2 2 2" xfId="47569" xr:uid="{00000000-0005-0000-0000-000090030000}"/>
    <cellStyle name="Comma 5 2 2 2 7 2 3" xfId="37530" xr:uid="{00000000-0005-0000-0000-000091030000}"/>
    <cellStyle name="Comma 5 2 2 2 7 3" xfId="8499" xr:uid="{00000000-0005-0000-0000-000092030000}"/>
    <cellStyle name="Comma 5 2 2 2 7 3 2" xfId="34056" xr:uid="{00000000-0005-0000-0000-000093030000}"/>
    <cellStyle name="Comma 5 2 2 2 7 4" xfId="17009" xr:uid="{00000000-0005-0000-0000-000094030000}"/>
    <cellStyle name="Comma 5 2 2 2 7 4 2" xfId="42562" xr:uid="{00000000-0005-0000-0000-000095030000}"/>
    <cellStyle name="Comma 5 2 2 2 7 5" xfId="28499" xr:uid="{00000000-0005-0000-0000-000096030000}"/>
    <cellStyle name="Comma 5 2 2 2 8" xfId="4206" xr:uid="{00000000-0005-0000-0000-000097030000}"/>
    <cellStyle name="Comma 5 2 2 2 8 2" xfId="13044" xr:uid="{00000000-0005-0000-0000-000098030000}"/>
    <cellStyle name="Comma 5 2 2 2 8 2 2" xfId="23295" xr:uid="{00000000-0005-0000-0000-000099030000}"/>
    <cellStyle name="Comma 5 2 2 2 8 2 2 2" xfId="48848" xr:uid="{00000000-0005-0000-0000-00009A030000}"/>
    <cellStyle name="Comma 5 2 2 2 8 2 3" xfId="38599" xr:uid="{00000000-0005-0000-0000-00009B030000}"/>
    <cellStyle name="Comma 5 2 2 2 8 3" xfId="9465" xr:uid="{00000000-0005-0000-0000-00009C030000}"/>
    <cellStyle name="Comma 5 2 2 2 8 3 2" xfId="35022" xr:uid="{00000000-0005-0000-0000-00009D030000}"/>
    <cellStyle name="Comma 5 2 2 2 8 4" xfId="18288" xr:uid="{00000000-0005-0000-0000-00009E030000}"/>
    <cellStyle name="Comma 5 2 2 2 8 4 2" xfId="43841" xr:uid="{00000000-0005-0000-0000-00009F030000}"/>
    <cellStyle name="Comma 5 2 2 2 8 5" xfId="29778" xr:uid="{00000000-0005-0000-0000-0000A0030000}"/>
    <cellStyle name="Comma 5 2 2 2 9" xfId="1478" xr:uid="{00000000-0005-0000-0000-0000A1030000}"/>
    <cellStyle name="Comma 5 2 2 2 9 2" xfId="10855" xr:uid="{00000000-0005-0000-0000-0000A2030000}"/>
    <cellStyle name="Comma 5 2 2 2 9 2 2" xfId="36410" xr:uid="{00000000-0005-0000-0000-0000A3030000}"/>
    <cellStyle name="Comma 5 2 2 2 9 3" xfId="20859" xr:uid="{00000000-0005-0000-0000-0000A4030000}"/>
    <cellStyle name="Comma 5 2 2 2 9 3 2" xfId="46412" xr:uid="{00000000-0005-0000-0000-0000A5030000}"/>
    <cellStyle name="Comma 5 2 2 2 9 4" xfId="27342" xr:uid="{00000000-0005-0000-0000-0000A6030000}"/>
    <cellStyle name="Comma 5 2 2 3" xfId="203" xr:uid="{00000000-0005-0000-0000-0000A7030000}"/>
    <cellStyle name="Comma 5 2 2 3 10" xfId="7149" xr:uid="{00000000-0005-0000-0000-0000A8030000}"/>
    <cellStyle name="Comma 5 2 2 3 10 2" xfId="19658" xr:uid="{00000000-0005-0000-0000-0000A9030000}"/>
    <cellStyle name="Comma 5 2 2 3 10 2 2" xfId="45211" xr:uid="{00000000-0005-0000-0000-0000AA030000}"/>
    <cellStyle name="Comma 5 2 2 3 10 3" xfId="32706" xr:uid="{00000000-0005-0000-0000-0000AB030000}"/>
    <cellStyle name="Comma 5 2 2 3 11" xfId="15895" xr:uid="{00000000-0005-0000-0000-0000AC030000}"/>
    <cellStyle name="Comma 5 2 2 3 11 2" xfId="41448" xr:uid="{00000000-0005-0000-0000-0000AD030000}"/>
    <cellStyle name="Comma 5 2 2 3 12" xfId="26141" xr:uid="{00000000-0005-0000-0000-0000AE030000}"/>
    <cellStyle name="Comma 5 2 2 3 2" xfId="529" xr:uid="{00000000-0005-0000-0000-0000AF030000}"/>
    <cellStyle name="Comma 5 2 2 3 2 10" xfId="26458" xr:uid="{00000000-0005-0000-0000-0000B0030000}"/>
    <cellStyle name="Comma 5 2 2 3 2 2" xfId="625" xr:uid="{00000000-0005-0000-0000-0000B1030000}"/>
    <cellStyle name="Comma 5 2 2 3 2 2 2" xfId="3111" xr:uid="{00000000-0005-0000-0000-0000B2030000}"/>
    <cellStyle name="Comma 5 2 2 3 2 2 2 2" xfId="12254" xr:uid="{00000000-0005-0000-0000-0000B3030000}"/>
    <cellStyle name="Comma 5 2 2 3 2 2 2 2 2" xfId="22472" xr:uid="{00000000-0005-0000-0000-0000B4030000}"/>
    <cellStyle name="Comma 5 2 2 3 2 2 2 2 2 2" xfId="48025" xr:uid="{00000000-0005-0000-0000-0000B5030000}"/>
    <cellStyle name="Comma 5 2 2 3 2 2 2 2 3" xfId="37809" xr:uid="{00000000-0005-0000-0000-0000B6030000}"/>
    <cellStyle name="Comma 5 2 2 3 2 2 2 3" xfId="8676" xr:uid="{00000000-0005-0000-0000-0000B7030000}"/>
    <cellStyle name="Comma 5 2 2 3 2 2 2 3 2" xfId="34233" xr:uid="{00000000-0005-0000-0000-0000B8030000}"/>
    <cellStyle name="Comma 5 2 2 3 2 2 2 4" xfId="17465" xr:uid="{00000000-0005-0000-0000-0000B9030000}"/>
    <cellStyle name="Comma 5 2 2 3 2 2 2 4 2" xfId="43018" xr:uid="{00000000-0005-0000-0000-0000BA030000}"/>
    <cellStyle name="Comma 5 2 2 3 2 2 2 5" xfId="28955" xr:uid="{00000000-0005-0000-0000-0000BB030000}"/>
    <cellStyle name="Comma 5 2 2 3 2 2 3" xfId="4440" xr:uid="{00000000-0005-0000-0000-0000BC030000}"/>
    <cellStyle name="Comma 5 2 2 3 2 2 3 2" xfId="13278" xr:uid="{00000000-0005-0000-0000-0000BD030000}"/>
    <cellStyle name="Comma 5 2 2 3 2 2 3 2 2" xfId="23529" xr:uid="{00000000-0005-0000-0000-0000BE030000}"/>
    <cellStyle name="Comma 5 2 2 3 2 2 3 2 2 2" xfId="49082" xr:uid="{00000000-0005-0000-0000-0000BF030000}"/>
    <cellStyle name="Comma 5 2 2 3 2 2 3 2 3" xfId="38833" xr:uid="{00000000-0005-0000-0000-0000C0030000}"/>
    <cellStyle name="Comma 5 2 2 3 2 2 3 3" xfId="9699" xr:uid="{00000000-0005-0000-0000-0000C1030000}"/>
    <cellStyle name="Comma 5 2 2 3 2 2 3 3 2" xfId="35256" xr:uid="{00000000-0005-0000-0000-0000C2030000}"/>
    <cellStyle name="Comma 5 2 2 3 2 2 3 4" xfId="18522" xr:uid="{00000000-0005-0000-0000-0000C3030000}"/>
    <cellStyle name="Comma 5 2 2 3 2 2 3 4 2" xfId="44075" xr:uid="{00000000-0005-0000-0000-0000C4030000}"/>
    <cellStyle name="Comma 5 2 2 3 2 2 3 5" xfId="30012" xr:uid="{00000000-0005-0000-0000-0000C5030000}"/>
    <cellStyle name="Comma 5 2 2 3 2 2 4" xfId="2220" xr:uid="{00000000-0005-0000-0000-0000C6030000}"/>
    <cellStyle name="Comma 5 2 2 3 2 2 4 2" xfId="11585" xr:uid="{00000000-0005-0000-0000-0000C7030000}"/>
    <cellStyle name="Comma 5 2 2 3 2 2 4 2 2" xfId="37140" xr:uid="{00000000-0005-0000-0000-0000C8030000}"/>
    <cellStyle name="Comma 5 2 2 3 2 2 4 3" xfId="21589" xr:uid="{00000000-0005-0000-0000-0000C9030000}"/>
    <cellStyle name="Comma 5 2 2 3 2 2 4 3 2" xfId="47142" xr:uid="{00000000-0005-0000-0000-0000CA030000}"/>
    <cellStyle name="Comma 5 2 2 3 2 2 4 4" xfId="28072" xr:uid="{00000000-0005-0000-0000-0000CB030000}"/>
    <cellStyle name="Comma 5 2 2 3 2 2 5" xfId="5896" xr:uid="{00000000-0005-0000-0000-0000CC030000}"/>
    <cellStyle name="Comma 5 2 2 3 2 2 5 2" xfId="14723" xr:uid="{00000000-0005-0000-0000-0000CD030000}"/>
    <cellStyle name="Comma 5 2 2 3 2 2 5 2 2" xfId="40278" xr:uid="{00000000-0005-0000-0000-0000CE030000}"/>
    <cellStyle name="Comma 5 2 2 3 2 2 5 3" xfId="24974" xr:uid="{00000000-0005-0000-0000-0000CF030000}"/>
    <cellStyle name="Comma 5 2 2 3 2 2 5 3 2" xfId="50527" xr:uid="{00000000-0005-0000-0000-0000D0030000}"/>
    <cellStyle name="Comma 5 2 2 3 2 2 5 4" xfId="31457" xr:uid="{00000000-0005-0000-0000-0000D1030000}"/>
    <cellStyle name="Comma 5 2 2 3 2 2 6" xfId="7340" xr:uid="{00000000-0005-0000-0000-0000D2030000}"/>
    <cellStyle name="Comma 5 2 2 3 2 2 6 2" xfId="20071" xr:uid="{00000000-0005-0000-0000-0000D3030000}"/>
    <cellStyle name="Comma 5 2 2 3 2 2 6 2 2" xfId="45624" xr:uid="{00000000-0005-0000-0000-0000D4030000}"/>
    <cellStyle name="Comma 5 2 2 3 2 2 6 3" xfId="32897" xr:uid="{00000000-0005-0000-0000-0000D5030000}"/>
    <cellStyle name="Comma 5 2 2 3 2 2 7" xfId="16582" xr:uid="{00000000-0005-0000-0000-0000D6030000}"/>
    <cellStyle name="Comma 5 2 2 3 2 2 7 2" xfId="42135" xr:uid="{00000000-0005-0000-0000-0000D7030000}"/>
    <cellStyle name="Comma 5 2 2 3 2 2 8" xfId="26554" xr:uid="{00000000-0005-0000-0000-0000D8030000}"/>
    <cellStyle name="Comma 5 2 2 3 2 3" xfId="1301" xr:uid="{00000000-0005-0000-0000-0000D9030000}"/>
    <cellStyle name="Comma 5 2 2 3 2 3 2" xfId="3730" xr:uid="{00000000-0005-0000-0000-0000DA030000}"/>
    <cellStyle name="Comma 5 2 2 3 2 3 2 2" xfId="12866" xr:uid="{00000000-0005-0000-0000-0000DB030000}"/>
    <cellStyle name="Comma 5 2 2 3 2 3 2 2 2" xfId="23085" xr:uid="{00000000-0005-0000-0000-0000DC030000}"/>
    <cellStyle name="Comma 5 2 2 3 2 3 2 2 2 2" xfId="48638" xr:uid="{00000000-0005-0000-0000-0000DD030000}"/>
    <cellStyle name="Comma 5 2 2 3 2 3 2 2 3" xfId="38421" xr:uid="{00000000-0005-0000-0000-0000DE030000}"/>
    <cellStyle name="Comma 5 2 2 3 2 3 2 3" xfId="9287" xr:uid="{00000000-0005-0000-0000-0000DF030000}"/>
    <cellStyle name="Comma 5 2 2 3 2 3 2 3 2" xfId="34844" xr:uid="{00000000-0005-0000-0000-0000E0030000}"/>
    <cellStyle name="Comma 5 2 2 3 2 3 2 4" xfId="18078" xr:uid="{00000000-0005-0000-0000-0000E1030000}"/>
    <cellStyle name="Comma 5 2 2 3 2 3 2 4 2" xfId="43631" xr:uid="{00000000-0005-0000-0000-0000E2030000}"/>
    <cellStyle name="Comma 5 2 2 3 2 3 2 5" xfId="29568" xr:uid="{00000000-0005-0000-0000-0000E3030000}"/>
    <cellStyle name="Comma 5 2 2 3 2 3 3" xfId="4789" xr:uid="{00000000-0005-0000-0000-0000E4030000}"/>
    <cellStyle name="Comma 5 2 2 3 2 3 3 2" xfId="13626" xr:uid="{00000000-0005-0000-0000-0000E5030000}"/>
    <cellStyle name="Comma 5 2 2 3 2 3 3 2 2" xfId="23877" xr:uid="{00000000-0005-0000-0000-0000E6030000}"/>
    <cellStyle name="Comma 5 2 2 3 2 3 3 2 2 2" xfId="49430" xr:uid="{00000000-0005-0000-0000-0000E7030000}"/>
    <cellStyle name="Comma 5 2 2 3 2 3 3 2 3" xfId="39181" xr:uid="{00000000-0005-0000-0000-0000E8030000}"/>
    <cellStyle name="Comma 5 2 2 3 2 3 3 3" xfId="10047" xr:uid="{00000000-0005-0000-0000-0000E9030000}"/>
    <cellStyle name="Comma 5 2 2 3 2 3 3 3 2" xfId="35604" xr:uid="{00000000-0005-0000-0000-0000EA030000}"/>
    <cellStyle name="Comma 5 2 2 3 2 3 3 4" xfId="18870" xr:uid="{00000000-0005-0000-0000-0000EB030000}"/>
    <cellStyle name="Comma 5 2 2 3 2 3 3 4 2" xfId="44423" xr:uid="{00000000-0005-0000-0000-0000EC030000}"/>
    <cellStyle name="Comma 5 2 2 3 2 3 3 5" xfId="30360" xr:uid="{00000000-0005-0000-0000-0000ED030000}"/>
    <cellStyle name="Comma 5 2 2 3 2 3 4" xfId="2124" xr:uid="{00000000-0005-0000-0000-0000EE030000}"/>
    <cellStyle name="Comma 5 2 2 3 2 3 4 2" xfId="11489" xr:uid="{00000000-0005-0000-0000-0000EF030000}"/>
    <cellStyle name="Comma 5 2 2 3 2 3 4 2 2" xfId="37044" xr:uid="{00000000-0005-0000-0000-0000F0030000}"/>
    <cellStyle name="Comma 5 2 2 3 2 3 4 3" xfId="21493" xr:uid="{00000000-0005-0000-0000-0000F1030000}"/>
    <cellStyle name="Comma 5 2 2 3 2 3 4 3 2" xfId="47046" xr:uid="{00000000-0005-0000-0000-0000F2030000}"/>
    <cellStyle name="Comma 5 2 2 3 2 3 4 4" xfId="27976" xr:uid="{00000000-0005-0000-0000-0000F3030000}"/>
    <cellStyle name="Comma 5 2 2 3 2 3 5" xfId="6244" xr:uid="{00000000-0005-0000-0000-0000F4030000}"/>
    <cellStyle name="Comma 5 2 2 3 2 3 5 2" xfId="15071" xr:uid="{00000000-0005-0000-0000-0000F5030000}"/>
    <cellStyle name="Comma 5 2 2 3 2 3 5 2 2" xfId="40626" xr:uid="{00000000-0005-0000-0000-0000F6030000}"/>
    <cellStyle name="Comma 5 2 2 3 2 3 5 3" xfId="25322" xr:uid="{00000000-0005-0000-0000-0000F7030000}"/>
    <cellStyle name="Comma 5 2 2 3 2 3 5 3 2" xfId="50875" xr:uid="{00000000-0005-0000-0000-0000F8030000}"/>
    <cellStyle name="Comma 5 2 2 3 2 3 5 4" xfId="31805" xr:uid="{00000000-0005-0000-0000-0000F9030000}"/>
    <cellStyle name="Comma 5 2 2 3 2 3 6" xfId="7690" xr:uid="{00000000-0005-0000-0000-0000FA030000}"/>
    <cellStyle name="Comma 5 2 2 3 2 3 6 2" xfId="20684" xr:uid="{00000000-0005-0000-0000-0000FB030000}"/>
    <cellStyle name="Comma 5 2 2 3 2 3 6 2 2" xfId="46237" xr:uid="{00000000-0005-0000-0000-0000FC030000}"/>
    <cellStyle name="Comma 5 2 2 3 2 3 6 3" xfId="33247" xr:uid="{00000000-0005-0000-0000-0000FD030000}"/>
    <cellStyle name="Comma 5 2 2 3 2 3 7" xfId="16486" xr:uid="{00000000-0005-0000-0000-0000FE030000}"/>
    <cellStyle name="Comma 5 2 2 3 2 3 7 2" xfId="42039" xr:uid="{00000000-0005-0000-0000-0000FF030000}"/>
    <cellStyle name="Comma 5 2 2 3 2 3 8" xfId="27167" xr:uid="{00000000-0005-0000-0000-000000040000}"/>
    <cellStyle name="Comma 5 2 2 3 2 4" xfId="3015" xr:uid="{00000000-0005-0000-0000-000001040000}"/>
    <cellStyle name="Comma 5 2 2 3 2 4 2" xfId="5393" xr:uid="{00000000-0005-0000-0000-000002040000}"/>
    <cellStyle name="Comma 5 2 2 3 2 4 2 2" xfId="14230" xr:uid="{00000000-0005-0000-0000-000003040000}"/>
    <cellStyle name="Comma 5 2 2 3 2 4 2 2 2" xfId="24481" xr:uid="{00000000-0005-0000-0000-000004040000}"/>
    <cellStyle name="Comma 5 2 2 3 2 4 2 2 2 2" xfId="50034" xr:uid="{00000000-0005-0000-0000-000005040000}"/>
    <cellStyle name="Comma 5 2 2 3 2 4 2 2 3" xfId="39785" xr:uid="{00000000-0005-0000-0000-000006040000}"/>
    <cellStyle name="Comma 5 2 2 3 2 4 2 3" xfId="10651" xr:uid="{00000000-0005-0000-0000-000007040000}"/>
    <cellStyle name="Comma 5 2 2 3 2 4 2 3 2" xfId="36208" xr:uid="{00000000-0005-0000-0000-000008040000}"/>
    <cellStyle name="Comma 5 2 2 3 2 4 2 4" xfId="19474" xr:uid="{00000000-0005-0000-0000-000009040000}"/>
    <cellStyle name="Comma 5 2 2 3 2 4 2 4 2" xfId="45027" xr:uid="{00000000-0005-0000-0000-00000A040000}"/>
    <cellStyle name="Comma 5 2 2 3 2 4 2 5" xfId="30964" xr:uid="{00000000-0005-0000-0000-00000B040000}"/>
    <cellStyle name="Comma 5 2 2 3 2 4 3" xfId="6848" xr:uid="{00000000-0005-0000-0000-00000C040000}"/>
    <cellStyle name="Comma 5 2 2 3 2 4 3 2" xfId="15675" xr:uid="{00000000-0005-0000-0000-00000D040000}"/>
    <cellStyle name="Comma 5 2 2 3 2 4 3 2 2" xfId="41230" xr:uid="{00000000-0005-0000-0000-00000E040000}"/>
    <cellStyle name="Comma 5 2 2 3 2 4 3 3" xfId="25926" xr:uid="{00000000-0005-0000-0000-00000F040000}"/>
    <cellStyle name="Comma 5 2 2 3 2 4 3 3 2" xfId="51479" xr:uid="{00000000-0005-0000-0000-000010040000}"/>
    <cellStyle name="Comma 5 2 2 3 2 4 3 4" xfId="32409" xr:uid="{00000000-0005-0000-0000-000011040000}"/>
    <cellStyle name="Comma 5 2 2 3 2 4 4" xfId="8294" xr:uid="{00000000-0005-0000-0000-000012040000}"/>
    <cellStyle name="Comma 5 2 2 3 2 4 4 2" xfId="22376" xr:uid="{00000000-0005-0000-0000-000013040000}"/>
    <cellStyle name="Comma 5 2 2 3 2 4 4 2 2" xfId="47929" xr:uid="{00000000-0005-0000-0000-000014040000}"/>
    <cellStyle name="Comma 5 2 2 3 2 4 4 3" xfId="33851" xr:uid="{00000000-0005-0000-0000-000015040000}"/>
    <cellStyle name="Comma 5 2 2 3 2 4 5" xfId="17369" xr:uid="{00000000-0005-0000-0000-000016040000}"/>
    <cellStyle name="Comma 5 2 2 3 2 4 5 2" xfId="42922" xr:uid="{00000000-0005-0000-0000-000017040000}"/>
    <cellStyle name="Comma 5 2 2 3 2 4 6" xfId="28859" xr:uid="{00000000-0005-0000-0000-000018040000}"/>
    <cellStyle name="Comma 5 2 2 3 2 5" xfId="4349" xr:uid="{00000000-0005-0000-0000-000019040000}"/>
    <cellStyle name="Comma 5 2 2 3 2 5 2" xfId="13187" xr:uid="{00000000-0005-0000-0000-00001A040000}"/>
    <cellStyle name="Comma 5 2 2 3 2 5 2 2" xfId="23438" xr:uid="{00000000-0005-0000-0000-00001B040000}"/>
    <cellStyle name="Comma 5 2 2 3 2 5 2 2 2" xfId="48991" xr:uid="{00000000-0005-0000-0000-00001C040000}"/>
    <cellStyle name="Comma 5 2 2 3 2 5 2 3" xfId="38742" xr:uid="{00000000-0005-0000-0000-00001D040000}"/>
    <cellStyle name="Comma 5 2 2 3 2 5 3" xfId="9608" xr:uid="{00000000-0005-0000-0000-00001E040000}"/>
    <cellStyle name="Comma 5 2 2 3 2 5 3 2" xfId="35165" xr:uid="{00000000-0005-0000-0000-00001F040000}"/>
    <cellStyle name="Comma 5 2 2 3 2 5 4" xfId="18431" xr:uid="{00000000-0005-0000-0000-000020040000}"/>
    <cellStyle name="Comma 5 2 2 3 2 5 4 2" xfId="43984" xr:uid="{00000000-0005-0000-0000-000021040000}"/>
    <cellStyle name="Comma 5 2 2 3 2 5 5" xfId="29921" xr:uid="{00000000-0005-0000-0000-000022040000}"/>
    <cellStyle name="Comma 5 2 2 3 2 6" xfId="1621" xr:uid="{00000000-0005-0000-0000-000023040000}"/>
    <cellStyle name="Comma 5 2 2 3 2 6 2" xfId="10998" xr:uid="{00000000-0005-0000-0000-000024040000}"/>
    <cellStyle name="Comma 5 2 2 3 2 6 2 2" xfId="36553" xr:uid="{00000000-0005-0000-0000-000025040000}"/>
    <cellStyle name="Comma 5 2 2 3 2 6 3" xfId="21002" xr:uid="{00000000-0005-0000-0000-000026040000}"/>
    <cellStyle name="Comma 5 2 2 3 2 6 3 2" xfId="46555" xr:uid="{00000000-0005-0000-0000-000027040000}"/>
    <cellStyle name="Comma 5 2 2 3 2 6 4" xfId="27485" xr:uid="{00000000-0005-0000-0000-000028040000}"/>
    <cellStyle name="Comma 5 2 2 3 2 7" xfId="5805" xr:uid="{00000000-0005-0000-0000-000029040000}"/>
    <cellStyle name="Comma 5 2 2 3 2 7 2" xfId="14632" xr:uid="{00000000-0005-0000-0000-00002A040000}"/>
    <cellStyle name="Comma 5 2 2 3 2 7 2 2" xfId="40187" xr:uid="{00000000-0005-0000-0000-00002B040000}"/>
    <cellStyle name="Comma 5 2 2 3 2 7 3" xfId="24883" xr:uid="{00000000-0005-0000-0000-00002C040000}"/>
    <cellStyle name="Comma 5 2 2 3 2 7 3 2" xfId="50436" xr:uid="{00000000-0005-0000-0000-00002D040000}"/>
    <cellStyle name="Comma 5 2 2 3 2 7 4" xfId="31366" xr:uid="{00000000-0005-0000-0000-00002E040000}"/>
    <cellStyle name="Comma 5 2 2 3 2 8" xfId="7249" xr:uid="{00000000-0005-0000-0000-00002F040000}"/>
    <cellStyle name="Comma 5 2 2 3 2 8 2" xfId="19975" xr:uid="{00000000-0005-0000-0000-000030040000}"/>
    <cellStyle name="Comma 5 2 2 3 2 8 2 2" xfId="45528" xr:uid="{00000000-0005-0000-0000-000031040000}"/>
    <cellStyle name="Comma 5 2 2 3 2 8 3" xfId="32806" xr:uid="{00000000-0005-0000-0000-000032040000}"/>
    <cellStyle name="Comma 5 2 2 3 2 9" xfId="15995" xr:uid="{00000000-0005-0000-0000-000033040000}"/>
    <cellStyle name="Comma 5 2 2 3 2 9 2" xfId="41548" xr:uid="{00000000-0005-0000-0000-000034040000}"/>
    <cellStyle name="Comma 5 2 2 3 3" xfId="429" xr:uid="{00000000-0005-0000-0000-000035040000}"/>
    <cellStyle name="Comma 5 2 2 3 3 2" xfId="2915" xr:uid="{00000000-0005-0000-0000-000036040000}"/>
    <cellStyle name="Comma 5 2 2 3 3 2 2" xfId="12203" xr:uid="{00000000-0005-0000-0000-000037040000}"/>
    <cellStyle name="Comma 5 2 2 3 3 2 2 2" xfId="22276" xr:uid="{00000000-0005-0000-0000-000038040000}"/>
    <cellStyle name="Comma 5 2 2 3 3 2 2 2 2" xfId="47829" xr:uid="{00000000-0005-0000-0000-000039040000}"/>
    <cellStyle name="Comma 5 2 2 3 3 2 2 3" xfId="37758" xr:uid="{00000000-0005-0000-0000-00003A040000}"/>
    <cellStyle name="Comma 5 2 2 3 3 2 3" xfId="8386" xr:uid="{00000000-0005-0000-0000-00003B040000}"/>
    <cellStyle name="Comma 5 2 2 3 3 2 3 2" xfId="33943" xr:uid="{00000000-0005-0000-0000-00003C040000}"/>
    <cellStyle name="Comma 5 2 2 3 3 2 4" xfId="17269" xr:uid="{00000000-0005-0000-0000-00003D040000}"/>
    <cellStyle name="Comma 5 2 2 3 3 2 4 2" xfId="42822" xr:uid="{00000000-0005-0000-0000-00003E040000}"/>
    <cellStyle name="Comma 5 2 2 3 3 2 5" xfId="28759" xr:uid="{00000000-0005-0000-0000-00003F040000}"/>
    <cellStyle name="Comma 5 2 2 3 3 3" xfId="4439" xr:uid="{00000000-0005-0000-0000-000040040000}"/>
    <cellStyle name="Comma 5 2 2 3 3 3 2" xfId="13277" xr:uid="{00000000-0005-0000-0000-000041040000}"/>
    <cellStyle name="Comma 5 2 2 3 3 3 2 2" xfId="23528" xr:uid="{00000000-0005-0000-0000-000042040000}"/>
    <cellStyle name="Comma 5 2 2 3 3 3 2 2 2" xfId="49081" xr:uid="{00000000-0005-0000-0000-000043040000}"/>
    <cellStyle name="Comma 5 2 2 3 3 3 2 3" xfId="38832" xr:uid="{00000000-0005-0000-0000-000044040000}"/>
    <cellStyle name="Comma 5 2 2 3 3 3 3" xfId="9698" xr:uid="{00000000-0005-0000-0000-000045040000}"/>
    <cellStyle name="Comma 5 2 2 3 3 3 3 2" xfId="35255" xr:uid="{00000000-0005-0000-0000-000046040000}"/>
    <cellStyle name="Comma 5 2 2 3 3 3 4" xfId="18521" xr:uid="{00000000-0005-0000-0000-000047040000}"/>
    <cellStyle name="Comma 5 2 2 3 3 3 4 2" xfId="44074" xr:uid="{00000000-0005-0000-0000-000048040000}"/>
    <cellStyle name="Comma 5 2 2 3 3 3 5" xfId="30011" xr:uid="{00000000-0005-0000-0000-000049040000}"/>
    <cellStyle name="Comma 5 2 2 3 3 4" xfId="2024" xr:uid="{00000000-0005-0000-0000-00004A040000}"/>
    <cellStyle name="Comma 5 2 2 3 3 4 2" xfId="11389" xr:uid="{00000000-0005-0000-0000-00004B040000}"/>
    <cellStyle name="Comma 5 2 2 3 3 4 2 2" xfId="36944" xr:uid="{00000000-0005-0000-0000-00004C040000}"/>
    <cellStyle name="Comma 5 2 2 3 3 4 3" xfId="21393" xr:uid="{00000000-0005-0000-0000-00004D040000}"/>
    <cellStyle name="Comma 5 2 2 3 3 4 3 2" xfId="46946" xr:uid="{00000000-0005-0000-0000-00004E040000}"/>
    <cellStyle name="Comma 5 2 2 3 3 4 4" xfId="27876" xr:uid="{00000000-0005-0000-0000-00004F040000}"/>
    <cellStyle name="Comma 5 2 2 3 3 5" xfId="5895" xr:uid="{00000000-0005-0000-0000-000050040000}"/>
    <cellStyle name="Comma 5 2 2 3 3 5 2" xfId="14722" xr:uid="{00000000-0005-0000-0000-000051040000}"/>
    <cellStyle name="Comma 5 2 2 3 3 5 2 2" xfId="40277" xr:uid="{00000000-0005-0000-0000-000052040000}"/>
    <cellStyle name="Comma 5 2 2 3 3 5 3" xfId="24973" xr:uid="{00000000-0005-0000-0000-000053040000}"/>
    <cellStyle name="Comma 5 2 2 3 3 5 3 2" xfId="50526" xr:uid="{00000000-0005-0000-0000-000054040000}"/>
    <cellStyle name="Comma 5 2 2 3 3 5 4" xfId="31456" xr:uid="{00000000-0005-0000-0000-000055040000}"/>
    <cellStyle name="Comma 5 2 2 3 3 6" xfId="7339" xr:uid="{00000000-0005-0000-0000-000056040000}"/>
    <cellStyle name="Comma 5 2 2 3 3 6 2" xfId="19875" xr:uid="{00000000-0005-0000-0000-000057040000}"/>
    <cellStyle name="Comma 5 2 2 3 3 6 2 2" xfId="45428" xr:uid="{00000000-0005-0000-0000-000058040000}"/>
    <cellStyle name="Comma 5 2 2 3 3 6 3" xfId="32896" xr:uid="{00000000-0005-0000-0000-000059040000}"/>
    <cellStyle name="Comma 5 2 2 3 3 7" xfId="16386" xr:uid="{00000000-0005-0000-0000-00005A040000}"/>
    <cellStyle name="Comma 5 2 2 3 3 7 2" xfId="41939" xr:uid="{00000000-0005-0000-0000-00005B040000}"/>
    <cellStyle name="Comma 5 2 2 3 3 8" xfId="26358" xr:uid="{00000000-0005-0000-0000-00005C040000}"/>
    <cellStyle name="Comma 5 2 2 3 4" xfId="624" xr:uid="{00000000-0005-0000-0000-00005D040000}"/>
    <cellStyle name="Comma 5 2 2 3 4 2" xfId="3110" xr:uid="{00000000-0005-0000-0000-00005E040000}"/>
    <cellStyle name="Comma 5 2 2 3 4 2 2" xfId="12253" xr:uid="{00000000-0005-0000-0000-00005F040000}"/>
    <cellStyle name="Comma 5 2 2 3 4 2 2 2" xfId="22471" xr:uid="{00000000-0005-0000-0000-000060040000}"/>
    <cellStyle name="Comma 5 2 2 3 4 2 2 2 2" xfId="48024" xr:uid="{00000000-0005-0000-0000-000061040000}"/>
    <cellStyle name="Comma 5 2 2 3 4 2 2 3" xfId="37808" xr:uid="{00000000-0005-0000-0000-000062040000}"/>
    <cellStyle name="Comma 5 2 2 3 4 2 3" xfId="8675" xr:uid="{00000000-0005-0000-0000-000063040000}"/>
    <cellStyle name="Comma 5 2 2 3 4 2 3 2" xfId="34232" xr:uid="{00000000-0005-0000-0000-000064040000}"/>
    <cellStyle name="Comma 5 2 2 3 4 2 4" xfId="17464" xr:uid="{00000000-0005-0000-0000-000065040000}"/>
    <cellStyle name="Comma 5 2 2 3 4 2 4 2" xfId="43017" xr:uid="{00000000-0005-0000-0000-000066040000}"/>
    <cellStyle name="Comma 5 2 2 3 4 2 5" xfId="28954" xr:uid="{00000000-0005-0000-0000-000067040000}"/>
    <cellStyle name="Comma 5 2 2 3 4 3" xfId="4788" xr:uid="{00000000-0005-0000-0000-000068040000}"/>
    <cellStyle name="Comma 5 2 2 3 4 3 2" xfId="13625" xr:uid="{00000000-0005-0000-0000-000069040000}"/>
    <cellStyle name="Comma 5 2 2 3 4 3 2 2" xfId="23876" xr:uid="{00000000-0005-0000-0000-00006A040000}"/>
    <cellStyle name="Comma 5 2 2 3 4 3 2 2 2" xfId="49429" xr:uid="{00000000-0005-0000-0000-00006B040000}"/>
    <cellStyle name="Comma 5 2 2 3 4 3 2 3" xfId="39180" xr:uid="{00000000-0005-0000-0000-00006C040000}"/>
    <cellStyle name="Comma 5 2 2 3 4 3 3" xfId="10046" xr:uid="{00000000-0005-0000-0000-00006D040000}"/>
    <cellStyle name="Comma 5 2 2 3 4 3 3 2" xfId="35603" xr:uid="{00000000-0005-0000-0000-00006E040000}"/>
    <cellStyle name="Comma 5 2 2 3 4 3 4" xfId="18869" xr:uid="{00000000-0005-0000-0000-00006F040000}"/>
    <cellStyle name="Comma 5 2 2 3 4 3 4 2" xfId="44422" xr:uid="{00000000-0005-0000-0000-000070040000}"/>
    <cellStyle name="Comma 5 2 2 3 4 3 5" xfId="30359" xr:uid="{00000000-0005-0000-0000-000071040000}"/>
    <cellStyle name="Comma 5 2 2 3 4 4" xfId="2219" xr:uid="{00000000-0005-0000-0000-000072040000}"/>
    <cellStyle name="Comma 5 2 2 3 4 4 2" xfId="11584" xr:uid="{00000000-0005-0000-0000-000073040000}"/>
    <cellStyle name="Comma 5 2 2 3 4 4 2 2" xfId="37139" xr:uid="{00000000-0005-0000-0000-000074040000}"/>
    <cellStyle name="Comma 5 2 2 3 4 4 3" xfId="21588" xr:uid="{00000000-0005-0000-0000-000075040000}"/>
    <cellStyle name="Comma 5 2 2 3 4 4 3 2" xfId="47141" xr:uid="{00000000-0005-0000-0000-000076040000}"/>
    <cellStyle name="Comma 5 2 2 3 4 4 4" xfId="28071" xr:uid="{00000000-0005-0000-0000-000077040000}"/>
    <cellStyle name="Comma 5 2 2 3 4 5" xfId="6243" xr:uid="{00000000-0005-0000-0000-000078040000}"/>
    <cellStyle name="Comma 5 2 2 3 4 5 2" xfId="15070" xr:uid="{00000000-0005-0000-0000-000079040000}"/>
    <cellStyle name="Comma 5 2 2 3 4 5 2 2" xfId="40625" xr:uid="{00000000-0005-0000-0000-00007A040000}"/>
    <cellStyle name="Comma 5 2 2 3 4 5 3" xfId="25321" xr:uid="{00000000-0005-0000-0000-00007B040000}"/>
    <cellStyle name="Comma 5 2 2 3 4 5 3 2" xfId="50874" xr:uid="{00000000-0005-0000-0000-00007C040000}"/>
    <cellStyle name="Comma 5 2 2 3 4 5 4" xfId="31804" xr:uid="{00000000-0005-0000-0000-00007D040000}"/>
    <cellStyle name="Comma 5 2 2 3 4 6" xfId="7689" xr:uid="{00000000-0005-0000-0000-00007E040000}"/>
    <cellStyle name="Comma 5 2 2 3 4 6 2" xfId="20070" xr:uid="{00000000-0005-0000-0000-00007F040000}"/>
    <cellStyle name="Comma 5 2 2 3 4 6 2 2" xfId="45623" xr:uid="{00000000-0005-0000-0000-000080040000}"/>
    <cellStyle name="Comma 5 2 2 3 4 6 3" xfId="33246" xr:uid="{00000000-0005-0000-0000-000081040000}"/>
    <cellStyle name="Comma 5 2 2 3 4 7" xfId="16581" xr:uid="{00000000-0005-0000-0000-000082040000}"/>
    <cellStyle name="Comma 5 2 2 3 4 7 2" xfId="42134" xr:uid="{00000000-0005-0000-0000-000083040000}"/>
    <cellStyle name="Comma 5 2 2 3 4 8" xfId="26553" xr:uid="{00000000-0005-0000-0000-000084040000}"/>
    <cellStyle name="Comma 5 2 2 3 5" xfId="1201" xr:uid="{00000000-0005-0000-0000-000085040000}"/>
    <cellStyle name="Comma 5 2 2 3 5 2" xfId="3630" xr:uid="{00000000-0005-0000-0000-000086040000}"/>
    <cellStyle name="Comma 5 2 2 3 5 2 2" xfId="12766" xr:uid="{00000000-0005-0000-0000-000087040000}"/>
    <cellStyle name="Comma 5 2 2 3 5 2 2 2" xfId="22985" xr:uid="{00000000-0005-0000-0000-000088040000}"/>
    <cellStyle name="Comma 5 2 2 3 5 2 2 2 2" xfId="48538" xr:uid="{00000000-0005-0000-0000-000089040000}"/>
    <cellStyle name="Comma 5 2 2 3 5 2 2 3" xfId="38321" xr:uid="{00000000-0005-0000-0000-00008A040000}"/>
    <cellStyle name="Comma 5 2 2 3 5 2 3" xfId="9187" xr:uid="{00000000-0005-0000-0000-00008B040000}"/>
    <cellStyle name="Comma 5 2 2 3 5 2 3 2" xfId="34744" xr:uid="{00000000-0005-0000-0000-00008C040000}"/>
    <cellStyle name="Comma 5 2 2 3 5 2 4" xfId="17978" xr:uid="{00000000-0005-0000-0000-00008D040000}"/>
    <cellStyle name="Comma 5 2 2 3 5 2 4 2" xfId="43531" xr:uid="{00000000-0005-0000-0000-00008E040000}"/>
    <cellStyle name="Comma 5 2 2 3 5 2 5" xfId="29468" xr:uid="{00000000-0005-0000-0000-00008F040000}"/>
    <cellStyle name="Comma 5 2 2 3 5 3" xfId="5293" xr:uid="{00000000-0005-0000-0000-000090040000}"/>
    <cellStyle name="Comma 5 2 2 3 5 3 2" xfId="14130" xr:uid="{00000000-0005-0000-0000-000091040000}"/>
    <cellStyle name="Comma 5 2 2 3 5 3 2 2" xfId="24381" xr:uid="{00000000-0005-0000-0000-000092040000}"/>
    <cellStyle name="Comma 5 2 2 3 5 3 2 2 2" xfId="49934" xr:uid="{00000000-0005-0000-0000-000093040000}"/>
    <cellStyle name="Comma 5 2 2 3 5 3 2 3" xfId="39685" xr:uid="{00000000-0005-0000-0000-000094040000}"/>
    <cellStyle name="Comma 5 2 2 3 5 3 3" xfId="10551" xr:uid="{00000000-0005-0000-0000-000095040000}"/>
    <cellStyle name="Comma 5 2 2 3 5 3 3 2" xfId="36108" xr:uid="{00000000-0005-0000-0000-000096040000}"/>
    <cellStyle name="Comma 5 2 2 3 5 3 4" xfId="19374" xr:uid="{00000000-0005-0000-0000-000097040000}"/>
    <cellStyle name="Comma 5 2 2 3 5 3 4 2" xfId="44927" xr:uid="{00000000-0005-0000-0000-000098040000}"/>
    <cellStyle name="Comma 5 2 2 3 5 3 5" xfId="30864" xr:uid="{00000000-0005-0000-0000-000099040000}"/>
    <cellStyle name="Comma 5 2 2 3 5 4" xfId="1804" xr:uid="{00000000-0005-0000-0000-00009A040000}"/>
    <cellStyle name="Comma 5 2 2 3 5 4 2" xfId="11172" xr:uid="{00000000-0005-0000-0000-00009B040000}"/>
    <cellStyle name="Comma 5 2 2 3 5 4 2 2" xfId="36727" xr:uid="{00000000-0005-0000-0000-00009C040000}"/>
    <cellStyle name="Comma 5 2 2 3 5 4 3" xfId="21176" xr:uid="{00000000-0005-0000-0000-00009D040000}"/>
    <cellStyle name="Comma 5 2 2 3 5 4 3 2" xfId="46729" xr:uid="{00000000-0005-0000-0000-00009E040000}"/>
    <cellStyle name="Comma 5 2 2 3 5 4 4" xfId="27659" xr:uid="{00000000-0005-0000-0000-00009F040000}"/>
    <cellStyle name="Comma 5 2 2 3 5 5" xfId="6748" xr:uid="{00000000-0005-0000-0000-0000A0040000}"/>
    <cellStyle name="Comma 5 2 2 3 5 5 2" xfId="15575" xr:uid="{00000000-0005-0000-0000-0000A1040000}"/>
    <cellStyle name="Comma 5 2 2 3 5 5 2 2" xfId="41130" xr:uid="{00000000-0005-0000-0000-0000A2040000}"/>
    <cellStyle name="Comma 5 2 2 3 5 5 3" xfId="25826" xr:uid="{00000000-0005-0000-0000-0000A3040000}"/>
    <cellStyle name="Comma 5 2 2 3 5 5 3 2" xfId="51379" xr:uid="{00000000-0005-0000-0000-0000A4040000}"/>
    <cellStyle name="Comma 5 2 2 3 5 5 4" xfId="32309" xr:uid="{00000000-0005-0000-0000-0000A5040000}"/>
    <cellStyle name="Comma 5 2 2 3 5 6" xfId="8194" xr:uid="{00000000-0005-0000-0000-0000A6040000}"/>
    <cellStyle name="Comma 5 2 2 3 5 6 2" xfId="20584" xr:uid="{00000000-0005-0000-0000-0000A7040000}"/>
    <cellStyle name="Comma 5 2 2 3 5 6 2 2" xfId="46137" xr:uid="{00000000-0005-0000-0000-0000A8040000}"/>
    <cellStyle name="Comma 5 2 2 3 5 6 3" xfId="33751" xr:uid="{00000000-0005-0000-0000-0000A9040000}"/>
    <cellStyle name="Comma 5 2 2 3 5 7" xfId="16169" xr:uid="{00000000-0005-0000-0000-0000AA040000}"/>
    <cellStyle name="Comma 5 2 2 3 5 7 2" xfId="41722" xr:uid="{00000000-0005-0000-0000-0000AB040000}"/>
    <cellStyle name="Comma 5 2 2 3 5 8" xfId="27067" xr:uid="{00000000-0005-0000-0000-0000AC040000}"/>
    <cellStyle name="Comma 5 2 2 3 6" xfId="2698" xr:uid="{00000000-0005-0000-0000-0000AD040000}"/>
    <cellStyle name="Comma 5 2 2 3 6 2" xfId="12015" xr:uid="{00000000-0005-0000-0000-0000AE040000}"/>
    <cellStyle name="Comma 5 2 2 3 6 2 2" xfId="22059" xr:uid="{00000000-0005-0000-0000-0000AF040000}"/>
    <cellStyle name="Comma 5 2 2 3 6 2 2 2" xfId="47612" xr:uid="{00000000-0005-0000-0000-0000B0040000}"/>
    <cellStyle name="Comma 5 2 2 3 6 2 3" xfId="37570" xr:uid="{00000000-0005-0000-0000-0000B1040000}"/>
    <cellStyle name="Comma 5 2 2 3 6 3" xfId="8554" xr:uid="{00000000-0005-0000-0000-0000B2040000}"/>
    <cellStyle name="Comma 5 2 2 3 6 3 2" xfId="34111" xr:uid="{00000000-0005-0000-0000-0000B3040000}"/>
    <cellStyle name="Comma 5 2 2 3 6 4" xfId="17052" xr:uid="{00000000-0005-0000-0000-0000B4040000}"/>
    <cellStyle name="Comma 5 2 2 3 6 4 2" xfId="42605" xr:uid="{00000000-0005-0000-0000-0000B5040000}"/>
    <cellStyle name="Comma 5 2 2 3 6 5" xfId="28542" xr:uid="{00000000-0005-0000-0000-0000B6040000}"/>
    <cellStyle name="Comma 5 2 2 3 7" xfId="4249" xr:uid="{00000000-0005-0000-0000-0000B7040000}"/>
    <cellStyle name="Comma 5 2 2 3 7 2" xfId="13087" xr:uid="{00000000-0005-0000-0000-0000B8040000}"/>
    <cellStyle name="Comma 5 2 2 3 7 2 2" xfId="23338" xr:uid="{00000000-0005-0000-0000-0000B9040000}"/>
    <cellStyle name="Comma 5 2 2 3 7 2 2 2" xfId="48891" xr:uid="{00000000-0005-0000-0000-0000BA040000}"/>
    <cellStyle name="Comma 5 2 2 3 7 2 3" xfId="38642" xr:uid="{00000000-0005-0000-0000-0000BB040000}"/>
    <cellStyle name="Comma 5 2 2 3 7 3" xfId="9508" xr:uid="{00000000-0005-0000-0000-0000BC040000}"/>
    <cellStyle name="Comma 5 2 2 3 7 3 2" xfId="35065" xr:uid="{00000000-0005-0000-0000-0000BD040000}"/>
    <cellStyle name="Comma 5 2 2 3 7 4" xfId="18331" xr:uid="{00000000-0005-0000-0000-0000BE040000}"/>
    <cellStyle name="Comma 5 2 2 3 7 4 2" xfId="43884" xr:uid="{00000000-0005-0000-0000-0000BF040000}"/>
    <cellStyle name="Comma 5 2 2 3 7 5" xfId="29821" xr:uid="{00000000-0005-0000-0000-0000C0040000}"/>
    <cellStyle name="Comma 5 2 2 3 8" xfId="1521" xr:uid="{00000000-0005-0000-0000-0000C1040000}"/>
    <cellStyle name="Comma 5 2 2 3 8 2" xfId="10898" xr:uid="{00000000-0005-0000-0000-0000C2040000}"/>
    <cellStyle name="Comma 5 2 2 3 8 2 2" xfId="36453" xr:uid="{00000000-0005-0000-0000-0000C3040000}"/>
    <cellStyle name="Comma 5 2 2 3 8 3" xfId="20902" xr:uid="{00000000-0005-0000-0000-0000C4040000}"/>
    <cellStyle name="Comma 5 2 2 3 8 3 2" xfId="46455" xr:uid="{00000000-0005-0000-0000-0000C5040000}"/>
    <cellStyle name="Comma 5 2 2 3 8 4" xfId="27385" xr:uid="{00000000-0005-0000-0000-0000C6040000}"/>
    <cellStyle name="Comma 5 2 2 3 9" xfId="5705" xr:uid="{00000000-0005-0000-0000-0000C7040000}"/>
    <cellStyle name="Comma 5 2 2 3 9 2" xfId="14532" xr:uid="{00000000-0005-0000-0000-0000C8040000}"/>
    <cellStyle name="Comma 5 2 2 3 9 2 2" xfId="40087" xr:uid="{00000000-0005-0000-0000-0000C9040000}"/>
    <cellStyle name="Comma 5 2 2 3 9 3" xfId="24783" xr:uid="{00000000-0005-0000-0000-0000CA040000}"/>
    <cellStyle name="Comma 5 2 2 3 9 3 2" xfId="50336" xr:uid="{00000000-0005-0000-0000-0000CB040000}"/>
    <cellStyle name="Comma 5 2 2 3 9 4" xfId="31266" xr:uid="{00000000-0005-0000-0000-0000CC040000}"/>
    <cellStyle name="Comma 5 2 2 4" xfId="238" xr:uid="{00000000-0005-0000-0000-0000CD040000}"/>
    <cellStyle name="Comma 5 2 2 4 10" xfId="7076" xr:uid="{00000000-0005-0000-0000-0000CE040000}"/>
    <cellStyle name="Comma 5 2 2 4 10 2" xfId="19690" xr:uid="{00000000-0005-0000-0000-0000CF040000}"/>
    <cellStyle name="Comma 5 2 2 4 10 2 2" xfId="45243" xr:uid="{00000000-0005-0000-0000-0000D0040000}"/>
    <cellStyle name="Comma 5 2 2 4 10 3" xfId="32633" xr:uid="{00000000-0005-0000-0000-0000D1040000}"/>
    <cellStyle name="Comma 5 2 2 4 11" xfId="15822" xr:uid="{00000000-0005-0000-0000-0000D2040000}"/>
    <cellStyle name="Comma 5 2 2 4 11 2" xfId="41375" xr:uid="{00000000-0005-0000-0000-0000D3040000}"/>
    <cellStyle name="Comma 5 2 2 4 12" xfId="26173" xr:uid="{00000000-0005-0000-0000-0000D4040000}"/>
    <cellStyle name="Comma 5 2 2 4 2" xfId="561" xr:uid="{00000000-0005-0000-0000-0000D5040000}"/>
    <cellStyle name="Comma 5 2 2 4 2 10" xfId="26490" xr:uid="{00000000-0005-0000-0000-0000D6040000}"/>
    <cellStyle name="Comma 5 2 2 4 2 2" xfId="627" xr:uid="{00000000-0005-0000-0000-0000D7040000}"/>
    <cellStyle name="Comma 5 2 2 4 2 2 2" xfId="3113" xr:uid="{00000000-0005-0000-0000-0000D8040000}"/>
    <cellStyle name="Comma 5 2 2 4 2 2 2 2" xfId="12256" xr:uid="{00000000-0005-0000-0000-0000D9040000}"/>
    <cellStyle name="Comma 5 2 2 4 2 2 2 2 2" xfId="22474" xr:uid="{00000000-0005-0000-0000-0000DA040000}"/>
    <cellStyle name="Comma 5 2 2 4 2 2 2 2 2 2" xfId="48027" xr:uid="{00000000-0005-0000-0000-0000DB040000}"/>
    <cellStyle name="Comma 5 2 2 4 2 2 2 2 3" xfId="37811" xr:uid="{00000000-0005-0000-0000-0000DC040000}"/>
    <cellStyle name="Comma 5 2 2 4 2 2 2 3" xfId="8678" xr:uid="{00000000-0005-0000-0000-0000DD040000}"/>
    <cellStyle name="Comma 5 2 2 4 2 2 2 3 2" xfId="34235" xr:uid="{00000000-0005-0000-0000-0000DE040000}"/>
    <cellStyle name="Comma 5 2 2 4 2 2 2 4" xfId="17467" xr:uid="{00000000-0005-0000-0000-0000DF040000}"/>
    <cellStyle name="Comma 5 2 2 4 2 2 2 4 2" xfId="43020" xr:uid="{00000000-0005-0000-0000-0000E0040000}"/>
    <cellStyle name="Comma 5 2 2 4 2 2 2 5" xfId="28957" xr:uid="{00000000-0005-0000-0000-0000E1040000}"/>
    <cellStyle name="Comma 5 2 2 4 2 2 3" xfId="4442" xr:uid="{00000000-0005-0000-0000-0000E2040000}"/>
    <cellStyle name="Comma 5 2 2 4 2 2 3 2" xfId="13280" xr:uid="{00000000-0005-0000-0000-0000E3040000}"/>
    <cellStyle name="Comma 5 2 2 4 2 2 3 2 2" xfId="23531" xr:uid="{00000000-0005-0000-0000-0000E4040000}"/>
    <cellStyle name="Comma 5 2 2 4 2 2 3 2 2 2" xfId="49084" xr:uid="{00000000-0005-0000-0000-0000E5040000}"/>
    <cellStyle name="Comma 5 2 2 4 2 2 3 2 3" xfId="38835" xr:uid="{00000000-0005-0000-0000-0000E6040000}"/>
    <cellStyle name="Comma 5 2 2 4 2 2 3 3" xfId="9701" xr:uid="{00000000-0005-0000-0000-0000E7040000}"/>
    <cellStyle name="Comma 5 2 2 4 2 2 3 3 2" xfId="35258" xr:uid="{00000000-0005-0000-0000-0000E8040000}"/>
    <cellStyle name="Comma 5 2 2 4 2 2 3 4" xfId="18524" xr:uid="{00000000-0005-0000-0000-0000E9040000}"/>
    <cellStyle name="Comma 5 2 2 4 2 2 3 4 2" xfId="44077" xr:uid="{00000000-0005-0000-0000-0000EA040000}"/>
    <cellStyle name="Comma 5 2 2 4 2 2 3 5" xfId="30014" xr:uid="{00000000-0005-0000-0000-0000EB040000}"/>
    <cellStyle name="Comma 5 2 2 4 2 2 4" xfId="2222" xr:uid="{00000000-0005-0000-0000-0000EC040000}"/>
    <cellStyle name="Comma 5 2 2 4 2 2 4 2" xfId="11587" xr:uid="{00000000-0005-0000-0000-0000ED040000}"/>
    <cellStyle name="Comma 5 2 2 4 2 2 4 2 2" xfId="37142" xr:uid="{00000000-0005-0000-0000-0000EE040000}"/>
    <cellStyle name="Comma 5 2 2 4 2 2 4 3" xfId="21591" xr:uid="{00000000-0005-0000-0000-0000EF040000}"/>
    <cellStyle name="Comma 5 2 2 4 2 2 4 3 2" xfId="47144" xr:uid="{00000000-0005-0000-0000-0000F0040000}"/>
    <cellStyle name="Comma 5 2 2 4 2 2 4 4" xfId="28074" xr:uid="{00000000-0005-0000-0000-0000F1040000}"/>
    <cellStyle name="Comma 5 2 2 4 2 2 5" xfId="5898" xr:uid="{00000000-0005-0000-0000-0000F2040000}"/>
    <cellStyle name="Comma 5 2 2 4 2 2 5 2" xfId="14725" xr:uid="{00000000-0005-0000-0000-0000F3040000}"/>
    <cellStyle name="Comma 5 2 2 4 2 2 5 2 2" xfId="40280" xr:uid="{00000000-0005-0000-0000-0000F4040000}"/>
    <cellStyle name="Comma 5 2 2 4 2 2 5 3" xfId="24976" xr:uid="{00000000-0005-0000-0000-0000F5040000}"/>
    <cellStyle name="Comma 5 2 2 4 2 2 5 3 2" xfId="50529" xr:uid="{00000000-0005-0000-0000-0000F6040000}"/>
    <cellStyle name="Comma 5 2 2 4 2 2 5 4" xfId="31459" xr:uid="{00000000-0005-0000-0000-0000F7040000}"/>
    <cellStyle name="Comma 5 2 2 4 2 2 6" xfId="7342" xr:uid="{00000000-0005-0000-0000-0000F8040000}"/>
    <cellStyle name="Comma 5 2 2 4 2 2 6 2" xfId="20073" xr:uid="{00000000-0005-0000-0000-0000F9040000}"/>
    <cellStyle name="Comma 5 2 2 4 2 2 6 2 2" xfId="45626" xr:uid="{00000000-0005-0000-0000-0000FA040000}"/>
    <cellStyle name="Comma 5 2 2 4 2 2 6 3" xfId="32899" xr:uid="{00000000-0005-0000-0000-0000FB040000}"/>
    <cellStyle name="Comma 5 2 2 4 2 2 7" xfId="16584" xr:uid="{00000000-0005-0000-0000-0000FC040000}"/>
    <cellStyle name="Comma 5 2 2 4 2 2 7 2" xfId="42137" xr:uid="{00000000-0005-0000-0000-0000FD040000}"/>
    <cellStyle name="Comma 5 2 2 4 2 2 8" xfId="26556" xr:uid="{00000000-0005-0000-0000-0000FE040000}"/>
    <cellStyle name="Comma 5 2 2 4 2 3" xfId="1333" xr:uid="{00000000-0005-0000-0000-0000FF040000}"/>
    <cellStyle name="Comma 5 2 2 4 2 3 2" xfId="3762" xr:uid="{00000000-0005-0000-0000-000000050000}"/>
    <cellStyle name="Comma 5 2 2 4 2 3 2 2" xfId="12898" xr:uid="{00000000-0005-0000-0000-000001050000}"/>
    <cellStyle name="Comma 5 2 2 4 2 3 2 2 2" xfId="23117" xr:uid="{00000000-0005-0000-0000-000002050000}"/>
    <cellStyle name="Comma 5 2 2 4 2 3 2 2 2 2" xfId="48670" xr:uid="{00000000-0005-0000-0000-000003050000}"/>
    <cellStyle name="Comma 5 2 2 4 2 3 2 2 3" xfId="38453" xr:uid="{00000000-0005-0000-0000-000004050000}"/>
    <cellStyle name="Comma 5 2 2 4 2 3 2 3" xfId="9319" xr:uid="{00000000-0005-0000-0000-000005050000}"/>
    <cellStyle name="Comma 5 2 2 4 2 3 2 3 2" xfId="34876" xr:uid="{00000000-0005-0000-0000-000006050000}"/>
    <cellStyle name="Comma 5 2 2 4 2 3 2 4" xfId="18110" xr:uid="{00000000-0005-0000-0000-000007050000}"/>
    <cellStyle name="Comma 5 2 2 4 2 3 2 4 2" xfId="43663" xr:uid="{00000000-0005-0000-0000-000008050000}"/>
    <cellStyle name="Comma 5 2 2 4 2 3 2 5" xfId="29600" xr:uid="{00000000-0005-0000-0000-000009050000}"/>
    <cellStyle name="Comma 5 2 2 4 2 3 3" xfId="4791" xr:uid="{00000000-0005-0000-0000-00000A050000}"/>
    <cellStyle name="Comma 5 2 2 4 2 3 3 2" xfId="13628" xr:uid="{00000000-0005-0000-0000-00000B050000}"/>
    <cellStyle name="Comma 5 2 2 4 2 3 3 2 2" xfId="23879" xr:uid="{00000000-0005-0000-0000-00000C050000}"/>
    <cellStyle name="Comma 5 2 2 4 2 3 3 2 2 2" xfId="49432" xr:uid="{00000000-0005-0000-0000-00000D050000}"/>
    <cellStyle name="Comma 5 2 2 4 2 3 3 2 3" xfId="39183" xr:uid="{00000000-0005-0000-0000-00000E050000}"/>
    <cellStyle name="Comma 5 2 2 4 2 3 3 3" xfId="10049" xr:uid="{00000000-0005-0000-0000-00000F050000}"/>
    <cellStyle name="Comma 5 2 2 4 2 3 3 3 2" xfId="35606" xr:uid="{00000000-0005-0000-0000-000010050000}"/>
    <cellStyle name="Comma 5 2 2 4 2 3 3 4" xfId="18872" xr:uid="{00000000-0005-0000-0000-000011050000}"/>
    <cellStyle name="Comma 5 2 2 4 2 3 3 4 2" xfId="44425" xr:uid="{00000000-0005-0000-0000-000012050000}"/>
    <cellStyle name="Comma 5 2 2 4 2 3 3 5" xfId="30362" xr:uid="{00000000-0005-0000-0000-000013050000}"/>
    <cellStyle name="Comma 5 2 2 4 2 3 4" xfId="2156" xr:uid="{00000000-0005-0000-0000-000014050000}"/>
    <cellStyle name="Comma 5 2 2 4 2 3 4 2" xfId="11521" xr:uid="{00000000-0005-0000-0000-000015050000}"/>
    <cellStyle name="Comma 5 2 2 4 2 3 4 2 2" xfId="37076" xr:uid="{00000000-0005-0000-0000-000016050000}"/>
    <cellStyle name="Comma 5 2 2 4 2 3 4 3" xfId="21525" xr:uid="{00000000-0005-0000-0000-000017050000}"/>
    <cellStyle name="Comma 5 2 2 4 2 3 4 3 2" xfId="47078" xr:uid="{00000000-0005-0000-0000-000018050000}"/>
    <cellStyle name="Comma 5 2 2 4 2 3 4 4" xfId="28008" xr:uid="{00000000-0005-0000-0000-000019050000}"/>
    <cellStyle name="Comma 5 2 2 4 2 3 5" xfId="6246" xr:uid="{00000000-0005-0000-0000-00001A050000}"/>
    <cellStyle name="Comma 5 2 2 4 2 3 5 2" xfId="15073" xr:uid="{00000000-0005-0000-0000-00001B050000}"/>
    <cellStyle name="Comma 5 2 2 4 2 3 5 2 2" xfId="40628" xr:uid="{00000000-0005-0000-0000-00001C050000}"/>
    <cellStyle name="Comma 5 2 2 4 2 3 5 3" xfId="25324" xr:uid="{00000000-0005-0000-0000-00001D050000}"/>
    <cellStyle name="Comma 5 2 2 4 2 3 5 3 2" xfId="50877" xr:uid="{00000000-0005-0000-0000-00001E050000}"/>
    <cellStyle name="Comma 5 2 2 4 2 3 5 4" xfId="31807" xr:uid="{00000000-0005-0000-0000-00001F050000}"/>
    <cellStyle name="Comma 5 2 2 4 2 3 6" xfId="7692" xr:uid="{00000000-0005-0000-0000-000020050000}"/>
    <cellStyle name="Comma 5 2 2 4 2 3 6 2" xfId="20716" xr:uid="{00000000-0005-0000-0000-000021050000}"/>
    <cellStyle name="Comma 5 2 2 4 2 3 6 2 2" xfId="46269" xr:uid="{00000000-0005-0000-0000-000022050000}"/>
    <cellStyle name="Comma 5 2 2 4 2 3 6 3" xfId="33249" xr:uid="{00000000-0005-0000-0000-000023050000}"/>
    <cellStyle name="Comma 5 2 2 4 2 3 7" xfId="16518" xr:uid="{00000000-0005-0000-0000-000024050000}"/>
    <cellStyle name="Comma 5 2 2 4 2 3 7 2" xfId="42071" xr:uid="{00000000-0005-0000-0000-000025050000}"/>
    <cellStyle name="Comma 5 2 2 4 2 3 8" xfId="27199" xr:uid="{00000000-0005-0000-0000-000026050000}"/>
    <cellStyle name="Comma 5 2 2 4 2 4" xfId="3047" xr:uid="{00000000-0005-0000-0000-000027050000}"/>
    <cellStyle name="Comma 5 2 2 4 2 4 2" xfId="5425" xr:uid="{00000000-0005-0000-0000-000028050000}"/>
    <cellStyle name="Comma 5 2 2 4 2 4 2 2" xfId="14262" xr:uid="{00000000-0005-0000-0000-000029050000}"/>
    <cellStyle name="Comma 5 2 2 4 2 4 2 2 2" xfId="24513" xr:uid="{00000000-0005-0000-0000-00002A050000}"/>
    <cellStyle name="Comma 5 2 2 4 2 4 2 2 2 2" xfId="50066" xr:uid="{00000000-0005-0000-0000-00002B050000}"/>
    <cellStyle name="Comma 5 2 2 4 2 4 2 2 3" xfId="39817" xr:uid="{00000000-0005-0000-0000-00002C050000}"/>
    <cellStyle name="Comma 5 2 2 4 2 4 2 3" xfId="10683" xr:uid="{00000000-0005-0000-0000-00002D050000}"/>
    <cellStyle name="Comma 5 2 2 4 2 4 2 3 2" xfId="36240" xr:uid="{00000000-0005-0000-0000-00002E050000}"/>
    <cellStyle name="Comma 5 2 2 4 2 4 2 4" xfId="19506" xr:uid="{00000000-0005-0000-0000-00002F050000}"/>
    <cellStyle name="Comma 5 2 2 4 2 4 2 4 2" xfId="45059" xr:uid="{00000000-0005-0000-0000-000030050000}"/>
    <cellStyle name="Comma 5 2 2 4 2 4 2 5" xfId="30996" xr:uid="{00000000-0005-0000-0000-000031050000}"/>
    <cellStyle name="Comma 5 2 2 4 2 4 3" xfId="6880" xr:uid="{00000000-0005-0000-0000-000032050000}"/>
    <cellStyle name="Comma 5 2 2 4 2 4 3 2" xfId="15707" xr:uid="{00000000-0005-0000-0000-000033050000}"/>
    <cellStyle name="Comma 5 2 2 4 2 4 3 2 2" xfId="41262" xr:uid="{00000000-0005-0000-0000-000034050000}"/>
    <cellStyle name="Comma 5 2 2 4 2 4 3 3" xfId="25958" xr:uid="{00000000-0005-0000-0000-000035050000}"/>
    <cellStyle name="Comma 5 2 2 4 2 4 3 3 2" xfId="51511" xr:uid="{00000000-0005-0000-0000-000036050000}"/>
    <cellStyle name="Comma 5 2 2 4 2 4 3 4" xfId="32441" xr:uid="{00000000-0005-0000-0000-000037050000}"/>
    <cellStyle name="Comma 5 2 2 4 2 4 4" xfId="8326" xr:uid="{00000000-0005-0000-0000-000038050000}"/>
    <cellStyle name="Comma 5 2 2 4 2 4 4 2" xfId="22408" xr:uid="{00000000-0005-0000-0000-000039050000}"/>
    <cellStyle name="Comma 5 2 2 4 2 4 4 2 2" xfId="47961" xr:uid="{00000000-0005-0000-0000-00003A050000}"/>
    <cellStyle name="Comma 5 2 2 4 2 4 4 3" xfId="33883" xr:uid="{00000000-0005-0000-0000-00003B050000}"/>
    <cellStyle name="Comma 5 2 2 4 2 4 5" xfId="17401" xr:uid="{00000000-0005-0000-0000-00003C050000}"/>
    <cellStyle name="Comma 5 2 2 4 2 4 5 2" xfId="42954" xr:uid="{00000000-0005-0000-0000-00003D050000}"/>
    <cellStyle name="Comma 5 2 2 4 2 4 6" xfId="28891" xr:uid="{00000000-0005-0000-0000-00003E050000}"/>
    <cellStyle name="Comma 5 2 2 4 2 5" xfId="4381" xr:uid="{00000000-0005-0000-0000-00003F050000}"/>
    <cellStyle name="Comma 5 2 2 4 2 5 2" xfId="13219" xr:uid="{00000000-0005-0000-0000-000040050000}"/>
    <cellStyle name="Comma 5 2 2 4 2 5 2 2" xfId="23470" xr:uid="{00000000-0005-0000-0000-000041050000}"/>
    <cellStyle name="Comma 5 2 2 4 2 5 2 2 2" xfId="49023" xr:uid="{00000000-0005-0000-0000-000042050000}"/>
    <cellStyle name="Comma 5 2 2 4 2 5 2 3" xfId="38774" xr:uid="{00000000-0005-0000-0000-000043050000}"/>
    <cellStyle name="Comma 5 2 2 4 2 5 3" xfId="9640" xr:uid="{00000000-0005-0000-0000-000044050000}"/>
    <cellStyle name="Comma 5 2 2 4 2 5 3 2" xfId="35197" xr:uid="{00000000-0005-0000-0000-000045050000}"/>
    <cellStyle name="Comma 5 2 2 4 2 5 4" xfId="18463" xr:uid="{00000000-0005-0000-0000-000046050000}"/>
    <cellStyle name="Comma 5 2 2 4 2 5 4 2" xfId="44016" xr:uid="{00000000-0005-0000-0000-000047050000}"/>
    <cellStyle name="Comma 5 2 2 4 2 5 5" xfId="29953" xr:uid="{00000000-0005-0000-0000-000048050000}"/>
    <cellStyle name="Comma 5 2 2 4 2 6" xfId="1653" xr:uid="{00000000-0005-0000-0000-000049050000}"/>
    <cellStyle name="Comma 5 2 2 4 2 6 2" xfId="11030" xr:uid="{00000000-0005-0000-0000-00004A050000}"/>
    <cellStyle name="Comma 5 2 2 4 2 6 2 2" xfId="36585" xr:uid="{00000000-0005-0000-0000-00004B050000}"/>
    <cellStyle name="Comma 5 2 2 4 2 6 3" xfId="21034" xr:uid="{00000000-0005-0000-0000-00004C050000}"/>
    <cellStyle name="Comma 5 2 2 4 2 6 3 2" xfId="46587" xr:uid="{00000000-0005-0000-0000-00004D050000}"/>
    <cellStyle name="Comma 5 2 2 4 2 6 4" xfId="27517" xr:uid="{00000000-0005-0000-0000-00004E050000}"/>
    <cellStyle name="Comma 5 2 2 4 2 7" xfId="5837" xr:uid="{00000000-0005-0000-0000-00004F050000}"/>
    <cellStyle name="Comma 5 2 2 4 2 7 2" xfId="14664" xr:uid="{00000000-0005-0000-0000-000050050000}"/>
    <cellStyle name="Comma 5 2 2 4 2 7 2 2" xfId="40219" xr:uid="{00000000-0005-0000-0000-000051050000}"/>
    <cellStyle name="Comma 5 2 2 4 2 7 3" xfId="24915" xr:uid="{00000000-0005-0000-0000-000052050000}"/>
    <cellStyle name="Comma 5 2 2 4 2 7 3 2" xfId="50468" xr:uid="{00000000-0005-0000-0000-000053050000}"/>
    <cellStyle name="Comma 5 2 2 4 2 7 4" xfId="31398" xr:uid="{00000000-0005-0000-0000-000054050000}"/>
    <cellStyle name="Comma 5 2 2 4 2 8" xfId="7281" xr:uid="{00000000-0005-0000-0000-000055050000}"/>
    <cellStyle name="Comma 5 2 2 4 2 8 2" xfId="20007" xr:uid="{00000000-0005-0000-0000-000056050000}"/>
    <cellStyle name="Comma 5 2 2 4 2 8 2 2" xfId="45560" xr:uid="{00000000-0005-0000-0000-000057050000}"/>
    <cellStyle name="Comma 5 2 2 4 2 8 3" xfId="32838" xr:uid="{00000000-0005-0000-0000-000058050000}"/>
    <cellStyle name="Comma 5 2 2 4 2 9" xfId="16027" xr:uid="{00000000-0005-0000-0000-000059050000}"/>
    <cellStyle name="Comma 5 2 2 4 2 9 2" xfId="41580" xr:uid="{00000000-0005-0000-0000-00005A050000}"/>
    <cellStyle name="Comma 5 2 2 4 3" xfId="356" xr:uid="{00000000-0005-0000-0000-00005B050000}"/>
    <cellStyle name="Comma 5 2 2 4 3 2" xfId="2842" xr:uid="{00000000-0005-0000-0000-00005C050000}"/>
    <cellStyle name="Comma 5 2 2 4 3 2 2" xfId="12130" xr:uid="{00000000-0005-0000-0000-00005D050000}"/>
    <cellStyle name="Comma 5 2 2 4 3 2 2 2" xfId="22203" xr:uid="{00000000-0005-0000-0000-00005E050000}"/>
    <cellStyle name="Comma 5 2 2 4 3 2 2 2 2" xfId="47756" xr:uid="{00000000-0005-0000-0000-00005F050000}"/>
    <cellStyle name="Comma 5 2 2 4 3 2 2 3" xfId="37685" xr:uid="{00000000-0005-0000-0000-000060050000}"/>
    <cellStyle name="Comma 5 2 2 4 3 2 3" xfId="8440" xr:uid="{00000000-0005-0000-0000-000061050000}"/>
    <cellStyle name="Comma 5 2 2 4 3 2 3 2" xfId="33997" xr:uid="{00000000-0005-0000-0000-000062050000}"/>
    <cellStyle name="Comma 5 2 2 4 3 2 4" xfId="17196" xr:uid="{00000000-0005-0000-0000-000063050000}"/>
    <cellStyle name="Comma 5 2 2 4 3 2 4 2" xfId="42749" xr:uid="{00000000-0005-0000-0000-000064050000}"/>
    <cellStyle name="Comma 5 2 2 4 3 2 5" xfId="28686" xr:uid="{00000000-0005-0000-0000-000065050000}"/>
    <cellStyle name="Comma 5 2 2 4 3 3" xfId="4441" xr:uid="{00000000-0005-0000-0000-000066050000}"/>
    <cellStyle name="Comma 5 2 2 4 3 3 2" xfId="13279" xr:uid="{00000000-0005-0000-0000-000067050000}"/>
    <cellStyle name="Comma 5 2 2 4 3 3 2 2" xfId="23530" xr:uid="{00000000-0005-0000-0000-000068050000}"/>
    <cellStyle name="Comma 5 2 2 4 3 3 2 2 2" xfId="49083" xr:uid="{00000000-0005-0000-0000-000069050000}"/>
    <cellStyle name="Comma 5 2 2 4 3 3 2 3" xfId="38834" xr:uid="{00000000-0005-0000-0000-00006A050000}"/>
    <cellStyle name="Comma 5 2 2 4 3 3 3" xfId="9700" xr:uid="{00000000-0005-0000-0000-00006B050000}"/>
    <cellStyle name="Comma 5 2 2 4 3 3 3 2" xfId="35257" xr:uid="{00000000-0005-0000-0000-00006C050000}"/>
    <cellStyle name="Comma 5 2 2 4 3 3 4" xfId="18523" xr:uid="{00000000-0005-0000-0000-00006D050000}"/>
    <cellStyle name="Comma 5 2 2 4 3 3 4 2" xfId="44076" xr:uid="{00000000-0005-0000-0000-00006E050000}"/>
    <cellStyle name="Comma 5 2 2 4 3 3 5" xfId="30013" xr:uid="{00000000-0005-0000-0000-00006F050000}"/>
    <cellStyle name="Comma 5 2 2 4 3 4" xfId="1951" xr:uid="{00000000-0005-0000-0000-000070050000}"/>
    <cellStyle name="Comma 5 2 2 4 3 4 2" xfId="11316" xr:uid="{00000000-0005-0000-0000-000071050000}"/>
    <cellStyle name="Comma 5 2 2 4 3 4 2 2" xfId="36871" xr:uid="{00000000-0005-0000-0000-000072050000}"/>
    <cellStyle name="Comma 5 2 2 4 3 4 3" xfId="21320" xr:uid="{00000000-0005-0000-0000-000073050000}"/>
    <cellStyle name="Comma 5 2 2 4 3 4 3 2" xfId="46873" xr:uid="{00000000-0005-0000-0000-000074050000}"/>
    <cellStyle name="Comma 5 2 2 4 3 4 4" xfId="27803" xr:uid="{00000000-0005-0000-0000-000075050000}"/>
    <cellStyle name="Comma 5 2 2 4 3 5" xfId="5897" xr:uid="{00000000-0005-0000-0000-000076050000}"/>
    <cellStyle name="Comma 5 2 2 4 3 5 2" xfId="14724" xr:uid="{00000000-0005-0000-0000-000077050000}"/>
    <cellStyle name="Comma 5 2 2 4 3 5 2 2" xfId="40279" xr:uid="{00000000-0005-0000-0000-000078050000}"/>
    <cellStyle name="Comma 5 2 2 4 3 5 3" xfId="24975" xr:uid="{00000000-0005-0000-0000-000079050000}"/>
    <cellStyle name="Comma 5 2 2 4 3 5 3 2" xfId="50528" xr:uid="{00000000-0005-0000-0000-00007A050000}"/>
    <cellStyle name="Comma 5 2 2 4 3 5 4" xfId="31458" xr:uid="{00000000-0005-0000-0000-00007B050000}"/>
    <cellStyle name="Comma 5 2 2 4 3 6" xfId="7341" xr:uid="{00000000-0005-0000-0000-00007C050000}"/>
    <cellStyle name="Comma 5 2 2 4 3 6 2" xfId="19802" xr:uid="{00000000-0005-0000-0000-00007D050000}"/>
    <cellStyle name="Comma 5 2 2 4 3 6 2 2" xfId="45355" xr:uid="{00000000-0005-0000-0000-00007E050000}"/>
    <cellStyle name="Comma 5 2 2 4 3 6 3" xfId="32898" xr:uid="{00000000-0005-0000-0000-00007F050000}"/>
    <cellStyle name="Comma 5 2 2 4 3 7" xfId="16313" xr:uid="{00000000-0005-0000-0000-000080050000}"/>
    <cellStyle name="Comma 5 2 2 4 3 7 2" xfId="41866" xr:uid="{00000000-0005-0000-0000-000081050000}"/>
    <cellStyle name="Comma 5 2 2 4 3 8" xfId="26285" xr:uid="{00000000-0005-0000-0000-000082050000}"/>
    <cellStyle name="Comma 5 2 2 4 4" xfId="626" xr:uid="{00000000-0005-0000-0000-000083050000}"/>
    <cellStyle name="Comma 5 2 2 4 4 2" xfId="3112" xr:uid="{00000000-0005-0000-0000-000084050000}"/>
    <cellStyle name="Comma 5 2 2 4 4 2 2" xfId="12255" xr:uid="{00000000-0005-0000-0000-000085050000}"/>
    <cellStyle name="Comma 5 2 2 4 4 2 2 2" xfId="22473" xr:uid="{00000000-0005-0000-0000-000086050000}"/>
    <cellStyle name="Comma 5 2 2 4 4 2 2 2 2" xfId="48026" xr:uid="{00000000-0005-0000-0000-000087050000}"/>
    <cellStyle name="Comma 5 2 2 4 4 2 2 3" xfId="37810" xr:uid="{00000000-0005-0000-0000-000088050000}"/>
    <cellStyle name="Comma 5 2 2 4 4 2 3" xfId="8677" xr:uid="{00000000-0005-0000-0000-000089050000}"/>
    <cellStyle name="Comma 5 2 2 4 4 2 3 2" xfId="34234" xr:uid="{00000000-0005-0000-0000-00008A050000}"/>
    <cellStyle name="Comma 5 2 2 4 4 2 4" xfId="17466" xr:uid="{00000000-0005-0000-0000-00008B050000}"/>
    <cellStyle name="Comma 5 2 2 4 4 2 4 2" xfId="43019" xr:uid="{00000000-0005-0000-0000-00008C050000}"/>
    <cellStyle name="Comma 5 2 2 4 4 2 5" xfId="28956" xr:uid="{00000000-0005-0000-0000-00008D050000}"/>
    <cellStyle name="Comma 5 2 2 4 4 3" xfId="4790" xr:uid="{00000000-0005-0000-0000-00008E050000}"/>
    <cellStyle name="Comma 5 2 2 4 4 3 2" xfId="13627" xr:uid="{00000000-0005-0000-0000-00008F050000}"/>
    <cellStyle name="Comma 5 2 2 4 4 3 2 2" xfId="23878" xr:uid="{00000000-0005-0000-0000-000090050000}"/>
    <cellStyle name="Comma 5 2 2 4 4 3 2 2 2" xfId="49431" xr:uid="{00000000-0005-0000-0000-000091050000}"/>
    <cellStyle name="Comma 5 2 2 4 4 3 2 3" xfId="39182" xr:uid="{00000000-0005-0000-0000-000092050000}"/>
    <cellStyle name="Comma 5 2 2 4 4 3 3" xfId="10048" xr:uid="{00000000-0005-0000-0000-000093050000}"/>
    <cellStyle name="Comma 5 2 2 4 4 3 3 2" xfId="35605" xr:uid="{00000000-0005-0000-0000-000094050000}"/>
    <cellStyle name="Comma 5 2 2 4 4 3 4" xfId="18871" xr:uid="{00000000-0005-0000-0000-000095050000}"/>
    <cellStyle name="Comma 5 2 2 4 4 3 4 2" xfId="44424" xr:uid="{00000000-0005-0000-0000-000096050000}"/>
    <cellStyle name="Comma 5 2 2 4 4 3 5" xfId="30361" xr:uid="{00000000-0005-0000-0000-000097050000}"/>
    <cellStyle name="Comma 5 2 2 4 4 4" xfId="2221" xr:uid="{00000000-0005-0000-0000-000098050000}"/>
    <cellStyle name="Comma 5 2 2 4 4 4 2" xfId="11586" xr:uid="{00000000-0005-0000-0000-000099050000}"/>
    <cellStyle name="Comma 5 2 2 4 4 4 2 2" xfId="37141" xr:uid="{00000000-0005-0000-0000-00009A050000}"/>
    <cellStyle name="Comma 5 2 2 4 4 4 3" xfId="21590" xr:uid="{00000000-0005-0000-0000-00009B050000}"/>
    <cellStyle name="Comma 5 2 2 4 4 4 3 2" xfId="47143" xr:uid="{00000000-0005-0000-0000-00009C050000}"/>
    <cellStyle name="Comma 5 2 2 4 4 4 4" xfId="28073" xr:uid="{00000000-0005-0000-0000-00009D050000}"/>
    <cellStyle name="Comma 5 2 2 4 4 5" xfId="6245" xr:uid="{00000000-0005-0000-0000-00009E050000}"/>
    <cellStyle name="Comma 5 2 2 4 4 5 2" xfId="15072" xr:uid="{00000000-0005-0000-0000-00009F050000}"/>
    <cellStyle name="Comma 5 2 2 4 4 5 2 2" xfId="40627" xr:uid="{00000000-0005-0000-0000-0000A0050000}"/>
    <cellStyle name="Comma 5 2 2 4 4 5 3" xfId="25323" xr:uid="{00000000-0005-0000-0000-0000A1050000}"/>
    <cellStyle name="Comma 5 2 2 4 4 5 3 2" xfId="50876" xr:uid="{00000000-0005-0000-0000-0000A2050000}"/>
    <cellStyle name="Comma 5 2 2 4 4 5 4" xfId="31806" xr:uid="{00000000-0005-0000-0000-0000A3050000}"/>
    <cellStyle name="Comma 5 2 2 4 4 6" xfId="7691" xr:uid="{00000000-0005-0000-0000-0000A4050000}"/>
    <cellStyle name="Comma 5 2 2 4 4 6 2" xfId="20072" xr:uid="{00000000-0005-0000-0000-0000A5050000}"/>
    <cellStyle name="Comma 5 2 2 4 4 6 2 2" xfId="45625" xr:uid="{00000000-0005-0000-0000-0000A6050000}"/>
    <cellStyle name="Comma 5 2 2 4 4 6 3" xfId="33248" xr:uid="{00000000-0005-0000-0000-0000A7050000}"/>
    <cellStyle name="Comma 5 2 2 4 4 7" xfId="16583" xr:uid="{00000000-0005-0000-0000-0000A8050000}"/>
    <cellStyle name="Comma 5 2 2 4 4 7 2" xfId="42136" xr:uid="{00000000-0005-0000-0000-0000A9050000}"/>
    <cellStyle name="Comma 5 2 2 4 4 8" xfId="26555" xr:uid="{00000000-0005-0000-0000-0000AA050000}"/>
    <cellStyle name="Comma 5 2 2 4 5" xfId="1128" xr:uid="{00000000-0005-0000-0000-0000AB050000}"/>
    <cellStyle name="Comma 5 2 2 4 5 2" xfId="3557" xr:uid="{00000000-0005-0000-0000-0000AC050000}"/>
    <cellStyle name="Comma 5 2 2 4 5 2 2" xfId="12693" xr:uid="{00000000-0005-0000-0000-0000AD050000}"/>
    <cellStyle name="Comma 5 2 2 4 5 2 2 2" xfId="22912" xr:uid="{00000000-0005-0000-0000-0000AE050000}"/>
    <cellStyle name="Comma 5 2 2 4 5 2 2 2 2" xfId="48465" xr:uid="{00000000-0005-0000-0000-0000AF050000}"/>
    <cellStyle name="Comma 5 2 2 4 5 2 2 3" xfId="38248" xr:uid="{00000000-0005-0000-0000-0000B0050000}"/>
    <cellStyle name="Comma 5 2 2 4 5 2 3" xfId="9114" xr:uid="{00000000-0005-0000-0000-0000B1050000}"/>
    <cellStyle name="Comma 5 2 2 4 5 2 3 2" xfId="34671" xr:uid="{00000000-0005-0000-0000-0000B2050000}"/>
    <cellStyle name="Comma 5 2 2 4 5 2 4" xfId="17905" xr:uid="{00000000-0005-0000-0000-0000B3050000}"/>
    <cellStyle name="Comma 5 2 2 4 5 2 4 2" xfId="43458" xr:uid="{00000000-0005-0000-0000-0000B4050000}"/>
    <cellStyle name="Comma 5 2 2 4 5 2 5" xfId="29395" xr:uid="{00000000-0005-0000-0000-0000B5050000}"/>
    <cellStyle name="Comma 5 2 2 4 5 3" xfId="5220" xr:uid="{00000000-0005-0000-0000-0000B6050000}"/>
    <cellStyle name="Comma 5 2 2 4 5 3 2" xfId="14057" xr:uid="{00000000-0005-0000-0000-0000B7050000}"/>
    <cellStyle name="Comma 5 2 2 4 5 3 2 2" xfId="24308" xr:uid="{00000000-0005-0000-0000-0000B8050000}"/>
    <cellStyle name="Comma 5 2 2 4 5 3 2 2 2" xfId="49861" xr:uid="{00000000-0005-0000-0000-0000B9050000}"/>
    <cellStyle name="Comma 5 2 2 4 5 3 2 3" xfId="39612" xr:uid="{00000000-0005-0000-0000-0000BA050000}"/>
    <cellStyle name="Comma 5 2 2 4 5 3 3" xfId="10478" xr:uid="{00000000-0005-0000-0000-0000BB050000}"/>
    <cellStyle name="Comma 5 2 2 4 5 3 3 2" xfId="36035" xr:uid="{00000000-0005-0000-0000-0000BC050000}"/>
    <cellStyle name="Comma 5 2 2 4 5 3 4" xfId="19301" xr:uid="{00000000-0005-0000-0000-0000BD050000}"/>
    <cellStyle name="Comma 5 2 2 4 5 3 4 2" xfId="44854" xr:uid="{00000000-0005-0000-0000-0000BE050000}"/>
    <cellStyle name="Comma 5 2 2 4 5 3 5" xfId="30791" xr:uid="{00000000-0005-0000-0000-0000BF050000}"/>
    <cellStyle name="Comma 5 2 2 4 5 4" xfId="1836" xr:uid="{00000000-0005-0000-0000-0000C0050000}"/>
    <cellStyle name="Comma 5 2 2 4 5 4 2" xfId="11204" xr:uid="{00000000-0005-0000-0000-0000C1050000}"/>
    <cellStyle name="Comma 5 2 2 4 5 4 2 2" xfId="36759" xr:uid="{00000000-0005-0000-0000-0000C2050000}"/>
    <cellStyle name="Comma 5 2 2 4 5 4 3" xfId="21208" xr:uid="{00000000-0005-0000-0000-0000C3050000}"/>
    <cellStyle name="Comma 5 2 2 4 5 4 3 2" xfId="46761" xr:uid="{00000000-0005-0000-0000-0000C4050000}"/>
    <cellStyle name="Comma 5 2 2 4 5 4 4" xfId="27691" xr:uid="{00000000-0005-0000-0000-0000C5050000}"/>
    <cellStyle name="Comma 5 2 2 4 5 5" xfId="6675" xr:uid="{00000000-0005-0000-0000-0000C6050000}"/>
    <cellStyle name="Comma 5 2 2 4 5 5 2" xfId="15502" xr:uid="{00000000-0005-0000-0000-0000C7050000}"/>
    <cellStyle name="Comma 5 2 2 4 5 5 2 2" xfId="41057" xr:uid="{00000000-0005-0000-0000-0000C8050000}"/>
    <cellStyle name="Comma 5 2 2 4 5 5 3" xfId="25753" xr:uid="{00000000-0005-0000-0000-0000C9050000}"/>
    <cellStyle name="Comma 5 2 2 4 5 5 3 2" xfId="51306" xr:uid="{00000000-0005-0000-0000-0000CA050000}"/>
    <cellStyle name="Comma 5 2 2 4 5 5 4" xfId="32236" xr:uid="{00000000-0005-0000-0000-0000CB050000}"/>
    <cellStyle name="Comma 5 2 2 4 5 6" xfId="8121" xr:uid="{00000000-0005-0000-0000-0000CC050000}"/>
    <cellStyle name="Comma 5 2 2 4 5 6 2" xfId="20511" xr:uid="{00000000-0005-0000-0000-0000CD050000}"/>
    <cellStyle name="Comma 5 2 2 4 5 6 2 2" xfId="46064" xr:uid="{00000000-0005-0000-0000-0000CE050000}"/>
    <cellStyle name="Comma 5 2 2 4 5 6 3" xfId="33678" xr:uid="{00000000-0005-0000-0000-0000CF050000}"/>
    <cellStyle name="Comma 5 2 2 4 5 7" xfId="16201" xr:uid="{00000000-0005-0000-0000-0000D0050000}"/>
    <cellStyle name="Comma 5 2 2 4 5 7 2" xfId="41754" xr:uid="{00000000-0005-0000-0000-0000D1050000}"/>
    <cellStyle name="Comma 5 2 2 4 5 8" xfId="26994" xr:uid="{00000000-0005-0000-0000-0000D2050000}"/>
    <cellStyle name="Comma 5 2 2 4 6" xfId="2730" xr:uid="{00000000-0005-0000-0000-0000D3050000}"/>
    <cellStyle name="Comma 5 2 2 4 6 2" xfId="12047" xr:uid="{00000000-0005-0000-0000-0000D4050000}"/>
    <cellStyle name="Comma 5 2 2 4 6 2 2" xfId="22091" xr:uid="{00000000-0005-0000-0000-0000D5050000}"/>
    <cellStyle name="Comma 5 2 2 4 6 2 2 2" xfId="47644" xr:uid="{00000000-0005-0000-0000-0000D6050000}"/>
    <cellStyle name="Comma 5 2 2 4 6 2 3" xfId="37602" xr:uid="{00000000-0005-0000-0000-0000D7050000}"/>
    <cellStyle name="Comma 5 2 2 4 6 3" xfId="8547" xr:uid="{00000000-0005-0000-0000-0000D8050000}"/>
    <cellStyle name="Comma 5 2 2 4 6 3 2" xfId="34104" xr:uid="{00000000-0005-0000-0000-0000D9050000}"/>
    <cellStyle name="Comma 5 2 2 4 6 4" xfId="17084" xr:uid="{00000000-0005-0000-0000-0000DA050000}"/>
    <cellStyle name="Comma 5 2 2 4 6 4 2" xfId="42637" xr:uid="{00000000-0005-0000-0000-0000DB050000}"/>
    <cellStyle name="Comma 5 2 2 4 6 5" xfId="28574" xr:uid="{00000000-0005-0000-0000-0000DC050000}"/>
    <cellStyle name="Comma 5 2 2 4 7" xfId="4176" xr:uid="{00000000-0005-0000-0000-0000DD050000}"/>
    <cellStyle name="Comma 5 2 2 4 7 2" xfId="13014" xr:uid="{00000000-0005-0000-0000-0000DE050000}"/>
    <cellStyle name="Comma 5 2 2 4 7 2 2" xfId="23265" xr:uid="{00000000-0005-0000-0000-0000DF050000}"/>
    <cellStyle name="Comma 5 2 2 4 7 2 2 2" xfId="48818" xr:uid="{00000000-0005-0000-0000-0000E0050000}"/>
    <cellStyle name="Comma 5 2 2 4 7 2 3" xfId="38569" xr:uid="{00000000-0005-0000-0000-0000E1050000}"/>
    <cellStyle name="Comma 5 2 2 4 7 3" xfId="9435" xr:uid="{00000000-0005-0000-0000-0000E2050000}"/>
    <cellStyle name="Comma 5 2 2 4 7 3 2" xfId="34992" xr:uid="{00000000-0005-0000-0000-0000E3050000}"/>
    <cellStyle name="Comma 5 2 2 4 7 4" xfId="18258" xr:uid="{00000000-0005-0000-0000-0000E4050000}"/>
    <cellStyle name="Comma 5 2 2 4 7 4 2" xfId="43811" xr:uid="{00000000-0005-0000-0000-0000E5050000}"/>
    <cellStyle name="Comma 5 2 2 4 7 5" xfId="29748" xr:uid="{00000000-0005-0000-0000-0000E6050000}"/>
    <cellStyle name="Comma 5 2 2 4 8" xfId="1448" xr:uid="{00000000-0005-0000-0000-0000E7050000}"/>
    <cellStyle name="Comma 5 2 2 4 8 2" xfId="10825" xr:uid="{00000000-0005-0000-0000-0000E8050000}"/>
    <cellStyle name="Comma 5 2 2 4 8 2 2" xfId="36380" xr:uid="{00000000-0005-0000-0000-0000E9050000}"/>
    <cellStyle name="Comma 5 2 2 4 8 3" xfId="20829" xr:uid="{00000000-0005-0000-0000-0000EA050000}"/>
    <cellStyle name="Comma 5 2 2 4 8 3 2" xfId="46382" xr:uid="{00000000-0005-0000-0000-0000EB050000}"/>
    <cellStyle name="Comma 5 2 2 4 8 4" xfId="27312" xr:uid="{00000000-0005-0000-0000-0000EC050000}"/>
    <cellStyle name="Comma 5 2 2 4 9" xfId="5632" xr:uid="{00000000-0005-0000-0000-0000ED050000}"/>
    <cellStyle name="Comma 5 2 2 4 9 2" xfId="14459" xr:uid="{00000000-0005-0000-0000-0000EE050000}"/>
    <cellStyle name="Comma 5 2 2 4 9 2 2" xfId="40014" xr:uid="{00000000-0005-0000-0000-0000EF050000}"/>
    <cellStyle name="Comma 5 2 2 4 9 3" xfId="24710" xr:uid="{00000000-0005-0000-0000-0000F0050000}"/>
    <cellStyle name="Comma 5 2 2 4 9 3 2" xfId="50263" xr:uid="{00000000-0005-0000-0000-0000F1050000}"/>
    <cellStyle name="Comma 5 2 2 4 9 4" xfId="31193" xr:uid="{00000000-0005-0000-0000-0000F2050000}"/>
    <cellStyle name="Comma 5 2 2 5" xfId="456" xr:uid="{00000000-0005-0000-0000-0000F3050000}"/>
    <cellStyle name="Comma 5 2 2 5 10" xfId="26385" xr:uid="{00000000-0005-0000-0000-0000F4050000}"/>
    <cellStyle name="Comma 5 2 2 5 2" xfId="628" xr:uid="{00000000-0005-0000-0000-0000F5050000}"/>
    <cellStyle name="Comma 5 2 2 5 2 2" xfId="3114" xr:uid="{00000000-0005-0000-0000-0000F6050000}"/>
    <cellStyle name="Comma 5 2 2 5 2 2 2" xfId="12257" xr:uid="{00000000-0005-0000-0000-0000F7050000}"/>
    <cellStyle name="Comma 5 2 2 5 2 2 2 2" xfId="22475" xr:uid="{00000000-0005-0000-0000-0000F8050000}"/>
    <cellStyle name="Comma 5 2 2 5 2 2 2 2 2" xfId="48028" xr:uid="{00000000-0005-0000-0000-0000F9050000}"/>
    <cellStyle name="Comma 5 2 2 5 2 2 2 3" xfId="37812" xr:uid="{00000000-0005-0000-0000-0000FA050000}"/>
    <cellStyle name="Comma 5 2 2 5 2 2 3" xfId="8679" xr:uid="{00000000-0005-0000-0000-0000FB050000}"/>
    <cellStyle name="Comma 5 2 2 5 2 2 3 2" xfId="34236" xr:uid="{00000000-0005-0000-0000-0000FC050000}"/>
    <cellStyle name="Comma 5 2 2 5 2 2 4" xfId="17468" xr:uid="{00000000-0005-0000-0000-0000FD050000}"/>
    <cellStyle name="Comma 5 2 2 5 2 2 4 2" xfId="43021" xr:uid="{00000000-0005-0000-0000-0000FE050000}"/>
    <cellStyle name="Comma 5 2 2 5 2 2 5" xfId="28958" xr:uid="{00000000-0005-0000-0000-0000FF050000}"/>
    <cellStyle name="Comma 5 2 2 5 2 3" xfId="4443" xr:uid="{00000000-0005-0000-0000-000000060000}"/>
    <cellStyle name="Comma 5 2 2 5 2 3 2" xfId="13281" xr:uid="{00000000-0005-0000-0000-000001060000}"/>
    <cellStyle name="Comma 5 2 2 5 2 3 2 2" xfId="23532" xr:uid="{00000000-0005-0000-0000-000002060000}"/>
    <cellStyle name="Comma 5 2 2 5 2 3 2 2 2" xfId="49085" xr:uid="{00000000-0005-0000-0000-000003060000}"/>
    <cellStyle name="Comma 5 2 2 5 2 3 2 3" xfId="38836" xr:uid="{00000000-0005-0000-0000-000004060000}"/>
    <cellStyle name="Comma 5 2 2 5 2 3 3" xfId="9702" xr:uid="{00000000-0005-0000-0000-000005060000}"/>
    <cellStyle name="Comma 5 2 2 5 2 3 3 2" xfId="35259" xr:uid="{00000000-0005-0000-0000-000006060000}"/>
    <cellStyle name="Comma 5 2 2 5 2 3 4" xfId="18525" xr:uid="{00000000-0005-0000-0000-000007060000}"/>
    <cellStyle name="Comma 5 2 2 5 2 3 4 2" xfId="44078" xr:uid="{00000000-0005-0000-0000-000008060000}"/>
    <cellStyle name="Comma 5 2 2 5 2 3 5" xfId="30015" xr:uid="{00000000-0005-0000-0000-000009060000}"/>
    <cellStyle name="Comma 5 2 2 5 2 4" xfId="2223" xr:uid="{00000000-0005-0000-0000-00000A060000}"/>
    <cellStyle name="Comma 5 2 2 5 2 4 2" xfId="11588" xr:uid="{00000000-0005-0000-0000-00000B060000}"/>
    <cellStyle name="Comma 5 2 2 5 2 4 2 2" xfId="37143" xr:uid="{00000000-0005-0000-0000-00000C060000}"/>
    <cellStyle name="Comma 5 2 2 5 2 4 3" xfId="21592" xr:uid="{00000000-0005-0000-0000-00000D060000}"/>
    <cellStyle name="Comma 5 2 2 5 2 4 3 2" xfId="47145" xr:uid="{00000000-0005-0000-0000-00000E060000}"/>
    <cellStyle name="Comma 5 2 2 5 2 4 4" xfId="28075" xr:uid="{00000000-0005-0000-0000-00000F060000}"/>
    <cellStyle name="Comma 5 2 2 5 2 5" xfId="5899" xr:uid="{00000000-0005-0000-0000-000010060000}"/>
    <cellStyle name="Comma 5 2 2 5 2 5 2" xfId="14726" xr:uid="{00000000-0005-0000-0000-000011060000}"/>
    <cellStyle name="Comma 5 2 2 5 2 5 2 2" xfId="40281" xr:uid="{00000000-0005-0000-0000-000012060000}"/>
    <cellStyle name="Comma 5 2 2 5 2 5 3" xfId="24977" xr:uid="{00000000-0005-0000-0000-000013060000}"/>
    <cellStyle name="Comma 5 2 2 5 2 5 3 2" xfId="50530" xr:uid="{00000000-0005-0000-0000-000014060000}"/>
    <cellStyle name="Comma 5 2 2 5 2 5 4" xfId="31460" xr:uid="{00000000-0005-0000-0000-000015060000}"/>
    <cellStyle name="Comma 5 2 2 5 2 6" xfId="7343" xr:uid="{00000000-0005-0000-0000-000016060000}"/>
    <cellStyle name="Comma 5 2 2 5 2 6 2" xfId="20074" xr:uid="{00000000-0005-0000-0000-000017060000}"/>
    <cellStyle name="Comma 5 2 2 5 2 6 2 2" xfId="45627" xr:uid="{00000000-0005-0000-0000-000018060000}"/>
    <cellStyle name="Comma 5 2 2 5 2 6 3" xfId="32900" xr:uid="{00000000-0005-0000-0000-000019060000}"/>
    <cellStyle name="Comma 5 2 2 5 2 7" xfId="16585" xr:uid="{00000000-0005-0000-0000-00001A060000}"/>
    <cellStyle name="Comma 5 2 2 5 2 7 2" xfId="42138" xr:uid="{00000000-0005-0000-0000-00001B060000}"/>
    <cellStyle name="Comma 5 2 2 5 2 8" xfId="26557" xr:uid="{00000000-0005-0000-0000-00001C060000}"/>
    <cellStyle name="Comma 5 2 2 5 3" xfId="1228" xr:uid="{00000000-0005-0000-0000-00001D060000}"/>
    <cellStyle name="Comma 5 2 2 5 3 2" xfId="3657" xr:uid="{00000000-0005-0000-0000-00001E060000}"/>
    <cellStyle name="Comma 5 2 2 5 3 2 2" xfId="12793" xr:uid="{00000000-0005-0000-0000-00001F060000}"/>
    <cellStyle name="Comma 5 2 2 5 3 2 2 2" xfId="23012" xr:uid="{00000000-0005-0000-0000-000020060000}"/>
    <cellStyle name="Comma 5 2 2 5 3 2 2 2 2" xfId="48565" xr:uid="{00000000-0005-0000-0000-000021060000}"/>
    <cellStyle name="Comma 5 2 2 5 3 2 2 3" xfId="38348" xr:uid="{00000000-0005-0000-0000-000022060000}"/>
    <cellStyle name="Comma 5 2 2 5 3 2 3" xfId="9214" xr:uid="{00000000-0005-0000-0000-000023060000}"/>
    <cellStyle name="Comma 5 2 2 5 3 2 3 2" xfId="34771" xr:uid="{00000000-0005-0000-0000-000024060000}"/>
    <cellStyle name="Comma 5 2 2 5 3 2 4" xfId="18005" xr:uid="{00000000-0005-0000-0000-000025060000}"/>
    <cellStyle name="Comma 5 2 2 5 3 2 4 2" xfId="43558" xr:uid="{00000000-0005-0000-0000-000026060000}"/>
    <cellStyle name="Comma 5 2 2 5 3 2 5" xfId="29495" xr:uid="{00000000-0005-0000-0000-000027060000}"/>
    <cellStyle name="Comma 5 2 2 5 3 3" xfId="4792" xr:uid="{00000000-0005-0000-0000-000028060000}"/>
    <cellStyle name="Comma 5 2 2 5 3 3 2" xfId="13629" xr:uid="{00000000-0005-0000-0000-000029060000}"/>
    <cellStyle name="Comma 5 2 2 5 3 3 2 2" xfId="23880" xr:uid="{00000000-0005-0000-0000-00002A060000}"/>
    <cellStyle name="Comma 5 2 2 5 3 3 2 2 2" xfId="49433" xr:uid="{00000000-0005-0000-0000-00002B060000}"/>
    <cellStyle name="Comma 5 2 2 5 3 3 2 3" xfId="39184" xr:uid="{00000000-0005-0000-0000-00002C060000}"/>
    <cellStyle name="Comma 5 2 2 5 3 3 3" xfId="10050" xr:uid="{00000000-0005-0000-0000-00002D060000}"/>
    <cellStyle name="Comma 5 2 2 5 3 3 3 2" xfId="35607" xr:uid="{00000000-0005-0000-0000-00002E060000}"/>
    <cellStyle name="Comma 5 2 2 5 3 3 4" xfId="18873" xr:uid="{00000000-0005-0000-0000-00002F060000}"/>
    <cellStyle name="Comma 5 2 2 5 3 3 4 2" xfId="44426" xr:uid="{00000000-0005-0000-0000-000030060000}"/>
    <cellStyle name="Comma 5 2 2 5 3 3 5" xfId="30363" xr:uid="{00000000-0005-0000-0000-000031060000}"/>
    <cellStyle name="Comma 5 2 2 5 3 4" xfId="2051" xr:uid="{00000000-0005-0000-0000-000032060000}"/>
    <cellStyle name="Comma 5 2 2 5 3 4 2" xfId="11416" xr:uid="{00000000-0005-0000-0000-000033060000}"/>
    <cellStyle name="Comma 5 2 2 5 3 4 2 2" xfId="36971" xr:uid="{00000000-0005-0000-0000-000034060000}"/>
    <cellStyle name="Comma 5 2 2 5 3 4 3" xfId="21420" xr:uid="{00000000-0005-0000-0000-000035060000}"/>
    <cellStyle name="Comma 5 2 2 5 3 4 3 2" xfId="46973" xr:uid="{00000000-0005-0000-0000-000036060000}"/>
    <cellStyle name="Comma 5 2 2 5 3 4 4" xfId="27903" xr:uid="{00000000-0005-0000-0000-000037060000}"/>
    <cellStyle name="Comma 5 2 2 5 3 5" xfId="6247" xr:uid="{00000000-0005-0000-0000-000038060000}"/>
    <cellStyle name="Comma 5 2 2 5 3 5 2" xfId="15074" xr:uid="{00000000-0005-0000-0000-000039060000}"/>
    <cellStyle name="Comma 5 2 2 5 3 5 2 2" xfId="40629" xr:uid="{00000000-0005-0000-0000-00003A060000}"/>
    <cellStyle name="Comma 5 2 2 5 3 5 3" xfId="25325" xr:uid="{00000000-0005-0000-0000-00003B060000}"/>
    <cellStyle name="Comma 5 2 2 5 3 5 3 2" xfId="50878" xr:uid="{00000000-0005-0000-0000-00003C060000}"/>
    <cellStyle name="Comma 5 2 2 5 3 5 4" xfId="31808" xr:uid="{00000000-0005-0000-0000-00003D060000}"/>
    <cellStyle name="Comma 5 2 2 5 3 6" xfId="7693" xr:uid="{00000000-0005-0000-0000-00003E060000}"/>
    <cellStyle name="Comma 5 2 2 5 3 6 2" xfId="20611" xr:uid="{00000000-0005-0000-0000-00003F060000}"/>
    <cellStyle name="Comma 5 2 2 5 3 6 2 2" xfId="46164" xr:uid="{00000000-0005-0000-0000-000040060000}"/>
    <cellStyle name="Comma 5 2 2 5 3 6 3" xfId="33250" xr:uid="{00000000-0005-0000-0000-000041060000}"/>
    <cellStyle name="Comma 5 2 2 5 3 7" xfId="16413" xr:uid="{00000000-0005-0000-0000-000042060000}"/>
    <cellStyle name="Comma 5 2 2 5 3 7 2" xfId="41966" xr:uid="{00000000-0005-0000-0000-000043060000}"/>
    <cellStyle name="Comma 5 2 2 5 3 8" xfId="27094" xr:uid="{00000000-0005-0000-0000-000044060000}"/>
    <cellStyle name="Comma 5 2 2 5 4" xfId="2942" xr:uid="{00000000-0005-0000-0000-000045060000}"/>
    <cellStyle name="Comma 5 2 2 5 4 2" xfId="5320" xr:uid="{00000000-0005-0000-0000-000046060000}"/>
    <cellStyle name="Comma 5 2 2 5 4 2 2" xfId="14157" xr:uid="{00000000-0005-0000-0000-000047060000}"/>
    <cellStyle name="Comma 5 2 2 5 4 2 2 2" xfId="24408" xr:uid="{00000000-0005-0000-0000-000048060000}"/>
    <cellStyle name="Comma 5 2 2 5 4 2 2 2 2" xfId="49961" xr:uid="{00000000-0005-0000-0000-000049060000}"/>
    <cellStyle name="Comma 5 2 2 5 4 2 2 3" xfId="39712" xr:uid="{00000000-0005-0000-0000-00004A060000}"/>
    <cellStyle name="Comma 5 2 2 5 4 2 3" xfId="10578" xr:uid="{00000000-0005-0000-0000-00004B060000}"/>
    <cellStyle name="Comma 5 2 2 5 4 2 3 2" xfId="36135" xr:uid="{00000000-0005-0000-0000-00004C060000}"/>
    <cellStyle name="Comma 5 2 2 5 4 2 4" xfId="19401" xr:uid="{00000000-0005-0000-0000-00004D060000}"/>
    <cellStyle name="Comma 5 2 2 5 4 2 4 2" xfId="44954" xr:uid="{00000000-0005-0000-0000-00004E060000}"/>
    <cellStyle name="Comma 5 2 2 5 4 2 5" xfId="30891" xr:uid="{00000000-0005-0000-0000-00004F060000}"/>
    <cellStyle name="Comma 5 2 2 5 4 3" xfId="6775" xr:uid="{00000000-0005-0000-0000-000050060000}"/>
    <cellStyle name="Comma 5 2 2 5 4 3 2" xfId="15602" xr:uid="{00000000-0005-0000-0000-000051060000}"/>
    <cellStyle name="Comma 5 2 2 5 4 3 2 2" xfId="41157" xr:uid="{00000000-0005-0000-0000-000052060000}"/>
    <cellStyle name="Comma 5 2 2 5 4 3 3" xfId="25853" xr:uid="{00000000-0005-0000-0000-000053060000}"/>
    <cellStyle name="Comma 5 2 2 5 4 3 3 2" xfId="51406" xr:uid="{00000000-0005-0000-0000-000054060000}"/>
    <cellStyle name="Comma 5 2 2 5 4 3 4" xfId="32336" xr:uid="{00000000-0005-0000-0000-000055060000}"/>
    <cellStyle name="Comma 5 2 2 5 4 4" xfId="8221" xr:uid="{00000000-0005-0000-0000-000056060000}"/>
    <cellStyle name="Comma 5 2 2 5 4 4 2" xfId="22303" xr:uid="{00000000-0005-0000-0000-000057060000}"/>
    <cellStyle name="Comma 5 2 2 5 4 4 2 2" xfId="47856" xr:uid="{00000000-0005-0000-0000-000058060000}"/>
    <cellStyle name="Comma 5 2 2 5 4 4 3" xfId="33778" xr:uid="{00000000-0005-0000-0000-000059060000}"/>
    <cellStyle name="Comma 5 2 2 5 4 5" xfId="17296" xr:uid="{00000000-0005-0000-0000-00005A060000}"/>
    <cellStyle name="Comma 5 2 2 5 4 5 2" xfId="42849" xr:uid="{00000000-0005-0000-0000-00005B060000}"/>
    <cellStyle name="Comma 5 2 2 5 4 6" xfId="28786" xr:uid="{00000000-0005-0000-0000-00005C060000}"/>
    <cellStyle name="Comma 5 2 2 5 5" xfId="4276" xr:uid="{00000000-0005-0000-0000-00005D060000}"/>
    <cellStyle name="Comma 5 2 2 5 5 2" xfId="13114" xr:uid="{00000000-0005-0000-0000-00005E060000}"/>
    <cellStyle name="Comma 5 2 2 5 5 2 2" xfId="23365" xr:uid="{00000000-0005-0000-0000-00005F060000}"/>
    <cellStyle name="Comma 5 2 2 5 5 2 2 2" xfId="48918" xr:uid="{00000000-0005-0000-0000-000060060000}"/>
    <cellStyle name="Comma 5 2 2 5 5 2 3" xfId="38669" xr:uid="{00000000-0005-0000-0000-000061060000}"/>
    <cellStyle name="Comma 5 2 2 5 5 3" xfId="9535" xr:uid="{00000000-0005-0000-0000-000062060000}"/>
    <cellStyle name="Comma 5 2 2 5 5 3 2" xfId="35092" xr:uid="{00000000-0005-0000-0000-000063060000}"/>
    <cellStyle name="Comma 5 2 2 5 5 4" xfId="18358" xr:uid="{00000000-0005-0000-0000-000064060000}"/>
    <cellStyle name="Comma 5 2 2 5 5 4 2" xfId="43911" xr:uid="{00000000-0005-0000-0000-000065060000}"/>
    <cellStyle name="Comma 5 2 2 5 5 5" xfId="29848" xr:uid="{00000000-0005-0000-0000-000066060000}"/>
    <cellStyle name="Comma 5 2 2 5 6" xfId="1548" xr:uid="{00000000-0005-0000-0000-000067060000}"/>
    <cellStyle name="Comma 5 2 2 5 6 2" xfId="10925" xr:uid="{00000000-0005-0000-0000-000068060000}"/>
    <cellStyle name="Comma 5 2 2 5 6 2 2" xfId="36480" xr:uid="{00000000-0005-0000-0000-000069060000}"/>
    <cellStyle name="Comma 5 2 2 5 6 3" xfId="20929" xr:uid="{00000000-0005-0000-0000-00006A060000}"/>
    <cellStyle name="Comma 5 2 2 5 6 3 2" xfId="46482" xr:uid="{00000000-0005-0000-0000-00006B060000}"/>
    <cellStyle name="Comma 5 2 2 5 6 4" xfId="27412" xr:uid="{00000000-0005-0000-0000-00006C060000}"/>
    <cellStyle name="Comma 5 2 2 5 7" xfId="5732" xr:uid="{00000000-0005-0000-0000-00006D060000}"/>
    <cellStyle name="Comma 5 2 2 5 7 2" xfId="14559" xr:uid="{00000000-0005-0000-0000-00006E060000}"/>
    <cellStyle name="Comma 5 2 2 5 7 2 2" xfId="40114" xr:uid="{00000000-0005-0000-0000-00006F060000}"/>
    <cellStyle name="Comma 5 2 2 5 7 3" xfId="24810" xr:uid="{00000000-0005-0000-0000-000070060000}"/>
    <cellStyle name="Comma 5 2 2 5 7 3 2" xfId="50363" xr:uid="{00000000-0005-0000-0000-000071060000}"/>
    <cellStyle name="Comma 5 2 2 5 7 4" xfId="31293" xr:uid="{00000000-0005-0000-0000-000072060000}"/>
    <cellStyle name="Comma 5 2 2 5 8" xfId="7176" xr:uid="{00000000-0005-0000-0000-000073060000}"/>
    <cellStyle name="Comma 5 2 2 5 8 2" xfId="19902" xr:uid="{00000000-0005-0000-0000-000074060000}"/>
    <cellStyle name="Comma 5 2 2 5 8 2 2" xfId="45455" xr:uid="{00000000-0005-0000-0000-000075060000}"/>
    <cellStyle name="Comma 5 2 2 5 8 3" xfId="32733" xr:uid="{00000000-0005-0000-0000-000076060000}"/>
    <cellStyle name="Comma 5 2 2 5 9" xfId="15922" xr:uid="{00000000-0005-0000-0000-000077060000}"/>
    <cellStyle name="Comma 5 2 2 5 9 2" xfId="41475" xr:uid="{00000000-0005-0000-0000-000078060000}"/>
    <cellStyle name="Comma 5 2 2 6" xfId="329" xr:uid="{00000000-0005-0000-0000-000079060000}"/>
    <cellStyle name="Comma 5 2 2 6 10" xfId="26258" xr:uid="{00000000-0005-0000-0000-00007A060000}"/>
    <cellStyle name="Comma 5 2 2 6 2" xfId="629" xr:uid="{00000000-0005-0000-0000-00007B060000}"/>
    <cellStyle name="Comma 5 2 2 6 2 2" xfId="3115" xr:uid="{00000000-0005-0000-0000-00007C060000}"/>
    <cellStyle name="Comma 5 2 2 6 2 2 2" xfId="12258" xr:uid="{00000000-0005-0000-0000-00007D060000}"/>
    <cellStyle name="Comma 5 2 2 6 2 2 2 2" xfId="22476" xr:uid="{00000000-0005-0000-0000-00007E060000}"/>
    <cellStyle name="Comma 5 2 2 6 2 2 2 2 2" xfId="48029" xr:uid="{00000000-0005-0000-0000-00007F060000}"/>
    <cellStyle name="Comma 5 2 2 6 2 2 2 3" xfId="37813" xr:uid="{00000000-0005-0000-0000-000080060000}"/>
    <cellStyle name="Comma 5 2 2 6 2 2 3" xfId="8680" xr:uid="{00000000-0005-0000-0000-000081060000}"/>
    <cellStyle name="Comma 5 2 2 6 2 2 3 2" xfId="34237" xr:uid="{00000000-0005-0000-0000-000082060000}"/>
    <cellStyle name="Comma 5 2 2 6 2 2 4" xfId="17469" xr:uid="{00000000-0005-0000-0000-000083060000}"/>
    <cellStyle name="Comma 5 2 2 6 2 2 4 2" xfId="43022" xr:uid="{00000000-0005-0000-0000-000084060000}"/>
    <cellStyle name="Comma 5 2 2 6 2 2 5" xfId="28959" xr:uid="{00000000-0005-0000-0000-000085060000}"/>
    <cellStyle name="Comma 5 2 2 6 2 3" xfId="4444" xr:uid="{00000000-0005-0000-0000-000086060000}"/>
    <cellStyle name="Comma 5 2 2 6 2 3 2" xfId="13282" xr:uid="{00000000-0005-0000-0000-000087060000}"/>
    <cellStyle name="Comma 5 2 2 6 2 3 2 2" xfId="23533" xr:uid="{00000000-0005-0000-0000-000088060000}"/>
    <cellStyle name="Comma 5 2 2 6 2 3 2 2 2" xfId="49086" xr:uid="{00000000-0005-0000-0000-000089060000}"/>
    <cellStyle name="Comma 5 2 2 6 2 3 2 3" xfId="38837" xr:uid="{00000000-0005-0000-0000-00008A060000}"/>
    <cellStyle name="Comma 5 2 2 6 2 3 3" xfId="9703" xr:uid="{00000000-0005-0000-0000-00008B060000}"/>
    <cellStyle name="Comma 5 2 2 6 2 3 3 2" xfId="35260" xr:uid="{00000000-0005-0000-0000-00008C060000}"/>
    <cellStyle name="Comma 5 2 2 6 2 3 4" xfId="18526" xr:uid="{00000000-0005-0000-0000-00008D060000}"/>
    <cellStyle name="Comma 5 2 2 6 2 3 4 2" xfId="44079" xr:uid="{00000000-0005-0000-0000-00008E060000}"/>
    <cellStyle name="Comma 5 2 2 6 2 3 5" xfId="30016" xr:uid="{00000000-0005-0000-0000-00008F060000}"/>
    <cellStyle name="Comma 5 2 2 6 2 4" xfId="2224" xr:uid="{00000000-0005-0000-0000-000090060000}"/>
    <cellStyle name="Comma 5 2 2 6 2 4 2" xfId="11589" xr:uid="{00000000-0005-0000-0000-000091060000}"/>
    <cellStyle name="Comma 5 2 2 6 2 4 2 2" xfId="37144" xr:uid="{00000000-0005-0000-0000-000092060000}"/>
    <cellStyle name="Comma 5 2 2 6 2 4 3" xfId="21593" xr:uid="{00000000-0005-0000-0000-000093060000}"/>
    <cellStyle name="Comma 5 2 2 6 2 4 3 2" xfId="47146" xr:uid="{00000000-0005-0000-0000-000094060000}"/>
    <cellStyle name="Comma 5 2 2 6 2 4 4" xfId="28076" xr:uid="{00000000-0005-0000-0000-000095060000}"/>
    <cellStyle name="Comma 5 2 2 6 2 5" xfId="5900" xr:uid="{00000000-0005-0000-0000-000096060000}"/>
    <cellStyle name="Comma 5 2 2 6 2 5 2" xfId="14727" xr:uid="{00000000-0005-0000-0000-000097060000}"/>
    <cellStyle name="Comma 5 2 2 6 2 5 2 2" xfId="40282" xr:uid="{00000000-0005-0000-0000-000098060000}"/>
    <cellStyle name="Comma 5 2 2 6 2 5 3" xfId="24978" xr:uid="{00000000-0005-0000-0000-000099060000}"/>
    <cellStyle name="Comma 5 2 2 6 2 5 3 2" xfId="50531" xr:uid="{00000000-0005-0000-0000-00009A060000}"/>
    <cellStyle name="Comma 5 2 2 6 2 5 4" xfId="31461" xr:uid="{00000000-0005-0000-0000-00009B060000}"/>
    <cellStyle name="Comma 5 2 2 6 2 6" xfId="7344" xr:uid="{00000000-0005-0000-0000-00009C060000}"/>
    <cellStyle name="Comma 5 2 2 6 2 6 2" xfId="20075" xr:uid="{00000000-0005-0000-0000-00009D060000}"/>
    <cellStyle name="Comma 5 2 2 6 2 6 2 2" xfId="45628" xr:uid="{00000000-0005-0000-0000-00009E060000}"/>
    <cellStyle name="Comma 5 2 2 6 2 6 3" xfId="32901" xr:uid="{00000000-0005-0000-0000-00009F060000}"/>
    <cellStyle name="Comma 5 2 2 6 2 7" xfId="16586" xr:uid="{00000000-0005-0000-0000-0000A0060000}"/>
    <cellStyle name="Comma 5 2 2 6 2 7 2" xfId="42139" xr:uid="{00000000-0005-0000-0000-0000A1060000}"/>
    <cellStyle name="Comma 5 2 2 6 2 8" xfId="26558" xr:uid="{00000000-0005-0000-0000-0000A2060000}"/>
    <cellStyle name="Comma 5 2 2 6 3" xfId="1101" xr:uid="{00000000-0005-0000-0000-0000A3060000}"/>
    <cellStyle name="Comma 5 2 2 6 3 2" xfId="3530" xr:uid="{00000000-0005-0000-0000-0000A4060000}"/>
    <cellStyle name="Comma 5 2 2 6 3 2 2" xfId="12666" xr:uid="{00000000-0005-0000-0000-0000A5060000}"/>
    <cellStyle name="Comma 5 2 2 6 3 2 2 2" xfId="22885" xr:uid="{00000000-0005-0000-0000-0000A6060000}"/>
    <cellStyle name="Comma 5 2 2 6 3 2 2 2 2" xfId="48438" xr:uid="{00000000-0005-0000-0000-0000A7060000}"/>
    <cellStyle name="Comma 5 2 2 6 3 2 2 3" xfId="38221" xr:uid="{00000000-0005-0000-0000-0000A8060000}"/>
    <cellStyle name="Comma 5 2 2 6 3 2 3" xfId="9087" xr:uid="{00000000-0005-0000-0000-0000A9060000}"/>
    <cellStyle name="Comma 5 2 2 6 3 2 3 2" xfId="34644" xr:uid="{00000000-0005-0000-0000-0000AA060000}"/>
    <cellStyle name="Comma 5 2 2 6 3 2 4" xfId="17878" xr:uid="{00000000-0005-0000-0000-0000AB060000}"/>
    <cellStyle name="Comma 5 2 2 6 3 2 4 2" xfId="43431" xr:uid="{00000000-0005-0000-0000-0000AC060000}"/>
    <cellStyle name="Comma 5 2 2 6 3 2 5" xfId="29368" xr:uid="{00000000-0005-0000-0000-0000AD060000}"/>
    <cellStyle name="Comma 5 2 2 6 3 3" xfId="4793" xr:uid="{00000000-0005-0000-0000-0000AE060000}"/>
    <cellStyle name="Comma 5 2 2 6 3 3 2" xfId="13630" xr:uid="{00000000-0005-0000-0000-0000AF060000}"/>
    <cellStyle name="Comma 5 2 2 6 3 3 2 2" xfId="23881" xr:uid="{00000000-0005-0000-0000-0000B0060000}"/>
    <cellStyle name="Comma 5 2 2 6 3 3 2 2 2" xfId="49434" xr:uid="{00000000-0005-0000-0000-0000B1060000}"/>
    <cellStyle name="Comma 5 2 2 6 3 3 2 3" xfId="39185" xr:uid="{00000000-0005-0000-0000-0000B2060000}"/>
    <cellStyle name="Comma 5 2 2 6 3 3 3" xfId="10051" xr:uid="{00000000-0005-0000-0000-0000B3060000}"/>
    <cellStyle name="Comma 5 2 2 6 3 3 3 2" xfId="35608" xr:uid="{00000000-0005-0000-0000-0000B4060000}"/>
    <cellStyle name="Comma 5 2 2 6 3 3 4" xfId="18874" xr:uid="{00000000-0005-0000-0000-0000B5060000}"/>
    <cellStyle name="Comma 5 2 2 6 3 3 4 2" xfId="44427" xr:uid="{00000000-0005-0000-0000-0000B6060000}"/>
    <cellStyle name="Comma 5 2 2 6 3 3 5" xfId="30364" xr:uid="{00000000-0005-0000-0000-0000B7060000}"/>
    <cellStyle name="Comma 5 2 2 6 3 4" xfId="2572" xr:uid="{00000000-0005-0000-0000-0000B8060000}"/>
    <cellStyle name="Comma 5 2 2 6 3 4 2" xfId="11936" xr:uid="{00000000-0005-0000-0000-0000B9060000}"/>
    <cellStyle name="Comma 5 2 2 6 3 4 2 2" xfId="37491" xr:uid="{00000000-0005-0000-0000-0000BA060000}"/>
    <cellStyle name="Comma 5 2 2 6 3 4 3" xfId="21940" xr:uid="{00000000-0005-0000-0000-0000BB060000}"/>
    <cellStyle name="Comma 5 2 2 6 3 4 3 2" xfId="47493" xr:uid="{00000000-0005-0000-0000-0000BC060000}"/>
    <cellStyle name="Comma 5 2 2 6 3 4 4" xfId="28423" xr:uid="{00000000-0005-0000-0000-0000BD060000}"/>
    <cellStyle name="Comma 5 2 2 6 3 5" xfId="6248" xr:uid="{00000000-0005-0000-0000-0000BE060000}"/>
    <cellStyle name="Comma 5 2 2 6 3 5 2" xfId="15075" xr:uid="{00000000-0005-0000-0000-0000BF060000}"/>
    <cellStyle name="Comma 5 2 2 6 3 5 2 2" xfId="40630" xr:uid="{00000000-0005-0000-0000-0000C0060000}"/>
    <cellStyle name="Comma 5 2 2 6 3 5 3" xfId="25326" xr:uid="{00000000-0005-0000-0000-0000C1060000}"/>
    <cellStyle name="Comma 5 2 2 6 3 5 3 2" xfId="50879" xr:uid="{00000000-0005-0000-0000-0000C2060000}"/>
    <cellStyle name="Comma 5 2 2 6 3 5 4" xfId="31809" xr:uid="{00000000-0005-0000-0000-0000C3060000}"/>
    <cellStyle name="Comma 5 2 2 6 3 6" xfId="7694" xr:uid="{00000000-0005-0000-0000-0000C4060000}"/>
    <cellStyle name="Comma 5 2 2 6 3 6 2" xfId="20484" xr:uid="{00000000-0005-0000-0000-0000C5060000}"/>
    <cellStyle name="Comma 5 2 2 6 3 6 2 2" xfId="46037" xr:uid="{00000000-0005-0000-0000-0000C6060000}"/>
    <cellStyle name="Comma 5 2 2 6 3 6 3" xfId="33251" xr:uid="{00000000-0005-0000-0000-0000C7060000}"/>
    <cellStyle name="Comma 5 2 2 6 3 7" xfId="16933" xr:uid="{00000000-0005-0000-0000-0000C8060000}"/>
    <cellStyle name="Comma 5 2 2 6 3 7 2" xfId="42486" xr:uid="{00000000-0005-0000-0000-0000C9060000}"/>
    <cellStyle name="Comma 5 2 2 6 3 8" xfId="26967" xr:uid="{00000000-0005-0000-0000-0000CA060000}"/>
    <cellStyle name="Comma 5 2 2 6 4" xfId="2815" xr:uid="{00000000-0005-0000-0000-0000CB060000}"/>
    <cellStyle name="Comma 5 2 2 6 4 2" xfId="5193" xr:uid="{00000000-0005-0000-0000-0000CC060000}"/>
    <cellStyle name="Comma 5 2 2 6 4 2 2" xfId="14030" xr:uid="{00000000-0005-0000-0000-0000CD060000}"/>
    <cellStyle name="Comma 5 2 2 6 4 2 2 2" xfId="24281" xr:uid="{00000000-0005-0000-0000-0000CE060000}"/>
    <cellStyle name="Comma 5 2 2 6 4 2 2 2 2" xfId="49834" xr:uid="{00000000-0005-0000-0000-0000CF060000}"/>
    <cellStyle name="Comma 5 2 2 6 4 2 2 3" xfId="39585" xr:uid="{00000000-0005-0000-0000-0000D0060000}"/>
    <cellStyle name="Comma 5 2 2 6 4 2 3" xfId="10451" xr:uid="{00000000-0005-0000-0000-0000D1060000}"/>
    <cellStyle name="Comma 5 2 2 6 4 2 3 2" xfId="36008" xr:uid="{00000000-0005-0000-0000-0000D2060000}"/>
    <cellStyle name="Comma 5 2 2 6 4 2 4" xfId="19274" xr:uid="{00000000-0005-0000-0000-0000D3060000}"/>
    <cellStyle name="Comma 5 2 2 6 4 2 4 2" xfId="44827" xr:uid="{00000000-0005-0000-0000-0000D4060000}"/>
    <cellStyle name="Comma 5 2 2 6 4 2 5" xfId="30764" xr:uid="{00000000-0005-0000-0000-0000D5060000}"/>
    <cellStyle name="Comma 5 2 2 6 4 3" xfId="6648" xr:uid="{00000000-0005-0000-0000-0000D6060000}"/>
    <cellStyle name="Comma 5 2 2 6 4 3 2" xfId="15475" xr:uid="{00000000-0005-0000-0000-0000D7060000}"/>
    <cellStyle name="Comma 5 2 2 6 4 3 2 2" xfId="41030" xr:uid="{00000000-0005-0000-0000-0000D8060000}"/>
    <cellStyle name="Comma 5 2 2 6 4 3 3" xfId="25726" xr:uid="{00000000-0005-0000-0000-0000D9060000}"/>
    <cellStyle name="Comma 5 2 2 6 4 3 3 2" xfId="51279" xr:uid="{00000000-0005-0000-0000-0000DA060000}"/>
    <cellStyle name="Comma 5 2 2 6 4 3 4" xfId="32209" xr:uid="{00000000-0005-0000-0000-0000DB060000}"/>
    <cellStyle name="Comma 5 2 2 6 4 4" xfId="8094" xr:uid="{00000000-0005-0000-0000-0000DC060000}"/>
    <cellStyle name="Comma 5 2 2 6 4 4 2" xfId="22176" xr:uid="{00000000-0005-0000-0000-0000DD060000}"/>
    <cellStyle name="Comma 5 2 2 6 4 4 2 2" xfId="47729" xr:uid="{00000000-0005-0000-0000-0000DE060000}"/>
    <cellStyle name="Comma 5 2 2 6 4 4 3" xfId="33651" xr:uid="{00000000-0005-0000-0000-0000DF060000}"/>
    <cellStyle name="Comma 5 2 2 6 4 5" xfId="17169" xr:uid="{00000000-0005-0000-0000-0000E0060000}"/>
    <cellStyle name="Comma 5 2 2 6 4 5 2" xfId="42722" xr:uid="{00000000-0005-0000-0000-0000E1060000}"/>
    <cellStyle name="Comma 5 2 2 6 4 6" xfId="28659" xr:uid="{00000000-0005-0000-0000-0000E2060000}"/>
    <cellStyle name="Comma 5 2 2 6 5" xfId="4147" xr:uid="{00000000-0005-0000-0000-0000E3060000}"/>
    <cellStyle name="Comma 5 2 2 6 5 2" xfId="12985" xr:uid="{00000000-0005-0000-0000-0000E4060000}"/>
    <cellStyle name="Comma 5 2 2 6 5 2 2" xfId="23236" xr:uid="{00000000-0005-0000-0000-0000E5060000}"/>
    <cellStyle name="Comma 5 2 2 6 5 2 2 2" xfId="48789" xr:uid="{00000000-0005-0000-0000-0000E6060000}"/>
    <cellStyle name="Comma 5 2 2 6 5 2 3" xfId="38540" xr:uid="{00000000-0005-0000-0000-0000E7060000}"/>
    <cellStyle name="Comma 5 2 2 6 5 3" xfId="9406" xr:uid="{00000000-0005-0000-0000-0000E8060000}"/>
    <cellStyle name="Comma 5 2 2 6 5 3 2" xfId="34963" xr:uid="{00000000-0005-0000-0000-0000E9060000}"/>
    <cellStyle name="Comma 5 2 2 6 5 4" xfId="18229" xr:uid="{00000000-0005-0000-0000-0000EA060000}"/>
    <cellStyle name="Comma 5 2 2 6 5 4 2" xfId="43782" xr:uid="{00000000-0005-0000-0000-0000EB060000}"/>
    <cellStyle name="Comma 5 2 2 6 5 5" xfId="29719" xr:uid="{00000000-0005-0000-0000-0000EC060000}"/>
    <cellStyle name="Comma 5 2 2 6 6" xfId="1924" xr:uid="{00000000-0005-0000-0000-0000ED060000}"/>
    <cellStyle name="Comma 5 2 2 6 6 2" xfId="11289" xr:uid="{00000000-0005-0000-0000-0000EE060000}"/>
    <cellStyle name="Comma 5 2 2 6 6 2 2" xfId="36844" xr:uid="{00000000-0005-0000-0000-0000EF060000}"/>
    <cellStyle name="Comma 5 2 2 6 6 3" xfId="21293" xr:uid="{00000000-0005-0000-0000-0000F0060000}"/>
    <cellStyle name="Comma 5 2 2 6 6 3 2" xfId="46846" xr:uid="{00000000-0005-0000-0000-0000F1060000}"/>
    <cellStyle name="Comma 5 2 2 6 6 4" xfId="27776" xr:uid="{00000000-0005-0000-0000-0000F2060000}"/>
    <cellStyle name="Comma 5 2 2 6 7" xfId="5605" xr:uid="{00000000-0005-0000-0000-0000F3060000}"/>
    <cellStyle name="Comma 5 2 2 6 7 2" xfId="14432" xr:uid="{00000000-0005-0000-0000-0000F4060000}"/>
    <cellStyle name="Comma 5 2 2 6 7 2 2" xfId="39987" xr:uid="{00000000-0005-0000-0000-0000F5060000}"/>
    <cellStyle name="Comma 5 2 2 6 7 3" xfId="24683" xr:uid="{00000000-0005-0000-0000-0000F6060000}"/>
    <cellStyle name="Comma 5 2 2 6 7 3 2" xfId="50236" xr:uid="{00000000-0005-0000-0000-0000F7060000}"/>
    <cellStyle name="Comma 5 2 2 6 7 4" xfId="31166" xr:uid="{00000000-0005-0000-0000-0000F8060000}"/>
    <cellStyle name="Comma 5 2 2 6 8" xfId="7049" xr:uid="{00000000-0005-0000-0000-0000F9060000}"/>
    <cellStyle name="Comma 5 2 2 6 8 2" xfId="19775" xr:uid="{00000000-0005-0000-0000-0000FA060000}"/>
    <cellStyle name="Comma 5 2 2 6 8 2 2" xfId="45328" xr:uid="{00000000-0005-0000-0000-0000FB060000}"/>
    <cellStyle name="Comma 5 2 2 6 8 3" xfId="32606" xr:uid="{00000000-0005-0000-0000-0000FC060000}"/>
    <cellStyle name="Comma 5 2 2 6 9" xfId="16286" xr:uid="{00000000-0005-0000-0000-0000FD060000}"/>
    <cellStyle name="Comma 5 2 2 6 9 2" xfId="41839" xr:uid="{00000000-0005-0000-0000-0000FE060000}"/>
    <cellStyle name="Comma 5 2 2 7" xfId="620" xr:uid="{00000000-0005-0000-0000-0000FF060000}"/>
    <cellStyle name="Comma 5 2 2 7 2" xfId="3106" xr:uid="{00000000-0005-0000-0000-000000070000}"/>
    <cellStyle name="Comma 5 2 2 7 2 2" xfId="12249" xr:uid="{00000000-0005-0000-0000-000001070000}"/>
    <cellStyle name="Comma 5 2 2 7 2 2 2" xfId="22467" xr:uid="{00000000-0005-0000-0000-000002070000}"/>
    <cellStyle name="Comma 5 2 2 7 2 2 2 2" xfId="48020" xr:uid="{00000000-0005-0000-0000-000003070000}"/>
    <cellStyle name="Comma 5 2 2 7 2 2 3" xfId="37804" xr:uid="{00000000-0005-0000-0000-000004070000}"/>
    <cellStyle name="Comma 5 2 2 7 2 3" xfId="8671" xr:uid="{00000000-0005-0000-0000-000005070000}"/>
    <cellStyle name="Comma 5 2 2 7 2 3 2" xfId="34228" xr:uid="{00000000-0005-0000-0000-000006070000}"/>
    <cellStyle name="Comma 5 2 2 7 2 4" xfId="17460" xr:uid="{00000000-0005-0000-0000-000007070000}"/>
    <cellStyle name="Comma 5 2 2 7 2 4 2" xfId="43013" xr:uid="{00000000-0005-0000-0000-000008070000}"/>
    <cellStyle name="Comma 5 2 2 7 2 5" xfId="28950" xr:uid="{00000000-0005-0000-0000-000009070000}"/>
    <cellStyle name="Comma 5 2 2 7 3" xfId="4435" xr:uid="{00000000-0005-0000-0000-00000A070000}"/>
    <cellStyle name="Comma 5 2 2 7 3 2" xfId="13273" xr:uid="{00000000-0005-0000-0000-00000B070000}"/>
    <cellStyle name="Comma 5 2 2 7 3 2 2" xfId="23524" xr:uid="{00000000-0005-0000-0000-00000C070000}"/>
    <cellStyle name="Comma 5 2 2 7 3 2 2 2" xfId="49077" xr:uid="{00000000-0005-0000-0000-00000D070000}"/>
    <cellStyle name="Comma 5 2 2 7 3 2 3" xfId="38828" xr:uid="{00000000-0005-0000-0000-00000E070000}"/>
    <cellStyle name="Comma 5 2 2 7 3 3" xfId="9694" xr:uid="{00000000-0005-0000-0000-00000F070000}"/>
    <cellStyle name="Comma 5 2 2 7 3 3 2" xfId="35251" xr:uid="{00000000-0005-0000-0000-000010070000}"/>
    <cellStyle name="Comma 5 2 2 7 3 4" xfId="18517" xr:uid="{00000000-0005-0000-0000-000011070000}"/>
    <cellStyle name="Comma 5 2 2 7 3 4 2" xfId="44070" xr:uid="{00000000-0005-0000-0000-000012070000}"/>
    <cellStyle name="Comma 5 2 2 7 3 5" xfId="30007" xr:uid="{00000000-0005-0000-0000-000013070000}"/>
    <cellStyle name="Comma 5 2 2 7 4" xfId="2215" xr:uid="{00000000-0005-0000-0000-000014070000}"/>
    <cellStyle name="Comma 5 2 2 7 4 2" xfId="11580" xr:uid="{00000000-0005-0000-0000-000015070000}"/>
    <cellStyle name="Comma 5 2 2 7 4 2 2" xfId="37135" xr:uid="{00000000-0005-0000-0000-000016070000}"/>
    <cellStyle name="Comma 5 2 2 7 4 3" xfId="21584" xr:uid="{00000000-0005-0000-0000-000017070000}"/>
    <cellStyle name="Comma 5 2 2 7 4 3 2" xfId="47137" xr:uid="{00000000-0005-0000-0000-000018070000}"/>
    <cellStyle name="Comma 5 2 2 7 4 4" xfId="28067" xr:uid="{00000000-0005-0000-0000-000019070000}"/>
    <cellStyle name="Comma 5 2 2 7 5" xfId="5891" xr:uid="{00000000-0005-0000-0000-00001A070000}"/>
    <cellStyle name="Comma 5 2 2 7 5 2" xfId="14718" xr:uid="{00000000-0005-0000-0000-00001B070000}"/>
    <cellStyle name="Comma 5 2 2 7 5 2 2" xfId="40273" xr:uid="{00000000-0005-0000-0000-00001C070000}"/>
    <cellStyle name="Comma 5 2 2 7 5 3" xfId="24969" xr:uid="{00000000-0005-0000-0000-00001D070000}"/>
    <cellStyle name="Comma 5 2 2 7 5 3 2" xfId="50522" xr:uid="{00000000-0005-0000-0000-00001E070000}"/>
    <cellStyle name="Comma 5 2 2 7 5 4" xfId="31452" xr:uid="{00000000-0005-0000-0000-00001F070000}"/>
    <cellStyle name="Comma 5 2 2 7 6" xfId="7335" xr:uid="{00000000-0005-0000-0000-000020070000}"/>
    <cellStyle name="Comma 5 2 2 7 6 2" xfId="20066" xr:uid="{00000000-0005-0000-0000-000021070000}"/>
    <cellStyle name="Comma 5 2 2 7 6 2 2" xfId="45619" xr:uid="{00000000-0005-0000-0000-000022070000}"/>
    <cellStyle name="Comma 5 2 2 7 6 3" xfId="32892" xr:uid="{00000000-0005-0000-0000-000023070000}"/>
    <cellStyle name="Comma 5 2 2 7 7" xfId="16577" xr:uid="{00000000-0005-0000-0000-000024070000}"/>
    <cellStyle name="Comma 5 2 2 7 7 2" xfId="42130" xr:uid="{00000000-0005-0000-0000-000025070000}"/>
    <cellStyle name="Comma 5 2 2 7 8" xfId="26549" xr:uid="{00000000-0005-0000-0000-000026070000}"/>
    <cellStyle name="Comma 5 2 2 8" xfId="1056" xr:uid="{00000000-0005-0000-0000-000027070000}"/>
    <cellStyle name="Comma 5 2 2 8 2" xfId="3485" xr:uid="{00000000-0005-0000-0000-000028070000}"/>
    <cellStyle name="Comma 5 2 2 8 2 2" xfId="12621" xr:uid="{00000000-0005-0000-0000-000029070000}"/>
    <cellStyle name="Comma 5 2 2 8 2 2 2" xfId="22840" xr:uid="{00000000-0005-0000-0000-00002A070000}"/>
    <cellStyle name="Comma 5 2 2 8 2 2 2 2" xfId="48393" xr:uid="{00000000-0005-0000-0000-00002B070000}"/>
    <cellStyle name="Comma 5 2 2 8 2 2 3" xfId="38176" xr:uid="{00000000-0005-0000-0000-00002C070000}"/>
    <cellStyle name="Comma 5 2 2 8 2 3" xfId="9043" xr:uid="{00000000-0005-0000-0000-00002D070000}"/>
    <cellStyle name="Comma 5 2 2 8 2 3 2" xfId="34600" xr:uid="{00000000-0005-0000-0000-00002E070000}"/>
    <cellStyle name="Comma 5 2 2 8 2 4" xfId="17833" xr:uid="{00000000-0005-0000-0000-00002F070000}"/>
    <cellStyle name="Comma 5 2 2 8 2 4 2" xfId="43386" xr:uid="{00000000-0005-0000-0000-000030070000}"/>
    <cellStyle name="Comma 5 2 2 8 2 5" xfId="29323" xr:uid="{00000000-0005-0000-0000-000031070000}"/>
    <cellStyle name="Comma 5 2 2 8 3" xfId="4784" xr:uid="{00000000-0005-0000-0000-000032070000}"/>
    <cellStyle name="Comma 5 2 2 8 3 2" xfId="13621" xr:uid="{00000000-0005-0000-0000-000033070000}"/>
    <cellStyle name="Comma 5 2 2 8 3 2 2" xfId="23872" xr:uid="{00000000-0005-0000-0000-000034070000}"/>
    <cellStyle name="Comma 5 2 2 8 3 2 2 2" xfId="49425" xr:uid="{00000000-0005-0000-0000-000035070000}"/>
    <cellStyle name="Comma 5 2 2 8 3 2 3" xfId="39176" xr:uid="{00000000-0005-0000-0000-000036070000}"/>
    <cellStyle name="Comma 5 2 2 8 3 3" xfId="10042" xr:uid="{00000000-0005-0000-0000-000037070000}"/>
    <cellStyle name="Comma 5 2 2 8 3 3 2" xfId="35599" xr:uid="{00000000-0005-0000-0000-000038070000}"/>
    <cellStyle name="Comma 5 2 2 8 3 4" xfId="18865" xr:uid="{00000000-0005-0000-0000-000039070000}"/>
    <cellStyle name="Comma 5 2 2 8 3 4 2" xfId="44418" xr:uid="{00000000-0005-0000-0000-00003A070000}"/>
    <cellStyle name="Comma 5 2 2 8 3 5" xfId="30355" xr:uid="{00000000-0005-0000-0000-00003B070000}"/>
    <cellStyle name="Comma 5 2 2 8 4" xfId="1724" xr:uid="{00000000-0005-0000-0000-00003C070000}"/>
    <cellStyle name="Comma 5 2 2 8 4 2" xfId="11098" xr:uid="{00000000-0005-0000-0000-00003D070000}"/>
    <cellStyle name="Comma 5 2 2 8 4 2 2" xfId="36653" xr:uid="{00000000-0005-0000-0000-00003E070000}"/>
    <cellStyle name="Comma 5 2 2 8 4 3" xfId="21102" xr:uid="{00000000-0005-0000-0000-00003F070000}"/>
    <cellStyle name="Comma 5 2 2 8 4 3 2" xfId="46655" xr:uid="{00000000-0005-0000-0000-000040070000}"/>
    <cellStyle name="Comma 5 2 2 8 4 4" xfId="27585" xr:uid="{00000000-0005-0000-0000-000041070000}"/>
    <cellStyle name="Comma 5 2 2 8 5" xfId="6239" xr:uid="{00000000-0005-0000-0000-000042070000}"/>
    <cellStyle name="Comma 5 2 2 8 5 2" xfId="15066" xr:uid="{00000000-0005-0000-0000-000043070000}"/>
    <cellStyle name="Comma 5 2 2 8 5 2 2" xfId="40621" xr:uid="{00000000-0005-0000-0000-000044070000}"/>
    <cellStyle name="Comma 5 2 2 8 5 3" xfId="25317" xr:uid="{00000000-0005-0000-0000-000045070000}"/>
    <cellStyle name="Comma 5 2 2 8 5 3 2" xfId="50870" xr:uid="{00000000-0005-0000-0000-000046070000}"/>
    <cellStyle name="Comma 5 2 2 8 5 4" xfId="31800" xr:uid="{00000000-0005-0000-0000-000047070000}"/>
    <cellStyle name="Comma 5 2 2 8 6" xfId="7685" xr:uid="{00000000-0005-0000-0000-000048070000}"/>
    <cellStyle name="Comma 5 2 2 8 6 2" xfId="20439" xr:uid="{00000000-0005-0000-0000-000049070000}"/>
    <cellStyle name="Comma 5 2 2 8 6 2 2" xfId="45992" xr:uid="{00000000-0005-0000-0000-00004A070000}"/>
    <cellStyle name="Comma 5 2 2 8 6 3" xfId="33242" xr:uid="{00000000-0005-0000-0000-00004B070000}"/>
    <cellStyle name="Comma 5 2 2 8 7" xfId="16095" xr:uid="{00000000-0005-0000-0000-00004C070000}"/>
    <cellStyle name="Comma 5 2 2 8 7 2" xfId="41648" xr:uid="{00000000-0005-0000-0000-00004D070000}"/>
    <cellStyle name="Comma 5 2 2 8 8" xfId="26922" xr:uid="{00000000-0005-0000-0000-00004E070000}"/>
    <cellStyle name="Comma 5 2 2 9" xfId="2622" xr:uid="{00000000-0005-0000-0000-00004F070000}"/>
    <cellStyle name="Comma 5 2 2 9 2" xfId="5148" xr:uid="{00000000-0005-0000-0000-000050070000}"/>
    <cellStyle name="Comma 5 2 2 9 2 2" xfId="13985" xr:uid="{00000000-0005-0000-0000-000051070000}"/>
    <cellStyle name="Comma 5 2 2 9 2 2 2" xfId="24236" xr:uid="{00000000-0005-0000-0000-000052070000}"/>
    <cellStyle name="Comma 5 2 2 9 2 2 2 2" xfId="49789" xr:uid="{00000000-0005-0000-0000-000053070000}"/>
    <cellStyle name="Comma 5 2 2 9 2 2 3" xfId="39540" xr:uid="{00000000-0005-0000-0000-000054070000}"/>
    <cellStyle name="Comma 5 2 2 9 2 3" xfId="10406" xr:uid="{00000000-0005-0000-0000-000055070000}"/>
    <cellStyle name="Comma 5 2 2 9 2 3 2" xfId="35963" xr:uid="{00000000-0005-0000-0000-000056070000}"/>
    <cellStyle name="Comma 5 2 2 9 2 4" xfId="19229" xr:uid="{00000000-0005-0000-0000-000057070000}"/>
    <cellStyle name="Comma 5 2 2 9 2 4 2" xfId="44782" xr:uid="{00000000-0005-0000-0000-000058070000}"/>
    <cellStyle name="Comma 5 2 2 9 2 5" xfId="30719" xr:uid="{00000000-0005-0000-0000-000059070000}"/>
    <cellStyle name="Comma 5 2 2 9 3" xfId="6603" xr:uid="{00000000-0005-0000-0000-00005A070000}"/>
    <cellStyle name="Comma 5 2 2 9 3 2" xfId="15430" xr:uid="{00000000-0005-0000-0000-00005B070000}"/>
    <cellStyle name="Comma 5 2 2 9 3 2 2" xfId="40985" xr:uid="{00000000-0005-0000-0000-00005C070000}"/>
    <cellStyle name="Comma 5 2 2 9 3 3" xfId="25681" xr:uid="{00000000-0005-0000-0000-00005D070000}"/>
    <cellStyle name="Comma 5 2 2 9 3 3 2" xfId="51234" xr:uid="{00000000-0005-0000-0000-00005E070000}"/>
    <cellStyle name="Comma 5 2 2 9 3 4" xfId="32164" xr:uid="{00000000-0005-0000-0000-00005F070000}"/>
    <cellStyle name="Comma 5 2 2 9 4" xfId="8049" xr:uid="{00000000-0005-0000-0000-000060070000}"/>
    <cellStyle name="Comma 5 2 2 9 4 2" xfId="21985" xr:uid="{00000000-0005-0000-0000-000061070000}"/>
    <cellStyle name="Comma 5 2 2 9 4 2 2" xfId="47538" xr:uid="{00000000-0005-0000-0000-000062070000}"/>
    <cellStyle name="Comma 5 2 2 9 4 3" xfId="33606" xr:uid="{00000000-0005-0000-0000-000063070000}"/>
    <cellStyle name="Comma 5 2 2 9 5" xfId="16978" xr:uid="{00000000-0005-0000-0000-000064070000}"/>
    <cellStyle name="Comma 5 2 2 9 5 2" xfId="42531" xr:uid="{00000000-0005-0000-0000-000065070000}"/>
    <cellStyle name="Comma 5 2 2 9 6" xfId="28468" xr:uid="{00000000-0005-0000-0000-000066070000}"/>
    <cellStyle name="Comma 5 2 3" xfId="124" xr:uid="{00000000-0005-0000-0000-000067070000}"/>
    <cellStyle name="Comma 5 2 3 10" xfId="4110" xr:uid="{00000000-0005-0000-0000-000068070000}"/>
    <cellStyle name="Comma 5 2 3 10 2" xfId="5568" xr:uid="{00000000-0005-0000-0000-000069070000}"/>
    <cellStyle name="Comma 5 2 3 10 2 2" xfId="14395" xr:uid="{00000000-0005-0000-0000-00006A070000}"/>
    <cellStyle name="Comma 5 2 3 10 2 2 2" xfId="39950" xr:uid="{00000000-0005-0000-0000-00006B070000}"/>
    <cellStyle name="Comma 5 2 3 10 2 3" xfId="24646" xr:uid="{00000000-0005-0000-0000-00006C070000}"/>
    <cellStyle name="Comma 5 2 3 10 2 3 2" xfId="50199" xr:uid="{00000000-0005-0000-0000-00006D070000}"/>
    <cellStyle name="Comma 5 2 3 10 2 4" xfId="31129" xr:uid="{00000000-0005-0000-0000-00006E070000}"/>
    <cellStyle name="Comma 5 2 3 10 3" xfId="7012" xr:uid="{00000000-0005-0000-0000-00006F070000}"/>
    <cellStyle name="Comma 5 2 3 10 3 2" xfId="23199" xr:uid="{00000000-0005-0000-0000-000070070000}"/>
    <cellStyle name="Comma 5 2 3 10 3 2 2" xfId="48752" xr:uid="{00000000-0005-0000-0000-000071070000}"/>
    <cellStyle name="Comma 5 2 3 10 3 3" xfId="32569" xr:uid="{00000000-0005-0000-0000-000072070000}"/>
    <cellStyle name="Comma 5 2 3 10 4" xfId="18192" xr:uid="{00000000-0005-0000-0000-000073070000}"/>
    <cellStyle name="Comma 5 2 3 10 4 2" xfId="43745" xr:uid="{00000000-0005-0000-0000-000074070000}"/>
    <cellStyle name="Comma 5 2 3 10 5" xfId="29682" xr:uid="{00000000-0005-0000-0000-000075070000}"/>
    <cellStyle name="Comma 5 2 3 11" xfId="1429" xr:uid="{00000000-0005-0000-0000-000076070000}"/>
    <cellStyle name="Comma 5 2 3 11 2" xfId="10806" xr:uid="{00000000-0005-0000-0000-000077070000}"/>
    <cellStyle name="Comma 5 2 3 11 2 2" xfId="36361" xr:uid="{00000000-0005-0000-0000-000078070000}"/>
    <cellStyle name="Comma 5 2 3 11 3" xfId="20810" xr:uid="{00000000-0005-0000-0000-000079070000}"/>
    <cellStyle name="Comma 5 2 3 11 3 2" xfId="46363" xr:uid="{00000000-0005-0000-0000-00007A070000}"/>
    <cellStyle name="Comma 5 2 3 11 4" xfId="27293" xr:uid="{00000000-0005-0000-0000-00007B070000}"/>
    <cellStyle name="Comma 5 2 3 12" xfId="5538" xr:uid="{00000000-0005-0000-0000-00007C070000}"/>
    <cellStyle name="Comma 5 2 3 12 2" xfId="14365" xr:uid="{00000000-0005-0000-0000-00007D070000}"/>
    <cellStyle name="Comma 5 2 3 12 2 2" xfId="39920" xr:uid="{00000000-0005-0000-0000-00007E070000}"/>
    <cellStyle name="Comma 5 2 3 12 3" xfId="24616" xr:uid="{00000000-0005-0000-0000-00007F070000}"/>
    <cellStyle name="Comma 5 2 3 12 3 2" xfId="50169" xr:uid="{00000000-0005-0000-0000-000080070000}"/>
    <cellStyle name="Comma 5 2 3 12 4" xfId="31099" xr:uid="{00000000-0005-0000-0000-000081070000}"/>
    <cellStyle name="Comma 5 2 3 13" xfId="6982" xr:uid="{00000000-0005-0000-0000-000082070000}"/>
    <cellStyle name="Comma 5 2 3 13 2" xfId="19591" xr:uid="{00000000-0005-0000-0000-000083070000}"/>
    <cellStyle name="Comma 5 2 3 13 2 2" xfId="45144" xr:uid="{00000000-0005-0000-0000-000084070000}"/>
    <cellStyle name="Comma 5 2 3 13 3" xfId="32539" xr:uid="{00000000-0005-0000-0000-000085070000}"/>
    <cellStyle name="Comma 5 2 3 14" xfId="15803" xr:uid="{00000000-0005-0000-0000-000086070000}"/>
    <cellStyle name="Comma 5 2 3 14 2" xfId="41356" xr:uid="{00000000-0005-0000-0000-000087070000}"/>
    <cellStyle name="Comma 5 2 3 15" xfId="26074" xr:uid="{00000000-0005-0000-0000-000088070000}"/>
    <cellStyle name="Comma 5 2 3 2" xfId="164" xr:uid="{00000000-0005-0000-0000-000089070000}"/>
    <cellStyle name="Comma 5 2 3 2 10" xfId="5670" xr:uid="{00000000-0005-0000-0000-00008A070000}"/>
    <cellStyle name="Comma 5 2 3 2 10 2" xfId="14497" xr:uid="{00000000-0005-0000-0000-00008B070000}"/>
    <cellStyle name="Comma 5 2 3 2 10 2 2" xfId="40052" xr:uid="{00000000-0005-0000-0000-00008C070000}"/>
    <cellStyle name="Comma 5 2 3 2 10 3" xfId="24748" xr:uid="{00000000-0005-0000-0000-00008D070000}"/>
    <cellStyle name="Comma 5 2 3 2 10 3 2" xfId="50301" xr:uid="{00000000-0005-0000-0000-00008E070000}"/>
    <cellStyle name="Comma 5 2 3 2 10 4" xfId="31231" xr:uid="{00000000-0005-0000-0000-00008F070000}"/>
    <cellStyle name="Comma 5 2 3 2 11" xfId="7114" xr:uid="{00000000-0005-0000-0000-000090070000}"/>
    <cellStyle name="Comma 5 2 3 2 11 2" xfId="19623" xr:uid="{00000000-0005-0000-0000-000091070000}"/>
    <cellStyle name="Comma 5 2 3 2 11 2 2" xfId="45176" xr:uid="{00000000-0005-0000-0000-000092070000}"/>
    <cellStyle name="Comma 5 2 3 2 11 3" xfId="32671" xr:uid="{00000000-0005-0000-0000-000093070000}"/>
    <cellStyle name="Comma 5 2 3 2 12" xfId="15860" xr:uid="{00000000-0005-0000-0000-000094070000}"/>
    <cellStyle name="Comma 5 2 3 2 12 2" xfId="41413" xr:uid="{00000000-0005-0000-0000-000095070000}"/>
    <cellStyle name="Comma 5 2 3 2 13" xfId="26106" xr:uid="{00000000-0005-0000-0000-000096070000}"/>
    <cellStyle name="Comma 5 2 3 2 2" xfId="276" xr:uid="{00000000-0005-0000-0000-000097070000}"/>
    <cellStyle name="Comma 5 2 3 2 2 10" xfId="16064" xr:uid="{00000000-0005-0000-0000-000098070000}"/>
    <cellStyle name="Comma 5 2 3 2 2 10 2" xfId="41617" xr:uid="{00000000-0005-0000-0000-000099070000}"/>
    <cellStyle name="Comma 5 2 3 2 2 11" xfId="26210" xr:uid="{00000000-0005-0000-0000-00009A070000}"/>
    <cellStyle name="Comma 5 2 3 2 2 2" xfId="598" xr:uid="{00000000-0005-0000-0000-00009B070000}"/>
    <cellStyle name="Comma 5 2 3 2 2 2 2" xfId="3084" xr:uid="{00000000-0005-0000-0000-00009C070000}"/>
    <cellStyle name="Comma 5 2 3 2 2 2 2 2" xfId="12227" xr:uid="{00000000-0005-0000-0000-00009D070000}"/>
    <cellStyle name="Comma 5 2 3 2 2 2 2 2 2" xfId="22445" xr:uid="{00000000-0005-0000-0000-00009E070000}"/>
    <cellStyle name="Comma 5 2 3 2 2 2 2 2 2 2" xfId="47998" xr:uid="{00000000-0005-0000-0000-00009F070000}"/>
    <cellStyle name="Comma 5 2 3 2 2 2 2 2 3" xfId="37782" xr:uid="{00000000-0005-0000-0000-0000A0070000}"/>
    <cellStyle name="Comma 5 2 3 2 2 2 2 3" xfId="8649" xr:uid="{00000000-0005-0000-0000-0000A1070000}"/>
    <cellStyle name="Comma 5 2 3 2 2 2 2 3 2" xfId="34206" xr:uid="{00000000-0005-0000-0000-0000A2070000}"/>
    <cellStyle name="Comma 5 2 3 2 2 2 2 4" xfId="17438" xr:uid="{00000000-0005-0000-0000-0000A3070000}"/>
    <cellStyle name="Comma 5 2 3 2 2 2 2 4 2" xfId="42991" xr:uid="{00000000-0005-0000-0000-0000A4070000}"/>
    <cellStyle name="Comma 5 2 3 2 2 2 2 5" xfId="28928" xr:uid="{00000000-0005-0000-0000-0000A5070000}"/>
    <cellStyle name="Comma 5 2 3 2 2 2 3" xfId="4447" xr:uid="{00000000-0005-0000-0000-0000A6070000}"/>
    <cellStyle name="Comma 5 2 3 2 2 2 3 2" xfId="13285" xr:uid="{00000000-0005-0000-0000-0000A7070000}"/>
    <cellStyle name="Comma 5 2 3 2 2 2 3 2 2" xfId="23536" xr:uid="{00000000-0005-0000-0000-0000A8070000}"/>
    <cellStyle name="Comma 5 2 3 2 2 2 3 2 2 2" xfId="49089" xr:uid="{00000000-0005-0000-0000-0000A9070000}"/>
    <cellStyle name="Comma 5 2 3 2 2 2 3 2 3" xfId="38840" xr:uid="{00000000-0005-0000-0000-0000AA070000}"/>
    <cellStyle name="Comma 5 2 3 2 2 2 3 3" xfId="9706" xr:uid="{00000000-0005-0000-0000-0000AB070000}"/>
    <cellStyle name="Comma 5 2 3 2 2 2 3 3 2" xfId="35263" xr:uid="{00000000-0005-0000-0000-0000AC070000}"/>
    <cellStyle name="Comma 5 2 3 2 2 2 3 4" xfId="18529" xr:uid="{00000000-0005-0000-0000-0000AD070000}"/>
    <cellStyle name="Comma 5 2 3 2 2 2 3 4 2" xfId="44082" xr:uid="{00000000-0005-0000-0000-0000AE070000}"/>
    <cellStyle name="Comma 5 2 3 2 2 2 3 5" xfId="30019" xr:uid="{00000000-0005-0000-0000-0000AF070000}"/>
    <cellStyle name="Comma 5 2 3 2 2 2 4" xfId="2193" xr:uid="{00000000-0005-0000-0000-0000B0070000}"/>
    <cellStyle name="Comma 5 2 3 2 2 2 4 2" xfId="11558" xr:uid="{00000000-0005-0000-0000-0000B1070000}"/>
    <cellStyle name="Comma 5 2 3 2 2 2 4 2 2" xfId="37113" xr:uid="{00000000-0005-0000-0000-0000B2070000}"/>
    <cellStyle name="Comma 5 2 3 2 2 2 4 3" xfId="21562" xr:uid="{00000000-0005-0000-0000-0000B3070000}"/>
    <cellStyle name="Comma 5 2 3 2 2 2 4 3 2" xfId="47115" xr:uid="{00000000-0005-0000-0000-0000B4070000}"/>
    <cellStyle name="Comma 5 2 3 2 2 2 4 4" xfId="28045" xr:uid="{00000000-0005-0000-0000-0000B5070000}"/>
    <cellStyle name="Comma 5 2 3 2 2 2 5" xfId="5903" xr:uid="{00000000-0005-0000-0000-0000B6070000}"/>
    <cellStyle name="Comma 5 2 3 2 2 2 5 2" xfId="14730" xr:uid="{00000000-0005-0000-0000-0000B7070000}"/>
    <cellStyle name="Comma 5 2 3 2 2 2 5 2 2" xfId="40285" xr:uid="{00000000-0005-0000-0000-0000B8070000}"/>
    <cellStyle name="Comma 5 2 3 2 2 2 5 3" xfId="24981" xr:uid="{00000000-0005-0000-0000-0000B9070000}"/>
    <cellStyle name="Comma 5 2 3 2 2 2 5 3 2" xfId="50534" xr:uid="{00000000-0005-0000-0000-0000BA070000}"/>
    <cellStyle name="Comma 5 2 3 2 2 2 5 4" xfId="31464" xr:uid="{00000000-0005-0000-0000-0000BB070000}"/>
    <cellStyle name="Comma 5 2 3 2 2 2 6" xfId="7347" xr:uid="{00000000-0005-0000-0000-0000BC070000}"/>
    <cellStyle name="Comma 5 2 3 2 2 2 6 2" xfId="20044" xr:uid="{00000000-0005-0000-0000-0000BD070000}"/>
    <cellStyle name="Comma 5 2 3 2 2 2 6 2 2" xfId="45597" xr:uid="{00000000-0005-0000-0000-0000BE070000}"/>
    <cellStyle name="Comma 5 2 3 2 2 2 6 3" xfId="32904" xr:uid="{00000000-0005-0000-0000-0000BF070000}"/>
    <cellStyle name="Comma 5 2 3 2 2 2 7" xfId="16555" xr:uid="{00000000-0005-0000-0000-0000C0070000}"/>
    <cellStyle name="Comma 5 2 3 2 2 2 7 2" xfId="42108" xr:uid="{00000000-0005-0000-0000-0000C1070000}"/>
    <cellStyle name="Comma 5 2 3 2 2 2 8" xfId="26527" xr:uid="{00000000-0005-0000-0000-0000C2070000}"/>
    <cellStyle name="Comma 5 2 3 2 2 3" xfId="632" xr:uid="{00000000-0005-0000-0000-0000C3070000}"/>
    <cellStyle name="Comma 5 2 3 2 2 3 2" xfId="3118" xr:uid="{00000000-0005-0000-0000-0000C4070000}"/>
    <cellStyle name="Comma 5 2 3 2 2 3 2 2" xfId="12261" xr:uid="{00000000-0005-0000-0000-0000C5070000}"/>
    <cellStyle name="Comma 5 2 3 2 2 3 2 2 2" xfId="22479" xr:uid="{00000000-0005-0000-0000-0000C6070000}"/>
    <cellStyle name="Comma 5 2 3 2 2 3 2 2 2 2" xfId="48032" xr:uid="{00000000-0005-0000-0000-0000C7070000}"/>
    <cellStyle name="Comma 5 2 3 2 2 3 2 2 3" xfId="37816" xr:uid="{00000000-0005-0000-0000-0000C8070000}"/>
    <cellStyle name="Comma 5 2 3 2 2 3 2 3" xfId="8683" xr:uid="{00000000-0005-0000-0000-0000C9070000}"/>
    <cellStyle name="Comma 5 2 3 2 2 3 2 3 2" xfId="34240" xr:uid="{00000000-0005-0000-0000-0000CA070000}"/>
    <cellStyle name="Comma 5 2 3 2 2 3 2 4" xfId="17472" xr:uid="{00000000-0005-0000-0000-0000CB070000}"/>
    <cellStyle name="Comma 5 2 3 2 2 3 2 4 2" xfId="43025" xr:uid="{00000000-0005-0000-0000-0000CC070000}"/>
    <cellStyle name="Comma 5 2 3 2 2 3 2 5" xfId="28962" xr:uid="{00000000-0005-0000-0000-0000CD070000}"/>
    <cellStyle name="Comma 5 2 3 2 2 3 3" xfId="4796" xr:uid="{00000000-0005-0000-0000-0000CE070000}"/>
    <cellStyle name="Comma 5 2 3 2 2 3 3 2" xfId="13633" xr:uid="{00000000-0005-0000-0000-0000CF070000}"/>
    <cellStyle name="Comma 5 2 3 2 2 3 3 2 2" xfId="23884" xr:uid="{00000000-0005-0000-0000-0000D0070000}"/>
    <cellStyle name="Comma 5 2 3 2 2 3 3 2 2 2" xfId="49437" xr:uid="{00000000-0005-0000-0000-0000D1070000}"/>
    <cellStyle name="Comma 5 2 3 2 2 3 3 2 3" xfId="39188" xr:uid="{00000000-0005-0000-0000-0000D2070000}"/>
    <cellStyle name="Comma 5 2 3 2 2 3 3 3" xfId="10054" xr:uid="{00000000-0005-0000-0000-0000D3070000}"/>
    <cellStyle name="Comma 5 2 3 2 2 3 3 3 2" xfId="35611" xr:uid="{00000000-0005-0000-0000-0000D4070000}"/>
    <cellStyle name="Comma 5 2 3 2 2 3 3 4" xfId="18877" xr:uid="{00000000-0005-0000-0000-0000D5070000}"/>
    <cellStyle name="Comma 5 2 3 2 2 3 3 4 2" xfId="44430" xr:uid="{00000000-0005-0000-0000-0000D6070000}"/>
    <cellStyle name="Comma 5 2 3 2 2 3 3 5" xfId="30367" xr:uid="{00000000-0005-0000-0000-0000D7070000}"/>
    <cellStyle name="Comma 5 2 3 2 2 3 4" xfId="2227" xr:uid="{00000000-0005-0000-0000-0000D8070000}"/>
    <cellStyle name="Comma 5 2 3 2 2 3 4 2" xfId="11592" xr:uid="{00000000-0005-0000-0000-0000D9070000}"/>
    <cellStyle name="Comma 5 2 3 2 2 3 4 2 2" xfId="37147" xr:uid="{00000000-0005-0000-0000-0000DA070000}"/>
    <cellStyle name="Comma 5 2 3 2 2 3 4 3" xfId="21596" xr:uid="{00000000-0005-0000-0000-0000DB070000}"/>
    <cellStyle name="Comma 5 2 3 2 2 3 4 3 2" xfId="47149" xr:uid="{00000000-0005-0000-0000-0000DC070000}"/>
    <cellStyle name="Comma 5 2 3 2 2 3 4 4" xfId="28079" xr:uid="{00000000-0005-0000-0000-0000DD070000}"/>
    <cellStyle name="Comma 5 2 3 2 2 3 5" xfId="6251" xr:uid="{00000000-0005-0000-0000-0000DE070000}"/>
    <cellStyle name="Comma 5 2 3 2 2 3 5 2" xfId="15078" xr:uid="{00000000-0005-0000-0000-0000DF070000}"/>
    <cellStyle name="Comma 5 2 3 2 2 3 5 2 2" xfId="40633" xr:uid="{00000000-0005-0000-0000-0000E0070000}"/>
    <cellStyle name="Comma 5 2 3 2 2 3 5 3" xfId="25329" xr:uid="{00000000-0005-0000-0000-0000E1070000}"/>
    <cellStyle name="Comma 5 2 3 2 2 3 5 3 2" xfId="50882" xr:uid="{00000000-0005-0000-0000-0000E2070000}"/>
    <cellStyle name="Comma 5 2 3 2 2 3 5 4" xfId="31812" xr:uid="{00000000-0005-0000-0000-0000E3070000}"/>
    <cellStyle name="Comma 5 2 3 2 2 3 6" xfId="7697" xr:uid="{00000000-0005-0000-0000-0000E4070000}"/>
    <cellStyle name="Comma 5 2 3 2 2 3 6 2" xfId="20078" xr:uid="{00000000-0005-0000-0000-0000E5070000}"/>
    <cellStyle name="Comma 5 2 3 2 2 3 6 2 2" xfId="45631" xr:uid="{00000000-0005-0000-0000-0000E6070000}"/>
    <cellStyle name="Comma 5 2 3 2 2 3 6 3" xfId="33254" xr:uid="{00000000-0005-0000-0000-0000E7070000}"/>
    <cellStyle name="Comma 5 2 3 2 2 3 7" xfId="16589" xr:uid="{00000000-0005-0000-0000-0000E8070000}"/>
    <cellStyle name="Comma 5 2 3 2 2 3 7 2" xfId="42142" xr:uid="{00000000-0005-0000-0000-0000E9070000}"/>
    <cellStyle name="Comma 5 2 3 2 2 3 8" xfId="26561" xr:uid="{00000000-0005-0000-0000-0000EA070000}"/>
    <cellStyle name="Comma 5 2 3 2 2 4" xfId="1370" xr:uid="{00000000-0005-0000-0000-0000EB070000}"/>
    <cellStyle name="Comma 5 2 3 2 2 4 2" xfId="3799" xr:uid="{00000000-0005-0000-0000-0000EC070000}"/>
    <cellStyle name="Comma 5 2 3 2 2 4 2 2" xfId="12935" xr:uid="{00000000-0005-0000-0000-0000ED070000}"/>
    <cellStyle name="Comma 5 2 3 2 2 4 2 2 2" xfId="23154" xr:uid="{00000000-0005-0000-0000-0000EE070000}"/>
    <cellStyle name="Comma 5 2 3 2 2 4 2 2 2 2" xfId="48707" xr:uid="{00000000-0005-0000-0000-0000EF070000}"/>
    <cellStyle name="Comma 5 2 3 2 2 4 2 2 3" xfId="38490" xr:uid="{00000000-0005-0000-0000-0000F0070000}"/>
    <cellStyle name="Comma 5 2 3 2 2 4 2 3" xfId="9356" xr:uid="{00000000-0005-0000-0000-0000F1070000}"/>
    <cellStyle name="Comma 5 2 3 2 2 4 2 3 2" xfId="34913" xr:uid="{00000000-0005-0000-0000-0000F2070000}"/>
    <cellStyle name="Comma 5 2 3 2 2 4 2 4" xfId="18147" xr:uid="{00000000-0005-0000-0000-0000F3070000}"/>
    <cellStyle name="Comma 5 2 3 2 2 4 2 4 2" xfId="43700" xr:uid="{00000000-0005-0000-0000-0000F4070000}"/>
    <cellStyle name="Comma 5 2 3 2 2 4 2 5" xfId="29637" xr:uid="{00000000-0005-0000-0000-0000F5070000}"/>
    <cellStyle name="Comma 5 2 3 2 2 4 3" xfId="5462" xr:uid="{00000000-0005-0000-0000-0000F6070000}"/>
    <cellStyle name="Comma 5 2 3 2 2 4 3 2" xfId="14299" xr:uid="{00000000-0005-0000-0000-0000F7070000}"/>
    <cellStyle name="Comma 5 2 3 2 2 4 3 2 2" xfId="24550" xr:uid="{00000000-0005-0000-0000-0000F8070000}"/>
    <cellStyle name="Comma 5 2 3 2 2 4 3 2 2 2" xfId="50103" xr:uid="{00000000-0005-0000-0000-0000F9070000}"/>
    <cellStyle name="Comma 5 2 3 2 2 4 3 2 3" xfId="39854" xr:uid="{00000000-0005-0000-0000-0000FA070000}"/>
    <cellStyle name="Comma 5 2 3 2 2 4 3 3" xfId="10720" xr:uid="{00000000-0005-0000-0000-0000FB070000}"/>
    <cellStyle name="Comma 5 2 3 2 2 4 3 3 2" xfId="36277" xr:uid="{00000000-0005-0000-0000-0000FC070000}"/>
    <cellStyle name="Comma 5 2 3 2 2 4 3 4" xfId="19543" xr:uid="{00000000-0005-0000-0000-0000FD070000}"/>
    <cellStyle name="Comma 5 2 3 2 2 4 3 4 2" xfId="45096" xr:uid="{00000000-0005-0000-0000-0000FE070000}"/>
    <cellStyle name="Comma 5 2 3 2 2 4 3 5" xfId="31033" xr:uid="{00000000-0005-0000-0000-0000FF070000}"/>
    <cellStyle name="Comma 5 2 3 2 2 4 4" xfId="1873" xr:uid="{00000000-0005-0000-0000-000000080000}"/>
    <cellStyle name="Comma 5 2 3 2 2 4 4 2" xfId="11241" xr:uid="{00000000-0005-0000-0000-000001080000}"/>
    <cellStyle name="Comma 5 2 3 2 2 4 4 2 2" xfId="36796" xr:uid="{00000000-0005-0000-0000-000002080000}"/>
    <cellStyle name="Comma 5 2 3 2 2 4 4 3" xfId="21245" xr:uid="{00000000-0005-0000-0000-000003080000}"/>
    <cellStyle name="Comma 5 2 3 2 2 4 4 3 2" xfId="46798" xr:uid="{00000000-0005-0000-0000-000004080000}"/>
    <cellStyle name="Comma 5 2 3 2 2 4 4 4" xfId="27728" xr:uid="{00000000-0005-0000-0000-000005080000}"/>
    <cellStyle name="Comma 5 2 3 2 2 4 5" xfId="6917" xr:uid="{00000000-0005-0000-0000-000006080000}"/>
    <cellStyle name="Comma 5 2 3 2 2 4 5 2" xfId="15744" xr:uid="{00000000-0005-0000-0000-000007080000}"/>
    <cellStyle name="Comma 5 2 3 2 2 4 5 2 2" xfId="41299" xr:uid="{00000000-0005-0000-0000-000008080000}"/>
    <cellStyle name="Comma 5 2 3 2 2 4 5 3" xfId="25995" xr:uid="{00000000-0005-0000-0000-000009080000}"/>
    <cellStyle name="Comma 5 2 3 2 2 4 5 3 2" xfId="51548" xr:uid="{00000000-0005-0000-0000-00000A080000}"/>
    <cellStyle name="Comma 5 2 3 2 2 4 5 4" xfId="32478" xr:uid="{00000000-0005-0000-0000-00000B080000}"/>
    <cellStyle name="Comma 5 2 3 2 2 4 6" xfId="8363" xr:uid="{00000000-0005-0000-0000-00000C080000}"/>
    <cellStyle name="Comma 5 2 3 2 2 4 6 2" xfId="20753" xr:uid="{00000000-0005-0000-0000-00000D080000}"/>
    <cellStyle name="Comma 5 2 3 2 2 4 6 2 2" xfId="46306" xr:uid="{00000000-0005-0000-0000-00000E080000}"/>
    <cellStyle name="Comma 5 2 3 2 2 4 6 3" xfId="33920" xr:uid="{00000000-0005-0000-0000-00000F080000}"/>
    <cellStyle name="Comma 5 2 3 2 2 4 7" xfId="16238" xr:uid="{00000000-0005-0000-0000-000010080000}"/>
    <cellStyle name="Comma 5 2 3 2 2 4 7 2" xfId="41791" xr:uid="{00000000-0005-0000-0000-000011080000}"/>
    <cellStyle name="Comma 5 2 3 2 2 4 8" xfId="27236" xr:uid="{00000000-0005-0000-0000-000012080000}"/>
    <cellStyle name="Comma 5 2 3 2 2 5" xfId="2767" xr:uid="{00000000-0005-0000-0000-000013080000}"/>
    <cellStyle name="Comma 5 2 3 2 2 5 2" xfId="12084" xr:uid="{00000000-0005-0000-0000-000014080000}"/>
    <cellStyle name="Comma 5 2 3 2 2 5 2 2" xfId="22128" xr:uid="{00000000-0005-0000-0000-000015080000}"/>
    <cellStyle name="Comma 5 2 3 2 2 5 2 2 2" xfId="47681" xr:uid="{00000000-0005-0000-0000-000016080000}"/>
    <cellStyle name="Comma 5 2 3 2 2 5 2 3" xfId="37639" xr:uid="{00000000-0005-0000-0000-000017080000}"/>
    <cellStyle name="Comma 5 2 3 2 2 5 3" xfId="8629" xr:uid="{00000000-0005-0000-0000-000018080000}"/>
    <cellStyle name="Comma 5 2 3 2 2 5 3 2" xfId="34186" xr:uid="{00000000-0005-0000-0000-000019080000}"/>
    <cellStyle name="Comma 5 2 3 2 2 5 4" xfId="17121" xr:uid="{00000000-0005-0000-0000-00001A080000}"/>
    <cellStyle name="Comma 5 2 3 2 2 5 4 2" xfId="42674" xr:uid="{00000000-0005-0000-0000-00001B080000}"/>
    <cellStyle name="Comma 5 2 3 2 2 5 5" xfId="28611" xr:uid="{00000000-0005-0000-0000-00001C080000}"/>
    <cellStyle name="Comma 5 2 3 2 2 6" xfId="4418" xr:uid="{00000000-0005-0000-0000-00001D080000}"/>
    <cellStyle name="Comma 5 2 3 2 2 6 2" xfId="13256" xr:uid="{00000000-0005-0000-0000-00001E080000}"/>
    <cellStyle name="Comma 5 2 3 2 2 6 2 2" xfId="23507" xr:uid="{00000000-0005-0000-0000-00001F080000}"/>
    <cellStyle name="Comma 5 2 3 2 2 6 2 2 2" xfId="49060" xr:uid="{00000000-0005-0000-0000-000020080000}"/>
    <cellStyle name="Comma 5 2 3 2 2 6 2 3" xfId="38811" xr:uid="{00000000-0005-0000-0000-000021080000}"/>
    <cellStyle name="Comma 5 2 3 2 2 6 3" xfId="9677" xr:uid="{00000000-0005-0000-0000-000022080000}"/>
    <cellStyle name="Comma 5 2 3 2 2 6 3 2" xfId="35234" xr:uid="{00000000-0005-0000-0000-000023080000}"/>
    <cellStyle name="Comma 5 2 3 2 2 6 4" xfId="18500" xr:uid="{00000000-0005-0000-0000-000024080000}"/>
    <cellStyle name="Comma 5 2 3 2 2 6 4 2" xfId="44053" xr:uid="{00000000-0005-0000-0000-000025080000}"/>
    <cellStyle name="Comma 5 2 3 2 2 6 5" xfId="29990" xr:uid="{00000000-0005-0000-0000-000026080000}"/>
    <cellStyle name="Comma 5 2 3 2 2 7" xfId="1690" xr:uid="{00000000-0005-0000-0000-000027080000}"/>
    <cellStyle name="Comma 5 2 3 2 2 7 2" xfId="11067" xr:uid="{00000000-0005-0000-0000-000028080000}"/>
    <cellStyle name="Comma 5 2 3 2 2 7 2 2" xfId="36622" xr:uid="{00000000-0005-0000-0000-000029080000}"/>
    <cellStyle name="Comma 5 2 3 2 2 7 3" xfId="21071" xr:uid="{00000000-0005-0000-0000-00002A080000}"/>
    <cellStyle name="Comma 5 2 3 2 2 7 3 2" xfId="46624" xr:uid="{00000000-0005-0000-0000-00002B080000}"/>
    <cellStyle name="Comma 5 2 3 2 2 7 4" xfId="27554" xr:uid="{00000000-0005-0000-0000-00002C080000}"/>
    <cellStyle name="Comma 5 2 3 2 2 8" xfId="5874" xr:uid="{00000000-0005-0000-0000-00002D080000}"/>
    <cellStyle name="Comma 5 2 3 2 2 8 2" xfId="14701" xr:uid="{00000000-0005-0000-0000-00002E080000}"/>
    <cellStyle name="Comma 5 2 3 2 2 8 2 2" xfId="40256" xr:uid="{00000000-0005-0000-0000-00002F080000}"/>
    <cellStyle name="Comma 5 2 3 2 2 8 3" xfId="24952" xr:uid="{00000000-0005-0000-0000-000030080000}"/>
    <cellStyle name="Comma 5 2 3 2 2 8 3 2" xfId="50505" xr:uid="{00000000-0005-0000-0000-000031080000}"/>
    <cellStyle name="Comma 5 2 3 2 2 8 4" xfId="31435" xr:uid="{00000000-0005-0000-0000-000032080000}"/>
    <cellStyle name="Comma 5 2 3 2 2 9" xfId="7318" xr:uid="{00000000-0005-0000-0000-000033080000}"/>
    <cellStyle name="Comma 5 2 3 2 2 9 2" xfId="19727" xr:uid="{00000000-0005-0000-0000-000034080000}"/>
    <cellStyle name="Comma 5 2 3 2 2 9 2 2" xfId="45280" xr:uid="{00000000-0005-0000-0000-000035080000}"/>
    <cellStyle name="Comma 5 2 3 2 2 9 3" xfId="32875" xr:uid="{00000000-0005-0000-0000-000036080000}"/>
    <cellStyle name="Comma 5 2 3 2 3" xfId="494" xr:uid="{00000000-0005-0000-0000-000037080000}"/>
    <cellStyle name="Comma 5 2 3 2 3 10" xfId="26423" xr:uid="{00000000-0005-0000-0000-000038080000}"/>
    <cellStyle name="Comma 5 2 3 2 3 2" xfId="633" xr:uid="{00000000-0005-0000-0000-000039080000}"/>
    <cellStyle name="Comma 5 2 3 2 3 2 2" xfId="3119" xr:uid="{00000000-0005-0000-0000-00003A080000}"/>
    <cellStyle name="Comma 5 2 3 2 3 2 2 2" xfId="12262" xr:uid="{00000000-0005-0000-0000-00003B080000}"/>
    <cellStyle name="Comma 5 2 3 2 3 2 2 2 2" xfId="22480" xr:uid="{00000000-0005-0000-0000-00003C080000}"/>
    <cellStyle name="Comma 5 2 3 2 3 2 2 2 2 2" xfId="48033" xr:uid="{00000000-0005-0000-0000-00003D080000}"/>
    <cellStyle name="Comma 5 2 3 2 3 2 2 2 3" xfId="37817" xr:uid="{00000000-0005-0000-0000-00003E080000}"/>
    <cellStyle name="Comma 5 2 3 2 3 2 2 3" xfId="8684" xr:uid="{00000000-0005-0000-0000-00003F080000}"/>
    <cellStyle name="Comma 5 2 3 2 3 2 2 3 2" xfId="34241" xr:uid="{00000000-0005-0000-0000-000040080000}"/>
    <cellStyle name="Comma 5 2 3 2 3 2 2 4" xfId="17473" xr:uid="{00000000-0005-0000-0000-000041080000}"/>
    <cellStyle name="Comma 5 2 3 2 3 2 2 4 2" xfId="43026" xr:uid="{00000000-0005-0000-0000-000042080000}"/>
    <cellStyle name="Comma 5 2 3 2 3 2 2 5" xfId="28963" xr:uid="{00000000-0005-0000-0000-000043080000}"/>
    <cellStyle name="Comma 5 2 3 2 3 2 3" xfId="4448" xr:uid="{00000000-0005-0000-0000-000044080000}"/>
    <cellStyle name="Comma 5 2 3 2 3 2 3 2" xfId="13286" xr:uid="{00000000-0005-0000-0000-000045080000}"/>
    <cellStyle name="Comma 5 2 3 2 3 2 3 2 2" xfId="23537" xr:uid="{00000000-0005-0000-0000-000046080000}"/>
    <cellStyle name="Comma 5 2 3 2 3 2 3 2 2 2" xfId="49090" xr:uid="{00000000-0005-0000-0000-000047080000}"/>
    <cellStyle name="Comma 5 2 3 2 3 2 3 2 3" xfId="38841" xr:uid="{00000000-0005-0000-0000-000048080000}"/>
    <cellStyle name="Comma 5 2 3 2 3 2 3 3" xfId="9707" xr:uid="{00000000-0005-0000-0000-000049080000}"/>
    <cellStyle name="Comma 5 2 3 2 3 2 3 3 2" xfId="35264" xr:uid="{00000000-0005-0000-0000-00004A080000}"/>
    <cellStyle name="Comma 5 2 3 2 3 2 3 4" xfId="18530" xr:uid="{00000000-0005-0000-0000-00004B080000}"/>
    <cellStyle name="Comma 5 2 3 2 3 2 3 4 2" xfId="44083" xr:uid="{00000000-0005-0000-0000-00004C080000}"/>
    <cellStyle name="Comma 5 2 3 2 3 2 3 5" xfId="30020" xr:uid="{00000000-0005-0000-0000-00004D080000}"/>
    <cellStyle name="Comma 5 2 3 2 3 2 4" xfId="2228" xr:uid="{00000000-0005-0000-0000-00004E080000}"/>
    <cellStyle name="Comma 5 2 3 2 3 2 4 2" xfId="11593" xr:uid="{00000000-0005-0000-0000-00004F080000}"/>
    <cellStyle name="Comma 5 2 3 2 3 2 4 2 2" xfId="37148" xr:uid="{00000000-0005-0000-0000-000050080000}"/>
    <cellStyle name="Comma 5 2 3 2 3 2 4 3" xfId="21597" xr:uid="{00000000-0005-0000-0000-000051080000}"/>
    <cellStyle name="Comma 5 2 3 2 3 2 4 3 2" xfId="47150" xr:uid="{00000000-0005-0000-0000-000052080000}"/>
    <cellStyle name="Comma 5 2 3 2 3 2 4 4" xfId="28080" xr:uid="{00000000-0005-0000-0000-000053080000}"/>
    <cellStyle name="Comma 5 2 3 2 3 2 5" xfId="5904" xr:uid="{00000000-0005-0000-0000-000054080000}"/>
    <cellStyle name="Comma 5 2 3 2 3 2 5 2" xfId="14731" xr:uid="{00000000-0005-0000-0000-000055080000}"/>
    <cellStyle name="Comma 5 2 3 2 3 2 5 2 2" xfId="40286" xr:uid="{00000000-0005-0000-0000-000056080000}"/>
    <cellStyle name="Comma 5 2 3 2 3 2 5 3" xfId="24982" xr:uid="{00000000-0005-0000-0000-000057080000}"/>
    <cellStyle name="Comma 5 2 3 2 3 2 5 3 2" xfId="50535" xr:uid="{00000000-0005-0000-0000-000058080000}"/>
    <cellStyle name="Comma 5 2 3 2 3 2 5 4" xfId="31465" xr:uid="{00000000-0005-0000-0000-000059080000}"/>
    <cellStyle name="Comma 5 2 3 2 3 2 6" xfId="7348" xr:uid="{00000000-0005-0000-0000-00005A080000}"/>
    <cellStyle name="Comma 5 2 3 2 3 2 6 2" xfId="20079" xr:uid="{00000000-0005-0000-0000-00005B080000}"/>
    <cellStyle name="Comma 5 2 3 2 3 2 6 2 2" xfId="45632" xr:uid="{00000000-0005-0000-0000-00005C080000}"/>
    <cellStyle name="Comma 5 2 3 2 3 2 6 3" xfId="32905" xr:uid="{00000000-0005-0000-0000-00005D080000}"/>
    <cellStyle name="Comma 5 2 3 2 3 2 7" xfId="16590" xr:uid="{00000000-0005-0000-0000-00005E080000}"/>
    <cellStyle name="Comma 5 2 3 2 3 2 7 2" xfId="42143" xr:uid="{00000000-0005-0000-0000-00005F080000}"/>
    <cellStyle name="Comma 5 2 3 2 3 2 8" xfId="26562" xr:uid="{00000000-0005-0000-0000-000060080000}"/>
    <cellStyle name="Comma 5 2 3 2 3 3" xfId="1266" xr:uid="{00000000-0005-0000-0000-000061080000}"/>
    <cellStyle name="Comma 5 2 3 2 3 3 2" xfId="3695" xr:uid="{00000000-0005-0000-0000-000062080000}"/>
    <cellStyle name="Comma 5 2 3 2 3 3 2 2" xfId="12831" xr:uid="{00000000-0005-0000-0000-000063080000}"/>
    <cellStyle name="Comma 5 2 3 2 3 3 2 2 2" xfId="23050" xr:uid="{00000000-0005-0000-0000-000064080000}"/>
    <cellStyle name="Comma 5 2 3 2 3 3 2 2 2 2" xfId="48603" xr:uid="{00000000-0005-0000-0000-000065080000}"/>
    <cellStyle name="Comma 5 2 3 2 3 3 2 2 3" xfId="38386" xr:uid="{00000000-0005-0000-0000-000066080000}"/>
    <cellStyle name="Comma 5 2 3 2 3 3 2 3" xfId="9252" xr:uid="{00000000-0005-0000-0000-000067080000}"/>
    <cellStyle name="Comma 5 2 3 2 3 3 2 3 2" xfId="34809" xr:uid="{00000000-0005-0000-0000-000068080000}"/>
    <cellStyle name="Comma 5 2 3 2 3 3 2 4" xfId="18043" xr:uid="{00000000-0005-0000-0000-000069080000}"/>
    <cellStyle name="Comma 5 2 3 2 3 3 2 4 2" xfId="43596" xr:uid="{00000000-0005-0000-0000-00006A080000}"/>
    <cellStyle name="Comma 5 2 3 2 3 3 2 5" xfId="29533" xr:uid="{00000000-0005-0000-0000-00006B080000}"/>
    <cellStyle name="Comma 5 2 3 2 3 3 3" xfId="4797" xr:uid="{00000000-0005-0000-0000-00006C080000}"/>
    <cellStyle name="Comma 5 2 3 2 3 3 3 2" xfId="13634" xr:uid="{00000000-0005-0000-0000-00006D080000}"/>
    <cellStyle name="Comma 5 2 3 2 3 3 3 2 2" xfId="23885" xr:uid="{00000000-0005-0000-0000-00006E080000}"/>
    <cellStyle name="Comma 5 2 3 2 3 3 3 2 2 2" xfId="49438" xr:uid="{00000000-0005-0000-0000-00006F080000}"/>
    <cellStyle name="Comma 5 2 3 2 3 3 3 2 3" xfId="39189" xr:uid="{00000000-0005-0000-0000-000070080000}"/>
    <cellStyle name="Comma 5 2 3 2 3 3 3 3" xfId="10055" xr:uid="{00000000-0005-0000-0000-000071080000}"/>
    <cellStyle name="Comma 5 2 3 2 3 3 3 3 2" xfId="35612" xr:uid="{00000000-0005-0000-0000-000072080000}"/>
    <cellStyle name="Comma 5 2 3 2 3 3 3 4" xfId="18878" xr:uid="{00000000-0005-0000-0000-000073080000}"/>
    <cellStyle name="Comma 5 2 3 2 3 3 3 4 2" xfId="44431" xr:uid="{00000000-0005-0000-0000-000074080000}"/>
    <cellStyle name="Comma 5 2 3 2 3 3 3 5" xfId="30368" xr:uid="{00000000-0005-0000-0000-000075080000}"/>
    <cellStyle name="Comma 5 2 3 2 3 3 4" xfId="2089" xr:uid="{00000000-0005-0000-0000-000076080000}"/>
    <cellStyle name="Comma 5 2 3 2 3 3 4 2" xfId="11454" xr:uid="{00000000-0005-0000-0000-000077080000}"/>
    <cellStyle name="Comma 5 2 3 2 3 3 4 2 2" xfId="37009" xr:uid="{00000000-0005-0000-0000-000078080000}"/>
    <cellStyle name="Comma 5 2 3 2 3 3 4 3" xfId="21458" xr:uid="{00000000-0005-0000-0000-000079080000}"/>
    <cellStyle name="Comma 5 2 3 2 3 3 4 3 2" xfId="47011" xr:uid="{00000000-0005-0000-0000-00007A080000}"/>
    <cellStyle name="Comma 5 2 3 2 3 3 4 4" xfId="27941" xr:uid="{00000000-0005-0000-0000-00007B080000}"/>
    <cellStyle name="Comma 5 2 3 2 3 3 5" xfId="6252" xr:uid="{00000000-0005-0000-0000-00007C080000}"/>
    <cellStyle name="Comma 5 2 3 2 3 3 5 2" xfId="15079" xr:uid="{00000000-0005-0000-0000-00007D080000}"/>
    <cellStyle name="Comma 5 2 3 2 3 3 5 2 2" xfId="40634" xr:uid="{00000000-0005-0000-0000-00007E080000}"/>
    <cellStyle name="Comma 5 2 3 2 3 3 5 3" xfId="25330" xr:uid="{00000000-0005-0000-0000-00007F080000}"/>
    <cellStyle name="Comma 5 2 3 2 3 3 5 3 2" xfId="50883" xr:uid="{00000000-0005-0000-0000-000080080000}"/>
    <cellStyle name="Comma 5 2 3 2 3 3 5 4" xfId="31813" xr:uid="{00000000-0005-0000-0000-000081080000}"/>
    <cellStyle name="Comma 5 2 3 2 3 3 6" xfId="7698" xr:uid="{00000000-0005-0000-0000-000082080000}"/>
    <cellStyle name="Comma 5 2 3 2 3 3 6 2" xfId="20649" xr:uid="{00000000-0005-0000-0000-000083080000}"/>
    <cellStyle name="Comma 5 2 3 2 3 3 6 2 2" xfId="46202" xr:uid="{00000000-0005-0000-0000-000084080000}"/>
    <cellStyle name="Comma 5 2 3 2 3 3 6 3" xfId="33255" xr:uid="{00000000-0005-0000-0000-000085080000}"/>
    <cellStyle name="Comma 5 2 3 2 3 3 7" xfId="16451" xr:uid="{00000000-0005-0000-0000-000086080000}"/>
    <cellStyle name="Comma 5 2 3 2 3 3 7 2" xfId="42004" xr:uid="{00000000-0005-0000-0000-000087080000}"/>
    <cellStyle name="Comma 5 2 3 2 3 3 8" xfId="27132" xr:uid="{00000000-0005-0000-0000-000088080000}"/>
    <cellStyle name="Comma 5 2 3 2 3 4" xfId="2980" xr:uid="{00000000-0005-0000-0000-000089080000}"/>
    <cellStyle name="Comma 5 2 3 2 3 4 2" xfId="5358" xr:uid="{00000000-0005-0000-0000-00008A080000}"/>
    <cellStyle name="Comma 5 2 3 2 3 4 2 2" xfId="14195" xr:uid="{00000000-0005-0000-0000-00008B080000}"/>
    <cellStyle name="Comma 5 2 3 2 3 4 2 2 2" xfId="24446" xr:uid="{00000000-0005-0000-0000-00008C080000}"/>
    <cellStyle name="Comma 5 2 3 2 3 4 2 2 2 2" xfId="49999" xr:uid="{00000000-0005-0000-0000-00008D080000}"/>
    <cellStyle name="Comma 5 2 3 2 3 4 2 2 3" xfId="39750" xr:uid="{00000000-0005-0000-0000-00008E080000}"/>
    <cellStyle name="Comma 5 2 3 2 3 4 2 3" xfId="10616" xr:uid="{00000000-0005-0000-0000-00008F080000}"/>
    <cellStyle name="Comma 5 2 3 2 3 4 2 3 2" xfId="36173" xr:uid="{00000000-0005-0000-0000-000090080000}"/>
    <cellStyle name="Comma 5 2 3 2 3 4 2 4" xfId="19439" xr:uid="{00000000-0005-0000-0000-000091080000}"/>
    <cellStyle name="Comma 5 2 3 2 3 4 2 4 2" xfId="44992" xr:uid="{00000000-0005-0000-0000-000092080000}"/>
    <cellStyle name="Comma 5 2 3 2 3 4 2 5" xfId="30929" xr:uid="{00000000-0005-0000-0000-000093080000}"/>
    <cellStyle name="Comma 5 2 3 2 3 4 3" xfId="6813" xr:uid="{00000000-0005-0000-0000-000094080000}"/>
    <cellStyle name="Comma 5 2 3 2 3 4 3 2" xfId="15640" xr:uid="{00000000-0005-0000-0000-000095080000}"/>
    <cellStyle name="Comma 5 2 3 2 3 4 3 2 2" xfId="41195" xr:uid="{00000000-0005-0000-0000-000096080000}"/>
    <cellStyle name="Comma 5 2 3 2 3 4 3 3" xfId="25891" xr:uid="{00000000-0005-0000-0000-000097080000}"/>
    <cellStyle name="Comma 5 2 3 2 3 4 3 3 2" xfId="51444" xr:uid="{00000000-0005-0000-0000-000098080000}"/>
    <cellStyle name="Comma 5 2 3 2 3 4 3 4" xfId="32374" xr:uid="{00000000-0005-0000-0000-000099080000}"/>
    <cellStyle name="Comma 5 2 3 2 3 4 4" xfId="8259" xr:uid="{00000000-0005-0000-0000-00009A080000}"/>
    <cellStyle name="Comma 5 2 3 2 3 4 4 2" xfId="22341" xr:uid="{00000000-0005-0000-0000-00009B080000}"/>
    <cellStyle name="Comma 5 2 3 2 3 4 4 2 2" xfId="47894" xr:uid="{00000000-0005-0000-0000-00009C080000}"/>
    <cellStyle name="Comma 5 2 3 2 3 4 4 3" xfId="33816" xr:uid="{00000000-0005-0000-0000-00009D080000}"/>
    <cellStyle name="Comma 5 2 3 2 3 4 5" xfId="17334" xr:uid="{00000000-0005-0000-0000-00009E080000}"/>
    <cellStyle name="Comma 5 2 3 2 3 4 5 2" xfId="42887" xr:uid="{00000000-0005-0000-0000-00009F080000}"/>
    <cellStyle name="Comma 5 2 3 2 3 4 6" xfId="28824" xr:uid="{00000000-0005-0000-0000-0000A0080000}"/>
    <cellStyle name="Comma 5 2 3 2 3 5" xfId="4314" xr:uid="{00000000-0005-0000-0000-0000A1080000}"/>
    <cellStyle name="Comma 5 2 3 2 3 5 2" xfId="13152" xr:uid="{00000000-0005-0000-0000-0000A2080000}"/>
    <cellStyle name="Comma 5 2 3 2 3 5 2 2" xfId="23403" xr:uid="{00000000-0005-0000-0000-0000A3080000}"/>
    <cellStyle name="Comma 5 2 3 2 3 5 2 2 2" xfId="48956" xr:uid="{00000000-0005-0000-0000-0000A4080000}"/>
    <cellStyle name="Comma 5 2 3 2 3 5 2 3" xfId="38707" xr:uid="{00000000-0005-0000-0000-0000A5080000}"/>
    <cellStyle name="Comma 5 2 3 2 3 5 3" xfId="9573" xr:uid="{00000000-0005-0000-0000-0000A6080000}"/>
    <cellStyle name="Comma 5 2 3 2 3 5 3 2" xfId="35130" xr:uid="{00000000-0005-0000-0000-0000A7080000}"/>
    <cellStyle name="Comma 5 2 3 2 3 5 4" xfId="18396" xr:uid="{00000000-0005-0000-0000-0000A8080000}"/>
    <cellStyle name="Comma 5 2 3 2 3 5 4 2" xfId="43949" xr:uid="{00000000-0005-0000-0000-0000A9080000}"/>
    <cellStyle name="Comma 5 2 3 2 3 5 5" xfId="29886" xr:uid="{00000000-0005-0000-0000-0000AA080000}"/>
    <cellStyle name="Comma 5 2 3 2 3 6" xfId="1586" xr:uid="{00000000-0005-0000-0000-0000AB080000}"/>
    <cellStyle name="Comma 5 2 3 2 3 6 2" xfId="10963" xr:uid="{00000000-0005-0000-0000-0000AC080000}"/>
    <cellStyle name="Comma 5 2 3 2 3 6 2 2" xfId="36518" xr:uid="{00000000-0005-0000-0000-0000AD080000}"/>
    <cellStyle name="Comma 5 2 3 2 3 6 3" xfId="20967" xr:uid="{00000000-0005-0000-0000-0000AE080000}"/>
    <cellStyle name="Comma 5 2 3 2 3 6 3 2" xfId="46520" xr:uid="{00000000-0005-0000-0000-0000AF080000}"/>
    <cellStyle name="Comma 5 2 3 2 3 6 4" xfId="27450" xr:uid="{00000000-0005-0000-0000-0000B0080000}"/>
    <cellStyle name="Comma 5 2 3 2 3 7" xfId="5770" xr:uid="{00000000-0005-0000-0000-0000B1080000}"/>
    <cellStyle name="Comma 5 2 3 2 3 7 2" xfId="14597" xr:uid="{00000000-0005-0000-0000-0000B2080000}"/>
    <cellStyle name="Comma 5 2 3 2 3 7 2 2" xfId="40152" xr:uid="{00000000-0005-0000-0000-0000B3080000}"/>
    <cellStyle name="Comma 5 2 3 2 3 7 3" xfId="24848" xr:uid="{00000000-0005-0000-0000-0000B4080000}"/>
    <cellStyle name="Comma 5 2 3 2 3 7 3 2" xfId="50401" xr:uid="{00000000-0005-0000-0000-0000B5080000}"/>
    <cellStyle name="Comma 5 2 3 2 3 7 4" xfId="31331" xr:uid="{00000000-0005-0000-0000-0000B6080000}"/>
    <cellStyle name="Comma 5 2 3 2 3 8" xfId="7214" xr:uid="{00000000-0005-0000-0000-0000B7080000}"/>
    <cellStyle name="Comma 5 2 3 2 3 8 2" xfId="19940" xr:uid="{00000000-0005-0000-0000-0000B8080000}"/>
    <cellStyle name="Comma 5 2 3 2 3 8 2 2" xfId="45493" xr:uid="{00000000-0005-0000-0000-0000B9080000}"/>
    <cellStyle name="Comma 5 2 3 2 3 8 3" xfId="32771" xr:uid="{00000000-0005-0000-0000-0000BA080000}"/>
    <cellStyle name="Comma 5 2 3 2 3 9" xfId="15960" xr:uid="{00000000-0005-0000-0000-0000BB080000}"/>
    <cellStyle name="Comma 5 2 3 2 3 9 2" xfId="41513" xr:uid="{00000000-0005-0000-0000-0000BC080000}"/>
    <cellStyle name="Comma 5 2 3 2 4" xfId="394" xr:uid="{00000000-0005-0000-0000-0000BD080000}"/>
    <cellStyle name="Comma 5 2 3 2 4 2" xfId="2880" xr:uid="{00000000-0005-0000-0000-0000BE080000}"/>
    <cellStyle name="Comma 5 2 3 2 4 2 2" xfId="12168" xr:uid="{00000000-0005-0000-0000-0000BF080000}"/>
    <cellStyle name="Comma 5 2 3 2 4 2 2 2" xfId="22241" xr:uid="{00000000-0005-0000-0000-0000C0080000}"/>
    <cellStyle name="Comma 5 2 3 2 4 2 2 2 2" xfId="47794" xr:uid="{00000000-0005-0000-0000-0000C1080000}"/>
    <cellStyle name="Comma 5 2 3 2 4 2 2 3" xfId="37723" xr:uid="{00000000-0005-0000-0000-0000C2080000}"/>
    <cellStyle name="Comma 5 2 3 2 4 2 3" xfId="8636" xr:uid="{00000000-0005-0000-0000-0000C3080000}"/>
    <cellStyle name="Comma 5 2 3 2 4 2 3 2" xfId="34193" xr:uid="{00000000-0005-0000-0000-0000C4080000}"/>
    <cellStyle name="Comma 5 2 3 2 4 2 4" xfId="17234" xr:uid="{00000000-0005-0000-0000-0000C5080000}"/>
    <cellStyle name="Comma 5 2 3 2 4 2 4 2" xfId="42787" xr:uid="{00000000-0005-0000-0000-0000C6080000}"/>
    <cellStyle name="Comma 5 2 3 2 4 2 5" xfId="28724" xr:uid="{00000000-0005-0000-0000-0000C7080000}"/>
    <cellStyle name="Comma 5 2 3 2 4 3" xfId="4446" xr:uid="{00000000-0005-0000-0000-0000C8080000}"/>
    <cellStyle name="Comma 5 2 3 2 4 3 2" xfId="13284" xr:uid="{00000000-0005-0000-0000-0000C9080000}"/>
    <cellStyle name="Comma 5 2 3 2 4 3 2 2" xfId="23535" xr:uid="{00000000-0005-0000-0000-0000CA080000}"/>
    <cellStyle name="Comma 5 2 3 2 4 3 2 2 2" xfId="49088" xr:uid="{00000000-0005-0000-0000-0000CB080000}"/>
    <cellStyle name="Comma 5 2 3 2 4 3 2 3" xfId="38839" xr:uid="{00000000-0005-0000-0000-0000CC080000}"/>
    <cellStyle name="Comma 5 2 3 2 4 3 3" xfId="9705" xr:uid="{00000000-0005-0000-0000-0000CD080000}"/>
    <cellStyle name="Comma 5 2 3 2 4 3 3 2" xfId="35262" xr:uid="{00000000-0005-0000-0000-0000CE080000}"/>
    <cellStyle name="Comma 5 2 3 2 4 3 4" xfId="18528" xr:uid="{00000000-0005-0000-0000-0000CF080000}"/>
    <cellStyle name="Comma 5 2 3 2 4 3 4 2" xfId="44081" xr:uid="{00000000-0005-0000-0000-0000D0080000}"/>
    <cellStyle name="Comma 5 2 3 2 4 3 5" xfId="30018" xr:uid="{00000000-0005-0000-0000-0000D1080000}"/>
    <cellStyle name="Comma 5 2 3 2 4 4" xfId="1989" xr:uid="{00000000-0005-0000-0000-0000D2080000}"/>
    <cellStyle name="Comma 5 2 3 2 4 4 2" xfId="11354" xr:uid="{00000000-0005-0000-0000-0000D3080000}"/>
    <cellStyle name="Comma 5 2 3 2 4 4 2 2" xfId="36909" xr:uid="{00000000-0005-0000-0000-0000D4080000}"/>
    <cellStyle name="Comma 5 2 3 2 4 4 3" xfId="21358" xr:uid="{00000000-0005-0000-0000-0000D5080000}"/>
    <cellStyle name="Comma 5 2 3 2 4 4 3 2" xfId="46911" xr:uid="{00000000-0005-0000-0000-0000D6080000}"/>
    <cellStyle name="Comma 5 2 3 2 4 4 4" xfId="27841" xr:uid="{00000000-0005-0000-0000-0000D7080000}"/>
    <cellStyle name="Comma 5 2 3 2 4 5" xfId="5902" xr:uid="{00000000-0005-0000-0000-0000D8080000}"/>
    <cellStyle name="Comma 5 2 3 2 4 5 2" xfId="14729" xr:uid="{00000000-0005-0000-0000-0000D9080000}"/>
    <cellStyle name="Comma 5 2 3 2 4 5 2 2" xfId="40284" xr:uid="{00000000-0005-0000-0000-0000DA080000}"/>
    <cellStyle name="Comma 5 2 3 2 4 5 3" xfId="24980" xr:uid="{00000000-0005-0000-0000-0000DB080000}"/>
    <cellStyle name="Comma 5 2 3 2 4 5 3 2" xfId="50533" xr:uid="{00000000-0005-0000-0000-0000DC080000}"/>
    <cellStyle name="Comma 5 2 3 2 4 5 4" xfId="31463" xr:uid="{00000000-0005-0000-0000-0000DD080000}"/>
    <cellStyle name="Comma 5 2 3 2 4 6" xfId="7346" xr:uid="{00000000-0005-0000-0000-0000DE080000}"/>
    <cellStyle name="Comma 5 2 3 2 4 6 2" xfId="19840" xr:uid="{00000000-0005-0000-0000-0000DF080000}"/>
    <cellStyle name="Comma 5 2 3 2 4 6 2 2" xfId="45393" xr:uid="{00000000-0005-0000-0000-0000E0080000}"/>
    <cellStyle name="Comma 5 2 3 2 4 6 3" xfId="32903" xr:uid="{00000000-0005-0000-0000-0000E1080000}"/>
    <cellStyle name="Comma 5 2 3 2 4 7" xfId="16351" xr:uid="{00000000-0005-0000-0000-0000E2080000}"/>
    <cellStyle name="Comma 5 2 3 2 4 7 2" xfId="41904" xr:uid="{00000000-0005-0000-0000-0000E3080000}"/>
    <cellStyle name="Comma 5 2 3 2 4 8" xfId="26323" xr:uid="{00000000-0005-0000-0000-0000E4080000}"/>
    <cellStyle name="Comma 5 2 3 2 5" xfId="631" xr:uid="{00000000-0005-0000-0000-0000E5080000}"/>
    <cellStyle name="Comma 5 2 3 2 5 2" xfId="3117" xr:uid="{00000000-0005-0000-0000-0000E6080000}"/>
    <cellStyle name="Comma 5 2 3 2 5 2 2" xfId="12260" xr:uid="{00000000-0005-0000-0000-0000E7080000}"/>
    <cellStyle name="Comma 5 2 3 2 5 2 2 2" xfId="22478" xr:uid="{00000000-0005-0000-0000-0000E8080000}"/>
    <cellStyle name="Comma 5 2 3 2 5 2 2 2 2" xfId="48031" xr:uid="{00000000-0005-0000-0000-0000E9080000}"/>
    <cellStyle name="Comma 5 2 3 2 5 2 2 3" xfId="37815" xr:uid="{00000000-0005-0000-0000-0000EA080000}"/>
    <cellStyle name="Comma 5 2 3 2 5 2 3" xfId="8682" xr:uid="{00000000-0005-0000-0000-0000EB080000}"/>
    <cellStyle name="Comma 5 2 3 2 5 2 3 2" xfId="34239" xr:uid="{00000000-0005-0000-0000-0000EC080000}"/>
    <cellStyle name="Comma 5 2 3 2 5 2 4" xfId="17471" xr:uid="{00000000-0005-0000-0000-0000ED080000}"/>
    <cellStyle name="Comma 5 2 3 2 5 2 4 2" xfId="43024" xr:uid="{00000000-0005-0000-0000-0000EE080000}"/>
    <cellStyle name="Comma 5 2 3 2 5 2 5" xfId="28961" xr:uid="{00000000-0005-0000-0000-0000EF080000}"/>
    <cellStyle name="Comma 5 2 3 2 5 3" xfId="4795" xr:uid="{00000000-0005-0000-0000-0000F0080000}"/>
    <cellStyle name="Comma 5 2 3 2 5 3 2" xfId="13632" xr:uid="{00000000-0005-0000-0000-0000F1080000}"/>
    <cellStyle name="Comma 5 2 3 2 5 3 2 2" xfId="23883" xr:uid="{00000000-0005-0000-0000-0000F2080000}"/>
    <cellStyle name="Comma 5 2 3 2 5 3 2 2 2" xfId="49436" xr:uid="{00000000-0005-0000-0000-0000F3080000}"/>
    <cellStyle name="Comma 5 2 3 2 5 3 2 3" xfId="39187" xr:uid="{00000000-0005-0000-0000-0000F4080000}"/>
    <cellStyle name="Comma 5 2 3 2 5 3 3" xfId="10053" xr:uid="{00000000-0005-0000-0000-0000F5080000}"/>
    <cellStyle name="Comma 5 2 3 2 5 3 3 2" xfId="35610" xr:uid="{00000000-0005-0000-0000-0000F6080000}"/>
    <cellStyle name="Comma 5 2 3 2 5 3 4" xfId="18876" xr:uid="{00000000-0005-0000-0000-0000F7080000}"/>
    <cellStyle name="Comma 5 2 3 2 5 3 4 2" xfId="44429" xr:uid="{00000000-0005-0000-0000-0000F8080000}"/>
    <cellStyle name="Comma 5 2 3 2 5 3 5" xfId="30366" xr:uid="{00000000-0005-0000-0000-0000F9080000}"/>
    <cellStyle name="Comma 5 2 3 2 5 4" xfId="2226" xr:uid="{00000000-0005-0000-0000-0000FA080000}"/>
    <cellStyle name="Comma 5 2 3 2 5 4 2" xfId="11591" xr:uid="{00000000-0005-0000-0000-0000FB080000}"/>
    <cellStyle name="Comma 5 2 3 2 5 4 2 2" xfId="37146" xr:uid="{00000000-0005-0000-0000-0000FC080000}"/>
    <cellStyle name="Comma 5 2 3 2 5 4 3" xfId="21595" xr:uid="{00000000-0005-0000-0000-0000FD080000}"/>
    <cellStyle name="Comma 5 2 3 2 5 4 3 2" xfId="47148" xr:uid="{00000000-0005-0000-0000-0000FE080000}"/>
    <cellStyle name="Comma 5 2 3 2 5 4 4" xfId="28078" xr:uid="{00000000-0005-0000-0000-0000FF080000}"/>
    <cellStyle name="Comma 5 2 3 2 5 5" xfId="6250" xr:uid="{00000000-0005-0000-0000-000000090000}"/>
    <cellStyle name="Comma 5 2 3 2 5 5 2" xfId="15077" xr:uid="{00000000-0005-0000-0000-000001090000}"/>
    <cellStyle name="Comma 5 2 3 2 5 5 2 2" xfId="40632" xr:uid="{00000000-0005-0000-0000-000002090000}"/>
    <cellStyle name="Comma 5 2 3 2 5 5 3" xfId="25328" xr:uid="{00000000-0005-0000-0000-000003090000}"/>
    <cellStyle name="Comma 5 2 3 2 5 5 3 2" xfId="50881" xr:uid="{00000000-0005-0000-0000-000004090000}"/>
    <cellStyle name="Comma 5 2 3 2 5 5 4" xfId="31811" xr:uid="{00000000-0005-0000-0000-000005090000}"/>
    <cellStyle name="Comma 5 2 3 2 5 6" xfId="7696" xr:uid="{00000000-0005-0000-0000-000006090000}"/>
    <cellStyle name="Comma 5 2 3 2 5 6 2" xfId="20077" xr:uid="{00000000-0005-0000-0000-000007090000}"/>
    <cellStyle name="Comma 5 2 3 2 5 6 2 2" xfId="45630" xr:uid="{00000000-0005-0000-0000-000008090000}"/>
    <cellStyle name="Comma 5 2 3 2 5 6 3" xfId="33253" xr:uid="{00000000-0005-0000-0000-000009090000}"/>
    <cellStyle name="Comma 5 2 3 2 5 7" xfId="16588" xr:uid="{00000000-0005-0000-0000-00000A090000}"/>
    <cellStyle name="Comma 5 2 3 2 5 7 2" xfId="42141" xr:uid="{00000000-0005-0000-0000-00000B090000}"/>
    <cellStyle name="Comma 5 2 3 2 5 8" xfId="26560" xr:uid="{00000000-0005-0000-0000-00000C090000}"/>
    <cellStyle name="Comma 5 2 3 2 6" xfId="1166" xr:uid="{00000000-0005-0000-0000-00000D090000}"/>
    <cellStyle name="Comma 5 2 3 2 6 2" xfId="3595" xr:uid="{00000000-0005-0000-0000-00000E090000}"/>
    <cellStyle name="Comma 5 2 3 2 6 2 2" xfId="12731" xr:uid="{00000000-0005-0000-0000-00000F090000}"/>
    <cellStyle name="Comma 5 2 3 2 6 2 2 2" xfId="22950" xr:uid="{00000000-0005-0000-0000-000010090000}"/>
    <cellStyle name="Comma 5 2 3 2 6 2 2 2 2" xfId="48503" xr:uid="{00000000-0005-0000-0000-000011090000}"/>
    <cellStyle name="Comma 5 2 3 2 6 2 2 3" xfId="38286" xr:uid="{00000000-0005-0000-0000-000012090000}"/>
    <cellStyle name="Comma 5 2 3 2 6 2 3" xfId="9152" xr:uid="{00000000-0005-0000-0000-000013090000}"/>
    <cellStyle name="Comma 5 2 3 2 6 2 3 2" xfId="34709" xr:uid="{00000000-0005-0000-0000-000014090000}"/>
    <cellStyle name="Comma 5 2 3 2 6 2 4" xfId="17943" xr:uid="{00000000-0005-0000-0000-000015090000}"/>
    <cellStyle name="Comma 5 2 3 2 6 2 4 2" xfId="43496" xr:uid="{00000000-0005-0000-0000-000016090000}"/>
    <cellStyle name="Comma 5 2 3 2 6 2 5" xfId="29433" xr:uid="{00000000-0005-0000-0000-000017090000}"/>
    <cellStyle name="Comma 5 2 3 2 6 3" xfId="5258" xr:uid="{00000000-0005-0000-0000-000018090000}"/>
    <cellStyle name="Comma 5 2 3 2 6 3 2" xfId="14095" xr:uid="{00000000-0005-0000-0000-000019090000}"/>
    <cellStyle name="Comma 5 2 3 2 6 3 2 2" xfId="24346" xr:uid="{00000000-0005-0000-0000-00001A090000}"/>
    <cellStyle name="Comma 5 2 3 2 6 3 2 2 2" xfId="49899" xr:uid="{00000000-0005-0000-0000-00001B090000}"/>
    <cellStyle name="Comma 5 2 3 2 6 3 2 3" xfId="39650" xr:uid="{00000000-0005-0000-0000-00001C090000}"/>
    <cellStyle name="Comma 5 2 3 2 6 3 3" xfId="10516" xr:uid="{00000000-0005-0000-0000-00001D090000}"/>
    <cellStyle name="Comma 5 2 3 2 6 3 3 2" xfId="36073" xr:uid="{00000000-0005-0000-0000-00001E090000}"/>
    <cellStyle name="Comma 5 2 3 2 6 3 4" xfId="19339" xr:uid="{00000000-0005-0000-0000-00001F090000}"/>
    <cellStyle name="Comma 5 2 3 2 6 3 4 2" xfId="44892" xr:uid="{00000000-0005-0000-0000-000020090000}"/>
    <cellStyle name="Comma 5 2 3 2 6 3 5" xfId="30829" xr:uid="{00000000-0005-0000-0000-000021090000}"/>
    <cellStyle name="Comma 5 2 3 2 6 4" xfId="1766" xr:uid="{00000000-0005-0000-0000-000022090000}"/>
    <cellStyle name="Comma 5 2 3 2 6 4 2" xfId="11137" xr:uid="{00000000-0005-0000-0000-000023090000}"/>
    <cellStyle name="Comma 5 2 3 2 6 4 2 2" xfId="36692" xr:uid="{00000000-0005-0000-0000-000024090000}"/>
    <cellStyle name="Comma 5 2 3 2 6 4 3" xfId="21141" xr:uid="{00000000-0005-0000-0000-000025090000}"/>
    <cellStyle name="Comma 5 2 3 2 6 4 3 2" xfId="46694" xr:uid="{00000000-0005-0000-0000-000026090000}"/>
    <cellStyle name="Comma 5 2 3 2 6 4 4" xfId="27624" xr:uid="{00000000-0005-0000-0000-000027090000}"/>
    <cellStyle name="Comma 5 2 3 2 6 5" xfId="6713" xr:uid="{00000000-0005-0000-0000-000028090000}"/>
    <cellStyle name="Comma 5 2 3 2 6 5 2" xfId="15540" xr:uid="{00000000-0005-0000-0000-000029090000}"/>
    <cellStyle name="Comma 5 2 3 2 6 5 2 2" xfId="41095" xr:uid="{00000000-0005-0000-0000-00002A090000}"/>
    <cellStyle name="Comma 5 2 3 2 6 5 3" xfId="25791" xr:uid="{00000000-0005-0000-0000-00002B090000}"/>
    <cellStyle name="Comma 5 2 3 2 6 5 3 2" xfId="51344" xr:uid="{00000000-0005-0000-0000-00002C090000}"/>
    <cellStyle name="Comma 5 2 3 2 6 5 4" xfId="32274" xr:uid="{00000000-0005-0000-0000-00002D090000}"/>
    <cellStyle name="Comma 5 2 3 2 6 6" xfId="8159" xr:uid="{00000000-0005-0000-0000-00002E090000}"/>
    <cellStyle name="Comma 5 2 3 2 6 6 2" xfId="20549" xr:uid="{00000000-0005-0000-0000-00002F090000}"/>
    <cellStyle name="Comma 5 2 3 2 6 6 2 2" xfId="46102" xr:uid="{00000000-0005-0000-0000-000030090000}"/>
    <cellStyle name="Comma 5 2 3 2 6 6 3" xfId="33716" xr:uid="{00000000-0005-0000-0000-000031090000}"/>
    <cellStyle name="Comma 5 2 3 2 6 7" xfId="16134" xr:uid="{00000000-0005-0000-0000-000032090000}"/>
    <cellStyle name="Comma 5 2 3 2 6 7 2" xfId="41687" xr:uid="{00000000-0005-0000-0000-000033090000}"/>
    <cellStyle name="Comma 5 2 3 2 6 8" xfId="27032" xr:uid="{00000000-0005-0000-0000-000034090000}"/>
    <cellStyle name="Comma 5 2 3 2 7" xfId="2663" xr:uid="{00000000-0005-0000-0000-000035090000}"/>
    <cellStyle name="Comma 5 2 3 2 7 2" xfId="11980" xr:uid="{00000000-0005-0000-0000-000036090000}"/>
    <cellStyle name="Comma 5 2 3 2 7 2 2" xfId="22024" xr:uid="{00000000-0005-0000-0000-000037090000}"/>
    <cellStyle name="Comma 5 2 3 2 7 2 2 2" xfId="47577" xr:uid="{00000000-0005-0000-0000-000038090000}"/>
    <cellStyle name="Comma 5 2 3 2 7 2 3" xfId="37535" xr:uid="{00000000-0005-0000-0000-000039090000}"/>
    <cellStyle name="Comma 5 2 3 2 7 3" xfId="8603" xr:uid="{00000000-0005-0000-0000-00003A090000}"/>
    <cellStyle name="Comma 5 2 3 2 7 3 2" xfId="34160" xr:uid="{00000000-0005-0000-0000-00003B090000}"/>
    <cellStyle name="Comma 5 2 3 2 7 4" xfId="17017" xr:uid="{00000000-0005-0000-0000-00003C090000}"/>
    <cellStyle name="Comma 5 2 3 2 7 4 2" xfId="42570" xr:uid="{00000000-0005-0000-0000-00003D090000}"/>
    <cellStyle name="Comma 5 2 3 2 7 5" xfId="28507" xr:uid="{00000000-0005-0000-0000-00003E090000}"/>
    <cellStyle name="Comma 5 2 3 2 8" xfId="4214" xr:uid="{00000000-0005-0000-0000-00003F090000}"/>
    <cellStyle name="Comma 5 2 3 2 8 2" xfId="13052" xr:uid="{00000000-0005-0000-0000-000040090000}"/>
    <cellStyle name="Comma 5 2 3 2 8 2 2" xfId="23303" xr:uid="{00000000-0005-0000-0000-000041090000}"/>
    <cellStyle name="Comma 5 2 3 2 8 2 2 2" xfId="48856" xr:uid="{00000000-0005-0000-0000-000042090000}"/>
    <cellStyle name="Comma 5 2 3 2 8 2 3" xfId="38607" xr:uid="{00000000-0005-0000-0000-000043090000}"/>
    <cellStyle name="Comma 5 2 3 2 8 3" xfId="9473" xr:uid="{00000000-0005-0000-0000-000044090000}"/>
    <cellStyle name="Comma 5 2 3 2 8 3 2" xfId="35030" xr:uid="{00000000-0005-0000-0000-000045090000}"/>
    <cellStyle name="Comma 5 2 3 2 8 4" xfId="18296" xr:uid="{00000000-0005-0000-0000-000046090000}"/>
    <cellStyle name="Comma 5 2 3 2 8 4 2" xfId="43849" xr:uid="{00000000-0005-0000-0000-000047090000}"/>
    <cellStyle name="Comma 5 2 3 2 8 5" xfId="29786" xr:uid="{00000000-0005-0000-0000-000048090000}"/>
    <cellStyle name="Comma 5 2 3 2 9" xfId="1486" xr:uid="{00000000-0005-0000-0000-000049090000}"/>
    <cellStyle name="Comma 5 2 3 2 9 2" xfId="10863" xr:uid="{00000000-0005-0000-0000-00004A090000}"/>
    <cellStyle name="Comma 5 2 3 2 9 2 2" xfId="36418" xr:uid="{00000000-0005-0000-0000-00004B090000}"/>
    <cellStyle name="Comma 5 2 3 2 9 3" xfId="20867" xr:uid="{00000000-0005-0000-0000-00004C090000}"/>
    <cellStyle name="Comma 5 2 3 2 9 3 2" xfId="46420" xr:uid="{00000000-0005-0000-0000-00004D090000}"/>
    <cellStyle name="Comma 5 2 3 2 9 4" xfId="27350" xr:uid="{00000000-0005-0000-0000-00004E090000}"/>
    <cellStyle name="Comma 5 2 3 3" xfId="211" xr:uid="{00000000-0005-0000-0000-00004F090000}"/>
    <cellStyle name="Comma 5 2 3 3 10" xfId="7157" xr:uid="{00000000-0005-0000-0000-000050090000}"/>
    <cellStyle name="Comma 5 2 3 3 10 2" xfId="19666" xr:uid="{00000000-0005-0000-0000-000051090000}"/>
    <cellStyle name="Comma 5 2 3 3 10 2 2" xfId="45219" xr:uid="{00000000-0005-0000-0000-000052090000}"/>
    <cellStyle name="Comma 5 2 3 3 10 3" xfId="32714" xr:uid="{00000000-0005-0000-0000-000053090000}"/>
    <cellStyle name="Comma 5 2 3 3 11" xfId="15903" xr:uid="{00000000-0005-0000-0000-000054090000}"/>
    <cellStyle name="Comma 5 2 3 3 11 2" xfId="41456" xr:uid="{00000000-0005-0000-0000-000055090000}"/>
    <cellStyle name="Comma 5 2 3 3 12" xfId="26149" xr:uid="{00000000-0005-0000-0000-000056090000}"/>
    <cellStyle name="Comma 5 2 3 3 2" xfId="537" xr:uid="{00000000-0005-0000-0000-000057090000}"/>
    <cellStyle name="Comma 5 2 3 3 2 10" xfId="26466" xr:uid="{00000000-0005-0000-0000-000058090000}"/>
    <cellStyle name="Comma 5 2 3 3 2 2" xfId="635" xr:uid="{00000000-0005-0000-0000-000059090000}"/>
    <cellStyle name="Comma 5 2 3 3 2 2 2" xfId="3121" xr:uid="{00000000-0005-0000-0000-00005A090000}"/>
    <cellStyle name="Comma 5 2 3 3 2 2 2 2" xfId="12264" xr:uid="{00000000-0005-0000-0000-00005B090000}"/>
    <cellStyle name="Comma 5 2 3 3 2 2 2 2 2" xfId="22482" xr:uid="{00000000-0005-0000-0000-00005C090000}"/>
    <cellStyle name="Comma 5 2 3 3 2 2 2 2 2 2" xfId="48035" xr:uid="{00000000-0005-0000-0000-00005D090000}"/>
    <cellStyle name="Comma 5 2 3 3 2 2 2 2 3" xfId="37819" xr:uid="{00000000-0005-0000-0000-00005E090000}"/>
    <cellStyle name="Comma 5 2 3 3 2 2 2 3" xfId="8686" xr:uid="{00000000-0005-0000-0000-00005F090000}"/>
    <cellStyle name="Comma 5 2 3 3 2 2 2 3 2" xfId="34243" xr:uid="{00000000-0005-0000-0000-000060090000}"/>
    <cellStyle name="Comma 5 2 3 3 2 2 2 4" xfId="17475" xr:uid="{00000000-0005-0000-0000-000061090000}"/>
    <cellStyle name="Comma 5 2 3 3 2 2 2 4 2" xfId="43028" xr:uid="{00000000-0005-0000-0000-000062090000}"/>
    <cellStyle name="Comma 5 2 3 3 2 2 2 5" xfId="28965" xr:uid="{00000000-0005-0000-0000-000063090000}"/>
    <cellStyle name="Comma 5 2 3 3 2 2 3" xfId="4450" xr:uid="{00000000-0005-0000-0000-000064090000}"/>
    <cellStyle name="Comma 5 2 3 3 2 2 3 2" xfId="13288" xr:uid="{00000000-0005-0000-0000-000065090000}"/>
    <cellStyle name="Comma 5 2 3 3 2 2 3 2 2" xfId="23539" xr:uid="{00000000-0005-0000-0000-000066090000}"/>
    <cellStyle name="Comma 5 2 3 3 2 2 3 2 2 2" xfId="49092" xr:uid="{00000000-0005-0000-0000-000067090000}"/>
    <cellStyle name="Comma 5 2 3 3 2 2 3 2 3" xfId="38843" xr:uid="{00000000-0005-0000-0000-000068090000}"/>
    <cellStyle name="Comma 5 2 3 3 2 2 3 3" xfId="9709" xr:uid="{00000000-0005-0000-0000-000069090000}"/>
    <cellStyle name="Comma 5 2 3 3 2 2 3 3 2" xfId="35266" xr:uid="{00000000-0005-0000-0000-00006A090000}"/>
    <cellStyle name="Comma 5 2 3 3 2 2 3 4" xfId="18532" xr:uid="{00000000-0005-0000-0000-00006B090000}"/>
    <cellStyle name="Comma 5 2 3 3 2 2 3 4 2" xfId="44085" xr:uid="{00000000-0005-0000-0000-00006C090000}"/>
    <cellStyle name="Comma 5 2 3 3 2 2 3 5" xfId="30022" xr:uid="{00000000-0005-0000-0000-00006D090000}"/>
    <cellStyle name="Comma 5 2 3 3 2 2 4" xfId="2230" xr:uid="{00000000-0005-0000-0000-00006E090000}"/>
    <cellStyle name="Comma 5 2 3 3 2 2 4 2" xfId="11595" xr:uid="{00000000-0005-0000-0000-00006F090000}"/>
    <cellStyle name="Comma 5 2 3 3 2 2 4 2 2" xfId="37150" xr:uid="{00000000-0005-0000-0000-000070090000}"/>
    <cellStyle name="Comma 5 2 3 3 2 2 4 3" xfId="21599" xr:uid="{00000000-0005-0000-0000-000071090000}"/>
    <cellStyle name="Comma 5 2 3 3 2 2 4 3 2" xfId="47152" xr:uid="{00000000-0005-0000-0000-000072090000}"/>
    <cellStyle name="Comma 5 2 3 3 2 2 4 4" xfId="28082" xr:uid="{00000000-0005-0000-0000-000073090000}"/>
    <cellStyle name="Comma 5 2 3 3 2 2 5" xfId="5906" xr:uid="{00000000-0005-0000-0000-000074090000}"/>
    <cellStyle name="Comma 5 2 3 3 2 2 5 2" xfId="14733" xr:uid="{00000000-0005-0000-0000-000075090000}"/>
    <cellStyle name="Comma 5 2 3 3 2 2 5 2 2" xfId="40288" xr:uid="{00000000-0005-0000-0000-000076090000}"/>
    <cellStyle name="Comma 5 2 3 3 2 2 5 3" xfId="24984" xr:uid="{00000000-0005-0000-0000-000077090000}"/>
    <cellStyle name="Comma 5 2 3 3 2 2 5 3 2" xfId="50537" xr:uid="{00000000-0005-0000-0000-000078090000}"/>
    <cellStyle name="Comma 5 2 3 3 2 2 5 4" xfId="31467" xr:uid="{00000000-0005-0000-0000-000079090000}"/>
    <cellStyle name="Comma 5 2 3 3 2 2 6" xfId="7350" xr:uid="{00000000-0005-0000-0000-00007A090000}"/>
    <cellStyle name="Comma 5 2 3 3 2 2 6 2" xfId="20081" xr:uid="{00000000-0005-0000-0000-00007B090000}"/>
    <cellStyle name="Comma 5 2 3 3 2 2 6 2 2" xfId="45634" xr:uid="{00000000-0005-0000-0000-00007C090000}"/>
    <cellStyle name="Comma 5 2 3 3 2 2 6 3" xfId="32907" xr:uid="{00000000-0005-0000-0000-00007D090000}"/>
    <cellStyle name="Comma 5 2 3 3 2 2 7" xfId="16592" xr:uid="{00000000-0005-0000-0000-00007E090000}"/>
    <cellStyle name="Comma 5 2 3 3 2 2 7 2" xfId="42145" xr:uid="{00000000-0005-0000-0000-00007F090000}"/>
    <cellStyle name="Comma 5 2 3 3 2 2 8" xfId="26564" xr:uid="{00000000-0005-0000-0000-000080090000}"/>
    <cellStyle name="Comma 5 2 3 3 2 3" xfId="1309" xr:uid="{00000000-0005-0000-0000-000081090000}"/>
    <cellStyle name="Comma 5 2 3 3 2 3 2" xfId="3738" xr:uid="{00000000-0005-0000-0000-000082090000}"/>
    <cellStyle name="Comma 5 2 3 3 2 3 2 2" xfId="12874" xr:uid="{00000000-0005-0000-0000-000083090000}"/>
    <cellStyle name="Comma 5 2 3 3 2 3 2 2 2" xfId="23093" xr:uid="{00000000-0005-0000-0000-000084090000}"/>
    <cellStyle name="Comma 5 2 3 3 2 3 2 2 2 2" xfId="48646" xr:uid="{00000000-0005-0000-0000-000085090000}"/>
    <cellStyle name="Comma 5 2 3 3 2 3 2 2 3" xfId="38429" xr:uid="{00000000-0005-0000-0000-000086090000}"/>
    <cellStyle name="Comma 5 2 3 3 2 3 2 3" xfId="9295" xr:uid="{00000000-0005-0000-0000-000087090000}"/>
    <cellStyle name="Comma 5 2 3 3 2 3 2 3 2" xfId="34852" xr:uid="{00000000-0005-0000-0000-000088090000}"/>
    <cellStyle name="Comma 5 2 3 3 2 3 2 4" xfId="18086" xr:uid="{00000000-0005-0000-0000-000089090000}"/>
    <cellStyle name="Comma 5 2 3 3 2 3 2 4 2" xfId="43639" xr:uid="{00000000-0005-0000-0000-00008A090000}"/>
    <cellStyle name="Comma 5 2 3 3 2 3 2 5" xfId="29576" xr:uid="{00000000-0005-0000-0000-00008B090000}"/>
    <cellStyle name="Comma 5 2 3 3 2 3 3" xfId="4799" xr:uid="{00000000-0005-0000-0000-00008C090000}"/>
    <cellStyle name="Comma 5 2 3 3 2 3 3 2" xfId="13636" xr:uid="{00000000-0005-0000-0000-00008D090000}"/>
    <cellStyle name="Comma 5 2 3 3 2 3 3 2 2" xfId="23887" xr:uid="{00000000-0005-0000-0000-00008E090000}"/>
    <cellStyle name="Comma 5 2 3 3 2 3 3 2 2 2" xfId="49440" xr:uid="{00000000-0005-0000-0000-00008F090000}"/>
    <cellStyle name="Comma 5 2 3 3 2 3 3 2 3" xfId="39191" xr:uid="{00000000-0005-0000-0000-000090090000}"/>
    <cellStyle name="Comma 5 2 3 3 2 3 3 3" xfId="10057" xr:uid="{00000000-0005-0000-0000-000091090000}"/>
    <cellStyle name="Comma 5 2 3 3 2 3 3 3 2" xfId="35614" xr:uid="{00000000-0005-0000-0000-000092090000}"/>
    <cellStyle name="Comma 5 2 3 3 2 3 3 4" xfId="18880" xr:uid="{00000000-0005-0000-0000-000093090000}"/>
    <cellStyle name="Comma 5 2 3 3 2 3 3 4 2" xfId="44433" xr:uid="{00000000-0005-0000-0000-000094090000}"/>
    <cellStyle name="Comma 5 2 3 3 2 3 3 5" xfId="30370" xr:uid="{00000000-0005-0000-0000-000095090000}"/>
    <cellStyle name="Comma 5 2 3 3 2 3 4" xfId="2132" xr:uid="{00000000-0005-0000-0000-000096090000}"/>
    <cellStyle name="Comma 5 2 3 3 2 3 4 2" xfId="11497" xr:uid="{00000000-0005-0000-0000-000097090000}"/>
    <cellStyle name="Comma 5 2 3 3 2 3 4 2 2" xfId="37052" xr:uid="{00000000-0005-0000-0000-000098090000}"/>
    <cellStyle name="Comma 5 2 3 3 2 3 4 3" xfId="21501" xr:uid="{00000000-0005-0000-0000-000099090000}"/>
    <cellStyle name="Comma 5 2 3 3 2 3 4 3 2" xfId="47054" xr:uid="{00000000-0005-0000-0000-00009A090000}"/>
    <cellStyle name="Comma 5 2 3 3 2 3 4 4" xfId="27984" xr:uid="{00000000-0005-0000-0000-00009B090000}"/>
    <cellStyle name="Comma 5 2 3 3 2 3 5" xfId="6254" xr:uid="{00000000-0005-0000-0000-00009C090000}"/>
    <cellStyle name="Comma 5 2 3 3 2 3 5 2" xfId="15081" xr:uid="{00000000-0005-0000-0000-00009D090000}"/>
    <cellStyle name="Comma 5 2 3 3 2 3 5 2 2" xfId="40636" xr:uid="{00000000-0005-0000-0000-00009E090000}"/>
    <cellStyle name="Comma 5 2 3 3 2 3 5 3" xfId="25332" xr:uid="{00000000-0005-0000-0000-00009F090000}"/>
    <cellStyle name="Comma 5 2 3 3 2 3 5 3 2" xfId="50885" xr:uid="{00000000-0005-0000-0000-0000A0090000}"/>
    <cellStyle name="Comma 5 2 3 3 2 3 5 4" xfId="31815" xr:uid="{00000000-0005-0000-0000-0000A1090000}"/>
    <cellStyle name="Comma 5 2 3 3 2 3 6" xfId="7700" xr:uid="{00000000-0005-0000-0000-0000A2090000}"/>
    <cellStyle name="Comma 5 2 3 3 2 3 6 2" xfId="20692" xr:uid="{00000000-0005-0000-0000-0000A3090000}"/>
    <cellStyle name="Comma 5 2 3 3 2 3 6 2 2" xfId="46245" xr:uid="{00000000-0005-0000-0000-0000A4090000}"/>
    <cellStyle name="Comma 5 2 3 3 2 3 6 3" xfId="33257" xr:uid="{00000000-0005-0000-0000-0000A5090000}"/>
    <cellStyle name="Comma 5 2 3 3 2 3 7" xfId="16494" xr:uid="{00000000-0005-0000-0000-0000A6090000}"/>
    <cellStyle name="Comma 5 2 3 3 2 3 7 2" xfId="42047" xr:uid="{00000000-0005-0000-0000-0000A7090000}"/>
    <cellStyle name="Comma 5 2 3 3 2 3 8" xfId="27175" xr:uid="{00000000-0005-0000-0000-0000A8090000}"/>
    <cellStyle name="Comma 5 2 3 3 2 4" xfId="3023" xr:uid="{00000000-0005-0000-0000-0000A9090000}"/>
    <cellStyle name="Comma 5 2 3 3 2 4 2" xfId="5401" xr:uid="{00000000-0005-0000-0000-0000AA090000}"/>
    <cellStyle name="Comma 5 2 3 3 2 4 2 2" xfId="14238" xr:uid="{00000000-0005-0000-0000-0000AB090000}"/>
    <cellStyle name="Comma 5 2 3 3 2 4 2 2 2" xfId="24489" xr:uid="{00000000-0005-0000-0000-0000AC090000}"/>
    <cellStyle name="Comma 5 2 3 3 2 4 2 2 2 2" xfId="50042" xr:uid="{00000000-0005-0000-0000-0000AD090000}"/>
    <cellStyle name="Comma 5 2 3 3 2 4 2 2 3" xfId="39793" xr:uid="{00000000-0005-0000-0000-0000AE090000}"/>
    <cellStyle name="Comma 5 2 3 3 2 4 2 3" xfId="10659" xr:uid="{00000000-0005-0000-0000-0000AF090000}"/>
    <cellStyle name="Comma 5 2 3 3 2 4 2 3 2" xfId="36216" xr:uid="{00000000-0005-0000-0000-0000B0090000}"/>
    <cellStyle name="Comma 5 2 3 3 2 4 2 4" xfId="19482" xr:uid="{00000000-0005-0000-0000-0000B1090000}"/>
    <cellStyle name="Comma 5 2 3 3 2 4 2 4 2" xfId="45035" xr:uid="{00000000-0005-0000-0000-0000B2090000}"/>
    <cellStyle name="Comma 5 2 3 3 2 4 2 5" xfId="30972" xr:uid="{00000000-0005-0000-0000-0000B3090000}"/>
    <cellStyle name="Comma 5 2 3 3 2 4 3" xfId="6856" xr:uid="{00000000-0005-0000-0000-0000B4090000}"/>
    <cellStyle name="Comma 5 2 3 3 2 4 3 2" xfId="15683" xr:uid="{00000000-0005-0000-0000-0000B5090000}"/>
    <cellStyle name="Comma 5 2 3 3 2 4 3 2 2" xfId="41238" xr:uid="{00000000-0005-0000-0000-0000B6090000}"/>
    <cellStyle name="Comma 5 2 3 3 2 4 3 3" xfId="25934" xr:uid="{00000000-0005-0000-0000-0000B7090000}"/>
    <cellStyle name="Comma 5 2 3 3 2 4 3 3 2" xfId="51487" xr:uid="{00000000-0005-0000-0000-0000B8090000}"/>
    <cellStyle name="Comma 5 2 3 3 2 4 3 4" xfId="32417" xr:uid="{00000000-0005-0000-0000-0000B9090000}"/>
    <cellStyle name="Comma 5 2 3 3 2 4 4" xfId="8302" xr:uid="{00000000-0005-0000-0000-0000BA090000}"/>
    <cellStyle name="Comma 5 2 3 3 2 4 4 2" xfId="22384" xr:uid="{00000000-0005-0000-0000-0000BB090000}"/>
    <cellStyle name="Comma 5 2 3 3 2 4 4 2 2" xfId="47937" xr:uid="{00000000-0005-0000-0000-0000BC090000}"/>
    <cellStyle name="Comma 5 2 3 3 2 4 4 3" xfId="33859" xr:uid="{00000000-0005-0000-0000-0000BD090000}"/>
    <cellStyle name="Comma 5 2 3 3 2 4 5" xfId="17377" xr:uid="{00000000-0005-0000-0000-0000BE090000}"/>
    <cellStyle name="Comma 5 2 3 3 2 4 5 2" xfId="42930" xr:uid="{00000000-0005-0000-0000-0000BF090000}"/>
    <cellStyle name="Comma 5 2 3 3 2 4 6" xfId="28867" xr:uid="{00000000-0005-0000-0000-0000C0090000}"/>
    <cellStyle name="Comma 5 2 3 3 2 5" xfId="4357" xr:uid="{00000000-0005-0000-0000-0000C1090000}"/>
    <cellStyle name="Comma 5 2 3 3 2 5 2" xfId="13195" xr:uid="{00000000-0005-0000-0000-0000C2090000}"/>
    <cellStyle name="Comma 5 2 3 3 2 5 2 2" xfId="23446" xr:uid="{00000000-0005-0000-0000-0000C3090000}"/>
    <cellStyle name="Comma 5 2 3 3 2 5 2 2 2" xfId="48999" xr:uid="{00000000-0005-0000-0000-0000C4090000}"/>
    <cellStyle name="Comma 5 2 3 3 2 5 2 3" xfId="38750" xr:uid="{00000000-0005-0000-0000-0000C5090000}"/>
    <cellStyle name="Comma 5 2 3 3 2 5 3" xfId="9616" xr:uid="{00000000-0005-0000-0000-0000C6090000}"/>
    <cellStyle name="Comma 5 2 3 3 2 5 3 2" xfId="35173" xr:uid="{00000000-0005-0000-0000-0000C7090000}"/>
    <cellStyle name="Comma 5 2 3 3 2 5 4" xfId="18439" xr:uid="{00000000-0005-0000-0000-0000C8090000}"/>
    <cellStyle name="Comma 5 2 3 3 2 5 4 2" xfId="43992" xr:uid="{00000000-0005-0000-0000-0000C9090000}"/>
    <cellStyle name="Comma 5 2 3 3 2 5 5" xfId="29929" xr:uid="{00000000-0005-0000-0000-0000CA090000}"/>
    <cellStyle name="Comma 5 2 3 3 2 6" xfId="1629" xr:uid="{00000000-0005-0000-0000-0000CB090000}"/>
    <cellStyle name="Comma 5 2 3 3 2 6 2" xfId="11006" xr:uid="{00000000-0005-0000-0000-0000CC090000}"/>
    <cellStyle name="Comma 5 2 3 3 2 6 2 2" xfId="36561" xr:uid="{00000000-0005-0000-0000-0000CD090000}"/>
    <cellStyle name="Comma 5 2 3 3 2 6 3" xfId="21010" xr:uid="{00000000-0005-0000-0000-0000CE090000}"/>
    <cellStyle name="Comma 5 2 3 3 2 6 3 2" xfId="46563" xr:uid="{00000000-0005-0000-0000-0000CF090000}"/>
    <cellStyle name="Comma 5 2 3 3 2 6 4" xfId="27493" xr:uid="{00000000-0005-0000-0000-0000D0090000}"/>
    <cellStyle name="Comma 5 2 3 3 2 7" xfId="5813" xr:uid="{00000000-0005-0000-0000-0000D1090000}"/>
    <cellStyle name="Comma 5 2 3 3 2 7 2" xfId="14640" xr:uid="{00000000-0005-0000-0000-0000D2090000}"/>
    <cellStyle name="Comma 5 2 3 3 2 7 2 2" xfId="40195" xr:uid="{00000000-0005-0000-0000-0000D3090000}"/>
    <cellStyle name="Comma 5 2 3 3 2 7 3" xfId="24891" xr:uid="{00000000-0005-0000-0000-0000D4090000}"/>
    <cellStyle name="Comma 5 2 3 3 2 7 3 2" xfId="50444" xr:uid="{00000000-0005-0000-0000-0000D5090000}"/>
    <cellStyle name="Comma 5 2 3 3 2 7 4" xfId="31374" xr:uid="{00000000-0005-0000-0000-0000D6090000}"/>
    <cellStyle name="Comma 5 2 3 3 2 8" xfId="7257" xr:uid="{00000000-0005-0000-0000-0000D7090000}"/>
    <cellStyle name="Comma 5 2 3 3 2 8 2" xfId="19983" xr:uid="{00000000-0005-0000-0000-0000D8090000}"/>
    <cellStyle name="Comma 5 2 3 3 2 8 2 2" xfId="45536" xr:uid="{00000000-0005-0000-0000-0000D9090000}"/>
    <cellStyle name="Comma 5 2 3 3 2 8 3" xfId="32814" xr:uid="{00000000-0005-0000-0000-0000DA090000}"/>
    <cellStyle name="Comma 5 2 3 3 2 9" xfId="16003" xr:uid="{00000000-0005-0000-0000-0000DB090000}"/>
    <cellStyle name="Comma 5 2 3 3 2 9 2" xfId="41556" xr:uid="{00000000-0005-0000-0000-0000DC090000}"/>
    <cellStyle name="Comma 5 2 3 3 3" xfId="437" xr:uid="{00000000-0005-0000-0000-0000DD090000}"/>
    <cellStyle name="Comma 5 2 3 3 3 2" xfId="2923" xr:uid="{00000000-0005-0000-0000-0000DE090000}"/>
    <cellStyle name="Comma 5 2 3 3 3 2 2" xfId="12211" xr:uid="{00000000-0005-0000-0000-0000DF090000}"/>
    <cellStyle name="Comma 5 2 3 3 3 2 2 2" xfId="22284" xr:uid="{00000000-0005-0000-0000-0000E0090000}"/>
    <cellStyle name="Comma 5 2 3 3 3 2 2 2 2" xfId="47837" xr:uid="{00000000-0005-0000-0000-0000E1090000}"/>
    <cellStyle name="Comma 5 2 3 3 3 2 2 3" xfId="37766" xr:uid="{00000000-0005-0000-0000-0000E2090000}"/>
    <cellStyle name="Comma 5 2 3 3 3 2 3" xfId="8596" xr:uid="{00000000-0005-0000-0000-0000E3090000}"/>
    <cellStyle name="Comma 5 2 3 3 3 2 3 2" xfId="34153" xr:uid="{00000000-0005-0000-0000-0000E4090000}"/>
    <cellStyle name="Comma 5 2 3 3 3 2 4" xfId="17277" xr:uid="{00000000-0005-0000-0000-0000E5090000}"/>
    <cellStyle name="Comma 5 2 3 3 3 2 4 2" xfId="42830" xr:uid="{00000000-0005-0000-0000-0000E6090000}"/>
    <cellStyle name="Comma 5 2 3 3 3 2 5" xfId="28767" xr:uid="{00000000-0005-0000-0000-0000E7090000}"/>
    <cellStyle name="Comma 5 2 3 3 3 3" xfId="4449" xr:uid="{00000000-0005-0000-0000-0000E8090000}"/>
    <cellStyle name="Comma 5 2 3 3 3 3 2" xfId="13287" xr:uid="{00000000-0005-0000-0000-0000E9090000}"/>
    <cellStyle name="Comma 5 2 3 3 3 3 2 2" xfId="23538" xr:uid="{00000000-0005-0000-0000-0000EA090000}"/>
    <cellStyle name="Comma 5 2 3 3 3 3 2 2 2" xfId="49091" xr:uid="{00000000-0005-0000-0000-0000EB090000}"/>
    <cellStyle name="Comma 5 2 3 3 3 3 2 3" xfId="38842" xr:uid="{00000000-0005-0000-0000-0000EC090000}"/>
    <cellStyle name="Comma 5 2 3 3 3 3 3" xfId="9708" xr:uid="{00000000-0005-0000-0000-0000ED090000}"/>
    <cellStyle name="Comma 5 2 3 3 3 3 3 2" xfId="35265" xr:uid="{00000000-0005-0000-0000-0000EE090000}"/>
    <cellStyle name="Comma 5 2 3 3 3 3 4" xfId="18531" xr:uid="{00000000-0005-0000-0000-0000EF090000}"/>
    <cellStyle name="Comma 5 2 3 3 3 3 4 2" xfId="44084" xr:uid="{00000000-0005-0000-0000-0000F0090000}"/>
    <cellStyle name="Comma 5 2 3 3 3 3 5" xfId="30021" xr:uid="{00000000-0005-0000-0000-0000F1090000}"/>
    <cellStyle name="Comma 5 2 3 3 3 4" xfId="2032" xr:uid="{00000000-0005-0000-0000-0000F2090000}"/>
    <cellStyle name="Comma 5 2 3 3 3 4 2" xfId="11397" xr:uid="{00000000-0005-0000-0000-0000F3090000}"/>
    <cellStyle name="Comma 5 2 3 3 3 4 2 2" xfId="36952" xr:uid="{00000000-0005-0000-0000-0000F4090000}"/>
    <cellStyle name="Comma 5 2 3 3 3 4 3" xfId="21401" xr:uid="{00000000-0005-0000-0000-0000F5090000}"/>
    <cellStyle name="Comma 5 2 3 3 3 4 3 2" xfId="46954" xr:uid="{00000000-0005-0000-0000-0000F6090000}"/>
    <cellStyle name="Comma 5 2 3 3 3 4 4" xfId="27884" xr:uid="{00000000-0005-0000-0000-0000F7090000}"/>
    <cellStyle name="Comma 5 2 3 3 3 5" xfId="5905" xr:uid="{00000000-0005-0000-0000-0000F8090000}"/>
    <cellStyle name="Comma 5 2 3 3 3 5 2" xfId="14732" xr:uid="{00000000-0005-0000-0000-0000F9090000}"/>
    <cellStyle name="Comma 5 2 3 3 3 5 2 2" xfId="40287" xr:uid="{00000000-0005-0000-0000-0000FA090000}"/>
    <cellStyle name="Comma 5 2 3 3 3 5 3" xfId="24983" xr:uid="{00000000-0005-0000-0000-0000FB090000}"/>
    <cellStyle name="Comma 5 2 3 3 3 5 3 2" xfId="50536" xr:uid="{00000000-0005-0000-0000-0000FC090000}"/>
    <cellStyle name="Comma 5 2 3 3 3 5 4" xfId="31466" xr:uid="{00000000-0005-0000-0000-0000FD090000}"/>
    <cellStyle name="Comma 5 2 3 3 3 6" xfId="7349" xr:uid="{00000000-0005-0000-0000-0000FE090000}"/>
    <cellStyle name="Comma 5 2 3 3 3 6 2" xfId="19883" xr:uid="{00000000-0005-0000-0000-0000FF090000}"/>
    <cellStyle name="Comma 5 2 3 3 3 6 2 2" xfId="45436" xr:uid="{00000000-0005-0000-0000-0000000A0000}"/>
    <cellStyle name="Comma 5 2 3 3 3 6 3" xfId="32906" xr:uid="{00000000-0005-0000-0000-0000010A0000}"/>
    <cellStyle name="Comma 5 2 3 3 3 7" xfId="16394" xr:uid="{00000000-0005-0000-0000-0000020A0000}"/>
    <cellStyle name="Comma 5 2 3 3 3 7 2" xfId="41947" xr:uid="{00000000-0005-0000-0000-0000030A0000}"/>
    <cellStyle name="Comma 5 2 3 3 3 8" xfId="26366" xr:uid="{00000000-0005-0000-0000-0000040A0000}"/>
    <cellStyle name="Comma 5 2 3 3 4" xfId="634" xr:uid="{00000000-0005-0000-0000-0000050A0000}"/>
    <cellStyle name="Comma 5 2 3 3 4 2" xfId="3120" xr:uid="{00000000-0005-0000-0000-0000060A0000}"/>
    <cellStyle name="Comma 5 2 3 3 4 2 2" xfId="12263" xr:uid="{00000000-0005-0000-0000-0000070A0000}"/>
    <cellStyle name="Comma 5 2 3 3 4 2 2 2" xfId="22481" xr:uid="{00000000-0005-0000-0000-0000080A0000}"/>
    <cellStyle name="Comma 5 2 3 3 4 2 2 2 2" xfId="48034" xr:uid="{00000000-0005-0000-0000-0000090A0000}"/>
    <cellStyle name="Comma 5 2 3 3 4 2 2 3" xfId="37818" xr:uid="{00000000-0005-0000-0000-00000A0A0000}"/>
    <cellStyle name="Comma 5 2 3 3 4 2 3" xfId="8685" xr:uid="{00000000-0005-0000-0000-00000B0A0000}"/>
    <cellStyle name="Comma 5 2 3 3 4 2 3 2" xfId="34242" xr:uid="{00000000-0005-0000-0000-00000C0A0000}"/>
    <cellStyle name="Comma 5 2 3 3 4 2 4" xfId="17474" xr:uid="{00000000-0005-0000-0000-00000D0A0000}"/>
    <cellStyle name="Comma 5 2 3 3 4 2 4 2" xfId="43027" xr:uid="{00000000-0005-0000-0000-00000E0A0000}"/>
    <cellStyle name="Comma 5 2 3 3 4 2 5" xfId="28964" xr:uid="{00000000-0005-0000-0000-00000F0A0000}"/>
    <cellStyle name="Comma 5 2 3 3 4 3" xfId="4798" xr:uid="{00000000-0005-0000-0000-0000100A0000}"/>
    <cellStyle name="Comma 5 2 3 3 4 3 2" xfId="13635" xr:uid="{00000000-0005-0000-0000-0000110A0000}"/>
    <cellStyle name="Comma 5 2 3 3 4 3 2 2" xfId="23886" xr:uid="{00000000-0005-0000-0000-0000120A0000}"/>
    <cellStyle name="Comma 5 2 3 3 4 3 2 2 2" xfId="49439" xr:uid="{00000000-0005-0000-0000-0000130A0000}"/>
    <cellStyle name="Comma 5 2 3 3 4 3 2 3" xfId="39190" xr:uid="{00000000-0005-0000-0000-0000140A0000}"/>
    <cellStyle name="Comma 5 2 3 3 4 3 3" xfId="10056" xr:uid="{00000000-0005-0000-0000-0000150A0000}"/>
    <cellStyle name="Comma 5 2 3 3 4 3 3 2" xfId="35613" xr:uid="{00000000-0005-0000-0000-0000160A0000}"/>
    <cellStyle name="Comma 5 2 3 3 4 3 4" xfId="18879" xr:uid="{00000000-0005-0000-0000-0000170A0000}"/>
    <cellStyle name="Comma 5 2 3 3 4 3 4 2" xfId="44432" xr:uid="{00000000-0005-0000-0000-0000180A0000}"/>
    <cellStyle name="Comma 5 2 3 3 4 3 5" xfId="30369" xr:uid="{00000000-0005-0000-0000-0000190A0000}"/>
    <cellStyle name="Comma 5 2 3 3 4 4" xfId="2229" xr:uid="{00000000-0005-0000-0000-00001A0A0000}"/>
    <cellStyle name="Comma 5 2 3 3 4 4 2" xfId="11594" xr:uid="{00000000-0005-0000-0000-00001B0A0000}"/>
    <cellStyle name="Comma 5 2 3 3 4 4 2 2" xfId="37149" xr:uid="{00000000-0005-0000-0000-00001C0A0000}"/>
    <cellStyle name="Comma 5 2 3 3 4 4 3" xfId="21598" xr:uid="{00000000-0005-0000-0000-00001D0A0000}"/>
    <cellStyle name="Comma 5 2 3 3 4 4 3 2" xfId="47151" xr:uid="{00000000-0005-0000-0000-00001E0A0000}"/>
    <cellStyle name="Comma 5 2 3 3 4 4 4" xfId="28081" xr:uid="{00000000-0005-0000-0000-00001F0A0000}"/>
    <cellStyle name="Comma 5 2 3 3 4 5" xfId="6253" xr:uid="{00000000-0005-0000-0000-0000200A0000}"/>
    <cellStyle name="Comma 5 2 3 3 4 5 2" xfId="15080" xr:uid="{00000000-0005-0000-0000-0000210A0000}"/>
    <cellStyle name="Comma 5 2 3 3 4 5 2 2" xfId="40635" xr:uid="{00000000-0005-0000-0000-0000220A0000}"/>
    <cellStyle name="Comma 5 2 3 3 4 5 3" xfId="25331" xr:uid="{00000000-0005-0000-0000-0000230A0000}"/>
    <cellStyle name="Comma 5 2 3 3 4 5 3 2" xfId="50884" xr:uid="{00000000-0005-0000-0000-0000240A0000}"/>
    <cellStyle name="Comma 5 2 3 3 4 5 4" xfId="31814" xr:uid="{00000000-0005-0000-0000-0000250A0000}"/>
    <cellStyle name="Comma 5 2 3 3 4 6" xfId="7699" xr:uid="{00000000-0005-0000-0000-0000260A0000}"/>
    <cellStyle name="Comma 5 2 3 3 4 6 2" xfId="20080" xr:uid="{00000000-0005-0000-0000-0000270A0000}"/>
    <cellStyle name="Comma 5 2 3 3 4 6 2 2" xfId="45633" xr:uid="{00000000-0005-0000-0000-0000280A0000}"/>
    <cellStyle name="Comma 5 2 3 3 4 6 3" xfId="33256" xr:uid="{00000000-0005-0000-0000-0000290A0000}"/>
    <cellStyle name="Comma 5 2 3 3 4 7" xfId="16591" xr:uid="{00000000-0005-0000-0000-00002A0A0000}"/>
    <cellStyle name="Comma 5 2 3 3 4 7 2" xfId="42144" xr:uid="{00000000-0005-0000-0000-00002B0A0000}"/>
    <cellStyle name="Comma 5 2 3 3 4 8" xfId="26563" xr:uid="{00000000-0005-0000-0000-00002C0A0000}"/>
    <cellStyle name="Comma 5 2 3 3 5" xfId="1209" xr:uid="{00000000-0005-0000-0000-00002D0A0000}"/>
    <cellStyle name="Comma 5 2 3 3 5 2" xfId="3638" xr:uid="{00000000-0005-0000-0000-00002E0A0000}"/>
    <cellStyle name="Comma 5 2 3 3 5 2 2" xfId="12774" xr:uid="{00000000-0005-0000-0000-00002F0A0000}"/>
    <cellStyle name="Comma 5 2 3 3 5 2 2 2" xfId="22993" xr:uid="{00000000-0005-0000-0000-0000300A0000}"/>
    <cellStyle name="Comma 5 2 3 3 5 2 2 2 2" xfId="48546" xr:uid="{00000000-0005-0000-0000-0000310A0000}"/>
    <cellStyle name="Comma 5 2 3 3 5 2 2 3" xfId="38329" xr:uid="{00000000-0005-0000-0000-0000320A0000}"/>
    <cellStyle name="Comma 5 2 3 3 5 2 3" xfId="9195" xr:uid="{00000000-0005-0000-0000-0000330A0000}"/>
    <cellStyle name="Comma 5 2 3 3 5 2 3 2" xfId="34752" xr:uid="{00000000-0005-0000-0000-0000340A0000}"/>
    <cellStyle name="Comma 5 2 3 3 5 2 4" xfId="17986" xr:uid="{00000000-0005-0000-0000-0000350A0000}"/>
    <cellStyle name="Comma 5 2 3 3 5 2 4 2" xfId="43539" xr:uid="{00000000-0005-0000-0000-0000360A0000}"/>
    <cellStyle name="Comma 5 2 3 3 5 2 5" xfId="29476" xr:uid="{00000000-0005-0000-0000-0000370A0000}"/>
    <cellStyle name="Comma 5 2 3 3 5 3" xfId="5301" xr:uid="{00000000-0005-0000-0000-0000380A0000}"/>
    <cellStyle name="Comma 5 2 3 3 5 3 2" xfId="14138" xr:uid="{00000000-0005-0000-0000-0000390A0000}"/>
    <cellStyle name="Comma 5 2 3 3 5 3 2 2" xfId="24389" xr:uid="{00000000-0005-0000-0000-00003A0A0000}"/>
    <cellStyle name="Comma 5 2 3 3 5 3 2 2 2" xfId="49942" xr:uid="{00000000-0005-0000-0000-00003B0A0000}"/>
    <cellStyle name="Comma 5 2 3 3 5 3 2 3" xfId="39693" xr:uid="{00000000-0005-0000-0000-00003C0A0000}"/>
    <cellStyle name="Comma 5 2 3 3 5 3 3" xfId="10559" xr:uid="{00000000-0005-0000-0000-00003D0A0000}"/>
    <cellStyle name="Comma 5 2 3 3 5 3 3 2" xfId="36116" xr:uid="{00000000-0005-0000-0000-00003E0A0000}"/>
    <cellStyle name="Comma 5 2 3 3 5 3 4" xfId="19382" xr:uid="{00000000-0005-0000-0000-00003F0A0000}"/>
    <cellStyle name="Comma 5 2 3 3 5 3 4 2" xfId="44935" xr:uid="{00000000-0005-0000-0000-0000400A0000}"/>
    <cellStyle name="Comma 5 2 3 3 5 3 5" xfId="30872" xr:uid="{00000000-0005-0000-0000-0000410A0000}"/>
    <cellStyle name="Comma 5 2 3 3 5 4" xfId="1812" xr:uid="{00000000-0005-0000-0000-0000420A0000}"/>
    <cellStyle name="Comma 5 2 3 3 5 4 2" xfId="11180" xr:uid="{00000000-0005-0000-0000-0000430A0000}"/>
    <cellStyle name="Comma 5 2 3 3 5 4 2 2" xfId="36735" xr:uid="{00000000-0005-0000-0000-0000440A0000}"/>
    <cellStyle name="Comma 5 2 3 3 5 4 3" xfId="21184" xr:uid="{00000000-0005-0000-0000-0000450A0000}"/>
    <cellStyle name="Comma 5 2 3 3 5 4 3 2" xfId="46737" xr:uid="{00000000-0005-0000-0000-0000460A0000}"/>
    <cellStyle name="Comma 5 2 3 3 5 4 4" xfId="27667" xr:uid="{00000000-0005-0000-0000-0000470A0000}"/>
    <cellStyle name="Comma 5 2 3 3 5 5" xfId="6756" xr:uid="{00000000-0005-0000-0000-0000480A0000}"/>
    <cellStyle name="Comma 5 2 3 3 5 5 2" xfId="15583" xr:uid="{00000000-0005-0000-0000-0000490A0000}"/>
    <cellStyle name="Comma 5 2 3 3 5 5 2 2" xfId="41138" xr:uid="{00000000-0005-0000-0000-00004A0A0000}"/>
    <cellStyle name="Comma 5 2 3 3 5 5 3" xfId="25834" xr:uid="{00000000-0005-0000-0000-00004B0A0000}"/>
    <cellStyle name="Comma 5 2 3 3 5 5 3 2" xfId="51387" xr:uid="{00000000-0005-0000-0000-00004C0A0000}"/>
    <cellStyle name="Comma 5 2 3 3 5 5 4" xfId="32317" xr:uid="{00000000-0005-0000-0000-00004D0A0000}"/>
    <cellStyle name="Comma 5 2 3 3 5 6" xfId="8202" xr:uid="{00000000-0005-0000-0000-00004E0A0000}"/>
    <cellStyle name="Comma 5 2 3 3 5 6 2" xfId="20592" xr:uid="{00000000-0005-0000-0000-00004F0A0000}"/>
    <cellStyle name="Comma 5 2 3 3 5 6 2 2" xfId="46145" xr:uid="{00000000-0005-0000-0000-0000500A0000}"/>
    <cellStyle name="Comma 5 2 3 3 5 6 3" xfId="33759" xr:uid="{00000000-0005-0000-0000-0000510A0000}"/>
    <cellStyle name="Comma 5 2 3 3 5 7" xfId="16177" xr:uid="{00000000-0005-0000-0000-0000520A0000}"/>
    <cellStyle name="Comma 5 2 3 3 5 7 2" xfId="41730" xr:uid="{00000000-0005-0000-0000-0000530A0000}"/>
    <cellStyle name="Comma 5 2 3 3 5 8" xfId="27075" xr:uid="{00000000-0005-0000-0000-0000540A0000}"/>
    <cellStyle name="Comma 5 2 3 3 6" xfId="2706" xr:uid="{00000000-0005-0000-0000-0000550A0000}"/>
    <cellStyle name="Comma 5 2 3 3 6 2" xfId="12023" xr:uid="{00000000-0005-0000-0000-0000560A0000}"/>
    <cellStyle name="Comma 5 2 3 3 6 2 2" xfId="22067" xr:uid="{00000000-0005-0000-0000-0000570A0000}"/>
    <cellStyle name="Comma 5 2 3 3 6 2 2 2" xfId="47620" xr:uid="{00000000-0005-0000-0000-0000580A0000}"/>
    <cellStyle name="Comma 5 2 3 3 6 2 3" xfId="37578" xr:uid="{00000000-0005-0000-0000-0000590A0000}"/>
    <cellStyle name="Comma 5 2 3 3 6 3" xfId="7494" xr:uid="{00000000-0005-0000-0000-00005A0A0000}"/>
    <cellStyle name="Comma 5 2 3 3 6 3 2" xfId="33051" xr:uid="{00000000-0005-0000-0000-00005B0A0000}"/>
    <cellStyle name="Comma 5 2 3 3 6 4" xfId="17060" xr:uid="{00000000-0005-0000-0000-00005C0A0000}"/>
    <cellStyle name="Comma 5 2 3 3 6 4 2" xfId="42613" xr:uid="{00000000-0005-0000-0000-00005D0A0000}"/>
    <cellStyle name="Comma 5 2 3 3 6 5" xfId="28550" xr:uid="{00000000-0005-0000-0000-00005E0A0000}"/>
    <cellStyle name="Comma 5 2 3 3 7" xfId="4257" xr:uid="{00000000-0005-0000-0000-00005F0A0000}"/>
    <cellStyle name="Comma 5 2 3 3 7 2" xfId="13095" xr:uid="{00000000-0005-0000-0000-0000600A0000}"/>
    <cellStyle name="Comma 5 2 3 3 7 2 2" xfId="23346" xr:uid="{00000000-0005-0000-0000-0000610A0000}"/>
    <cellStyle name="Comma 5 2 3 3 7 2 2 2" xfId="48899" xr:uid="{00000000-0005-0000-0000-0000620A0000}"/>
    <cellStyle name="Comma 5 2 3 3 7 2 3" xfId="38650" xr:uid="{00000000-0005-0000-0000-0000630A0000}"/>
    <cellStyle name="Comma 5 2 3 3 7 3" xfId="9516" xr:uid="{00000000-0005-0000-0000-0000640A0000}"/>
    <cellStyle name="Comma 5 2 3 3 7 3 2" xfId="35073" xr:uid="{00000000-0005-0000-0000-0000650A0000}"/>
    <cellStyle name="Comma 5 2 3 3 7 4" xfId="18339" xr:uid="{00000000-0005-0000-0000-0000660A0000}"/>
    <cellStyle name="Comma 5 2 3 3 7 4 2" xfId="43892" xr:uid="{00000000-0005-0000-0000-0000670A0000}"/>
    <cellStyle name="Comma 5 2 3 3 7 5" xfId="29829" xr:uid="{00000000-0005-0000-0000-0000680A0000}"/>
    <cellStyle name="Comma 5 2 3 3 8" xfId="1529" xr:uid="{00000000-0005-0000-0000-0000690A0000}"/>
    <cellStyle name="Comma 5 2 3 3 8 2" xfId="10906" xr:uid="{00000000-0005-0000-0000-00006A0A0000}"/>
    <cellStyle name="Comma 5 2 3 3 8 2 2" xfId="36461" xr:uid="{00000000-0005-0000-0000-00006B0A0000}"/>
    <cellStyle name="Comma 5 2 3 3 8 3" xfId="20910" xr:uid="{00000000-0005-0000-0000-00006C0A0000}"/>
    <cellStyle name="Comma 5 2 3 3 8 3 2" xfId="46463" xr:uid="{00000000-0005-0000-0000-00006D0A0000}"/>
    <cellStyle name="Comma 5 2 3 3 8 4" xfId="27393" xr:uid="{00000000-0005-0000-0000-00006E0A0000}"/>
    <cellStyle name="Comma 5 2 3 3 9" xfId="5713" xr:uid="{00000000-0005-0000-0000-00006F0A0000}"/>
    <cellStyle name="Comma 5 2 3 3 9 2" xfId="14540" xr:uid="{00000000-0005-0000-0000-0000700A0000}"/>
    <cellStyle name="Comma 5 2 3 3 9 2 2" xfId="40095" xr:uid="{00000000-0005-0000-0000-0000710A0000}"/>
    <cellStyle name="Comma 5 2 3 3 9 3" xfId="24791" xr:uid="{00000000-0005-0000-0000-0000720A0000}"/>
    <cellStyle name="Comma 5 2 3 3 9 3 2" xfId="50344" xr:uid="{00000000-0005-0000-0000-0000730A0000}"/>
    <cellStyle name="Comma 5 2 3 3 9 4" xfId="31274" xr:uid="{00000000-0005-0000-0000-0000740A0000}"/>
    <cellStyle name="Comma 5 2 3 4" xfId="244" xr:uid="{00000000-0005-0000-0000-0000750A0000}"/>
    <cellStyle name="Comma 5 2 3 4 10" xfId="7082" xr:uid="{00000000-0005-0000-0000-0000760A0000}"/>
    <cellStyle name="Comma 5 2 3 4 10 2" xfId="19696" xr:uid="{00000000-0005-0000-0000-0000770A0000}"/>
    <cellStyle name="Comma 5 2 3 4 10 2 2" xfId="45249" xr:uid="{00000000-0005-0000-0000-0000780A0000}"/>
    <cellStyle name="Comma 5 2 3 4 10 3" xfId="32639" xr:uid="{00000000-0005-0000-0000-0000790A0000}"/>
    <cellStyle name="Comma 5 2 3 4 11" xfId="15828" xr:uid="{00000000-0005-0000-0000-00007A0A0000}"/>
    <cellStyle name="Comma 5 2 3 4 11 2" xfId="41381" xr:uid="{00000000-0005-0000-0000-00007B0A0000}"/>
    <cellStyle name="Comma 5 2 3 4 12" xfId="26179" xr:uid="{00000000-0005-0000-0000-00007C0A0000}"/>
    <cellStyle name="Comma 5 2 3 4 2" xfId="567" xr:uid="{00000000-0005-0000-0000-00007D0A0000}"/>
    <cellStyle name="Comma 5 2 3 4 2 10" xfId="26496" xr:uid="{00000000-0005-0000-0000-00007E0A0000}"/>
    <cellStyle name="Comma 5 2 3 4 2 2" xfId="637" xr:uid="{00000000-0005-0000-0000-00007F0A0000}"/>
    <cellStyle name="Comma 5 2 3 4 2 2 2" xfId="3123" xr:uid="{00000000-0005-0000-0000-0000800A0000}"/>
    <cellStyle name="Comma 5 2 3 4 2 2 2 2" xfId="12266" xr:uid="{00000000-0005-0000-0000-0000810A0000}"/>
    <cellStyle name="Comma 5 2 3 4 2 2 2 2 2" xfId="22484" xr:uid="{00000000-0005-0000-0000-0000820A0000}"/>
    <cellStyle name="Comma 5 2 3 4 2 2 2 2 2 2" xfId="48037" xr:uid="{00000000-0005-0000-0000-0000830A0000}"/>
    <cellStyle name="Comma 5 2 3 4 2 2 2 2 3" xfId="37821" xr:uid="{00000000-0005-0000-0000-0000840A0000}"/>
    <cellStyle name="Comma 5 2 3 4 2 2 2 3" xfId="8688" xr:uid="{00000000-0005-0000-0000-0000850A0000}"/>
    <cellStyle name="Comma 5 2 3 4 2 2 2 3 2" xfId="34245" xr:uid="{00000000-0005-0000-0000-0000860A0000}"/>
    <cellStyle name="Comma 5 2 3 4 2 2 2 4" xfId="17477" xr:uid="{00000000-0005-0000-0000-0000870A0000}"/>
    <cellStyle name="Comma 5 2 3 4 2 2 2 4 2" xfId="43030" xr:uid="{00000000-0005-0000-0000-0000880A0000}"/>
    <cellStyle name="Comma 5 2 3 4 2 2 2 5" xfId="28967" xr:uid="{00000000-0005-0000-0000-0000890A0000}"/>
    <cellStyle name="Comma 5 2 3 4 2 2 3" xfId="4452" xr:uid="{00000000-0005-0000-0000-00008A0A0000}"/>
    <cellStyle name="Comma 5 2 3 4 2 2 3 2" xfId="13290" xr:uid="{00000000-0005-0000-0000-00008B0A0000}"/>
    <cellStyle name="Comma 5 2 3 4 2 2 3 2 2" xfId="23541" xr:uid="{00000000-0005-0000-0000-00008C0A0000}"/>
    <cellStyle name="Comma 5 2 3 4 2 2 3 2 2 2" xfId="49094" xr:uid="{00000000-0005-0000-0000-00008D0A0000}"/>
    <cellStyle name="Comma 5 2 3 4 2 2 3 2 3" xfId="38845" xr:uid="{00000000-0005-0000-0000-00008E0A0000}"/>
    <cellStyle name="Comma 5 2 3 4 2 2 3 3" xfId="9711" xr:uid="{00000000-0005-0000-0000-00008F0A0000}"/>
    <cellStyle name="Comma 5 2 3 4 2 2 3 3 2" xfId="35268" xr:uid="{00000000-0005-0000-0000-0000900A0000}"/>
    <cellStyle name="Comma 5 2 3 4 2 2 3 4" xfId="18534" xr:uid="{00000000-0005-0000-0000-0000910A0000}"/>
    <cellStyle name="Comma 5 2 3 4 2 2 3 4 2" xfId="44087" xr:uid="{00000000-0005-0000-0000-0000920A0000}"/>
    <cellStyle name="Comma 5 2 3 4 2 2 3 5" xfId="30024" xr:uid="{00000000-0005-0000-0000-0000930A0000}"/>
    <cellStyle name="Comma 5 2 3 4 2 2 4" xfId="2232" xr:uid="{00000000-0005-0000-0000-0000940A0000}"/>
    <cellStyle name="Comma 5 2 3 4 2 2 4 2" xfId="11597" xr:uid="{00000000-0005-0000-0000-0000950A0000}"/>
    <cellStyle name="Comma 5 2 3 4 2 2 4 2 2" xfId="37152" xr:uid="{00000000-0005-0000-0000-0000960A0000}"/>
    <cellStyle name="Comma 5 2 3 4 2 2 4 3" xfId="21601" xr:uid="{00000000-0005-0000-0000-0000970A0000}"/>
    <cellStyle name="Comma 5 2 3 4 2 2 4 3 2" xfId="47154" xr:uid="{00000000-0005-0000-0000-0000980A0000}"/>
    <cellStyle name="Comma 5 2 3 4 2 2 4 4" xfId="28084" xr:uid="{00000000-0005-0000-0000-0000990A0000}"/>
    <cellStyle name="Comma 5 2 3 4 2 2 5" xfId="5908" xr:uid="{00000000-0005-0000-0000-00009A0A0000}"/>
    <cellStyle name="Comma 5 2 3 4 2 2 5 2" xfId="14735" xr:uid="{00000000-0005-0000-0000-00009B0A0000}"/>
    <cellStyle name="Comma 5 2 3 4 2 2 5 2 2" xfId="40290" xr:uid="{00000000-0005-0000-0000-00009C0A0000}"/>
    <cellStyle name="Comma 5 2 3 4 2 2 5 3" xfId="24986" xr:uid="{00000000-0005-0000-0000-00009D0A0000}"/>
    <cellStyle name="Comma 5 2 3 4 2 2 5 3 2" xfId="50539" xr:uid="{00000000-0005-0000-0000-00009E0A0000}"/>
    <cellStyle name="Comma 5 2 3 4 2 2 5 4" xfId="31469" xr:uid="{00000000-0005-0000-0000-00009F0A0000}"/>
    <cellStyle name="Comma 5 2 3 4 2 2 6" xfId="7352" xr:uid="{00000000-0005-0000-0000-0000A00A0000}"/>
    <cellStyle name="Comma 5 2 3 4 2 2 6 2" xfId="20083" xr:uid="{00000000-0005-0000-0000-0000A10A0000}"/>
    <cellStyle name="Comma 5 2 3 4 2 2 6 2 2" xfId="45636" xr:uid="{00000000-0005-0000-0000-0000A20A0000}"/>
    <cellStyle name="Comma 5 2 3 4 2 2 6 3" xfId="32909" xr:uid="{00000000-0005-0000-0000-0000A30A0000}"/>
    <cellStyle name="Comma 5 2 3 4 2 2 7" xfId="16594" xr:uid="{00000000-0005-0000-0000-0000A40A0000}"/>
    <cellStyle name="Comma 5 2 3 4 2 2 7 2" xfId="42147" xr:uid="{00000000-0005-0000-0000-0000A50A0000}"/>
    <cellStyle name="Comma 5 2 3 4 2 2 8" xfId="26566" xr:uid="{00000000-0005-0000-0000-0000A60A0000}"/>
    <cellStyle name="Comma 5 2 3 4 2 3" xfId="1339" xr:uid="{00000000-0005-0000-0000-0000A70A0000}"/>
    <cellStyle name="Comma 5 2 3 4 2 3 2" xfId="3768" xr:uid="{00000000-0005-0000-0000-0000A80A0000}"/>
    <cellStyle name="Comma 5 2 3 4 2 3 2 2" xfId="12904" xr:uid="{00000000-0005-0000-0000-0000A90A0000}"/>
    <cellStyle name="Comma 5 2 3 4 2 3 2 2 2" xfId="23123" xr:uid="{00000000-0005-0000-0000-0000AA0A0000}"/>
    <cellStyle name="Comma 5 2 3 4 2 3 2 2 2 2" xfId="48676" xr:uid="{00000000-0005-0000-0000-0000AB0A0000}"/>
    <cellStyle name="Comma 5 2 3 4 2 3 2 2 3" xfId="38459" xr:uid="{00000000-0005-0000-0000-0000AC0A0000}"/>
    <cellStyle name="Comma 5 2 3 4 2 3 2 3" xfId="9325" xr:uid="{00000000-0005-0000-0000-0000AD0A0000}"/>
    <cellStyle name="Comma 5 2 3 4 2 3 2 3 2" xfId="34882" xr:uid="{00000000-0005-0000-0000-0000AE0A0000}"/>
    <cellStyle name="Comma 5 2 3 4 2 3 2 4" xfId="18116" xr:uid="{00000000-0005-0000-0000-0000AF0A0000}"/>
    <cellStyle name="Comma 5 2 3 4 2 3 2 4 2" xfId="43669" xr:uid="{00000000-0005-0000-0000-0000B00A0000}"/>
    <cellStyle name="Comma 5 2 3 4 2 3 2 5" xfId="29606" xr:uid="{00000000-0005-0000-0000-0000B10A0000}"/>
    <cellStyle name="Comma 5 2 3 4 2 3 3" xfId="4801" xr:uid="{00000000-0005-0000-0000-0000B20A0000}"/>
    <cellStyle name="Comma 5 2 3 4 2 3 3 2" xfId="13638" xr:uid="{00000000-0005-0000-0000-0000B30A0000}"/>
    <cellStyle name="Comma 5 2 3 4 2 3 3 2 2" xfId="23889" xr:uid="{00000000-0005-0000-0000-0000B40A0000}"/>
    <cellStyle name="Comma 5 2 3 4 2 3 3 2 2 2" xfId="49442" xr:uid="{00000000-0005-0000-0000-0000B50A0000}"/>
    <cellStyle name="Comma 5 2 3 4 2 3 3 2 3" xfId="39193" xr:uid="{00000000-0005-0000-0000-0000B60A0000}"/>
    <cellStyle name="Comma 5 2 3 4 2 3 3 3" xfId="10059" xr:uid="{00000000-0005-0000-0000-0000B70A0000}"/>
    <cellStyle name="Comma 5 2 3 4 2 3 3 3 2" xfId="35616" xr:uid="{00000000-0005-0000-0000-0000B80A0000}"/>
    <cellStyle name="Comma 5 2 3 4 2 3 3 4" xfId="18882" xr:uid="{00000000-0005-0000-0000-0000B90A0000}"/>
    <cellStyle name="Comma 5 2 3 4 2 3 3 4 2" xfId="44435" xr:uid="{00000000-0005-0000-0000-0000BA0A0000}"/>
    <cellStyle name="Comma 5 2 3 4 2 3 3 5" xfId="30372" xr:uid="{00000000-0005-0000-0000-0000BB0A0000}"/>
    <cellStyle name="Comma 5 2 3 4 2 3 4" xfId="2162" xr:uid="{00000000-0005-0000-0000-0000BC0A0000}"/>
    <cellStyle name="Comma 5 2 3 4 2 3 4 2" xfId="11527" xr:uid="{00000000-0005-0000-0000-0000BD0A0000}"/>
    <cellStyle name="Comma 5 2 3 4 2 3 4 2 2" xfId="37082" xr:uid="{00000000-0005-0000-0000-0000BE0A0000}"/>
    <cellStyle name="Comma 5 2 3 4 2 3 4 3" xfId="21531" xr:uid="{00000000-0005-0000-0000-0000BF0A0000}"/>
    <cellStyle name="Comma 5 2 3 4 2 3 4 3 2" xfId="47084" xr:uid="{00000000-0005-0000-0000-0000C00A0000}"/>
    <cellStyle name="Comma 5 2 3 4 2 3 4 4" xfId="28014" xr:uid="{00000000-0005-0000-0000-0000C10A0000}"/>
    <cellStyle name="Comma 5 2 3 4 2 3 5" xfId="6256" xr:uid="{00000000-0005-0000-0000-0000C20A0000}"/>
    <cellStyle name="Comma 5 2 3 4 2 3 5 2" xfId="15083" xr:uid="{00000000-0005-0000-0000-0000C30A0000}"/>
    <cellStyle name="Comma 5 2 3 4 2 3 5 2 2" xfId="40638" xr:uid="{00000000-0005-0000-0000-0000C40A0000}"/>
    <cellStyle name="Comma 5 2 3 4 2 3 5 3" xfId="25334" xr:uid="{00000000-0005-0000-0000-0000C50A0000}"/>
    <cellStyle name="Comma 5 2 3 4 2 3 5 3 2" xfId="50887" xr:uid="{00000000-0005-0000-0000-0000C60A0000}"/>
    <cellStyle name="Comma 5 2 3 4 2 3 5 4" xfId="31817" xr:uid="{00000000-0005-0000-0000-0000C70A0000}"/>
    <cellStyle name="Comma 5 2 3 4 2 3 6" xfId="7702" xr:uid="{00000000-0005-0000-0000-0000C80A0000}"/>
    <cellStyle name="Comma 5 2 3 4 2 3 6 2" xfId="20722" xr:uid="{00000000-0005-0000-0000-0000C90A0000}"/>
    <cellStyle name="Comma 5 2 3 4 2 3 6 2 2" xfId="46275" xr:uid="{00000000-0005-0000-0000-0000CA0A0000}"/>
    <cellStyle name="Comma 5 2 3 4 2 3 6 3" xfId="33259" xr:uid="{00000000-0005-0000-0000-0000CB0A0000}"/>
    <cellStyle name="Comma 5 2 3 4 2 3 7" xfId="16524" xr:uid="{00000000-0005-0000-0000-0000CC0A0000}"/>
    <cellStyle name="Comma 5 2 3 4 2 3 7 2" xfId="42077" xr:uid="{00000000-0005-0000-0000-0000CD0A0000}"/>
    <cellStyle name="Comma 5 2 3 4 2 3 8" xfId="27205" xr:uid="{00000000-0005-0000-0000-0000CE0A0000}"/>
    <cellStyle name="Comma 5 2 3 4 2 4" xfId="3053" xr:uid="{00000000-0005-0000-0000-0000CF0A0000}"/>
    <cellStyle name="Comma 5 2 3 4 2 4 2" xfId="5431" xr:uid="{00000000-0005-0000-0000-0000D00A0000}"/>
    <cellStyle name="Comma 5 2 3 4 2 4 2 2" xfId="14268" xr:uid="{00000000-0005-0000-0000-0000D10A0000}"/>
    <cellStyle name="Comma 5 2 3 4 2 4 2 2 2" xfId="24519" xr:uid="{00000000-0005-0000-0000-0000D20A0000}"/>
    <cellStyle name="Comma 5 2 3 4 2 4 2 2 2 2" xfId="50072" xr:uid="{00000000-0005-0000-0000-0000D30A0000}"/>
    <cellStyle name="Comma 5 2 3 4 2 4 2 2 3" xfId="39823" xr:uid="{00000000-0005-0000-0000-0000D40A0000}"/>
    <cellStyle name="Comma 5 2 3 4 2 4 2 3" xfId="10689" xr:uid="{00000000-0005-0000-0000-0000D50A0000}"/>
    <cellStyle name="Comma 5 2 3 4 2 4 2 3 2" xfId="36246" xr:uid="{00000000-0005-0000-0000-0000D60A0000}"/>
    <cellStyle name="Comma 5 2 3 4 2 4 2 4" xfId="19512" xr:uid="{00000000-0005-0000-0000-0000D70A0000}"/>
    <cellStyle name="Comma 5 2 3 4 2 4 2 4 2" xfId="45065" xr:uid="{00000000-0005-0000-0000-0000D80A0000}"/>
    <cellStyle name="Comma 5 2 3 4 2 4 2 5" xfId="31002" xr:uid="{00000000-0005-0000-0000-0000D90A0000}"/>
    <cellStyle name="Comma 5 2 3 4 2 4 3" xfId="6886" xr:uid="{00000000-0005-0000-0000-0000DA0A0000}"/>
    <cellStyle name="Comma 5 2 3 4 2 4 3 2" xfId="15713" xr:uid="{00000000-0005-0000-0000-0000DB0A0000}"/>
    <cellStyle name="Comma 5 2 3 4 2 4 3 2 2" xfId="41268" xr:uid="{00000000-0005-0000-0000-0000DC0A0000}"/>
    <cellStyle name="Comma 5 2 3 4 2 4 3 3" xfId="25964" xr:uid="{00000000-0005-0000-0000-0000DD0A0000}"/>
    <cellStyle name="Comma 5 2 3 4 2 4 3 3 2" xfId="51517" xr:uid="{00000000-0005-0000-0000-0000DE0A0000}"/>
    <cellStyle name="Comma 5 2 3 4 2 4 3 4" xfId="32447" xr:uid="{00000000-0005-0000-0000-0000DF0A0000}"/>
    <cellStyle name="Comma 5 2 3 4 2 4 4" xfId="8332" xr:uid="{00000000-0005-0000-0000-0000E00A0000}"/>
    <cellStyle name="Comma 5 2 3 4 2 4 4 2" xfId="22414" xr:uid="{00000000-0005-0000-0000-0000E10A0000}"/>
    <cellStyle name="Comma 5 2 3 4 2 4 4 2 2" xfId="47967" xr:uid="{00000000-0005-0000-0000-0000E20A0000}"/>
    <cellStyle name="Comma 5 2 3 4 2 4 4 3" xfId="33889" xr:uid="{00000000-0005-0000-0000-0000E30A0000}"/>
    <cellStyle name="Comma 5 2 3 4 2 4 5" xfId="17407" xr:uid="{00000000-0005-0000-0000-0000E40A0000}"/>
    <cellStyle name="Comma 5 2 3 4 2 4 5 2" xfId="42960" xr:uid="{00000000-0005-0000-0000-0000E50A0000}"/>
    <cellStyle name="Comma 5 2 3 4 2 4 6" xfId="28897" xr:uid="{00000000-0005-0000-0000-0000E60A0000}"/>
    <cellStyle name="Comma 5 2 3 4 2 5" xfId="4387" xr:uid="{00000000-0005-0000-0000-0000E70A0000}"/>
    <cellStyle name="Comma 5 2 3 4 2 5 2" xfId="13225" xr:uid="{00000000-0005-0000-0000-0000E80A0000}"/>
    <cellStyle name="Comma 5 2 3 4 2 5 2 2" xfId="23476" xr:uid="{00000000-0005-0000-0000-0000E90A0000}"/>
    <cellStyle name="Comma 5 2 3 4 2 5 2 2 2" xfId="49029" xr:uid="{00000000-0005-0000-0000-0000EA0A0000}"/>
    <cellStyle name="Comma 5 2 3 4 2 5 2 3" xfId="38780" xr:uid="{00000000-0005-0000-0000-0000EB0A0000}"/>
    <cellStyle name="Comma 5 2 3 4 2 5 3" xfId="9646" xr:uid="{00000000-0005-0000-0000-0000EC0A0000}"/>
    <cellStyle name="Comma 5 2 3 4 2 5 3 2" xfId="35203" xr:uid="{00000000-0005-0000-0000-0000ED0A0000}"/>
    <cellStyle name="Comma 5 2 3 4 2 5 4" xfId="18469" xr:uid="{00000000-0005-0000-0000-0000EE0A0000}"/>
    <cellStyle name="Comma 5 2 3 4 2 5 4 2" xfId="44022" xr:uid="{00000000-0005-0000-0000-0000EF0A0000}"/>
    <cellStyle name="Comma 5 2 3 4 2 5 5" xfId="29959" xr:uid="{00000000-0005-0000-0000-0000F00A0000}"/>
    <cellStyle name="Comma 5 2 3 4 2 6" xfId="1659" xr:uid="{00000000-0005-0000-0000-0000F10A0000}"/>
    <cellStyle name="Comma 5 2 3 4 2 6 2" xfId="11036" xr:uid="{00000000-0005-0000-0000-0000F20A0000}"/>
    <cellStyle name="Comma 5 2 3 4 2 6 2 2" xfId="36591" xr:uid="{00000000-0005-0000-0000-0000F30A0000}"/>
    <cellStyle name="Comma 5 2 3 4 2 6 3" xfId="21040" xr:uid="{00000000-0005-0000-0000-0000F40A0000}"/>
    <cellStyle name="Comma 5 2 3 4 2 6 3 2" xfId="46593" xr:uid="{00000000-0005-0000-0000-0000F50A0000}"/>
    <cellStyle name="Comma 5 2 3 4 2 6 4" xfId="27523" xr:uid="{00000000-0005-0000-0000-0000F60A0000}"/>
    <cellStyle name="Comma 5 2 3 4 2 7" xfId="5843" xr:uid="{00000000-0005-0000-0000-0000F70A0000}"/>
    <cellStyle name="Comma 5 2 3 4 2 7 2" xfId="14670" xr:uid="{00000000-0005-0000-0000-0000F80A0000}"/>
    <cellStyle name="Comma 5 2 3 4 2 7 2 2" xfId="40225" xr:uid="{00000000-0005-0000-0000-0000F90A0000}"/>
    <cellStyle name="Comma 5 2 3 4 2 7 3" xfId="24921" xr:uid="{00000000-0005-0000-0000-0000FA0A0000}"/>
    <cellStyle name="Comma 5 2 3 4 2 7 3 2" xfId="50474" xr:uid="{00000000-0005-0000-0000-0000FB0A0000}"/>
    <cellStyle name="Comma 5 2 3 4 2 7 4" xfId="31404" xr:uid="{00000000-0005-0000-0000-0000FC0A0000}"/>
    <cellStyle name="Comma 5 2 3 4 2 8" xfId="7287" xr:uid="{00000000-0005-0000-0000-0000FD0A0000}"/>
    <cellStyle name="Comma 5 2 3 4 2 8 2" xfId="20013" xr:uid="{00000000-0005-0000-0000-0000FE0A0000}"/>
    <cellStyle name="Comma 5 2 3 4 2 8 2 2" xfId="45566" xr:uid="{00000000-0005-0000-0000-0000FF0A0000}"/>
    <cellStyle name="Comma 5 2 3 4 2 8 3" xfId="32844" xr:uid="{00000000-0005-0000-0000-0000000B0000}"/>
    <cellStyle name="Comma 5 2 3 4 2 9" xfId="16033" xr:uid="{00000000-0005-0000-0000-0000010B0000}"/>
    <cellStyle name="Comma 5 2 3 4 2 9 2" xfId="41586" xr:uid="{00000000-0005-0000-0000-0000020B0000}"/>
    <cellStyle name="Comma 5 2 3 4 3" xfId="362" xr:uid="{00000000-0005-0000-0000-0000030B0000}"/>
    <cellStyle name="Comma 5 2 3 4 3 2" xfId="2848" xr:uid="{00000000-0005-0000-0000-0000040B0000}"/>
    <cellStyle name="Comma 5 2 3 4 3 2 2" xfId="12136" xr:uid="{00000000-0005-0000-0000-0000050B0000}"/>
    <cellStyle name="Comma 5 2 3 4 3 2 2 2" xfId="22209" xr:uid="{00000000-0005-0000-0000-0000060B0000}"/>
    <cellStyle name="Comma 5 2 3 4 3 2 2 2 2" xfId="47762" xr:uid="{00000000-0005-0000-0000-0000070B0000}"/>
    <cellStyle name="Comma 5 2 3 4 3 2 2 3" xfId="37691" xr:uid="{00000000-0005-0000-0000-0000080B0000}"/>
    <cellStyle name="Comma 5 2 3 4 3 2 3" xfId="8454" xr:uid="{00000000-0005-0000-0000-0000090B0000}"/>
    <cellStyle name="Comma 5 2 3 4 3 2 3 2" xfId="34011" xr:uid="{00000000-0005-0000-0000-00000A0B0000}"/>
    <cellStyle name="Comma 5 2 3 4 3 2 4" xfId="17202" xr:uid="{00000000-0005-0000-0000-00000B0B0000}"/>
    <cellStyle name="Comma 5 2 3 4 3 2 4 2" xfId="42755" xr:uid="{00000000-0005-0000-0000-00000C0B0000}"/>
    <cellStyle name="Comma 5 2 3 4 3 2 5" xfId="28692" xr:uid="{00000000-0005-0000-0000-00000D0B0000}"/>
    <cellStyle name="Comma 5 2 3 4 3 3" xfId="4451" xr:uid="{00000000-0005-0000-0000-00000E0B0000}"/>
    <cellStyle name="Comma 5 2 3 4 3 3 2" xfId="13289" xr:uid="{00000000-0005-0000-0000-00000F0B0000}"/>
    <cellStyle name="Comma 5 2 3 4 3 3 2 2" xfId="23540" xr:uid="{00000000-0005-0000-0000-0000100B0000}"/>
    <cellStyle name="Comma 5 2 3 4 3 3 2 2 2" xfId="49093" xr:uid="{00000000-0005-0000-0000-0000110B0000}"/>
    <cellStyle name="Comma 5 2 3 4 3 3 2 3" xfId="38844" xr:uid="{00000000-0005-0000-0000-0000120B0000}"/>
    <cellStyle name="Comma 5 2 3 4 3 3 3" xfId="9710" xr:uid="{00000000-0005-0000-0000-0000130B0000}"/>
    <cellStyle name="Comma 5 2 3 4 3 3 3 2" xfId="35267" xr:uid="{00000000-0005-0000-0000-0000140B0000}"/>
    <cellStyle name="Comma 5 2 3 4 3 3 4" xfId="18533" xr:uid="{00000000-0005-0000-0000-0000150B0000}"/>
    <cellStyle name="Comma 5 2 3 4 3 3 4 2" xfId="44086" xr:uid="{00000000-0005-0000-0000-0000160B0000}"/>
    <cellStyle name="Comma 5 2 3 4 3 3 5" xfId="30023" xr:uid="{00000000-0005-0000-0000-0000170B0000}"/>
    <cellStyle name="Comma 5 2 3 4 3 4" xfId="1957" xr:uid="{00000000-0005-0000-0000-0000180B0000}"/>
    <cellStyle name="Comma 5 2 3 4 3 4 2" xfId="11322" xr:uid="{00000000-0005-0000-0000-0000190B0000}"/>
    <cellStyle name="Comma 5 2 3 4 3 4 2 2" xfId="36877" xr:uid="{00000000-0005-0000-0000-00001A0B0000}"/>
    <cellStyle name="Comma 5 2 3 4 3 4 3" xfId="21326" xr:uid="{00000000-0005-0000-0000-00001B0B0000}"/>
    <cellStyle name="Comma 5 2 3 4 3 4 3 2" xfId="46879" xr:uid="{00000000-0005-0000-0000-00001C0B0000}"/>
    <cellStyle name="Comma 5 2 3 4 3 4 4" xfId="27809" xr:uid="{00000000-0005-0000-0000-00001D0B0000}"/>
    <cellStyle name="Comma 5 2 3 4 3 5" xfId="5907" xr:uid="{00000000-0005-0000-0000-00001E0B0000}"/>
    <cellStyle name="Comma 5 2 3 4 3 5 2" xfId="14734" xr:uid="{00000000-0005-0000-0000-00001F0B0000}"/>
    <cellStyle name="Comma 5 2 3 4 3 5 2 2" xfId="40289" xr:uid="{00000000-0005-0000-0000-0000200B0000}"/>
    <cellStyle name="Comma 5 2 3 4 3 5 3" xfId="24985" xr:uid="{00000000-0005-0000-0000-0000210B0000}"/>
    <cellStyle name="Comma 5 2 3 4 3 5 3 2" xfId="50538" xr:uid="{00000000-0005-0000-0000-0000220B0000}"/>
    <cellStyle name="Comma 5 2 3 4 3 5 4" xfId="31468" xr:uid="{00000000-0005-0000-0000-0000230B0000}"/>
    <cellStyle name="Comma 5 2 3 4 3 6" xfId="7351" xr:uid="{00000000-0005-0000-0000-0000240B0000}"/>
    <cellStyle name="Comma 5 2 3 4 3 6 2" xfId="19808" xr:uid="{00000000-0005-0000-0000-0000250B0000}"/>
    <cellStyle name="Comma 5 2 3 4 3 6 2 2" xfId="45361" xr:uid="{00000000-0005-0000-0000-0000260B0000}"/>
    <cellStyle name="Comma 5 2 3 4 3 6 3" xfId="32908" xr:uid="{00000000-0005-0000-0000-0000270B0000}"/>
    <cellStyle name="Comma 5 2 3 4 3 7" xfId="16319" xr:uid="{00000000-0005-0000-0000-0000280B0000}"/>
    <cellStyle name="Comma 5 2 3 4 3 7 2" xfId="41872" xr:uid="{00000000-0005-0000-0000-0000290B0000}"/>
    <cellStyle name="Comma 5 2 3 4 3 8" xfId="26291" xr:uid="{00000000-0005-0000-0000-00002A0B0000}"/>
    <cellStyle name="Comma 5 2 3 4 4" xfId="636" xr:uid="{00000000-0005-0000-0000-00002B0B0000}"/>
    <cellStyle name="Comma 5 2 3 4 4 2" xfId="3122" xr:uid="{00000000-0005-0000-0000-00002C0B0000}"/>
    <cellStyle name="Comma 5 2 3 4 4 2 2" xfId="12265" xr:uid="{00000000-0005-0000-0000-00002D0B0000}"/>
    <cellStyle name="Comma 5 2 3 4 4 2 2 2" xfId="22483" xr:uid="{00000000-0005-0000-0000-00002E0B0000}"/>
    <cellStyle name="Comma 5 2 3 4 4 2 2 2 2" xfId="48036" xr:uid="{00000000-0005-0000-0000-00002F0B0000}"/>
    <cellStyle name="Comma 5 2 3 4 4 2 2 3" xfId="37820" xr:uid="{00000000-0005-0000-0000-0000300B0000}"/>
    <cellStyle name="Comma 5 2 3 4 4 2 3" xfId="8687" xr:uid="{00000000-0005-0000-0000-0000310B0000}"/>
    <cellStyle name="Comma 5 2 3 4 4 2 3 2" xfId="34244" xr:uid="{00000000-0005-0000-0000-0000320B0000}"/>
    <cellStyle name="Comma 5 2 3 4 4 2 4" xfId="17476" xr:uid="{00000000-0005-0000-0000-0000330B0000}"/>
    <cellStyle name="Comma 5 2 3 4 4 2 4 2" xfId="43029" xr:uid="{00000000-0005-0000-0000-0000340B0000}"/>
    <cellStyle name="Comma 5 2 3 4 4 2 5" xfId="28966" xr:uid="{00000000-0005-0000-0000-0000350B0000}"/>
    <cellStyle name="Comma 5 2 3 4 4 3" xfId="4800" xr:uid="{00000000-0005-0000-0000-0000360B0000}"/>
    <cellStyle name="Comma 5 2 3 4 4 3 2" xfId="13637" xr:uid="{00000000-0005-0000-0000-0000370B0000}"/>
    <cellStyle name="Comma 5 2 3 4 4 3 2 2" xfId="23888" xr:uid="{00000000-0005-0000-0000-0000380B0000}"/>
    <cellStyle name="Comma 5 2 3 4 4 3 2 2 2" xfId="49441" xr:uid="{00000000-0005-0000-0000-0000390B0000}"/>
    <cellStyle name="Comma 5 2 3 4 4 3 2 3" xfId="39192" xr:uid="{00000000-0005-0000-0000-00003A0B0000}"/>
    <cellStyle name="Comma 5 2 3 4 4 3 3" xfId="10058" xr:uid="{00000000-0005-0000-0000-00003B0B0000}"/>
    <cellStyle name="Comma 5 2 3 4 4 3 3 2" xfId="35615" xr:uid="{00000000-0005-0000-0000-00003C0B0000}"/>
    <cellStyle name="Comma 5 2 3 4 4 3 4" xfId="18881" xr:uid="{00000000-0005-0000-0000-00003D0B0000}"/>
    <cellStyle name="Comma 5 2 3 4 4 3 4 2" xfId="44434" xr:uid="{00000000-0005-0000-0000-00003E0B0000}"/>
    <cellStyle name="Comma 5 2 3 4 4 3 5" xfId="30371" xr:uid="{00000000-0005-0000-0000-00003F0B0000}"/>
    <cellStyle name="Comma 5 2 3 4 4 4" xfId="2231" xr:uid="{00000000-0005-0000-0000-0000400B0000}"/>
    <cellStyle name="Comma 5 2 3 4 4 4 2" xfId="11596" xr:uid="{00000000-0005-0000-0000-0000410B0000}"/>
    <cellStyle name="Comma 5 2 3 4 4 4 2 2" xfId="37151" xr:uid="{00000000-0005-0000-0000-0000420B0000}"/>
    <cellStyle name="Comma 5 2 3 4 4 4 3" xfId="21600" xr:uid="{00000000-0005-0000-0000-0000430B0000}"/>
    <cellStyle name="Comma 5 2 3 4 4 4 3 2" xfId="47153" xr:uid="{00000000-0005-0000-0000-0000440B0000}"/>
    <cellStyle name="Comma 5 2 3 4 4 4 4" xfId="28083" xr:uid="{00000000-0005-0000-0000-0000450B0000}"/>
    <cellStyle name="Comma 5 2 3 4 4 5" xfId="6255" xr:uid="{00000000-0005-0000-0000-0000460B0000}"/>
    <cellStyle name="Comma 5 2 3 4 4 5 2" xfId="15082" xr:uid="{00000000-0005-0000-0000-0000470B0000}"/>
    <cellStyle name="Comma 5 2 3 4 4 5 2 2" xfId="40637" xr:uid="{00000000-0005-0000-0000-0000480B0000}"/>
    <cellStyle name="Comma 5 2 3 4 4 5 3" xfId="25333" xr:uid="{00000000-0005-0000-0000-0000490B0000}"/>
    <cellStyle name="Comma 5 2 3 4 4 5 3 2" xfId="50886" xr:uid="{00000000-0005-0000-0000-00004A0B0000}"/>
    <cellStyle name="Comma 5 2 3 4 4 5 4" xfId="31816" xr:uid="{00000000-0005-0000-0000-00004B0B0000}"/>
    <cellStyle name="Comma 5 2 3 4 4 6" xfId="7701" xr:uid="{00000000-0005-0000-0000-00004C0B0000}"/>
    <cellStyle name="Comma 5 2 3 4 4 6 2" xfId="20082" xr:uid="{00000000-0005-0000-0000-00004D0B0000}"/>
    <cellStyle name="Comma 5 2 3 4 4 6 2 2" xfId="45635" xr:uid="{00000000-0005-0000-0000-00004E0B0000}"/>
    <cellStyle name="Comma 5 2 3 4 4 6 3" xfId="33258" xr:uid="{00000000-0005-0000-0000-00004F0B0000}"/>
    <cellStyle name="Comma 5 2 3 4 4 7" xfId="16593" xr:uid="{00000000-0005-0000-0000-0000500B0000}"/>
    <cellStyle name="Comma 5 2 3 4 4 7 2" xfId="42146" xr:uid="{00000000-0005-0000-0000-0000510B0000}"/>
    <cellStyle name="Comma 5 2 3 4 4 8" xfId="26565" xr:uid="{00000000-0005-0000-0000-0000520B0000}"/>
    <cellStyle name="Comma 5 2 3 4 5" xfId="1134" xr:uid="{00000000-0005-0000-0000-0000530B0000}"/>
    <cellStyle name="Comma 5 2 3 4 5 2" xfId="3563" xr:uid="{00000000-0005-0000-0000-0000540B0000}"/>
    <cellStyle name="Comma 5 2 3 4 5 2 2" xfId="12699" xr:uid="{00000000-0005-0000-0000-0000550B0000}"/>
    <cellStyle name="Comma 5 2 3 4 5 2 2 2" xfId="22918" xr:uid="{00000000-0005-0000-0000-0000560B0000}"/>
    <cellStyle name="Comma 5 2 3 4 5 2 2 2 2" xfId="48471" xr:uid="{00000000-0005-0000-0000-0000570B0000}"/>
    <cellStyle name="Comma 5 2 3 4 5 2 2 3" xfId="38254" xr:uid="{00000000-0005-0000-0000-0000580B0000}"/>
    <cellStyle name="Comma 5 2 3 4 5 2 3" xfId="9120" xr:uid="{00000000-0005-0000-0000-0000590B0000}"/>
    <cellStyle name="Comma 5 2 3 4 5 2 3 2" xfId="34677" xr:uid="{00000000-0005-0000-0000-00005A0B0000}"/>
    <cellStyle name="Comma 5 2 3 4 5 2 4" xfId="17911" xr:uid="{00000000-0005-0000-0000-00005B0B0000}"/>
    <cellStyle name="Comma 5 2 3 4 5 2 4 2" xfId="43464" xr:uid="{00000000-0005-0000-0000-00005C0B0000}"/>
    <cellStyle name="Comma 5 2 3 4 5 2 5" xfId="29401" xr:uid="{00000000-0005-0000-0000-00005D0B0000}"/>
    <cellStyle name="Comma 5 2 3 4 5 3" xfId="5226" xr:uid="{00000000-0005-0000-0000-00005E0B0000}"/>
    <cellStyle name="Comma 5 2 3 4 5 3 2" xfId="14063" xr:uid="{00000000-0005-0000-0000-00005F0B0000}"/>
    <cellStyle name="Comma 5 2 3 4 5 3 2 2" xfId="24314" xr:uid="{00000000-0005-0000-0000-0000600B0000}"/>
    <cellStyle name="Comma 5 2 3 4 5 3 2 2 2" xfId="49867" xr:uid="{00000000-0005-0000-0000-0000610B0000}"/>
    <cellStyle name="Comma 5 2 3 4 5 3 2 3" xfId="39618" xr:uid="{00000000-0005-0000-0000-0000620B0000}"/>
    <cellStyle name="Comma 5 2 3 4 5 3 3" xfId="10484" xr:uid="{00000000-0005-0000-0000-0000630B0000}"/>
    <cellStyle name="Comma 5 2 3 4 5 3 3 2" xfId="36041" xr:uid="{00000000-0005-0000-0000-0000640B0000}"/>
    <cellStyle name="Comma 5 2 3 4 5 3 4" xfId="19307" xr:uid="{00000000-0005-0000-0000-0000650B0000}"/>
    <cellStyle name="Comma 5 2 3 4 5 3 4 2" xfId="44860" xr:uid="{00000000-0005-0000-0000-0000660B0000}"/>
    <cellStyle name="Comma 5 2 3 4 5 3 5" xfId="30797" xr:uid="{00000000-0005-0000-0000-0000670B0000}"/>
    <cellStyle name="Comma 5 2 3 4 5 4" xfId="1842" xr:uid="{00000000-0005-0000-0000-0000680B0000}"/>
    <cellStyle name="Comma 5 2 3 4 5 4 2" xfId="11210" xr:uid="{00000000-0005-0000-0000-0000690B0000}"/>
    <cellStyle name="Comma 5 2 3 4 5 4 2 2" xfId="36765" xr:uid="{00000000-0005-0000-0000-00006A0B0000}"/>
    <cellStyle name="Comma 5 2 3 4 5 4 3" xfId="21214" xr:uid="{00000000-0005-0000-0000-00006B0B0000}"/>
    <cellStyle name="Comma 5 2 3 4 5 4 3 2" xfId="46767" xr:uid="{00000000-0005-0000-0000-00006C0B0000}"/>
    <cellStyle name="Comma 5 2 3 4 5 4 4" xfId="27697" xr:uid="{00000000-0005-0000-0000-00006D0B0000}"/>
    <cellStyle name="Comma 5 2 3 4 5 5" xfId="6681" xr:uid="{00000000-0005-0000-0000-00006E0B0000}"/>
    <cellStyle name="Comma 5 2 3 4 5 5 2" xfId="15508" xr:uid="{00000000-0005-0000-0000-00006F0B0000}"/>
    <cellStyle name="Comma 5 2 3 4 5 5 2 2" xfId="41063" xr:uid="{00000000-0005-0000-0000-0000700B0000}"/>
    <cellStyle name="Comma 5 2 3 4 5 5 3" xfId="25759" xr:uid="{00000000-0005-0000-0000-0000710B0000}"/>
    <cellStyle name="Comma 5 2 3 4 5 5 3 2" xfId="51312" xr:uid="{00000000-0005-0000-0000-0000720B0000}"/>
    <cellStyle name="Comma 5 2 3 4 5 5 4" xfId="32242" xr:uid="{00000000-0005-0000-0000-0000730B0000}"/>
    <cellStyle name="Comma 5 2 3 4 5 6" xfId="8127" xr:uid="{00000000-0005-0000-0000-0000740B0000}"/>
    <cellStyle name="Comma 5 2 3 4 5 6 2" xfId="20517" xr:uid="{00000000-0005-0000-0000-0000750B0000}"/>
    <cellStyle name="Comma 5 2 3 4 5 6 2 2" xfId="46070" xr:uid="{00000000-0005-0000-0000-0000760B0000}"/>
    <cellStyle name="Comma 5 2 3 4 5 6 3" xfId="33684" xr:uid="{00000000-0005-0000-0000-0000770B0000}"/>
    <cellStyle name="Comma 5 2 3 4 5 7" xfId="16207" xr:uid="{00000000-0005-0000-0000-0000780B0000}"/>
    <cellStyle name="Comma 5 2 3 4 5 7 2" xfId="41760" xr:uid="{00000000-0005-0000-0000-0000790B0000}"/>
    <cellStyle name="Comma 5 2 3 4 5 8" xfId="27000" xr:uid="{00000000-0005-0000-0000-00007A0B0000}"/>
    <cellStyle name="Comma 5 2 3 4 6" xfId="2736" xr:uid="{00000000-0005-0000-0000-00007B0B0000}"/>
    <cellStyle name="Comma 5 2 3 4 6 2" xfId="12053" xr:uid="{00000000-0005-0000-0000-00007C0B0000}"/>
    <cellStyle name="Comma 5 2 3 4 6 2 2" xfId="22097" xr:uid="{00000000-0005-0000-0000-00007D0B0000}"/>
    <cellStyle name="Comma 5 2 3 4 6 2 2 2" xfId="47650" xr:uid="{00000000-0005-0000-0000-00007E0B0000}"/>
    <cellStyle name="Comma 5 2 3 4 6 2 3" xfId="37608" xr:uid="{00000000-0005-0000-0000-00007F0B0000}"/>
    <cellStyle name="Comma 5 2 3 4 6 3" xfId="8480" xr:uid="{00000000-0005-0000-0000-0000800B0000}"/>
    <cellStyle name="Comma 5 2 3 4 6 3 2" xfId="34037" xr:uid="{00000000-0005-0000-0000-0000810B0000}"/>
    <cellStyle name="Comma 5 2 3 4 6 4" xfId="17090" xr:uid="{00000000-0005-0000-0000-0000820B0000}"/>
    <cellStyle name="Comma 5 2 3 4 6 4 2" xfId="42643" xr:uid="{00000000-0005-0000-0000-0000830B0000}"/>
    <cellStyle name="Comma 5 2 3 4 6 5" xfId="28580" xr:uid="{00000000-0005-0000-0000-0000840B0000}"/>
    <cellStyle name="Comma 5 2 3 4 7" xfId="4182" xr:uid="{00000000-0005-0000-0000-0000850B0000}"/>
    <cellStyle name="Comma 5 2 3 4 7 2" xfId="13020" xr:uid="{00000000-0005-0000-0000-0000860B0000}"/>
    <cellStyle name="Comma 5 2 3 4 7 2 2" xfId="23271" xr:uid="{00000000-0005-0000-0000-0000870B0000}"/>
    <cellStyle name="Comma 5 2 3 4 7 2 2 2" xfId="48824" xr:uid="{00000000-0005-0000-0000-0000880B0000}"/>
    <cellStyle name="Comma 5 2 3 4 7 2 3" xfId="38575" xr:uid="{00000000-0005-0000-0000-0000890B0000}"/>
    <cellStyle name="Comma 5 2 3 4 7 3" xfId="9441" xr:uid="{00000000-0005-0000-0000-00008A0B0000}"/>
    <cellStyle name="Comma 5 2 3 4 7 3 2" xfId="34998" xr:uid="{00000000-0005-0000-0000-00008B0B0000}"/>
    <cellStyle name="Comma 5 2 3 4 7 4" xfId="18264" xr:uid="{00000000-0005-0000-0000-00008C0B0000}"/>
    <cellStyle name="Comma 5 2 3 4 7 4 2" xfId="43817" xr:uid="{00000000-0005-0000-0000-00008D0B0000}"/>
    <cellStyle name="Comma 5 2 3 4 7 5" xfId="29754" xr:uid="{00000000-0005-0000-0000-00008E0B0000}"/>
    <cellStyle name="Comma 5 2 3 4 8" xfId="1454" xr:uid="{00000000-0005-0000-0000-00008F0B0000}"/>
    <cellStyle name="Comma 5 2 3 4 8 2" xfId="10831" xr:uid="{00000000-0005-0000-0000-0000900B0000}"/>
    <cellStyle name="Comma 5 2 3 4 8 2 2" xfId="36386" xr:uid="{00000000-0005-0000-0000-0000910B0000}"/>
    <cellStyle name="Comma 5 2 3 4 8 3" xfId="20835" xr:uid="{00000000-0005-0000-0000-0000920B0000}"/>
    <cellStyle name="Comma 5 2 3 4 8 3 2" xfId="46388" xr:uid="{00000000-0005-0000-0000-0000930B0000}"/>
    <cellStyle name="Comma 5 2 3 4 8 4" xfId="27318" xr:uid="{00000000-0005-0000-0000-0000940B0000}"/>
    <cellStyle name="Comma 5 2 3 4 9" xfId="5638" xr:uid="{00000000-0005-0000-0000-0000950B0000}"/>
    <cellStyle name="Comma 5 2 3 4 9 2" xfId="14465" xr:uid="{00000000-0005-0000-0000-0000960B0000}"/>
    <cellStyle name="Comma 5 2 3 4 9 2 2" xfId="40020" xr:uid="{00000000-0005-0000-0000-0000970B0000}"/>
    <cellStyle name="Comma 5 2 3 4 9 3" xfId="24716" xr:uid="{00000000-0005-0000-0000-0000980B0000}"/>
    <cellStyle name="Comma 5 2 3 4 9 3 2" xfId="50269" xr:uid="{00000000-0005-0000-0000-0000990B0000}"/>
    <cellStyle name="Comma 5 2 3 4 9 4" xfId="31199" xr:uid="{00000000-0005-0000-0000-00009A0B0000}"/>
    <cellStyle name="Comma 5 2 3 5" xfId="462" xr:uid="{00000000-0005-0000-0000-00009B0B0000}"/>
    <cellStyle name="Comma 5 2 3 5 10" xfId="26391" xr:uid="{00000000-0005-0000-0000-00009C0B0000}"/>
    <cellStyle name="Comma 5 2 3 5 2" xfId="638" xr:uid="{00000000-0005-0000-0000-00009D0B0000}"/>
    <cellStyle name="Comma 5 2 3 5 2 2" xfId="3124" xr:uid="{00000000-0005-0000-0000-00009E0B0000}"/>
    <cellStyle name="Comma 5 2 3 5 2 2 2" xfId="12267" xr:uid="{00000000-0005-0000-0000-00009F0B0000}"/>
    <cellStyle name="Comma 5 2 3 5 2 2 2 2" xfId="22485" xr:uid="{00000000-0005-0000-0000-0000A00B0000}"/>
    <cellStyle name="Comma 5 2 3 5 2 2 2 2 2" xfId="48038" xr:uid="{00000000-0005-0000-0000-0000A10B0000}"/>
    <cellStyle name="Comma 5 2 3 5 2 2 2 3" xfId="37822" xr:uid="{00000000-0005-0000-0000-0000A20B0000}"/>
    <cellStyle name="Comma 5 2 3 5 2 2 3" xfId="8689" xr:uid="{00000000-0005-0000-0000-0000A30B0000}"/>
    <cellStyle name="Comma 5 2 3 5 2 2 3 2" xfId="34246" xr:uid="{00000000-0005-0000-0000-0000A40B0000}"/>
    <cellStyle name="Comma 5 2 3 5 2 2 4" xfId="17478" xr:uid="{00000000-0005-0000-0000-0000A50B0000}"/>
    <cellStyle name="Comma 5 2 3 5 2 2 4 2" xfId="43031" xr:uid="{00000000-0005-0000-0000-0000A60B0000}"/>
    <cellStyle name="Comma 5 2 3 5 2 2 5" xfId="28968" xr:uid="{00000000-0005-0000-0000-0000A70B0000}"/>
    <cellStyle name="Comma 5 2 3 5 2 3" xfId="4453" xr:uid="{00000000-0005-0000-0000-0000A80B0000}"/>
    <cellStyle name="Comma 5 2 3 5 2 3 2" xfId="13291" xr:uid="{00000000-0005-0000-0000-0000A90B0000}"/>
    <cellStyle name="Comma 5 2 3 5 2 3 2 2" xfId="23542" xr:uid="{00000000-0005-0000-0000-0000AA0B0000}"/>
    <cellStyle name="Comma 5 2 3 5 2 3 2 2 2" xfId="49095" xr:uid="{00000000-0005-0000-0000-0000AB0B0000}"/>
    <cellStyle name="Comma 5 2 3 5 2 3 2 3" xfId="38846" xr:uid="{00000000-0005-0000-0000-0000AC0B0000}"/>
    <cellStyle name="Comma 5 2 3 5 2 3 3" xfId="9712" xr:uid="{00000000-0005-0000-0000-0000AD0B0000}"/>
    <cellStyle name="Comma 5 2 3 5 2 3 3 2" xfId="35269" xr:uid="{00000000-0005-0000-0000-0000AE0B0000}"/>
    <cellStyle name="Comma 5 2 3 5 2 3 4" xfId="18535" xr:uid="{00000000-0005-0000-0000-0000AF0B0000}"/>
    <cellStyle name="Comma 5 2 3 5 2 3 4 2" xfId="44088" xr:uid="{00000000-0005-0000-0000-0000B00B0000}"/>
    <cellStyle name="Comma 5 2 3 5 2 3 5" xfId="30025" xr:uid="{00000000-0005-0000-0000-0000B10B0000}"/>
    <cellStyle name="Comma 5 2 3 5 2 4" xfId="2233" xr:uid="{00000000-0005-0000-0000-0000B20B0000}"/>
    <cellStyle name="Comma 5 2 3 5 2 4 2" xfId="11598" xr:uid="{00000000-0005-0000-0000-0000B30B0000}"/>
    <cellStyle name="Comma 5 2 3 5 2 4 2 2" xfId="37153" xr:uid="{00000000-0005-0000-0000-0000B40B0000}"/>
    <cellStyle name="Comma 5 2 3 5 2 4 3" xfId="21602" xr:uid="{00000000-0005-0000-0000-0000B50B0000}"/>
    <cellStyle name="Comma 5 2 3 5 2 4 3 2" xfId="47155" xr:uid="{00000000-0005-0000-0000-0000B60B0000}"/>
    <cellStyle name="Comma 5 2 3 5 2 4 4" xfId="28085" xr:uid="{00000000-0005-0000-0000-0000B70B0000}"/>
    <cellStyle name="Comma 5 2 3 5 2 5" xfId="5909" xr:uid="{00000000-0005-0000-0000-0000B80B0000}"/>
    <cellStyle name="Comma 5 2 3 5 2 5 2" xfId="14736" xr:uid="{00000000-0005-0000-0000-0000B90B0000}"/>
    <cellStyle name="Comma 5 2 3 5 2 5 2 2" xfId="40291" xr:uid="{00000000-0005-0000-0000-0000BA0B0000}"/>
    <cellStyle name="Comma 5 2 3 5 2 5 3" xfId="24987" xr:uid="{00000000-0005-0000-0000-0000BB0B0000}"/>
    <cellStyle name="Comma 5 2 3 5 2 5 3 2" xfId="50540" xr:uid="{00000000-0005-0000-0000-0000BC0B0000}"/>
    <cellStyle name="Comma 5 2 3 5 2 5 4" xfId="31470" xr:uid="{00000000-0005-0000-0000-0000BD0B0000}"/>
    <cellStyle name="Comma 5 2 3 5 2 6" xfId="7353" xr:uid="{00000000-0005-0000-0000-0000BE0B0000}"/>
    <cellStyle name="Comma 5 2 3 5 2 6 2" xfId="20084" xr:uid="{00000000-0005-0000-0000-0000BF0B0000}"/>
    <cellStyle name="Comma 5 2 3 5 2 6 2 2" xfId="45637" xr:uid="{00000000-0005-0000-0000-0000C00B0000}"/>
    <cellStyle name="Comma 5 2 3 5 2 6 3" xfId="32910" xr:uid="{00000000-0005-0000-0000-0000C10B0000}"/>
    <cellStyle name="Comma 5 2 3 5 2 7" xfId="16595" xr:uid="{00000000-0005-0000-0000-0000C20B0000}"/>
    <cellStyle name="Comma 5 2 3 5 2 7 2" xfId="42148" xr:uid="{00000000-0005-0000-0000-0000C30B0000}"/>
    <cellStyle name="Comma 5 2 3 5 2 8" xfId="26567" xr:uid="{00000000-0005-0000-0000-0000C40B0000}"/>
    <cellStyle name="Comma 5 2 3 5 3" xfId="1234" xr:uid="{00000000-0005-0000-0000-0000C50B0000}"/>
    <cellStyle name="Comma 5 2 3 5 3 2" xfId="3663" xr:uid="{00000000-0005-0000-0000-0000C60B0000}"/>
    <cellStyle name="Comma 5 2 3 5 3 2 2" xfId="12799" xr:uid="{00000000-0005-0000-0000-0000C70B0000}"/>
    <cellStyle name="Comma 5 2 3 5 3 2 2 2" xfId="23018" xr:uid="{00000000-0005-0000-0000-0000C80B0000}"/>
    <cellStyle name="Comma 5 2 3 5 3 2 2 2 2" xfId="48571" xr:uid="{00000000-0005-0000-0000-0000C90B0000}"/>
    <cellStyle name="Comma 5 2 3 5 3 2 2 3" xfId="38354" xr:uid="{00000000-0005-0000-0000-0000CA0B0000}"/>
    <cellStyle name="Comma 5 2 3 5 3 2 3" xfId="9220" xr:uid="{00000000-0005-0000-0000-0000CB0B0000}"/>
    <cellStyle name="Comma 5 2 3 5 3 2 3 2" xfId="34777" xr:uid="{00000000-0005-0000-0000-0000CC0B0000}"/>
    <cellStyle name="Comma 5 2 3 5 3 2 4" xfId="18011" xr:uid="{00000000-0005-0000-0000-0000CD0B0000}"/>
    <cellStyle name="Comma 5 2 3 5 3 2 4 2" xfId="43564" xr:uid="{00000000-0005-0000-0000-0000CE0B0000}"/>
    <cellStyle name="Comma 5 2 3 5 3 2 5" xfId="29501" xr:uid="{00000000-0005-0000-0000-0000CF0B0000}"/>
    <cellStyle name="Comma 5 2 3 5 3 3" xfId="4802" xr:uid="{00000000-0005-0000-0000-0000D00B0000}"/>
    <cellStyle name="Comma 5 2 3 5 3 3 2" xfId="13639" xr:uid="{00000000-0005-0000-0000-0000D10B0000}"/>
    <cellStyle name="Comma 5 2 3 5 3 3 2 2" xfId="23890" xr:uid="{00000000-0005-0000-0000-0000D20B0000}"/>
    <cellStyle name="Comma 5 2 3 5 3 3 2 2 2" xfId="49443" xr:uid="{00000000-0005-0000-0000-0000D30B0000}"/>
    <cellStyle name="Comma 5 2 3 5 3 3 2 3" xfId="39194" xr:uid="{00000000-0005-0000-0000-0000D40B0000}"/>
    <cellStyle name="Comma 5 2 3 5 3 3 3" xfId="10060" xr:uid="{00000000-0005-0000-0000-0000D50B0000}"/>
    <cellStyle name="Comma 5 2 3 5 3 3 3 2" xfId="35617" xr:uid="{00000000-0005-0000-0000-0000D60B0000}"/>
    <cellStyle name="Comma 5 2 3 5 3 3 4" xfId="18883" xr:uid="{00000000-0005-0000-0000-0000D70B0000}"/>
    <cellStyle name="Comma 5 2 3 5 3 3 4 2" xfId="44436" xr:uid="{00000000-0005-0000-0000-0000D80B0000}"/>
    <cellStyle name="Comma 5 2 3 5 3 3 5" xfId="30373" xr:uid="{00000000-0005-0000-0000-0000D90B0000}"/>
    <cellStyle name="Comma 5 2 3 5 3 4" xfId="2057" xr:uid="{00000000-0005-0000-0000-0000DA0B0000}"/>
    <cellStyle name="Comma 5 2 3 5 3 4 2" xfId="11422" xr:uid="{00000000-0005-0000-0000-0000DB0B0000}"/>
    <cellStyle name="Comma 5 2 3 5 3 4 2 2" xfId="36977" xr:uid="{00000000-0005-0000-0000-0000DC0B0000}"/>
    <cellStyle name="Comma 5 2 3 5 3 4 3" xfId="21426" xr:uid="{00000000-0005-0000-0000-0000DD0B0000}"/>
    <cellStyle name="Comma 5 2 3 5 3 4 3 2" xfId="46979" xr:uid="{00000000-0005-0000-0000-0000DE0B0000}"/>
    <cellStyle name="Comma 5 2 3 5 3 4 4" xfId="27909" xr:uid="{00000000-0005-0000-0000-0000DF0B0000}"/>
    <cellStyle name="Comma 5 2 3 5 3 5" xfId="6257" xr:uid="{00000000-0005-0000-0000-0000E00B0000}"/>
    <cellStyle name="Comma 5 2 3 5 3 5 2" xfId="15084" xr:uid="{00000000-0005-0000-0000-0000E10B0000}"/>
    <cellStyle name="Comma 5 2 3 5 3 5 2 2" xfId="40639" xr:uid="{00000000-0005-0000-0000-0000E20B0000}"/>
    <cellStyle name="Comma 5 2 3 5 3 5 3" xfId="25335" xr:uid="{00000000-0005-0000-0000-0000E30B0000}"/>
    <cellStyle name="Comma 5 2 3 5 3 5 3 2" xfId="50888" xr:uid="{00000000-0005-0000-0000-0000E40B0000}"/>
    <cellStyle name="Comma 5 2 3 5 3 5 4" xfId="31818" xr:uid="{00000000-0005-0000-0000-0000E50B0000}"/>
    <cellStyle name="Comma 5 2 3 5 3 6" xfId="7703" xr:uid="{00000000-0005-0000-0000-0000E60B0000}"/>
    <cellStyle name="Comma 5 2 3 5 3 6 2" xfId="20617" xr:uid="{00000000-0005-0000-0000-0000E70B0000}"/>
    <cellStyle name="Comma 5 2 3 5 3 6 2 2" xfId="46170" xr:uid="{00000000-0005-0000-0000-0000E80B0000}"/>
    <cellStyle name="Comma 5 2 3 5 3 6 3" xfId="33260" xr:uid="{00000000-0005-0000-0000-0000E90B0000}"/>
    <cellStyle name="Comma 5 2 3 5 3 7" xfId="16419" xr:uid="{00000000-0005-0000-0000-0000EA0B0000}"/>
    <cellStyle name="Comma 5 2 3 5 3 7 2" xfId="41972" xr:uid="{00000000-0005-0000-0000-0000EB0B0000}"/>
    <cellStyle name="Comma 5 2 3 5 3 8" xfId="27100" xr:uid="{00000000-0005-0000-0000-0000EC0B0000}"/>
    <cellStyle name="Comma 5 2 3 5 4" xfId="2948" xr:uid="{00000000-0005-0000-0000-0000ED0B0000}"/>
    <cellStyle name="Comma 5 2 3 5 4 2" xfId="5326" xr:uid="{00000000-0005-0000-0000-0000EE0B0000}"/>
    <cellStyle name="Comma 5 2 3 5 4 2 2" xfId="14163" xr:uid="{00000000-0005-0000-0000-0000EF0B0000}"/>
    <cellStyle name="Comma 5 2 3 5 4 2 2 2" xfId="24414" xr:uid="{00000000-0005-0000-0000-0000F00B0000}"/>
    <cellStyle name="Comma 5 2 3 5 4 2 2 2 2" xfId="49967" xr:uid="{00000000-0005-0000-0000-0000F10B0000}"/>
    <cellStyle name="Comma 5 2 3 5 4 2 2 3" xfId="39718" xr:uid="{00000000-0005-0000-0000-0000F20B0000}"/>
    <cellStyle name="Comma 5 2 3 5 4 2 3" xfId="10584" xr:uid="{00000000-0005-0000-0000-0000F30B0000}"/>
    <cellStyle name="Comma 5 2 3 5 4 2 3 2" xfId="36141" xr:uid="{00000000-0005-0000-0000-0000F40B0000}"/>
    <cellStyle name="Comma 5 2 3 5 4 2 4" xfId="19407" xr:uid="{00000000-0005-0000-0000-0000F50B0000}"/>
    <cellStyle name="Comma 5 2 3 5 4 2 4 2" xfId="44960" xr:uid="{00000000-0005-0000-0000-0000F60B0000}"/>
    <cellStyle name="Comma 5 2 3 5 4 2 5" xfId="30897" xr:uid="{00000000-0005-0000-0000-0000F70B0000}"/>
    <cellStyle name="Comma 5 2 3 5 4 3" xfId="6781" xr:uid="{00000000-0005-0000-0000-0000F80B0000}"/>
    <cellStyle name="Comma 5 2 3 5 4 3 2" xfId="15608" xr:uid="{00000000-0005-0000-0000-0000F90B0000}"/>
    <cellStyle name="Comma 5 2 3 5 4 3 2 2" xfId="41163" xr:uid="{00000000-0005-0000-0000-0000FA0B0000}"/>
    <cellStyle name="Comma 5 2 3 5 4 3 3" xfId="25859" xr:uid="{00000000-0005-0000-0000-0000FB0B0000}"/>
    <cellStyle name="Comma 5 2 3 5 4 3 3 2" xfId="51412" xr:uid="{00000000-0005-0000-0000-0000FC0B0000}"/>
    <cellStyle name="Comma 5 2 3 5 4 3 4" xfId="32342" xr:uid="{00000000-0005-0000-0000-0000FD0B0000}"/>
    <cellStyle name="Comma 5 2 3 5 4 4" xfId="8227" xr:uid="{00000000-0005-0000-0000-0000FE0B0000}"/>
    <cellStyle name="Comma 5 2 3 5 4 4 2" xfId="22309" xr:uid="{00000000-0005-0000-0000-0000FF0B0000}"/>
    <cellStyle name="Comma 5 2 3 5 4 4 2 2" xfId="47862" xr:uid="{00000000-0005-0000-0000-0000000C0000}"/>
    <cellStyle name="Comma 5 2 3 5 4 4 3" xfId="33784" xr:uid="{00000000-0005-0000-0000-0000010C0000}"/>
    <cellStyle name="Comma 5 2 3 5 4 5" xfId="17302" xr:uid="{00000000-0005-0000-0000-0000020C0000}"/>
    <cellStyle name="Comma 5 2 3 5 4 5 2" xfId="42855" xr:uid="{00000000-0005-0000-0000-0000030C0000}"/>
    <cellStyle name="Comma 5 2 3 5 4 6" xfId="28792" xr:uid="{00000000-0005-0000-0000-0000040C0000}"/>
    <cellStyle name="Comma 5 2 3 5 5" xfId="4282" xr:uid="{00000000-0005-0000-0000-0000050C0000}"/>
    <cellStyle name="Comma 5 2 3 5 5 2" xfId="13120" xr:uid="{00000000-0005-0000-0000-0000060C0000}"/>
    <cellStyle name="Comma 5 2 3 5 5 2 2" xfId="23371" xr:uid="{00000000-0005-0000-0000-0000070C0000}"/>
    <cellStyle name="Comma 5 2 3 5 5 2 2 2" xfId="48924" xr:uid="{00000000-0005-0000-0000-0000080C0000}"/>
    <cellStyle name="Comma 5 2 3 5 5 2 3" xfId="38675" xr:uid="{00000000-0005-0000-0000-0000090C0000}"/>
    <cellStyle name="Comma 5 2 3 5 5 3" xfId="9541" xr:uid="{00000000-0005-0000-0000-00000A0C0000}"/>
    <cellStyle name="Comma 5 2 3 5 5 3 2" xfId="35098" xr:uid="{00000000-0005-0000-0000-00000B0C0000}"/>
    <cellStyle name="Comma 5 2 3 5 5 4" xfId="18364" xr:uid="{00000000-0005-0000-0000-00000C0C0000}"/>
    <cellStyle name="Comma 5 2 3 5 5 4 2" xfId="43917" xr:uid="{00000000-0005-0000-0000-00000D0C0000}"/>
    <cellStyle name="Comma 5 2 3 5 5 5" xfId="29854" xr:uid="{00000000-0005-0000-0000-00000E0C0000}"/>
    <cellStyle name="Comma 5 2 3 5 6" xfId="1554" xr:uid="{00000000-0005-0000-0000-00000F0C0000}"/>
    <cellStyle name="Comma 5 2 3 5 6 2" xfId="10931" xr:uid="{00000000-0005-0000-0000-0000100C0000}"/>
    <cellStyle name="Comma 5 2 3 5 6 2 2" xfId="36486" xr:uid="{00000000-0005-0000-0000-0000110C0000}"/>
    <cellStyle name="Comma 5 2 3 5 6 3" xfId="20935" xr:uid="{00000000-0005-0000-0000-0000120C0000}"/>
    <cellStyle name="Comma 5 2 3 5 6 3 2" xfId="46488" xr:uid="{00000000-0005-0000-0000-0000130C0000}"/>
    <cellStyle name="Comma 5 2 3 5 6 4" xfId="27418" xr:uid="{00000000-0005-0000-0000-0000140C0000}"/>
    <cellStyle name="Comma 5 2 3 5 7" xfId="5738" xr:uid="{00000000-0005-0000-0000-0000150C0000}"/>
    <cellStyle name="Comma 5 2 3 5 7 2" xfId="14565" xr:uid="{00000000-0005-0000-0000-0000160C0000}"/>
    <cellStyle name="Comma 5 2 3 5 7 2 2" xfId="40120" xr:uid="{00000000-0005-0000-0000-0000170C0000}"/>
    <cellStyle name="Comma 5 2 3 5 7 3" xfId="24816" xr:uid="{00000000-0005-0000-0000-0000180C0000}"/>
    <cellStyle name="Comma 5 2 3 5 7 3 2" xfId="50369" xr:uid="{00000000-0005-0000-0000-0000190C0000}"/>
    <cellStyle name="Comma 5 2 3 5 7 4" xfId="31299" xr:uid="{00000000-0005-0000-0000-00001A0C0000}"/>
    <cellStyle name="Comma 5 2 3 5 8" xfId="7182" xr:uid="{00000000-0005-0000-0000-00001B0C0000}"/>
    <cellStyle name="Comma 5 2 3 5 8 2" xfId="19908" xr:uid="{00000000-0005-0000-0000-00001C0C0000}"/>
    <cellStyle name="Comma 5 2 3 5 8 2 2" xfId="45461" xr:uid="{00000000-0005-0000-0000-00001D0C0000}"/>
    <cellStyle name="Comma 5 2 3 5 8 3" xfId="32739" xr:uid="{00000000-0005-0000-0000-00001E0C0000}"/>
    <cellStyle name="Comma 5 2 3 5 9" xfId="15928" xr:uid="{00000000-0005-0000-0000-00001F0C0000}"/>
    <cellStyle name="Comma 5 2 3 5 9 2" xfId="41481" xr:uid="{00000000-0005-0000-0000-0000200C0000}"/>
    <cellStyle name="Comma 5 2 3 6" xfId="337" xr:uid="{00000000-0005-0000-0000-0000210C0000}"/>
    <cellStyle name="Comma 5 2 3 6 10" xfId="26266" xr:uid="{00000000-0005-0000-0000-0000220C0000}"/>
    <cellStyle name="Comma 5 2 3 6 2" xfId="639" xr:uid="{00000000-0005-0000-0000-0000230C0000}"/>
    <cellStyle name="Comma 5 2 3 6 2 2" xfId="3125" xr:uid="{00000000-0005-0000-0000-0000240C0000}"/>
    <cellStyle name="Comma 5 2 3 6 2 2 2" xfId="12268" xr:uid="{00000000-0005-0000-0000-0000250C0000}"/>
    <cellStyle name="Comma 5 2 3 6 2 2 2 2" xfId="22486" xr:uid="{00000000-0005-0000-0000-0000260C0000}"/>
    <cellStyle name="Comma 5 2 3 6 2 2 2 2 2" xfId="48039" xr:uid="{00000000-0005-0000-0000-0000270C0000}"/>
    <cellStyle name="Comma 5 2 3 6 2 2 2 3" xfId="37823" xr:uid="{00000000-0005-0000-0000-0000280C0000}"/>
    <cellStyle name="Comma 5 2 3 6 2 2 3" xfId="8690" xr:uid="{00000000-0005-0000-0000-0000290C0000}"/>
    <cellStyle name="Comma 5 2 3 6 2 2 3 2" xfId="34247" xr:uid="{00000000-0005-0000-0000-00002A0C0000}"/>
    <cellStyle name="Comma 5 2 3 6 2 2 4" xfId="17479" xr:uid="{00000000-0005-0000-0000-00002B0C0000}"/>
    <cellStyle name="Comma 5 2 3 6 2 2 4 2" xfId="43032" xr:uid="{00000000-0005-0000-0000-00002C0C0000}"/>
    <cellStyle name="Comma 5 2 3 6 2 2 5" xfId="28969" xr:uid="{00000000-0005-0000-0000-00002D0C0000}"/>
    <cellStyle name="Comma 5 2 3 6 2 3" xfId="4454" xr:uid="{00000000-0005-0000-0000-00002E0C0000}"/>
    <cellStyle name="Comma 5 2 3 6 2 3 2" xfId="13292" xr:uid="{00000000-0005-0000-0000-00002F0C0000}"/>
    <cellStyle name="Comma 5 2 3 6 2 3 2 2" xfId="23543" xr:uid="{00000000-0005-0000-0000-0000300C0000}"/>
    <cellStyle name="Comma 5 2 3 6 2 3 2 2 2" xfId="49096" xr:uid="{00000000-0005-0000-0000-0000310C0000}"/>
    <cellStyle name="Comma 5 2 3 6 2 3 2 3" xfId="38847" xr:uid="{00000000-0005-0000-0000-0000320C0000}"/>
    <cellStyle name="Comma 5 2 3 6 2 3 3" xfId="9713" xr:uid="{00000000-0005-0000-0000-0000330C0000}"/>
    <cellStyle name="Comma 5 2 3 6 2 3 3 2" xfId="35270" xr:uid="{00000000-0005-0000-0000-0000340C0000}"/>
    <cellStyle name="Comma 5 2 3 6 2 3 4" xfId="18536" xr:uid="{00000000-0005-0000-0000-0000350C0000}"/>
    <cellStyle name="Comma 5 2 3 6 2 3 4 2" xfId="44089" xr:uid="{00000000-0005-0000-0000-0000360C0000}"/>
    <cellStyle name="Comma 5 2 3 6 2 3 5" xfId="30026" xr:uid="{00000000-0005-0000-0000-0000370C0000}"/>
    <cellStyle name="Comma 5 2 3 6 2 4" xfId="2234" xr:uid="{00000000-0005-0000-0000-0000380C0000}"/>
    <cellStyle name="Comma 5 2 3 6 2 4 2" xfId="11599" xr:uid="{00000000-0005-0000-0000-0000390C0000}"/>
    <cellStyle name="Comma 5 2 3 6 2 4 2 2" xfId="37154" xr:uid="{00000000-0005-0000-0000-00003A0C0000}"/>
    <cellStyle name="Comma 5 2 3 6 2 4 3" xfId="21603" xr:uid="{00000000-0005-0000-0000-00003B0C0000}"/>
    <cellStyle name="Comma 5 2 3 6 2 4 3 2" xfId="47156" xr:uid="{00000000-0005-0000-0000-00003C0C0000}"/>
    <cellStyle name="Comma 5 2 3 6 2 4 4" xfId="28086" xr:uid="{00000000-0005-0000-0000-00003D0C0000}"/>
    <cellStyle name="Comma 5 2 3 6 2 5" xfId="5910" xr:uid="{00000000-0005-0000-0000-00003E0C0000}"/>
    <cellStyle name="Comma 5 2 3 6 2 5 2" xfId="14737" xr:uid="{00000000-0005-0000-0000-00003F0C0000}"/>
    <cellStyle name="Comma 5 2 3 6 2 5 2 2" xfId="40292" xr:uid="{00000000-0005-0000-0000-0000400C0000}"/>
    <cellStyle name="Comma 5 2 3 6 2 5 3" xfId="24988" xr:uid="{00000000-0005-0000-0000-0000410C0000}"/>
    <cellStyle name="Comma 5 2 3 6 2 5 3 2" xfId="50541" xr:uid="{00000000-0005-0000-0000-0000420C0000}"/>
    <cellStyle name="Comma 5 2 3 6 2 5 4" xfId="31471" xr:uid="{00000000-0005-0000-0000-0000430C0000}"/>
    <cellStyle name="Comma 5 2 3 6 2 6" xfId="7354" xr:uid="{00000000-0005-0000-0000-0000440C0000}"/>
    <cellStyle name="Comma 5 2 3 6 2 6 2" xfId="20085" xr:uid="{00000000-0005-0000-0000-0000450C0000}"/>
    <cellStyle name="Comma 5 2 3 6 2 6 2 2" xfId="45638" xr:uid="{00000000-0005-0000-0000-0000460C0000}"/>
    <cellStyle name="Comma 5 2 3 6 2 6 3" xfId="32911" xr:uid="{00000000-0005-0000-0000-0000470C0000}"/>
    <cellStyle name="Comma 5 2 3 6 2 7" xfId="16596" xr:uid="{00000000-0005-0000-0000-0000480C0000}"/>
    <cellStyle name="Comma 5 2 3 6 2 7 2" xfId="42149" xr:uid="{00000000-0005-0000-0000-0000490C0000}"/>
    <cellStyle name="Comma 5 2 3 6 2 8" xfId="26568" xr:uid="{00000000-0005-0000-0000-00004A0C0000}"/>
    <cellStyle name="Comma 5 2 3 6 3" xfId="1109" xr:uid="{00000000-0005-0000-0000-00004B0C0000}"/>
    <cellStyle name="Comma 5 2 3 6 3 2" xfId="3538" xr:uid="{00000000-0005-0000-0000-00004C0C0000}"/>
    <cellStyle name="Comma 5 2 3 6 3 2 2" xfId="12674" xr:uid="{00000000-0005-0000-0000-00004D0C0000}"/>
    <cellStyle name="Comma 5 2 3 6 3 2 2 2" xfId="22893" xr:uid="{00000000-0005-0000-0000-00004E0C0000}"/>
    <cellStyle name="Comma 5 2 3 6 3 2 2 2 2" xfId="48446" xr:uid="{00000000-0005-0000-0000-00004F0C0000}"/>
    <cellStyle name="Comma 5 2 3 6 3 2 2 3" xfId="38229" xr:uid="{00000000-0005-0000-0000-0000500C0000}"/>
    <cellStyle name="Comma 5 2 3 6 3 2 3" xfId="9095" xr:uid="{00000000-0005-0000-0000-0000510C0000}"/>
    <cellStyle name="Comma 5 2 3 6 3 2 3 2" xfId="34652" xr:uid="{00000000-0005-0000-0000-0000520C0000}"/>
    <cellStyle name="Comma 5 2 3 6 3 2 4" xfId="17886" xr:uid="{00000000-0005-0000-0000-0000530C0000}"/>
    <cellStyle name="Comma 5 2 3 6 3 2 4 2" xfId="43439" xr:uid="{00000000-0005-0000-0000-0000540C0000}"/>
    <cellStyle name="Comma 5 2 3 6 3 2 5" xfId="29376" xr:uid="{00000000-0005-0000-0000-0000550C0000}"/>
    <cellStyle name="Comma 5 2 3 6 3 3" xfId="4803" xr:uid="{00000000-0005-0000-0000-0000560C0000}"/>
    <cellStyle name="Comma 5 2 3 6 3 3 2" xfId="13640" xr:uid="{00000000-0005-0000-0000-0000570C0000}"/>
    <cellStyle name="Comma 5 2 3 6 3 3 2 2" xfId="23891" xr:uid="{00000000-0005-0000-0000-0000580C0000}"/>
    <cellStyle name="Comma 5 2 3 6 3 3 2 2 2" xfId="49444" xr:uid="{00000000-0005-0000-0000-0000590C0000}"/>
    <cellStyle name="Comma 5 2 3 6 3 3 2 3" xfId="39195" xr:uid="{00000000-0005-0000-0000-00005A0C0000}"/>
    <cellStyle name="Comma 5 2 3 6 3 3 3" xfId="10061" xr:uid="{00000000-0005-0000-0000-00005B0C0000}"/>
    <cellStyle name="Comma 5 2 3 6 3 3 3 2" xfId="35618" xr:uid="{00000000-0005-0000-0000-00005C0C0000}"/>
    <cellStyle name="Comma 5 2 3 6 3 3 4" xfId="18884" xr:uid="{00000000-0005-0000-0000-00005D0C0000}"/>
    <cellStyle name="Comma 5 2 3 6 3 3 4 2" xfId="44437" xr:uid="{00000000-0005-0000-0000-00005E0C0000}"/>
    <cellStyle name="Comma 5 2 3 6 3 3 5" xfId="30374" xr:uid="{00000000-0005-0000-0000-00005F0C0000}"/>
    <cellStyle name="Comma 5 2 3 6 3 4" xfId="2570" xr:uid="{00000000-0005-0000-0000-0000600C0000}"/>
    <cellStyle name="Comma 5 2 3 6 3 4 2" xfId="11934" xr:uid="{00000000-0005-0000-0000-0000610C0000}"/>
    <cellStyle name="Comma 5 2 3 6 3 4 2 2" xfId="37489" xr:uid="{00000000-0005-0000-0000-0000620C0000}"/>
    <cellStyle name="Comma 5 2 3 6 3 4 3" xfId="21938" xr:uid="{00000000-0005-0000-0000-0000630C0000}"/>
    <cellStyle name="Comma 5 2 3 6 3 4 3 2" xfId="47491" xr:uid="{00000000-0005-0000-0000-0000640C0000}"/>
    <cellStyle name="Comma 5 2 3 6 3 4 4" xfId="28421" xr:uid="{00000000-0005-0000-0000-0000650C0000}"/>
    <cellStyle name="Comma 5 2 3 6 3 5" xfId="6258" xr:uid="{00000000-0005-0000-0000-0000660C0000}"/>
    <cellStyle name="Comma 5 2 3 6 3 5 2" xfId="15085" xr:uid="{00000000-0005-0000-0000-0000670C0000}"/>
    <cellStyle name="Comma 5 2 3 6 3 5 2 2" xfId="40640" xr:uid="{00000000-0005-0000-0000-0000680C0000}"/>
    <cellStyle name="Comma 5 2 3 6 3 5 3" xfId="25336" xr:uid="{00000000-0005-0000-0000-0000690C0000}"/>
    <cellStyle name="Comma 5 2 3 6 3 5 3 2" xfId="50889" xr:uid="{00000000-0005-0000-0000-00006A0C0000}"/>
    <cellStyle name="Comma 5 2 3 6 3 5 4" xfId="31819" xr:uid="{00000000-0005-0000-0000-00006B0C0000}"/>
    <cellStyle name="Comma 5 2 3 6 3 6" xfId="7704" xr:uid="{00000000-0005-0000-0000-00006C0C0000}"/>
    <cellStyle name="Comma 5 2 3 6 3 6 2" xfId="20492" xr:uid="{00000000-0005-0000-0000-00006D0C0000}"/>
    <cellStyle name="Comma 5 2 3 6 3 6 2 2" xfId="46045" xr:uid="{00000000-0005-0000-0000-00006E0C0000}"/>
    <cellStyle name="Comma 5 2 3 6 3 6 3" xfId="33261" xr:uid="{00000000-0005-0000-0000-00006F0C0000}"/>
    <cellStyle name="Comma 5 2 3 6 3 7" xfId="16931" xr:uid="{00000000-0005-0000-0000-0000700C0000}"/>
    <cellStyle name="Comma 5 2 3 6 3 7 2" xfId="42484" xr:uid="{00000000-0005-0000-0000-0000710C0000}"/>
    <cellStyle name="Comma 5 2 3 6 3 8" xfId="26975" xr:uid="{00000000-0005-0000-0000-0000720C0000}"/>
    <cellStyle name="Comma 5 2 3 6 4" xfId="2823" xr:uid="{00000000-0005-0000-0000-0000730C0000}"/>
    <cellStyle name="Comma 5 2 3 6 4 2" xfId="5201" xr:uid="{00000000-0005-0000-0000-0000740C0000}"/>
    <cellStyle name="Comma 5 2 3 6 4 2 2" xfId="14038" xr:uid="{00000000-0005-0000-0000-0000750C0000}"/>
    <cellStyle name="Comma 5 2 3 6 4 2 2 2" xfId="24289" xr:uid="{00000000-0005-0000-0000-0000760C0000}"/>
    <cellStyle name="Comma 5 2 3 6 4 2 2 2 2" xfId="49842" xr:uid="{00000000-0005-0000-0000-0000770C0000}"/>
    <cellStyle name="Comma 5 2 3 6 4 2 2 3" xfId="39593" xr:uid="{00000000-0005-0000-0000-0000780C0000}"/>
    <cellStyle name="Comma 5 2 3 6 4 2 3" xfId="10459" xr:uid="{00000000-0005-0000-0000-0000790C0000}"/>
    <cellStyle name="Comma 5 2 3 6 4 2 3 2" xfId="36016" xr:uid="{00000000-0005-0000-0000-00007A0C0000}"/>
    <cellStyle name="Comma 5 2 3 6 4 2 4" xfId="19282" xr:uid="{00000000-0005-0000-0000-00007B0C0000}"/>
    <cellStyle name="Comma 5 2 3 6 4 2 4 2" xfId="44835" xr:uid="{00000000-0005-0000-0000-00007C0C0000}"/>
    <cellStyle name="Comma 5 2 3 6 4 2 5" xfId="30772" xr:uid="{00000000-0005-0000-0000-00007D0C0000}"/>
    <cellStyle name="Comma 5 2 3 6 4 3" xfId="6656" xr:uid="{00000000-0005-0000-0000-00007E0C0000}"/>
    <cellStyle name="Comma 5 2 3 6 4 3 2" xfId="15483" xr:uid="{00000000-0005-0000-0000-00007F0C0000}"/>
    <cellStyle name="Comma 5 2 3 6 4 3 2 2" xfId="41038" xr:uid="{00000000-0005-0000-0000-0000800C0000}"/>
    <cellStyle name="Comma 5 2 3 6 4 3 3" xfId="25734" xr:uid="{00000000-0005-0000-0000-0000810C0000}"/>
    <cellStyle name="Comma 5 2 3 6 4 3 3 2" xfId="51287" xr:uid="{00000000-0005-0000-0000-0000820C0000}"/>
    <cellStyle name="Comma 5 2 3 6 4 3 4" xfId="32217" xr:uid="{00000000-0005-0000-0000-0000830C0000}"/>
    <cellStyle name="Comma 5 2 3 6 4 4" xfId="8102" xr:uid="{00000000-0005-0000-0000-0000840C0000}"/>
    <cellStyle name="Comma 5 2 3 6 4 4 2" xfId="22184" xr:uid="{00000000-0005-0000-0000-0000850C0000}"/>
    <cellStyle name="Comma 5 2 3 6 4 4 2 2" xfId="47737" xr:uid="{00000000-0005-0000-0000-0000860C0000}"/>
    <cellStyle name="Comma 5 2 3 6 4 4 3" xfId="33659" xr:uid="{00000000-0005-0000-0000-0000870C0000}"/>
    <cellStyle name="Comma 5 2 3 6 4 5" xfId="17177" xr:uid="{00000000-0005-0000-0000-0000880C0000}"/>
    <cellStyle name="Comma 5 2 3 6 4 5 2" xfId="42730" xr:uid="{00000000-0005-0000-0000-0000890C0000}"/>
    <cellStyle name="Comma 5 2 3 6 4 6" xfId="28667" xr:uid="{00000000-0005-0000-0000-00008A0C0000}"/>
    <cellStyle name="Comma 5 2 3 6 5" xfId="4155" xr:uid="{00000000-0005-0000-0000-00008B0C0000}"/>
    <cellStyle name="Comma 5 2 3 6 5 2" xfId="12993" xr:uid="{00000000-0005-0000-0000-00008C0C0000}"/>
    <cellStyle name="Comma 5 2 3 6 5 2 2" xfId="23244" xr:uid="{00000000-0005-0000-0000-00008D0C0000}"/>
    <cellStyle name="Comma 5 2 3 6 5 2 2 2" xfId="48797" xr:uid="{00000000-0005-0000-0000-00008E0C0000}"/>
    <cellStyle name="Comma 5 2 3 6 5 2 3" xfId="38548" xr:uid="{00000000-0005-0000-0000-00008F0C0000}"/>
    <cellStyle name="Comma 5 2 3 6 5 3" xfId="9414" xr:uid="{00000000-0005-0000-0000-0000900C0000}"/>
    <cellStyle name="Comma 5 2 3 6 5 3 2" xfId="34971" xr:uid="{00000000-0005-0000-0000-0000910C0000}"/>
    <cellStyle name="Comma 5 2 3 6 5 4" xfId="18237" xr:uid="{00000000-0005-0000-0000-0000920C0000}"/>
    <cellStyle name="Comma 5 2 3 6 5 4 2" xfId="43790" xr:uid="{00000000-0005-0000-0000-0000930C0000}"/>
    <cellStyle name="Comma 5 2 3 6 5 5" xfId="29727" xr:uid="{00000000-0005-0000-0000-0000940C0000}"/>
    <cellStyle name="Comma 5 2 3 6 6" xfId="1932" xr:uid="{00000000-0005-0000-0000-0000950C0000}"/>
    <cellStyle name="Comma 5 2 3 6 6 2" xfId="11297" xr:uid="{00000000-0005-0000-0000-0000960C0000}"/>
    <cellStyle name="Comma 5 2 3 6 6 2 2" xfId="36852" xr:uid="{00000000-0005-0000-0000-0000970C0000}"/>
    <cellStyle name="Comma 5 2 3 6 6 3" xfId="21301" xr:uid="{00000000-0005-0000-0000-0000980C0000}"/>
    <cellStyle name="Comma 5 2 3 6 6 3 2" xfId="46854" xr:uid="{00000000-0005-0000-0000-0000990C0000}"/>
    <cellStyle name="Comma 5 2 3 6 6 4" xfId="27784" xr:uid="{00000000-0005-0000-0000-00009A0C0000}"/>
    <cellStyle name="Comma 5 2 3 6 7" xfId="5613" xr:uid="{00000000-0005-0000-0000-00009B0C0000}"/>
    <cellStyle name="Comma 5 2 3 6 7 2" xfId="14440" xr:uid="{00000000-0005-0000-0000-00009C0C0000}"/>
    <cellStyle name="Comma 5 2 3 6 7 2 2" xfId="39995" xr:uid="{00000000-0005-0000-0000-00009D0C0000}"/>
    <cellStyle name="Comma 5 2 3 6 7 3" xfId="24691" xr:uid="{00000000-0005-0000-0000-00009E0C0000}"/>
    <cellStyle name="Comma 5 2 3 6 7 3 2" xfId="50244" xr:uid="{00000000-0005-0000-0000-00009F0C0000}"/>
    <cellStyle name="Comma 5 2 3 6 7 4" xfId="31174" xr:uid="{00000000-0005-0000-0000-0000A00C0000}"/>
    <cellStyle name="Comma 5 2 3 6 8" xfId="7057" xr:uid="{00000000-0005-0000-0000-0000A10C0000}"/>
    <cellStyle name="Comma 5 2 3 6 8 2" xfId="19783" xr:uid="{00000000-0005-0000-0000-0000A20C0000}"/>
    <cellStyle name="Comma 5 2 3 6 8 2 2" xfId="45336" xr:uid="{00000000-0005-0000-0000-0000A30C0000}"/>
    <cellStyle name="Comma 5 2 3 6 8 3" xfId="32614" xr:uid="{00000000-0005-0000-0000-0000A40C0000}"/>
    <cellStyle name="Comma 5 2 3 6 9" xfId="16294" xr:uid="{00000000-0005-0000-0000-0000A50C0000}"/>
    <cellStyle name="Comma 5 2 3 6 9 2" xfId="41847" xr:uid="{00000000-0005-0000-0000-0000A60C0000}"/>
    <cellStyle name="Comma 5 2 3 7" xfId="630" xr:uid="{00000000-0005-0000-0000-0000A70C0000}"/>
    <cellStyle name="Comma 5 2 3 7 2" xfId="3116" xr:uid="{00000000-0005-0000-0000-0000A80C0000}"/>
    <cellStyle name="Comma 5 2 3 7 2 2" xfId="12259" xr:uid="{00000000-0005-0000-0000-0000A90C0000}"/>
    <cellStyle name="Comma 5 2 3 7 2 2 2" xfId="22477" xr:uid="{00000000-0005-0000-0000-0000AA0C0000}"/>
    <cellStyle name="Comma 5 2 3 7 2 2 2 2" xfId="48030" xr:uid="{00000000-0005-0000-0000-0000AB0C0000}"/>
    <cellStyle name="Comma 5 2 3 7 2 2 3" xfId="37814" xr:uid="{00000000-0005-0000-0000-0000AC0C0000}"/>
    <cellStyle name="Comma 5 2 3 7 2 3" xfId="8681" xr:uid="{00000000-0005-0000-0000-0000AD0C0000}"/>
    <cellStyle name="Comma 5 2 3 7 2 3 2" xfId="34238" xr:uid="{00000000-0005-0000-0000-0000AE0C0000}"/>
    <cellStyle name="Comma 5 2 3 7 2 4" xfId="17470" xr:uid="{00000000-0005-0000-0000-0000AF0C0000}"/>
    <cellStyle name="Comma 5 2 3 7 2 4 2" xfId="43023" xr:uid="{00000000-0005-0000-0000-0000B00C0000}"/>
    <cellStyle name="Comma 5 2 3 7 2 5" xfId="28960" xr:uid="{00000000-0005-0000-0000-0000B10C0000}"/>
    <cellStyle name="Comma 5 2 3 7 3" xfId="4445" xr:uid="{00000000-0005-0000-0000-0000B20C0000}"/>
    <cellStyle name="Comma 5 2 3 7 3 2" xfId="13283" xr:uid="{00000000-0005-0000-0000-0000B30C0000}"/>
    <cellStyle name="Comma 5 2 3 7 3 2 2" xfId="23534" xr:uid="{00000000-0005-0000-0000-0000B40C0000}"/>
    <cellStyle name="Comma 5 2 3 7 3 2 2 2" xfId="49087" xr:uid="{00000000-0005-0000-0000-0000B50C0000}"/>
    <cellStyle name="Comma 5 2 3 7 3 2 3" xfId="38838" xr:uid="{00000000-0005-0000-0000-0000B60C0000}"/>
    <cellStyle name="Comma 5 2 3 7 3 3" xfId="9704" xr:uid="{00000000-0005-0000-0000-0000B70C0000}"/>
    <cellStyle name="Comma 5 2 3 7 3 3 2" xfId="35261" xr:uid="{00000000-0005-0000-0000-0000B80C0000}"/>
    <cellStyle name="Comma 5 2 3 7 3 4" xfId="18527" xr:uid="{00000000-0005-0000-0000-0000B90C0000}"/>
    <cellStyle name="Comma 5 2 3 7 3 4 2" xfId="44080" xr:uid="{00000000-0005-0000-0000-0000BA0C0000}"/>
    <cellStyle name="Comma 5 2 3 7 3 5" xfId="30017" xr:uid="{00000000-0005-0000-0000-0000BB0C0000}"/>
    <cellStyle name="Comma 5 2 3 7 4" xfId="2225" xr:uid="{00000000-0005-0000-0000-0000BC0C0000}"/>
    <cellStyle name="Comma 5 2 3 7 4 2" xfId="11590" xr:uid="{00000000-0005-0000-0000-0000BD0C0000}"/>
    <cellStyle name="Comma 5 2 3 7 4 2 2" xfId="37145" xr:uid="{00000000-0005-0000-0000-0000BE0C0000}"/>
    <cellStyle name="Comma 5 2 3 7 4 3" xfId="21594" xr:uid="{00000000-0005-0000-0000-0000BF0C0000}"/>
    <cellStyle name="Comma 5 2 3 7 4 3 2" xfId="47147" xr:uid="{00000000-0005-0000-0000-0000C00C0000}"/>
    <cellStyle name="Comma 5 2 3 7 4 4" xfId="28077" xr:uid="{00000000-0005-0000-0000-0000C10C0000}"/>
    <cellStyle name="Comma 5 2 3 7 5" xfId="5901" xr:uid="{00000000-0005-0000-0000-0000C20C0000}"/>
    <cellStyle name="Comma 5 2 3 7 5 2" xfId="14728" xr:uid="{00000000-0005-0000-0000-0000C30C0000}"/>
    <cellStyle name="Comma 5 2 3 7 5 2 2" xfId="40283" xr:uid="{00000000-0005-0000-0000-0000C40C0000}"/>
    <cellStyle name="Comma 5 2 3 7 5 3" xfId="24979" xr:uid="{00000000-0005-0000-0000-0000C50C0000}"/>
    <cellStyle name="Comma 5 2 3 7 5 3 2" xfId="50532" xr:uid="{00000000-0005-0000-0000-0000C60C0000}"/>
    <cellStyle name="Comma 5 2 3 7 5 4" xfId="31462" xr:uid="{00000000-0005-0000-0000-0000C70C0000}"/>
    <cellStyle name="Comma 5 2 3 7 6" xfId="7345" xr:uid="{00000000-0005-0000-0000-0000C80C0000}"/>
    <cellStyle name="Comma 5 2 3 7 6 2" xfId="20076" xr:uid="{00000000-0005-0000-0000-0000C90C0000}"/>
    <cellStyle name="Comma 5 2 3 7 6 2 2" xfId="45629" xr:uid="{00000000-0005-0000-0000-0000CA0C0000}"/>
    <cellStyle name="Comma 5 2 3 7 6 3" xfId="32902" xr:uid="{00000000-0005-0000-0000-0000CB0C0000}"/>
    <cellStyle name="Comma 5 2 3 7 7" xfId="16587" xr:uid="{00000000-0005-0000-0000-0000CC0C0000}"/>
    <cellStyle name="Comma 5 2 3 7 7 2" xfId="42140" xr:uid="{00000000-0005-0000-0000-0000CD0C0000}"/>
    <cellStyle name="Comma 5 2 3 7 8" xfId="26559" xr:uid="{00000000-0005-0000-0000-0000CE0C0000}"/>
    <cellStyle name="Comma 5 2 3 8" xfId="1064" xr:uid="{00000000-0005-0000-0000-0000CF0C0000}"/>
    <cellStyle name="Comma 5 2 3 8 2" xfId="3493" xr:uid="{00000000-0005-0000-0000-0000D00C0000}"/>
    <cellStyle name="Comma 5 2 3 8 2 2" xfId="12629" xr:uid="{00000000-0005-0000-0000-0000D10C0000}"/>
    <cellStyle name="Comma 5 2 3 8 2 2 2" xfId="22848" xr:uid="{00000000-0005-0000-0000-0000D20C0000}"/>
    <cellStyle name="Comma 5 2 3 8 2 2 2 2" xfId="48401" xr:uid="{00000000-0005-0000-0000-0000D30C0000}"/>
    <cellStyle name="Comma 5 2 3 8 2 2 3" xfId="38184" xr:uid="{00000000-0005-0000-0000-0000D40C0000}"/>
    <cellStyle name="Comma 5 2 3 8 2 3" xfId="9051" xr:uid="{00000000-0005-0000-0000-0000D50C0000}"/>
    <cellStyle name="Comma 5 2 3 8 2 3 2" xfId="34608" xr:uid="{00000000-0005-0000-0000-0000D60C0000}"/>
    <cellStyle name="Comma 5 2 3 8 2 4" xfId="17841" xr:uid="{00000000-0005-0000-0000-0000D70C0000}"/>
    <cellStyle name="Comma 5 2 3 8 2 4 2" xfId="43394" xr:uid="{00000000-0005-0000-0000-0000D80C0000}"/>
    <cellStyle name="Comma 5 2 3 8 2 5" xfId="29331" xr:uid="{00000000-0005-0000-0000-0000D90C0000}"/>
    <cellStyle name="Comma 5 2 3 8 3" xfId="4794" xr:uid="{00000000-0005-0000-0000-0000DA0C0000}"/>
    <cellStyle name="Comma 5 2 3 8 3 2" xfId="13631" xr:uid="{00000000-0005-0000-0000-0000DB0C0000}"/>
    <cellStyle name="Comma 5 2 3 8 3 2 2" xfId="23882" xr:uid="{00000000-0005-0000-0000-0000DC0C0000}"/>
    <cellStyle name="Comma 5 2 3 8 3 2 2 2" xfId="49435" xr:uid="{00000000-0005-0000-0000-0000DD0C0000}"/>
    <cellStyle name="Comma 5 2 3 8 3 2 3" xfId="39186" xr:uid="{00000000-0005-0000-0000-0000DE0C0000}"/>
    <cellStyle name="Comma 5 2 3 8 3 3" xfId="10052" xr:uid="{00000000-0005-0000-0000-0000DF0C0000}"/>
    <cellStyle name="Comma 5 2 3 8 3 3 2" xfId="35609" xr:uid="{00000000-0005-0000-0000-0000E00C0000}"/>
    <cellStyle name="Comma 5 2 3 8 3 4" xfId="18875" xr:uid="{00000000-0005-0000-0000-0000E10C0000}"/>
    <cellStyle name="Comma 5 2 3 8 3 4 2" xfId="44428" xr:uid="{00000000-0005-0000-0000-0000E20C0000}"/>
    <cellStyle name="Comma 5 2 3 8 3 5" xfId="30365" xr:uid="{00000000-0005-0000-0000-0000E30C0000}"/>
    <cellStyle name="Comma 5 2 3 8 4" xfId="1730" xr:uid="{00000000-0005-0000-0000-0000E40C0000}"/>
    <cellStyle name="Comma 5 2 3 8 4 2" xfId="11104" xr:uid="{00000000-0005-0000-0000-0000E50C0000}"/>
    <cellStyle name="Comma 5 2 3 8 4 2 2" xfId="36659" xr:uid="{00000000-0005-0000-0000-0000E60C0000}"/>
    <cellStyle name="Comma 5 2 3 8 4 3" xfId="21108" xr:uid="{00000000-0005-0000-0000-0000E70C0000}"/>
    <cellStyle name="Comma 5 2 3 8 4 3 2" xfId="46661" xr:uid="{00000000-0005-0000-0000-0000E80C0000}"/>
    <cellStyle name="Comma 5 2 3 8 4 4" xfId="27591" xr:uid="{00000000-0005-0000-0000-0000E90C0000}"/>
    <cellStyle name="Comma 5 2 3 8 5" xfId="6249" xr:uid="{00000000-0005-0000-0000-0000EA0C0000}"/>
    <cellStyle name="Comma 5 2 3 8 5 2" xfId="15076" xr:uid="{00000000-0005-0000-0000-0000EB0C0000}"/>
    <cellStyle name="Comma 5 2 3 8 5 2 2" xfId="40631" xr:uid="{00000000-0005-0000-0000-0000EC0C0000}"/>
    <cellStyle name="Comma 5 2 3 8 5 3" xfId="25327" xr:uid="{00000000-0005-0000-0000-0000ED0C0000}"/>
    <cellStyle name="Comma 5 2 3 8 5 3 2" xfId="50880" xr:uid="{00000000-0005-0000-0000-0000EE0C0000}"/>
    <cellStyle name="Comma 5 2 3 8 5 4" xfId="31810" xr:uid="{00000000-0005-0000-0000-0000EF0C0000}"/>
    <cellStyle name="Comma 5 2 3 8 6" xfId="7695" xr:uid="{00000000-0005-0000-0000-0000F00C0000}"/>
    <cellStyle name="Comma 5 2 3 8 6 2" xfId="20447" xr:uid="{00000000-0005-0000-0000-0000F10C0000}"/>
    <cellStyle name="Comma 5 2 3 8 6 2 2" xfId="46000" xr:uid="{00000000-0005-0000-0000-0000F20C0000}"/>
    <cellStyle name="Comma 5 2 3 8 6 3" xfId="33252" xr:uid="{00000000-0005-0000-0000-0000F30C0000}"/>
    <cellStyle name="Comma 5 2 3 8 7" xfId="16101" xr:uid="{00000000-0005-0000-0000-0000F40C0000}"/>
    <cellStyle name="Comma 5 2 3 8 7 2" xfId="41654" xr:uid="{00000000-0005-0000-0000-0000F50C0000}"/>
    <cellStyle name="Comma 5 2 3 8 8" xfId="26930" xr:uid="{00000000-0005-0000-0000-0000F60C0000}"/>
    <cellStyle name="Comma 5 2 3 9" xfId="2630" xr:uid="{00000000-0005-0000-0000-0000F70C0000}"/>
    <cellStyle name="Comma 5 2 3 9 2" xfId="5156" xr:uid="{00000000-0005-0000-0000-0000F80C0000}"/>
    <cellStyle name="Comma 5 2 3 9 2 2" xfId="13993" xr:uid="{00000000-0005-0000-0000-0000F90C0000}"/>
    <cellStyle name="Comma 5 2 3 9 2 2 2" xfId="24244" xr:uid="{00000000-0005-0000-0000-0000FA0C0000}"/>
    <cellStyle name="Comma 5 2 3 9 2 2 2 2" xfId="49797" xr:uid="{00000000-0005-0000-0000-0000FB0C0000}"/>
    <cellStyle name="Comma 5 2 3 9 2 2 3" xfId="39548" xr:uid="{00000000-0005-0000-0000-0000FC0C0000}"/>
    <cellStyle name="Comma 5 2 3 9 2 3" xfId="10414" xr:uid="{00000000-0005-0000-0000-0000FD0C0000}"/>
    <cellStyle name="Comma 5 2 3 9 2 3 2" xfId="35971" xr:uid="{00000000-0005-0000-0000-0000FE0C0000}"/>
    <cellStyle name="Comma 5 2 3 9 2 4" xfId="19237" xr:uid="{00000000-0005-0000-0000-0000FF0C0000}"/>
    <cellStyle name="Comma 5 2 3 9 2 4 2" xfId="44790" xr:uid="{00000000-0005-0000-0000-0000000D0000}"/>
    <cellStyle name="Comma 5 2 3 9 2 5" xfId="30727" xr:uid="{00000000-0005-0000-0000-0000010D0000}"/>
    <cellStyle name="Comma 5 2 3 9 3" xfId="6611" xr:uid="{00000000-0005-0000-0000-0000020D0000}"/>
    <cellStyle name="Comma 5 2 3 9 3 2" xfId="15438" xr:uid="{00000000-0005-0000-0000-0000030D0000}"/>
    <cellStyle name="Comma 5 2 3 9 3 2 2" xfId="40993" xr:uid="{00000000-0005-0000-0000-0000040D0000}"/>
    <cellStyle name="Comma 5 2 3 9 3 3" xfId="25689" xr:uid="{00000000-0005-0000-0000-0000050D0000}"/>
    <cellStyle name="Comma 5 2 3 9 3 3 2" xfId="51242" xr:uid="{00000000-0005-0000-0000-0000060D0000}"/>
    <cellStyle name="Comma 5 2 3 9 3 4" xfId="32172" xr:uid="{00000000-0005-0000-0000-0000070D0000}"/>
    <cellStyle name="Comma 5 2 3 9 4" xfId="8057" xr:uid="{00000000-0005-0000-0000-0000080D0000}"/>
    <cellStyle name="Comma 5 2 3 9 4 2" xfId="21992" xr:uid="{00000000-0005-0000-0000-0000090D0000}"/>
    <cellStyle name="Comma 5 2 3 9 4 2 2" xfId="47545" xr:uid="{00000000-0005-0000-0000-00000A0D0000}"/>
    <cellStyle name="Comma 5 2 3 9 4 3" xfId="33614" xr:uid="{00000000-0005-0000-0000-00000B0D0000}"/>
    <cellStyle name="Comma 5 2 3 9 5" xfId="16985" xr:uid="{00000000-0005-0000-0000-00000C0D0000}"/>
    <cellStyle name="Comma 5 2 3 9 5 2" xfId="42538" xr:uid="{00000000-0005-0000-0000-00000D0D0000}"/>
    <cellStyle name="Comma 5 2 3 9 6" xfId="28475" xr:uid="{00000000-0005-0000-0000-00000E0D0000}"/>
    <cellStyle name="Comma 5 2 4" xfId="139" xr:uid="{00000000-0005-0000-0000-00000F0D0000}"/>
    <cellStyle name="Comma 5 2 4 10" xfId="1407" xr:uid="{00000000-0005-0000-0000-0000100D0000}"/>
    <cellStyle name="Comma 5 2 4 10 2" xfId="10784" xr:uid="{00000000-0005-0000-0000-0000110D0000}"/>
    <cellStyle name="Comma 5 2 4 10 2 2" xfId="36339" xr:uid="{00000000-0005-0000-0000-0000120D0000}"/>
    <cellStyle name="Comma 5 2 4 10 3" xfId="20788" xr:uid="{00000000-0005-0000-0000-0000130D0000}"/>
    <cellStyle name="Comma 5 2 4 10 3 2" xfId="46341" xr:uid="{00000000-0005-0000-0000-0000140D0000}"/>
    <cellStyle name="Comma 5 2 4 10 4" xfId="27271" xr:uid="{00000000-0005-0000-0000-0000150D0000}"/>
    <cellStyle name="Comma 5 2 4 11" xfId="5518" xr:uid="{00000000-0005-0000-0000-0000160D0000}"/>
    <cellStyle name="Comma 5 2 4 11 2" xfId="14345" xr:uid="{00000000-0005-0000-0000-0000170D0000}"/>
    <cellStyle name="Comma 5 2 4 11 2 2" xfId="39900" xr:uid="{00000000-0005-0000-0000-0000180D0000}"/>
    <cellStyle name="Comma 5 2 4 11 3" xfId="24596" xr:uid="{00000000-0005-0000-0000-0000190D0000}"/>
    <cellStyle name="Comma 5 2 4 11 3 2" xfId="50149" xr:uid="{00000000-0005-0000-0000-00001A0D0000}"/>
    <cellStyle name="Comma 5 2 4 11 4" xfId="31079" xr:uid="{00000000-0005-0000-0000-00001B0D0000}"/>
    <cellStyle name="Comma 5 2 4 12" xfId="6958" xr:uid="{00000000-0005-0000-0000-00001C0D0000}"/>
    <cellStyle name="Comma 5 2 4 12 2" xfId="19603" xr:uid="{00000000-0005-0000-0000-00001D0D0000}"/>
    <cellStyle name="Comma 5 2 4 12 2 2" xfId="45156" xr:uid="{00000000-0005-0000-0000-00001E0D0000}"/>
    <cellStyle name="Comma 5 2 4 12 3" xfId="32516" xr:uid="{00000000-0005-0000-0000-00001F0D0000}"/>
    <cellStyle name="Comma 5 2 4 13" xfId="15781" xr:uid="{00000000-0005-0000-0000-0000200D0000}"/>
    <cellStyle name="Comma 5 2 4 13 2" xfId="41334" xr:uid="{00000000-0005-0000-0000-0000210D0000}"/>
    <cellStyle name="Comma 5 2 4 14" xfId="26086" xr:uid="{00000000-0005-0000-0000-0000220D0000}"/>
    <cellStyle name="Comma 5 2 4 2" xfId="189" xr:uid="{00000000-0005-0000-0000-0000230D0000}"/>
    <cellStyle name="Comma 5 2 4 2 10" xfId="7137" xr:uid="{00000000-0005-0000-0000-0000240D0000}"/>
    <cellStyle name="Comma 5 2 4 2 10 2" xfId="19646" xr:uid="{00000000-0005-0000-0000-0000250D0000}"/>
    <cellStyle name="Comma 5 2 4 2 10 2 2" xfId="45199" xr:uid="{00000000-0005-0000-0000-0000260D0000}"/>
    <cellStyle name="Comma 5 2 4 2 10 3" xfId="32694" xr:uid="{00000000-0005-0000-0000-0000270D0000}"/>
    <cellStyle name="Comma 5 2 4 2 11" xfId="15883" xr:uid="{00000000-0005-0000-0000-0000280D0000}"/>
    <cellStyle name="Comma 5 2 4 2 11 2" xfId="41436" xr:uid="{00000000-0005-0000-0000-0000290D0000}"/>
    <cellStyle name="Comma 5 2 4 2 12" xfId="26129" xr:uid="{00000000-0005-0000-0000-00002A0D0000}"/>
    <cellStyle name="Comma 5 2 4 2 2" xfId="517" xr:uid="{00000000-0005-0000-0000-00002B0D0000}"/>
    <cellStyle name="Comma 5 2 4 2 2 10" xfId="26446" xr:uid="{00000000-0005-0000-0000-00002C0D0000}"/>
    <cellStyle name="Comma 5 2 4 2 2 2" xfId="642" xr:uid="{00000000-0005-0000-0000-00002D0D0000}"/>
    <cellStyle name="Comma 5 2 4 2 2 2 2" xfId="3128" xr:uid="{00000000-0005-0000-0000-00002E0D0000}"/>
    <cellStyle name="Comma 5 2 4 2 2 2 2 2" xfId="12271" xr:uid="{00000000-0005-0000-0000-00002F0D0000}"/>
    <cellStyle name="Comma 5 2 4 2 2 2 2 2 2" xfId="22489" xr:uid="{00000000-0005-0000-0000-0000300D0000}"/>
    <cellStyle name="Comma 5 2 4 2 2 2 2 2 2 2" xfId="48042" xr:uid="{00000000-0005-0000-0000-0000310D0000}"/>
    <cellStyle name="Comma 5 2 4 2 2 2 2 2 3" xfId="37826" xr:uid="{00000000-0005-0000-0000-0000320D0000}"/>
    <cellStyle name="Comma 5 2 4 2 2 2 2 3" xfId="8693" xr:uid="{00000000-0005-0000-0000-0000330D0000}"/>
    <cellStyle name="Comma 5 2 4 2 2 2 2 3 2" xfId="34250" xr:uid="{00000000-0005-0000-0000-0000340D0000}"/>
    <cellStyle name="Comma 5 2 4 2 2 2 2 4" xfId="17482" xr:uid="{00000000-0005-0000-0000-0000350D0000}"/>
    <cellStyle name="Comma 5 2 4 2 2 2 2 4 2" xfId="43035" xr:uid="{00000000-0005-0000-0000-0000360D0000}"/>
    <cellStyle name="Comma 5 2 4 2 2 2 2 5" xfId="28972" xr:uid="{00000000-0005-0000-0000-0000370D0000}"/>
    <cellStyle name="Comma 5 2 4 2 2 2 3" xfId="4457" xr:uid="{00000000-0005-0000-0000-0000380D0000}"/>
    <cellStyle name="Comma 5 2 4 2 2 2 3 2" xfId="13295" xr:uid="{00000000-0005-0000-0000-0000390D0000}"/>
    <cellStyle name="Comma 5 2 4 2 2 2 3 2 2" xfId="23546" xr:uid="{00000000-0005-0000-0000-00003A0D0000}"/>
    <cellStyle name="Comma 5 2 4 2 2 2 3 2 2 2" xfId="49099" xr:uid="{00000000-0005-0000-0000-00003B0D0000}"/>
    <cellStyle name="Comma 5 2 4 2 2 2 3 2 3" xfId="38850" xr:uid="{00000000-0005-0000-0000-00003C0D0000}"/>
    <cellStyle name="Comma 5 2 4 2 2 2 3 3" xfId="9716" xr:uid="{00000000-0005-0000-0000-00003D0D0000}"/>
    <cellStyle name="Comma 5 2 4 2 2 2 3 3 2" xfId="35273" xr:uid="{00000000-0005-0000-0000-00003E0D0000}"/>
    <cellStyle name="Comma 5 2 4 2 2 2 3 4" xfId="18539" xr:uid="{00000000-0005-0000-0000-00003F0D0000}"/>
    <cellStyle name="Comma 5 2 4 2 2 2 3 4 2" xfId="44092" xr:uid="{00000000-0005-0000-0000-0000400D0000}"/>
    <cellStyle name="Comma 5 2 4 2 2 2 3 5" xfId="30029" xr:uid="{00000000-0005-0000-0000-0000410D0000}"/>
    <cellStyle name="Comma 5 2 4 2 2 2 4" xfId="2237" xr:uid="{00000000-0005-0000-0000-0000420D0000}"/>
    <cellStyle name="Comma 5 2 4 2 2 2 4 2" xfId="11602" xr:uid="{00000000-0005-0000-0000-0000430D0000}"/>
    <cellStyle name="Comma 5 2 4 2 2 2 4 2 2" xfId="37157" xr:uid="{00000000-0005-0000-0000-0000440D0000}"/>
    <cellStyle name="Comma 5 2 4 2 2 2 4 3" xfId="21606" xr:uid="{00000000-0005-0000-0000-0000450D0000}"/>
    <cellStyle name="Comma 5 2 4 2 2 2 4 3 2" xfId="47159" xr:uid="{00000000-0005-0000-0000-0000460D0000}"/>
    <cellStyle name="Comma 5 2 4 2 2 2 4 4" xfId="28089" xr:uid="{00000000-0005-0000-0000-0000470D0000}"/>
    <cellStyle name="Comma 5 2 4 2 2 2 5" xfId="5913" xr:uid="{00000000-0005-0000-0000-0000480D0000}"/>
    <cellStyle name="Comma 5 2 4 2 2 2 5 2" xfId="14740" xr:uid="{00000000-0005-0000-0000-0000490D0000}"/>
    <cellStyle name="Comma 5 2 4 2 2 2 5 2 2" xfId="40295" xr:uid="{00000000-0005-0000-0000-00004A0D0000}"/>
    <cellStyle name="Comma 5 2 4 2 2 2 5 3" xfId="24991" xr:uid="{00000000-0005-0000-0000-00004B0D0000}"/>
    <cellStyle name="Comma 5 2 4 2 2 2 5 3 2" xfId="50544" xr:uid="{00000000-0005-0000-0000-00004C0D0000}"/>
    <cellStyle name="Comma 5 2 4 2 2 2 5 4" xfId="31474" xr:uid="{00000000-0005-0000-0000-00004D0D0000}"/>
    <cellStyle name="Comma 5 2 4 2 2 2 6" xfId="7357" xr:uid="{00000000-0005-0000-0000-00004E0D0000}"/>
    <cellStyle name="Comma 5 2 4 2 2 2 6 2" xfId="20088" xr:uid="{00000000-0005-0000-0000-00004F0D0000}"/>
    <cellStyle name="Comma 5 2 4 2 2 2 6 2 2" xfId="45641" xr:uid="{00000000-0005-0000-0000-0000500D0000}"/>
    <cellStyle name="Comma 5 2 4 2 2 2 6 3" xfId="32914" xr:uid="{00000000-0005-0000-0000-0000510D0000}"/>
    <cellStyle name="Comma 5 2 4 2 2 2 7" xfId="16599" xr:uid="{00000000-0005-0000-0000-0000520D0000}"/>
    <cellStyle name="Comma 5 2 4 2 2 2 7 2" xfId="42152" xr:uid="{00000000-0005-0000-0000-0000530D0000}"/>
    <cellStyle name="Comma 5 2 4 2 2 2 8" xfId="26571" xr:uid="{00000000-0005-0000-0000-0000540D0000}"/>
    <cellStyle name="Comma 5 2 4 2 2 3" xfId="1289" xr:uid="{00000000-0005-0000-0000-0000550D0000}"/>
    <cellStyle name="Comma 5 2 4 2 2 3 2" xfId="3718" xr:uid="{00000000-0005-0000-0000-0000560D0000}"/>
    <cellStyle name="Comma 5 2 4 2 2 3 2 2" xfId="12854" xr:uid="{00000000-0005-0000-0000-0000570D0000}"/>
    <cellStyle name="Comma 5 2 4 2 2 3 2 2 2" xfId="23073" xr:uid="{00000000-0005-0000-0000-0000580D0000}"/>
    <cellStyle name="Comma 5 2 4 2 2 3 2 2 2 2" xfId="48626" xr:uid="{00000000-0005-0000-0000-0000590D0000}"/>
    <cellStyle name="Comma 5 2 4 2 2 3 2 2 3" xfId="38409" xr:uid="{00000000-0005-0000-0000-00005A0D0000}"/>
    <cellStyle name="Comma 5 2 4 2 2 3 2 3" xfId="9275" xr:uid="{00000000-0005-0000-0000-00005B0D0000}"/>
    <cellStyle name="Comma 5 2 4 2 2 3 2 3 2" xfId="34832" xr:uid="{00000000-0005-0000-0000-00005C0D0000}"/>
    <cellStyle name="Comma 5 2 4 2 2 3 2 4" xfId="18066" xr:uid="{00000000-0005-0000-0000-00005D0D0000}"/>
    <cellStyle name="Comma 5 2 4 2 2 3 2 4 2" xfId="43619" xr:uid="{00000000-0005-0000-0000-00005E0D0000}"/>
    <cellStyle name="Comma 5 2 4 2 2 3 2 5" xfId="29556" xr:uid="{00000000-0005-0000-0000-00005F0D0000}"/>
    <cellStyle name="Comma 5 2 4 2 2 3 3" xfId="4806" xr:uid="{00000000-0005-0000-0000-0000600D0000}"/>
    <cellStyle name="Comma 5 2 4 2 2 3 3 2" xfId="13643" xr:uid="{00000000-0005-0000-0000-0000610D0000}"/>
    <cellStyle name="Comma 5 2 4 2 2 3 3 2 2" xfId="23894" xr:uid="{00000000-0005-0000-0000-0000620D0000}"/>
    <cellStyle name="Comma 5 2 4 2 2 3 3 2 2 2" xfId="49447" xr:uid="{00000000-0005-0000-0000-0000630D0000}"/>
    <cellStyle name="Comma 5 2 4 2 2 3 3 2 3" xfId="39198" xr:uid="{00000000-0005-0000-0000-0000640D0000}"/>
    <cellStyle name="Comma 5 2 4 2 2 3 3 3" xfId="10064" xr:uid="{00000000-0005-0000-0000-0000650D0000}"/>
    <cellStyle name="Comma 5 2 4 2 2 3 3 3 2" xfId="35621" xr:uid="{00000000-0005-0000-0000-0000660D0000}"/>
    <cellStyle name="Comma 5 2 4 2 2 3 3 4" xfId="18887" xr:uid="{00000000-0005-0000-0000-0000670D0000}"/>
    <cellStyle name="Comma 5 2 4 2 2 3 3 4 2" xfId="44440" xr:uid="{00000000-0005-0000-0000-0000680D0000}"/>
    <cellStyle name="Comma 5 2 4 2 2 3 3 5" xfId="30377" xr:uid="{00000000-0005-0000-0000-0000690D0000}"/>
    <cellStyle name="Comma 5 2 4 2 2 3 4" xfId="2112" xr:uid="{00000000-0005-0000-0000-00006A0D0000}"/>
    <cellStyle name="Comma 5 2 4 2 2 3 4 2" xfId="11477" xr:uid="{00000000-0005-0000-0000-00006B0D0000}"/>
    <cellStyle name="Comma 5 2 4 2 2 3 4 2 2" xfId="37032" xr:uid="{00000000-0005-0000-0000-00006C0D0000}"/>
    <cellStyle name="Comma 5 2 4 2 2 3 4 3" xfId="21481" xr:uid="{00000000-0005-0000-0000-00006D0D0000}"/>
    <cellStyle name="Comma 5 2 4 2 2 3 4 3 2" xfId="47034" xr:uid="{00000000-0005-0000-0000-00006E0D0000}"/>
    <cellStyle name="Comma 5 2 4 2 2 3 4 4" xfId="27964" xr:uid="{00000000-0005-0000-0000-00006F0D0000}"/>
    <cellStyle name="Comma 5 2 4 2 2 3 5" xfId="6261" xr:uid="{00000000-0005-0000-0000-0000700D0000}"/>
    <cellStyle name="Comma 5 2 4 2 2 3 5 2" xfId="15088" xr:uid="{00000000-0005-0000-0000-0000710D0000}"/>
    <cellStyle name="Comma 5 2 4 2 2 3 5 2 2" xfId="40643" xr:uid="{00000000-0005-0000-0000-0000720D0000}"/>
    <cellStyle name="Comma 5 2 4 2 2 3 5 3" xfId="25339" xr:uid="{00000000-0005-0000-0000-0000730D0000}"/>
    <cellStyle name="Comma 5 2 4 2 2 3 5 3 2" xfId="50892" xr:uid="{00000000-0005-0000-0000-0000740D0000}"/>
    <cellStyle name="Comma 5 2 4 2 2 3 5 4" xfId="31822" xr:uid="{00000000-0005-0000-0000-0000750D0000}"/>
    <cellStyle name="Comma 5 2 4 2 2 3 6" xfId="7707" xr:uid="{00000000-0005-0000-0000-0000760D0000}"/>
    <cellStyle name="Comma 5 2 4 2 2 3 6 2" xfId="20672" xr:uid="{00000000-0005-0000-0000-0000770D0000}"/>
    <cellStyle name="Comma 5 2 4 2 2 3 6 2 2" xfId="46225" xr:uid="{00000000-0005-0000-0000-0000780D0000}"/>
    <cellStyle name="Comma 5 2 4 2 2 3 6 3" xfId="33264" xr:uid="{00000000-0005-0000-0000-0000790D0000}"/>
    <cellStyle name="Comma 5 2 4 2 2 3 7" xfId="16474" xr:uid="{00000000-0005-0000-0000-00007A0D0000}"/>
    <cellStyle name="Comma 5 2 4 2 2 3 7 2" xfId="42027" xr:uid="{00000000-0005-0000-0000-00007B0D0000}"/>
    <cellStyle name="Comma 5 2 4 2 2 3 8" xfId="27155" xr:uid="{00000000-0005-0000-0000-00007C0D0000}"/>
    <cellStyle name="Comma 5 2 4 2 2 4" xfId="3003" xr:uid="{00000000-0005-0000-0000-00007D0D0000}"/>
    <cellStyle name="Comma 5 2 4 2 2 4 2" xfId="5381" xr:uid="{00000000-0005-0000-0000-00007E0D0000}"/>
    <cellStyle name="Comma 5 2 4 2 2 4 2 2" xfId="14218" xr:uid="{00000000-0005-0000-0000-00007F0D0000}"/>
    <cellStyle name="Comma 5 2 4 2 2 4 2 2 2" xfId="24469" xr:uid="{00000000-0005-0000-0000-0000800D0000}"/>
    <cellStyle name="Comma 5 2 4 2 2 4 2 2 2 2" xfId="50022" xr:uid="{00000000-0005-0000-0000-0000810D0000}"/>
    <cellStyle name="Comma 5 2 4 2 2 4 2 2 3" xfId="39773" xr:uid="{00000000-0005-0000-0000-0000820D0000}"/>
    <cellStyle name="Comma 5 2 4 2 2 4 2 3" xfId="10639" xr:uid="{00000000-0005-0000-0000-0000830D0000}"/>
    <cellStyle name="Comma 5 2 4 2 2 4 2 3 2" xfId="36196" xr:uid="{00000000-0005-0000-0000-0000840D0000}"/>
    <cellStyle name="Comma 5 2 4 2 2 4 2 4" xfId="19462" xr:uid="{00000000-0005-0000-0000-0000850D0000}"/>
    <cellStyle name="Comma 5 2 4 2 2 4 2 4 2" xfId="45015" xr:uid="{00000000-0005-0000-0000-0000860D0000}"/>
    <cellStyle name="Comma 5 2 4 2 2 4 2 5" xfId="30952" xr:uid="{00000000-0005-0000-0000-0000870D0000}"/>
    <cellStyle name="Comma 5 2 4 2 2 4 3" xfId="6836" xr:uid="{00000000-0005-0000-0000-0000880D0000}"/>
    <cellStyle name="Comma 5 2 4 2 2 4 3 2" xfId="15663" xr:uid="{00000000-0005-0000-0000-0000890D0000}"/>
    <cellStyle name="Comma 5 2 4 2 2 4 3 2 2" xfId="41218" xr:uid="{00000000-0005-0000-0000-00008A0D0000}"/>
    <cellStyle name="Comma 5 2 4 2 2 4 3 3" xfId="25914" xr:uid="{00000000-0005-0000-0000-00008B0D0000}"/>
    <cellStyle name="Comma 5 2 4 2 2 4 3 3 2" xfId="51467" xr:uid="{00000000-0005-0000-0000-00008C0D0000}"/>
    <cellStyle name="Comma 5 2 4 2 2 4 3 4" xfId="32397" xr:uid="{00000000-0005-0000-0000-00008D0D0000}"/>
    <cellStyle name="Comma 5 2 4 2 2 4 4" xfId="8282" xr:uid="{00000000-0005-0000-0000-00008E0D0000}"/>
    <cellStyle name="Comma 5 2 4 2 2 4 4 2" xfId="22364" xr:uid="{00000000-0005-0000-0000-00008F0D0000}"/>
    <cellStyle name="Comma 5 2 4 2 2 4 4 2 2" xfId="47917" xr:uid="{00000000-0005-0000-0000-0000900D0000}"/>
    <cellStyle name="Comma 5 2 4 2 2 4 4 3" xfId="33839" xr:uid="{00000000-0005-0000-0000-0000910D0000}"/>
    <cellStyle name="Comma 5 2 4 2 2 4 5" xfId="17357" xr:uid="{00000000-0005-0000-0000-0000920D0000}"/>
    <cellStyle name="Comma 5 2 4 2 2 4 5 2" xfId="42910" xr:uid="{00000000-0005-0000-0000-0000930D0000}"/>
    <cellStyle name="Comma 5 2 4 2 2 4 6" xfId="28847" xr:uid="{00000000-0005-0000-0000-0000940D0000}"/>
    <cellStyle name="Comma 5 2 4 2 2 5" xfId="4337" xr:uid="{00000000-0005-0000-0000-0000950D0000}"/>
    <cellStyle name="Comma 5 2 4 2 2 5 2" xfId="13175" xr:uid="{00000000-0005-0000-0000-0000960D0000}"/>
    <cellStyle name="Comma 5 2 4 2 2 5 2 2" xfId="23426" xr:uid="{00000000-0005-0000-0000-0000970D0000}"/>
    <cellStyle name="Comma 5 2 4 2 2 5 2 2 2" xfId="48979" xr:uid="{00000000-0005-0000-0000-0000980D0000}"/>
    <cellStyle name="Comma 5 2 4 2 2 5 2 3" xfId="38730" xr:uid="{00000000-0005-0000-0000-0000990D0000}"/>
    <cellStyle name="Comma 5 2 4 2 2 5 3" xfId="9596" xr:uid="{00000000-0005-0000-0000-00009A0D0000}"/>
    <cellStyle name="Comma 5 2 4 2 2 5 3 2" xfId="35153" xr:uid="{00000000-0005-0000-0000-00009B0D0000}"/>
    <cellStyle name="Comma 5 2 4 2 2 5 4" xfId="18419" xr:uid="{00000000-0005-0000-0000-00009C0D0000}"/>
    <cellStyle name="Comma 5 2 4 2 2 5 4 2" xfId="43972" xr:uid="{00000000-0005-0000-0000-00009D0D0000}"/>
    <cellStyle name="Comma 5 2 4 2 2 5 5" xfId="29909" xr:uid="{00000000-0005-0000-0000-00009E0D0000}"/>
    <cellStyle name="Comma 5 2 4 2 2 6" xfId="1609" xr:uid="{00000000-0005-0000-0000-00009F0D0000}"/>
    <cellStyle name="Comma 5 2 4 2 2 6 2" xfId="10986" xr:uid="{00000000-0005-0000-0000-0000A00D0000}"/>
    <cellStyle name="Comma 5 2 4 2 2 6 2 2" xfId="36541" xr:uid="{00000000-0005-0000-0000-0000A10D0000}"/>
    <cellStyle name="Comma 5 2 4 2 2 6 3" xfId="20990" xr:uid="{00000000-0005-0000-0000-0000A20D0000}"/>
    <cellStyle name="Comma 5 2 4 2 2 6 3 2" xfId="46543" xr:uid="{00000000-0005-0000-0000-0000A30D0000}"/>
    <cellStyle name="Comma 5 2 4 2 2 6 4" xfId="27473" xr:uid="{00000000-0005-0000-0000-0000A40D0000}"/>
    <cellStyle name="Comma 5 2 4 2 2 7" xfId="5793" xr:uid="{00000000-0005-0000-0000-0000A50D0000}"/>
    <cellStyle name="Comma 5 2 4 2 2 7 2" xfId="14620" xr:uid="{00000000-0005-0000-0000-0000A60D0000}"/>
    <cellStyle name="Comma 5 2 4 2 2 7 2 2" xfId="40175" xr:uid="{00000000-0005-0000-0000-0000A70D0000}"/>
    <cellStyle name="Comma 5 2 4 2 2 7 3" xfId="24871" xr:uid="{00000000-0005-0000-0000-0000A80D0000}"/>
    <cellStyle name="Comma 5 2 4 2 2 7 3 2" xfId="50424" xr:uid="{00000000-0005-0000-0000-0000A90D0000}"/>
    <cellStyle name="Comma 5 2 4 2 2 7 4" xfId="31354" xr:uid="{00000000-0005-0000-0000-0000AA0D0000}"/>
    <cellStyle name="Comma 5 2 4 2 2 8" xfId="7237" xr:uid="{00000000-0005-0000-0000-0000AB0D0000}"/>
    <cellStyle name="Comma 5 2 4 2 2 8 2" xfId="19963" xr:uid="{00000000-0005-0000-0000-0000AC0D0000}"/>
    <cellStyle name="Comma 5 2 4 2 2 8 2 2" xfId="45516" xr:uid="{00000000-0005-0000-0000-0000AD0D0000}"/>
    <cellStyle name="Comma 5 2 4 2 2 8 3" xfId="32794" xr:uid="{00000000-0005-0000-0000-0000AE0D0000}"/>
    <cellStyle name="Comma 5 2 4 2 2 9" xfId="15983" xr:uid="{00000000-0005-0000-0000-0000AF0D0000}"/>
    <cellStyle name="Comma 5 2 4 2 2 9 2" xfId="41536" xr:uid="{00000000-0005-0000-0000-0000B00D0000}"/>
    <cellStyle name="Comma 5 2 4 2 3" xfId="417" xr:uid="{00000000-0005-0000-0000-0000B10D0000}"/>
    <cellStyle name="Comma 5 2 4 2 3 2" xfId="2903" xr:uid="{00000000-0005-0000-0000-0000B20D0000}"/>
    <cellStyle name="Comma 5 2 4 2 3 2 2" xfId="12191" xr:uid="{00000000-0005-0000-0000-0000B30D0000}"/>
    <cellStyle name="Comma 5 2 4 2 3 2 2 2" xfId="22264" xr:uid="{00000000-0005-0000-0000-0000B40D0000}"/>
    <cellStyle name="Comma 5 2 4 2 3 2 2 2 2" xfId="47817" xr:uid="{00000000-0005-0000-0000-0000B50D0000}"/>
    <cellStyle name="Comma 5 2 4 2 3 2 2 3" xfId="37746" xr:uid="{00000000-0005-0000-0000-0000B60D0000}"/>
    <cellStyle name="Comma 5 2 4 2 3 2 3" xfId="8512" xr:uid="{00000000-0005-0000-0000-0000B70D0000}"/>
    <cellStyle name="Comma 5 2 4 2 3 2 3 2" xfId="34069" xr:uid="{00000000-0005-0000-0000-0000B80D0000}"/>
    <cellStyle name="Comma 5 2 4 2 3 2 4" xfId="17257" xr:uid="{00000000-0005-0000-0000-0000B90D0000}"/>
    <cellStyle name="Comma 5 2 4 2 3 2 4 2" xfId="42810" xr:uid="{00000000-0005-0000-0000-0000BA0D0000}"/>
    <cellStyle name="Comma 5 2 4 2 3 2 5" xfId="28747" xr:uid="{00000000-0005-0000-0000-0000BB0D0000}"/>
    <cellStyle name="Comma 5 2 4 2 3 3" xfId="4456" xr:uid="{00000000-0005-0000-0000-0000BC0D0000}"/>
    <cellStyle name="Comma 5 2 4 2 3 3 2" xfId="13294" xr:uid="{00000000-0005-0000-0000-0000BD0D0000}"/>
    <cellStyle name="Comma 5 2 4 2 3 3 2 2" xfId="23545" xr:uid="{00000000-0005-0000-0000-0000BE0D0000}"/>
    <cellStyle name="Comma 5 2 4 2 3 3 2 2 2" xfId="49098" xr:uid="{00000000-0005-0000-0000-0000BF0D0000}"/>
    <cellStyle name="Comma 5 2 4 2 3 3 2 3" xfId="38849" xr:uid="{00000000-0005-0000-0000-0000C00D0000}"/>
    <cellStyle name="Comma 5 2 4 2 3 3 3" xfId="9715" xr:uid="{00000000-0005-0000-0000-0000C10D0000}"/>
    <cellStyle name="Comma 5 2 4 2 3 3 3 2" xfId="35272" xr:uid="{00000000-0005-0000-0000-0000C20D0000}"/>
    <cellStyle name="Comma 5 2 4 2 3 3 4" xfId="18538" xr:uid="{00000000-0005-0000-0000-0000C30D0000}"/>
    <cellStyle name="Comma 5 2 4 2 3 3 4 2" xfId="44091" xr:uid="{00000000-0005-0000-0000-0000C40D0000}"/>
    <cellStyle name="Comma 5 2 4 2 3 3 5" xfId="30028" xr:uid="{00000000-0005-0000-0000-0000C50D0000}"/>
    <cellStyle name="Comma 5 2 4 2 3 4" xfId="2012" xr:uid="{00000000-0005-0000-0000-0000C60D0000}"/>
    <cellStyle name="Comma 5 2 4 2 3 4 2" xfId="11377" xr:uid="{00000000-0005-0000-0000-0000C70D0000}"/>
    <cellStyle name="Comma 5 2 4 2 3 4 2 2" xfId="36932" xr:uid="{00000000-0005-0000-0000-0000C80D0000}"/>
    <cellStyle name="Comma 5 2 4 2 3 4 3" xfId="21381" xr:uid="{00000000-0005-0000-0000-0000C90D0000}"/>
    <cellStyle name="Comma 5 2 4 2 3 4 3 2" xfId="46934" xr:uid="{00000000-0005-0000-0000-0000CA0D0000}"/>
    <cellStyle name="Comma 5 2 4 2 3 4 4" xfId="27864" xr:uid="{00000000-0005-0000-0000-0000CB0D0000}"/>
    <cellStyle name="Comma 5 2 4 2 3 5" xfId="5912" xr:uid="{00000000-0005-0000-0000-0000CC0D0000}"/>
    <cellStyle name="Comma 5 2 4 2 3 5 2" xfId="14739" xr:uid="{00000000-0005-0000-0000-0000CD0D0000}"/>
    <cellStyle name="Comma 5 2 4 2 3 5 2 2" xfId="40294" xr:uid="{00000000-0005-0000-0000-0000CE0D0000}"/>
    <cellStyle name="Comma 5 2 4 2 3 5 3" xfId="24990" xr:uid="{00000000-0005-0000-0000-0000CF0D0000}"/>
    <cellStyle name="Comma 5 2 4 2 3 5 3 2" xfId="50543" xr:uid="{00000000-0005-0000-0000-0000D00D0000}"/>
    <cellStyle name="Comma 5 2 4 2 3 5 4" xfId="31473" xr:uid="{00000000-0005-0000-0000-0000D10D0000}"/>
    <cellStyle name="Comma 5 2 4 2 3 6" xfId="7356" xr:uid="{00000000-0005-0000-0000-0000D20D0000}"/>
    <cellStyle name="Comma 5 2 4 2 3 6 2" xfId="19863" xr:uid="{00000000-0005-0000-0000-0000D30D0000}"/>
    <cellStyle name="Comma 5 2 4 2 3 6 2 2" xfId="45416" xr:uid="{00000000-0005-0000-0000-0000D40D0000}"/>
    <cellStyle name="Comma 5 2 4 2 3 6 3" xfId="32913" xr:uid="{00000000-0005-0000-0000-0000D50D0000}"/>
    <cellStyle name="Comma 5 2 4 2 3 7" xfId="16374" xr:uid="{00000000-0005-0000-0000-0000D60D0000}"/>
    <cellStyle name="Comma 5 2 4 2 3 7 2" xfId="41927" xr:uid="{00000000-0005-0000-0000-0000D70D0000}"/>
    <cellStyle name="Comma 5 2 4 2 3 8" xfId="26346" xr:uid="{00000000-0005-0000-0000-0000D80D0000}"/>
    <cellStyle name="Comma 5 2 4 2 4" xfId="641" xr:uid="{00000000-0005-0000-0000-0000D90D0000}"/>
    <cellStyle name="Comma 5 2 4 2 4 2" xfId="3127" xr:uid="{00000000-0005-0000-0000-0000DA0D0000}"/>
    <cellStyle name="Comma 5 2 4 2 4 2 2" xfId="12270" xr:uid="{00000000-0005-0000-0000-0000DB0D0000}"/>
    <cellStyle name="Comma 5 2 4 2 4 2 2 2" xfId="22488" xr:uid="{00000000-0005-0000-0000-0000DC0D0000}"/>
    <cellStyle name="Comma 5 2 4 2 4 2 2 2 2" xfId="48041" xr:uid="{00000000-0005-0000-0000-0000DD0D0000}"/>
    <cellStyle name="Comma 5 2 4 2 4 2 2 3" xfId="37825" xr:uid="{00000000-0005-0000-0000-0000DE0D0000}"/>
    <cellStyle name="Comma 5 2 4 2 4 2 3" xfId="8692" xr:uid="{00000000-0005-0000-0000-0000DF0D0000}"/>
    <cellStyle name="Comma 5 2 4 2 4 2 3 2" xfId="34249" xr:uid="{00000000-0005-0000-0000-0000E00D0000}"/>
    <cellStyle name="Comma 5 2 4 2 4 2 4" xfId="17481" xr:uid="{00000000-0005-0000-0000-0000E10D0000}"/>
    <cellStyle name="Comma 5 2 4 2 4 2 4 2" xfId="43034" xr:uid="{00000000-0005-0000-0000-0000E20D0000}"/>
    <cellStyle name="Comma 5 2 4 2 4 2 5" xfId="28971" xr:uid="{00000000-0005-0000-0000-0000E30D0000}"/>
    <cellStyle name="Comma 5 2 4 2 4 3" xfId="4805" xr:uid="{00000000-0005-0000-0000-0000E40D0000}"/>
    <cellStyle name="Comma 5 2 4 2 4 3 2" xfId="13642" xr:uid="{00000000-0005-0000-0000-0000E50D0000}"/>
    <cellStyle name="Comma 5 2 4 2 4 3 2 2" xfId="23893" xr:uid="{00000000-0005-0000-0000-0000E60D0000}"/>
    <cellStyle name="Comma 5 2 4 2 4 3 2 2 2" xfId="49446" xr:uid="{00000000-0005-0000-0000-0000E70D0000}"/>
    <cellStyle name="Comma 5 2 4 2 4 3 2 3" xfId="39197" xr:uid="{00000000-0005-0000-0000-0000E80D0000}"/>
    <cellStyle name="Comma 5 2 4 2 4 3 3" xfId="10063" xr:uid="{00000000-0005-0000-0000-0000E90D0000}"/>
    <cellStyle name="Comma 5 2 4 2 4 3 3 2" xfId="35620" xr:uid="{00000000-0005-0000-0000-0000EA0D0000}"/>
    <cellStyle name="Comma 5 2 4 2 4 3 4" xfId="18886" xr:uid="{00000000-0005-0000-0000-0000EB0D0000}"/>
    <cellStyle name="Comma 5 2 4 2 4 3 4 2" xfId="44439" xr:uid="{00000000-0005-0000-0000-0000EC0D0000}"/>
    <cellStyle name="Comma 5 2 4 2 4 3 5" xfId="30376" xr:uid="{00000000-0005-0000-0000-0000ED0D0000}"/>
    <cellStyle name="Comma 5 2 4 2 4 4" xfId="2236" xr:uid="{00000000-0005-0000-0000-0000EE0D0000}"/>
    <cellStyle name="Comma 5 2 4 2 4 4 2" xfId="11601" xr:uid="{00000000-0005-0000-0000-0000EF0D0000}"/>
    <cellStyle name="Comma 5 2 4 2 4 4 2 2" xfId="37156" xr:uid="{00000000-0005-0000-0000-0000F00D0000}"/>
    <cellStyle name="Comma 5 2 4 2 4 4 3" xfId="21605" xr:uid="{00000000-0005-0000-0000-0000F10D0000}"/>
    <cellStyle name="Comma 5 2 4 2 4 4 3 2" xfId="47158" xr:uid="{00000000-0005-0000-0000-0000F20D0000}"/>
    <cellStyle name="Comma 5 2 4 2 4 4 4" xfId="28088" xr:uid="{00000000-0005-0000-0000-0000F30D0000}"/>
    <cellStyle name="Comma 5 2 4 2 4 5" xfId="6260" xr:uid="{00000000-0005-0000-0000-0000F40D0000}"/>
    <cellStyle name="Comma 5 2 4 2 4 5 2" xfId="15087" xr:uid="{00000000-0005-0000-0000-0000F50D0000}"/>
    <cellStyle name="Comma 5 2 4 2 4 5 2 2" xfId="40642" xr:uid="{00000000-0005-0000-0000-0000F60D0000}"/>
    <cellStyle name="Comma 5 2 4 2 4 5 3" xfId="25338" xr:uid="{00000000-0005-0000-0000-0000F70D0000}"/>
    <cellStyle name="Comma 5 2 4 2 4 5 3 2" xfId="50891" xr:uid="{00000000-0005-0000-0000-0000F80D0000}"/>
    <cellStyle name="Comma 5 2 4 2 4 5 4" xfId="31821" xr:uid="{00000000-0005-0000-0000-0000F90D0000}"/>
    <cellStyle name="Comma 5 2 4 2 4 6" xfId="7706" xr:uid="{00000000-0005-0000-0000-0000FA0D0000}"/>
    <cellStyle name="Comma 5 2 4 2 4 6 2" xfId="20087" xr:uid="{00000000-0005-0000-0000-0000FB0D0000}"/>
    <cellStyle name="Comma 5 2 4 2 4 6 2 2" xfId="45640" xr:uid="{00000000-0005-0000-0000-0000FC0D0000}"/>
    <cellStyle name="Comma 5 2 4 2 4 6 3" xfId="33263" xr:uid="{00000000-0005-0000-0000-0000FD0D0000}"/>
    <cellStyle name="Comma 5 2 4 2 4 7" xfId="16598" xr:uid="{00000000-0005-0000-0000-0000FE0D0000}"/>
    <cellStyle name="Comma 5 2 4 2 4 7 2" xfId="42151" xr:uid="{00000000-0005-0000-0000-0000FF0D0000}"/>
    <cellStyle name="Comma 5 2 4 2 4 8" xfId="26570" xr:uid="{00000000-0005-0000-0000-0000000E0000}"/>
    <cellStyle name="Comma 5 2 4 2 5" xfId="1189" xr:uid="{00000000-0005-0000-0000-0000010E0000}"/>
    <cellStyle name="Comma 5 2 4 2 5 2" xfId="3618" xr:uid="{00000000-0005-0000-0000-0000020E0000}"/>
    <cellStyle name="Comma 5 2 4 2 5 2 2" xfId="12754" xr:uid="{00000000-0005-0000-0000-0000030E0000}"/>
    <cellStyle name="Comma 5 2 4 2 5 2 2 2" xfId="22973" xr:uid="{00000000-0005-0000-0000-0000040E0000}"/>
    <cellStyle name="Comma 5 2 4 2 5 2 2 2 2" xfId="48526" xr:uid="{00000000-0005-0000-0000-0000050E0000}"/>
    <cellStyle name="Comma 5 2 4 2 5 2 2 3" xfId="38309" xr:uid="{00000000-0005-0000-0000-0000060E0000}"/>
    <cellStyle name="Comma 5 2 4 2 5 2 3" xfId="9175" xr:uid="{00000000-0005-0000-0000-0000070E0000}"/>
    <cellStyle name="Comma 5 2 4 2 5 2 3 2" xfId="34732" xr:uid="{00000000-0005-0000-0000-0000080E0000}"/>
    <cellStyle name="Comma 5 2 4 2 5 2 4" xfId="17966" xr:uid="{00000000-0005-0000-0000-0000090E0000}"/>
    <cellStyle name="Comma 5 2 4 2 5 2 4 2" xfId="43519" xr:uid="{00000000-0005-0000-0000-00000A0E0000}"/>
    <cellStyle name="Comma 5 2 4 2 5 2 5" xfId="29456" xr:uid="{00000000-0005-0000-0000-00000B0E0000}"/>
    <cellStyle name="Comma 5 2 4 2 5 3" xfId="5281" xr:uid="{00000000-0005-0000-0000-00000C0E0000}"/>
    <cellStyle name="Comma 5 2 4 2 5 3 2" xfId="14118" xr:uid="{00000000-0005-0000-0000-00000D0E0000}"/>
    <cellStyle name="Comma 5 2 4 2 5 3 2 2" xfId="24369" xr:uid="{00000000-0005-0000-0000-00000E0E0000}"/>
    <cellStyle name="Comma 5 2 4 2 5 3 2 2 2" xfId="49922" xr:uid="{00000000-0005-0000-0000-00000F0E0000}"/>
    <cellStyle name="Comma 5 2 4 2 5 3 2 3" xfId="39673" xr:uid="{00000000-0005-0000-0000-0000100E0000}"/>
    <cellStyle name="Comma 5 2 4 2 5 3 3" xfId="10539" xr:uid="{00000000-0005-0000-0000-0000110E0000}"/>
    <cellStyle name="Comma 5 2 4 2 5 3 3 2" xfId="36096" xr:uid="{00000000-0005-0000-0000-0000120E0000}"/>
    <cellStyle name="Comma 5 2 4 2 5 3 4" xfId="19362" xr:uid="{00000000-0005-0000-0000-0000130E0000}"/>
    <cellStyle name="Comma 5 2 4 2 5 3 4 2" xfId="44915" xr:uid="{00000000-0005-0000-0000-0000140E0000}"/>
    <cellStyle name="Comma 5 2 4 2 5 3 5" xfId="30852" xr:uid="{00000000-0005-0000-0000-0000150E0000}"/>
    <cellStyle name="Comma 5 2 4 2 5 4" xfId="1791" xr:uid="{00000000-0005-0000-0000-0000160E0000}"/>
    <cellStyle name="Comma 5 2 4 2 5 4 2" xfId="11160" xr:uid="{00000000-0005-0000-0000-0000170E0000}"/>
    <cellStyle name="Comma 5 2 4 2 5 4 2 2" xfId="36715" xr:uid="{00000000-0005-0000-0000-0000180E0000}"/>
    <cellStyle name="Comma 5 2 4 2 5 4 3" xfId="21164" xr:uid="{00000000-0005-0000-0000-0000190E0000}"/>
    <cellStyle name="Comma 5 2 4 2 5 4 3 2" xfId="46717" xr:uid="{00000000-0005-0000-0000-00001A0E0000}"/>
    <cellStyle name="Comma 5 2 4 2 5 4 4" xfId="27647" xr:uid="{00000000-0005-0000-0000-00001B0E0000}"/>
    <cellStyle name="Comma 5 2 4 2 5 5" xfId="6736" xr:uid="{00000000-0005-0000-0000-00001C0E0000}"/>
    <cellStyle name="Comma 5 2 4 2 5 5 2" xfId="15563" xr:uid="{00000000-0005-0000-0000-00001D0E0000}"/>
    <cellStyle name="Comma 5 2 4 2 5 5 2 2" xfId="41118" xr:uid="{00000000-0005-0000-0000-00001E0E0000}"/>
    <cellStyle name="Comma 5 2 4 2 5 5 3" xfId="25814" xr:uid="{00000000-0005-0000-0000-00001F0E0000}"/>
    <cellStyle name="Comma 5 2 4 2 5 5 3 2" xfId="51367" xr:uid="{00000000-0005-0000-0000-0000200E0000}"/>
    <cellStyle name="Comma 5 2 4 2 5 5 4" xfId="32297" xr:uid="{00000000-0005-0000-0000-0000210E0000}"/>
    <cellStyle name="Comma 5 2 4 2 5 6" xfId="8182" xr:uid="{00000000-0005-0000-0000-0000220E0000}"/>
    <cellStyle name="Comma 5 2 4 2 5 6 2" xfId="20572" xr:uid="{00000000-0005-0000-0000-0000230E0000}"/>
    <cellStyle name="Comma 5 2 4 2 5 6 2 2" xfId="46125" xr:uid="{00000000-0005-0000-0000-0000240E0000}"/>
    <cellStyle name="Comma 5 2 4 2 5 6 3" xfId="33739" xr:uid="{00000000-0005-0000-0000-0000250E0000}"/>
    <cellStyle name="Comma 5 2 4 2 5 7" xfId="16157" xr:uid="{00000000-0005-0000-0000-0000260E0000}"/>
    <cellStyle name="Comma 5 2 4 2 5 7 2" xfId="41710" xr:uid="{00000000-0005-0000-0000-0000270E0000}"/>
    <cellStyle name="Comma 5 2 4 2 5 8" xfId="27055" xr:uid="{00000000-0005-0000-0000-0000280E0000}"/>
    <cellStyle name="Comma 5 2 4 2 6" xfId="2686" xr:uid="{00000000-0005-0000-0000-0000290E0000}"/>
    <cellStyle name="Comma 5 2 4 2 6 2" xfId="12003" xr:uid="{00000000-0005-0000-0000-00002A0E0000}"/>
    <cellStyle name="Comma 5 2 4 2 6 2 2" xfId="22047" xr:uid="{00000000-0005-0000-0000-00002B0E0000}"/>
    <cellStyle name="Comma 5 2 4 2 6 2 2 2" xfId="47600" xr:uid="{00000000-0005-0000-0000-00002C0E0000}"/>
    <cellStyle name="Comma 5 2 4 2 6 2 3" xfId="37558" xr:uid="{00000000-0005-0000-0000-00002D0E0000}"/>
    <cellStyle name="Comma 5 2 4 2 6 3" xfId="8583" xr:uid="{00000000-0005-0000-0000-00002E0E0000}"/>
    <cellStyle name="Comma 5 2 4 2 6 3 2" xfId="34140" xr:uid="{00000000-0005-0000-0000-00002F0E0000}"/>
    <cellStyle name="Comma 5 2 4 2 6 4" xfId="17040" xr:uid="{00000000-0005-0000-0000-0000300E0000}"/>
    <cellStyle name="Comma 5 2 4 2 6 4 2" xfId="42593" xr:uid="{00000000-0005-0000-0000-0000310E0000}"/>
    <cellStyle name="Comma 5 2 4 2 6 5" xfId="28530" xr:uid="{00000000-0005-0000-0000-0000320E0000}"/>
    <cellStyle name="Comma 5 2 4 2 7" xfId="4237" xr:uid="{00000000-0005-0000-0000-0000330E0000}"/>
    <cellStyle name="Comma 5 2 4 2 7 2" xfId="13075" xr:uid="{00000000-0005-0000-0000-0000340E0000}"/>
    <cellStyle name="Comma 5 2 4 2 7 2 2" xfId="23326" xr:uid="{00000000-0005-0000-0000-0000350E0000}"/>
    <cellStyle name="Comma 5 2 4 2 7 2 2 2" xfId="48879" xr:uid="{00000000-0005-0000-0000-0000360E0000}"/>
    <cellStyle name="Comma 5 2 4 2 7 2 3" xfId="38630" xr:uid="{00000000-0005-0000-0000-0000370E0000}"/>
    <cellStyle name="Comma 5 2 4 2 7 3" xfId="9496" xr:uid="{00000000-0005-0000-0000-0000380E0000}"/>
    <cellStyle name="Comma 5 2 4 2 7 3 2" xfId="35053" xr:uid="{00000000-0005-0000-0000-0000390E0000}"/>
    <cellStyle name="Comma 5 2 4 2 7 4" xfId="18319" xr:uid="{00000000-0005-0000-0000-00003A0E0000}"/>
    <cellStyle name="Comma 5 2 4 2 7 4 2" xfId="43872" xr:uid="{00000000-0005-0000-0000-00003B0E0000}"/>
    <cellStyle name="Comma 5 2 4 2 7 5" xfId="29809" xr:uid="{00000000-0005-0000-0000-00003C0E0000}"/>
    <cellStyle name="Comma 5 2 4 2 8" xfId="1509" xr:uid="{00000000-0005-0000-0000-00003D0E0000}"/>
    <cellStyle name="Comma 5 2 4 2 8 2" xfId="10886" xr:uid="{00000000-0005-0000-0000-00003E0E0000}"/>
    <cellStyle name="Comma 5 2 4 2 8 2 2" xfId="36441" xr:uid="{00000000-0005-0000-0000-00003F0E0000}"/>
    <cellStyle name="Comma 5 2 4 2 8 3" xfId="20890" xr:uid="{00000000-0005-0000-0000-0000400E0000}"/>
    <cellStyle name="Comma 5 2 4 2 8 3 2" xfId="46443" xr:uid="{00000000-0005-0000-0000-0000410E0000}"/>
    <cellStyle name="Comma 5 2 4 2 8 4" xfId="27373" xr:uid="{00000000-0005-0000-0000-0000420E0000}"/>
    <cellStyle name="Comma 5 2 4 2 9" xfId="5693" xr:uid="{00000000-0005-0000-0000-0000430E0000}"/>
    <cellStyle name="Comma 5 2 4 2 9 2" xfId="14520" xr:uid="{00000000-0005-0000-0000-0000440E0000}"/>
    <cellStyle name="Comma 5 2 4 2 9 2 2" xfId="40075" xr:uid="{00000000-0005-0000-0000-0000450E0000}"/>
    <cellStyle name="Comma 5 2 4 2 9 3" xfId="24771" xr:uid="{00000000-0005-0000-0000-0000460E0000}"/>
    <cellStyle name="Comma 5 2 4 2 9 3 2" xfId="50324" xr:uid="{00000000-0005-0000-0000-0000470E0000}"/>
    <cellStyle name="Comma 5 2 4 2 9 4" xfId="31254" xr:uid="{00000000-0005-0000-0000-0000480E0000}"/>
    <cellStyle name="Comma 5 2 4 3" xfId="256" xr:uid="{00000000-0005-0000-0000-0000490E0000}"/>
    <cellStyle name="Comma 5 2 4 3 10" xfId="7094" xr:uid="{00000000-0005-0000-0000-00004A0E0000}"/>
    <cellStyle name="Comma 5 2 4 3 10 2" xfId="19708" xr:uid="{00000000-0005-0000-0000-00004B0E0000}"/>
    <cellStyle name="Comma 5 2 4 3 10 2 2" xfId="45261" xr:uid="{00000000-0005-0000-0000-00004C0E0000}"/>
    <cellStyle name="Comma 5 2 4 3 10 3" xfId="32651" xr:uid="{00000000-0005-0000-0000-00004D0E0000}"/>
    <cellStyle name="Comma 5 2 4 3 11" xfId="15840" xr:uid="{00000000-0005-0000-0000-00004E0E0000}"/>
    <cellStyle name="Comma 5 2 4 3 11 2" xfId="41393" xr:uid="{00000000-0005-0000-0000-00004F0E0000}"/>
    <cellStyle name="Comma 5 2 4 3 12" xfId="26191" xr:uid="{00000000-0005-0000-0000-0000500E0000}"/>
    <cellStyle name="Comma 5 2 4 3 2" xfId="579" xr:uid="{00000000-0005-0000-0000-0000510E0000}"/>
    <cellStyle name="Comma 5 2 4 3 2 10" xfId="26508" xr:uid="{00000000-0005-0000-0000-0000520E0000}"/>
    <cellStyle name="Comma 5 2 4 3 2 2" xfId="644" xr:uid="{00000000-0005-0000-0000-0000530E0000}"/>
    <cellStyle name="Comma 5 2 4 3 2 2 2" xfId="3130" xr:uid="{00000000-0005-0000-0000-0000540E0000}"/>
    <cellStyle name="Comma 5 2 4 3 2 2 2 2" xfId="12273" xr:uid="{00000000-0005-0000-0000-0000550E0000}"/>
    <cellStyle name="Comma 5 2 4 3 2 2 2 2 2" xfId="22491" xr:uid="{00000000-0005-0000-0000-0000560E0000}"/>
    <cellStyle name="Comma 5 2 4 3 2 2 2 2 2 2" xfId="48044" xr:uid="{00000000-0005-0000-0000-0000570E0000}"/>
    <cellStyle name="Comma 5 2 4 3 2 2 2 2 3" xfId="37828" xr:uid="{00000000-0005-0000-0000-0000580E0000}"/>
    <cellStyle name="Comma 5 2 4 3 2 2 2 3" xfId="8695" xr:uid="{00000000-0005-0000-0000-0000590E0000}"/>
    <cellStyle name="Comma 5 2 4 3 2 2 2 3 2" xfId="34252" xr:uid="{00000000-0005-0000-0000-00005A0E0000}"/>
    <cellStyle name="Comma 5 2 4 3 2 2 2 4" xfId="17484" xr:uid="{00000000-0005-0000-0000-00005B0E0000}"/>
    <cellStyle name="Comma 5 2 4 3 2 2 2 4 2" xfId="43037" xr:uid="{00000000-0005-0000-0000-00005C0E0000}"/>
    <cellStyle name="Comma 5 2 4 3 2 2 2 5" xfId="28974" xr:uid="{00000000-0005-0000-0000-00005D0E0000}"/>
    <cellStyle name="Comma 5 2 4 3 2 2 3" xfId="4459" xr:uid="{00000000-0005-0000-0000-00005E0E0000}"/>
    <cellStyle name="Comma 5 2 4 3 2 2 3 2" xfId="13297" xr:uid="{00000000-0005-0000-0000-00005F0E0000}"/>
    <cellStyle name="Comma 5 2 4 3 2 2 3 2 2" xfId="23548" xr:uid="{00000000-0005-0000-0000-0000600E0000}"/>
    <cellStyle name="Comma 5 2 4 3 2 2 3 2 2 2" xfId="49101" xr:uid="{00000000-0005-0000-0000-0000610E0000}"/>
    <cellStyle name="Comma 5 2 4 3 2 2 3 2 3" xfId="38852" xr:uid="{00000000-0005-0000-0000-0000620E0000}"/>
    <cellStyle name="Comma 5 2 4 3 2 2 3 3" xfId="9718" xr:uid="{00000000-0005-0000-0000-0000630E0000}"/>
    <cellStyle name="Comma 5 2 4 3 2 2 3 3 2" xfId="35275" xr:uid="{00000000-0005-0000-0000-0000640E0000}"/>
    <cellStyle name="Comma 5 2 4 3 2 2 3 4" xfId="18541" xr:uid="{00000000-0005-0000-0000-0000650E0000}"/>
    <cellStyle name="Comma 5 2 4 3 2 2 3 4 2" xfId="44094" xr:uid="{00000000-0005-0000-0000-0000660E0000}"/>
    <cellStyle name="Comma 5 2 4 3 2 2 3 5" xfId="30031" xr:uid="{00000000-0005-0000-0000-0000670E0000}"/>
    <cellStyle name="Comma 5 2 4 3 2 2 4" xfId="2239" xr:uid="{00000000-0005-0000-0000-0000680E0000}"/>
    <cellStyle name="Comma 5 2 4 3 2 2 4 2" xfId="11604" xr:uid="{00000000-0005-0000-0000-0000690E0000}"/>
    <cellStyle name="Comma 5 2 4 3 2 2 4 2 2" xfId="37159" xr:uid="{00000000-0005-0000-0000-00006A0E0000}"/>
    <cellStyle name="Comma 5 2 4 3 2 2 4 3" xfId="21608" xr:uid="{00000000-0005-0000-0000-00006B0E0000}"/>
    <cellStyle name="Comma 5 2 4 3 2 2 4 3 2" xfId="47161" xr:uid="{00000000-0005-0000-0000-00006C0E0000}"/>
    <cellStyle name="Comma 5 2 4 3 2 2 4 4" xfId="28091" xr:uid="{00000000-0005-0000-0000-00006D0E0000}"/>
    <cellStyle name="Comma 5 2 4 3 2 2 5" xfId="5915" xr:uid="{00000000-0005-0000-0000-00006E0E0000}"/>
    <cellStyle name="Comma 5 2 4 3 2 2 5 2" xfId="14742" xr:uid="{00000000-0005-0000-0000-00006F0E0000}"/>
    <cellStyle name="Comma 5 2 4 3 2 2 5 2 2" xfId="40297" xr:uid="{00000000-0005-0000-0000-0000700E0000}"/>
    <cellStyle name="Comma 5 2 4 3 2 2 5 3" xfId="24993" xr:uid="{00000000-0005-0000-0000-0000710E0000}"/>
    <cellStyle name="Comma 5 2 4 3 2 2 5 3 2" xfId="50546" xr:uid="{00000000-0005-0000-0000-0000720E0000}"/>
    <cellStyle name="Comma 5 2 4 3 2 2 5 4" xfId="31476" xr:uid="{00000000-0005-0000-0000-0000730E0000}"/>
    <cellStyle name="Comma 5 2 4 3 2 2 6" xfId="7359" xr:uid="{00000000-0005-0000-0000-0000740E0000}"/>
    <cellStyle name="Comma 5 2 4 3 2 2 6 2" xfId="20090" xr:uid="{00000000-0005-0000-0000-0000750E0000}"/>
    <cellStyle name="Comma 5 2 4 3 2 2 6 2 2" xfId="45643" xr:uid="{00000000-0005-0000-0000-0000760E0000}"/>
    <cellStyle name="Comma 5 2 4 3 2 2 6 3" xfId="32916" xr:uid="{00000000-0005-0000-0000-0000770E0000}"/>
    <cellStyle name="Comma 5 2 4 3 2 2 7" xfId="16601" xr:uid="{00000000-0005-0000-0000-0000780E0000}"/>
    <cellStyle name="Comma 5 2 4 3 2 2 7 2" xfId="42154" xr:uid="{00000000-0005-0000-0000-0000790E0000}"/>
    <cellStyle name="Comma 5 2 4 3 2 2 8" xfId="26573" xr:uid="{00000000-0005-0000-0000-00007A0E0000}"/>
    <cellStyle name="Comma 5 2 4 3 2 3" xfId="1351" xr:uid="{00000000-0005-0000-0000-00007B0E0000}"/>
    <cellStyle name="Comma 5 2 4 3 2 3 2" xfId="3780" xr:uid="{00000000-0005-0000-0000-00007C0E0000}"/>
    <cellStyle name="Comma 5 2 4 3 2 3 2 2" xfId="12916" xr:uid="{00000000-0005-0000-0000-00007D0E0000}"/>
    <cellStyle name="Comma 5 2 4 3 2 3 2 2 2" xfId="23135" xr:uid="{00000000-0005-0000-0000-00007E0E0000}"/>
    <cellStyle name="Comma 5 2 4 3 2 3 2 2 2 2" xfId="48688" xr:uid="{00000000-0005-0000-0000-00007F0E0000}"/>
    <cellStyle name="Comma 5 2 4 3 2 3 2 2 3" xfId="38471" xr:uid="{00000000-0005-0000-0000-0000800E0000}"/>
    <cellStyle name="Comma 5 2 4 3 2 3 2 3" xfId="9337" xr:uid="{00000000-0005-0000-0000-0000810E0000}"/>
    <cellStyle name="Comma 5 2 4 3 2 3 2 3 2" xfId="34894" xr:uid="{00000000-0005-0000-0000-0000820E0000}"/>
    <cellStyle name="Comma 5 2 4 3 2 3 2 4" xfId="18128" xr:uid="{00000000-0005-0000-0000-0000830E0000}"/>
    <cellStyle name="Comma 5 2 4 3 2 3 2 4 2" xfId="43681" xr:uid="{00000000-0005-0000-0000-0000840E0000}"/>
    <cellStyle name="Comma 5 2 4 3 2 3 2 5" xfId="29618" xr:uid="{00000000-0005-0000-0000-0000850E0000}"/>
    <cellStyle name="Comma 5 2 4 3 2 3 3" xfId="4808" xr:uid="{00000000-0005-0000-0000-0000860E0000}"/>
    <cellStyle name="Comma 5 2 4 3 2 3 3 2" xfId="13645" xr:uid="{00000000-0005-0000-0000-0000870E0000}"/>
    <cellStyle name="Comma 5 2 4 3 2 3 3 2 2" xfId="23896" xr:uid="{00000000-0005-0000-0000-0000880E0000}"/>
    <cellStyle name="Comma 5 2 4 3 2 3 3 2 2 2" xfId="49449" xr:uid="{00000000-0005-0000-0000-0000890E0000}"/>
    <cellStyle name="Comma 5 2 4 3 2 3 3 2 3" xfId="39200" xr:uid="{00000000-0005-0000-0000-00008A0E0000}"/>
    <cellStyle name="Comma 5 2 4 3 2 3 3 3" xfId="10066" xr:uid="{00000000-0005-0000-0000-00008B0E0000}"/>
    <cellStyle name="Comma 5 2 4 3 2 3 3 3 2" xfId="35623" xr:uid="{00000000-0005-0000-0000-00008C0E0000}"/>
    <cellStyle name="Comma 5 2 4 3 2 3 3 4" xfId="18889" xr:uid="{00000000-0005-0000-0000-00008D0E0000}"/>
    <cellStyle name="Comma 5 2 4 3 2 3 3 4 2" xfId="44442" xr:uid="{00000000-0005-0000-0000-00008E0E0000}"/>
    <cellStyle name="Comma 5 2 4 3 2 3 3 5" xfId="30379" xr:uid="{00000000-0005-0000-0000-00008F0E0000}"/>
    <cellStyle name="Comma 5 2 4 3 2 3 4" xfId="2174" xr:uid="{00000000-0005-0000-0000-0000900E0000}"/>
    <cellStyle name="Comma 5 2 4 3 2 3 4 2" xfId="11539" xr:uid="{00000000-0005-0000-0000-0000910E0000}"/>
    <cellStyle name="Comma 5 2 4 3 2 3 4 2 2" xfId="37094" xr:uid="{00000000-0005-0000-0000-0000920E0000}"/>
    <cellStyle name="Comma 5 2 4 3 2 3 4 3" xfId="21543" xr:uid="{00000000-0005-0000-0000-0000930E0000}"/>
    <cellStyle name="Comma 5 2 4 3 2 3 4 3 2" xfId="47096" xr:uid="{00000000-0005-0000-0000-0000940E0000}"/>
    <cellStyle name="Comma 5 2 4 3 2 3 4 4" xfId="28026" xr:uid="{00000000-0005-0000-0000-0000950E0000}"/>
    <cellStyle name="Comma 5 2 4 3 2 3 5" xfId="6263" xr:uid="{00000000-0005-0000-0000-0000960E0000}"/>
    <cellStyle name="Comma 5 2 4 3 2 3 5 2" xfId="15090" xr:uid="{00000000-0005-0000-0000-0000970E0000}"/>
    <cellStyle name="Comma 5 2 4 3 2 3 5 2 2" xfId="40645" xr:uid="{00000000-0005-0000-0000-0000980E0000}"/>
    <cellStyle name="Comma 5 2 4 3 2 3 5 3" xfId="25341" xr:uid="{00000000-0005-0000-0000-0000990E0000}"/>
    <cellStyle name="Comma 5 2 4 3 2 3 5 3 2" xfId="50894" xr:uid="{00000000-0005-0000-0000-00009A0E0000}"/>
    <cellStyle name="Comma 5 2 4 3 2 3 5 4" xfId="31824" xr:uid="{00000000-0005-0000-0000-00009B0E0000}"/>
    <cellStyle name="Comma 5 2 4 3 2 3 6" xfId="7709" xr:uid="{00000000-0005-0000-0000-00009C0E0000}"/>
    <cellStyle name="Comma 5 2 4 3 2 3 6 2" xfId="20734" xr:uid="{00000000-0005-0000-0000-00009D0E0000}"/>
    <cellStyle name="Comma 5 2 4 3 2 3 6 2 2" xfId="46287" xr:uid="{00000000-0005-0000-0000-00009E0E0000}"/>
    <cellStyle name="Comma 5 2 4 3 2 3 6 3" xfId="33266" xr:uid="{00000000-0005-0000-0000-00009F0E0000}"/>
    <cellStyle name="Comma 5 2 4 3 2 3 7" xfId="16536" xr:uid="{00000000-0005-0000-0000-0000A00E0000}"/>
    <cellStyle name="Comma 5 2 4 3 2 3 7 2" xfId="42089" xr:uid="{00000000-0005-0000-0000-0000A10E0000}"/>
    <cellStyle name="Comma 5 2 4 3 2 3 8" xfId="27217" xr:uid="{00000000-0005-0000-0000-0000A20E0000}"/>
    <cellStyle name="Comma 5 2 4 3 2 4" xfId="3065" xr:uid="{00000000-0005-0000-0000-0000A30E0000}"/>
    <cellStyle name="Comma 5 2 4 3 2 4 2" xfId="5443" xr:uid="{00000000-0005-0000-0000-0000A40E0000}"/>
    <cellStyle name="Comma 5 2 4 3 2 4 2 2" xfId="14280" xr:uid="{00000000-0005-0000-0000-0000A50E0000}"/>
    <cellStyle name="Comma 5 2 4 3 2 4 2 2 2" xfId="24531" xr:uid="{00000000-0005-0000-0000-0000A60E0000}"/>
    <cellStyle name="Comma 5 2 4 3 2 4 2 2 2 2" xfId="50084" xr:uid="{00000000-0005-0000-0000-0000A70E0000}"/>
    <cellStyle name="Comma 5 2 4 3 2 4 2 2 3" xfId="39835" xr:uid="{00000000-0005-0000-0000-0000A80E0000}"/>
    <cellStyle name="Comma 5 2 4 3 2 4 2 3" xfId="10701" xr:uid="{00000000-0005-0000-0000-0000A90E0000}"/>
    <cellStyle name="Comma 5 2 4 3 2 4 2 3 2" xfId="36258" xr:uid="{00000000-0005-0000-0000-0000AA0E0000}"/>
    <cellStyle name="Comma 5 2 4 3 2 4 2 4" xfId="19524" xr:uid="{00000000-0005-0000-0000-0000AB0E0000}"/>
    <cellStyle name="Comma 5 2 4 3 2 4 2 4 2" xfId="45077" xr:uid="{00000000-0005-0000-0000-0000AC0E0000}"/>
    <cellStyle name="Comma 5 2 4 3 2 4 2 5" xfId="31014" xr:uid="{00000000-0005-0000-0000-0000AD0E0000}"/>
    <cellStyle name="Comma 5 2 4 3 2 4 3" xfId="6898" xr:uid="{00000000-0005-0000-0000-0000AE0E0000}"/>
    <cellStyle name="Comma 5 2 4 3 2 4 3 2" xfId="15725" xr:uid="{00000000-0005-0000-0000-0000AF0E0000}"/>
    <cellStyle name="Comma 5 2 4 3 2 4 3 2 2" xfId="41280" xr:uid="{00000000-0005-0000-0000-0000B00E0000}"/>
    <cellStyle name="Comma 5 2 4 3 2 4 3 3" xfId="25976" xr:uid="{00000000-0005-0000-0000-0000B10E0000}"/>
    <cellStyle name="Comma 5 2 4 3 2 4 3 3 2" xfId="51529" xr:uid="{00000000-0005-0000-0000-0000B20E0000}"/>
    <cellStyle name="Comma 5 2 4 3 2 4 3 4" xfId="32459" xr:uid="{00000000-0005-0000-0000-0000B30E0000}"/>
    <cellStyle name="Comma 5 2 4 3 2 4 4" xfId="8344" xr:uid="{00000000-0005-0000-0000-0000B40E0000}"/>
    <cellStyle name="Comma 5 2 4 3 2 4 4 2" xfId="22426" xr:uid="{00000000-0005-0000-0000-0000B50E0000}"/>
    <cellStyle name="Comma 5 2 4 3 2 4 4 2 2" xfId="47979" xr:uid="{00000000-0005-0000-0000-0000B60E0000}"/>
    <cellStyle name="Comma 5 2 4 3 2 4 4 3" xfId="33901" xr:uid="{00000000-0005-0000-0000-0000B70E0000}"/>
    <cellStyle name="Comma 5 2 4 3 2 4 5" xfId="17419" xr:uid="{00000000-0005-0000-0000-0000B80E0000}"/>
    <cellStyle name="Comma 5 2 4 3 2 4 5 2" xfId="42972" xr:uid="{00000000-0005-0000-0000-0000B90E0000}"/>
    <cellStyle name="Comma 5 2 4 3 2 4 6" xfId="28909" xr:uid="{00000000-0005-0000-0000-0000BA0E0000}"/>
    <cellStyle name="Comma 5 2 4 3 2 5" xfId="4399" xr:uid="{00000000-0005-0000-0000-0000BB0E0000}"/>
    <cellStyle name="Comma 5 2 4 3 2 5 2" xfId="13237" xr:uid="{00000000-0005-0000-0000-0000BC0E0000}"/>
    <cellStyle name="Comma 5 2 4 3 2 5 2 2" xfId="23488" xr:uid="{00000000-0005-0000-0000-0000BD0E0000}"/>
    <cellStyle name="Comma 5 2 4 3 2 5 2 2 2" xfId="49041" xr:uid="{00000000-0005-0000-0000-0000BE0E0000}"/>
    <cellStyle name="Comma 5 2 4 3 2 5 2 3" xfId="38792" xr:uid="{00000000-0005-0000-0000-0000BF0E0000}"/>
    <cellStyle name="Comma 5 2 4 3 2 5 3" xfId="9658" xr:uid="{00000000-0005-0000-0000-0000C00E0000}"/>
    <cellStyle name="Comma 5 2 4 3 2 5 3 2" xfId="35215" xr:uid="{00000000-0005-0000-0000-0000C10E0000}"/>
    <cellStyle name="Comma 5 2 4 3 2 5 4" xfId="18481" xr:uid="{00000000-0005-0000-0000-0000C20E0000}"/>
    <cellStyle name="Comma 5 2 4 3 2 5 4 2" xfId="44034" xr:uid="{00000000-0005-0000-0000-0000C30E0000}"/>
    <cellStyle name="Comma 5 2 4 3 2 5 5" xfId="29971" xr:uid="{00000000-0005-0000-0000-0000C40E0000}"/>
    <cellStyle name="Comma 5 2 4 3 2 6" xfId="1671" xr:uid="{00000000-0005-0000-0000-0000C50E0000}"/>
    <cellStyle name="Comma 5 2 4 3 2 6 2" xfId="11048" xr:uid="{00000000-0005-0000-0000-0000C60E0000}"/>
    <cellStyle name="Comma 5 2 4 3 2 6 2 2" xfId="36603" xr:uid="{00000000-0005-0000-0000-0000C70E0000}"/>
    <cellStyle name="Comma 5 2 4 3 2 6 3" xfId="21052" xr:uid="{00000000-0005-0000-0000-0000C80E0000}"/>
    <cellStyle name="Comma 5 2 4 3 2 6 3 2" xfId="46605" xr:uid="{00000000-0005-0000-0000-0000C90E0000}"/>
    <cellStyle name="Comma 5 2 4 3 2 6 4" xfId="27535" xr:uid="{00000000-0005-0000-0000-0000CA0E0000}"/>
    <cellStyle name="Comma 5 2 4 3 2 7" xfId="5855" xr:uid="{00000000-0005-0000-0000-0000CB0E0000}"/>
    <cellStyle name="Comma 5 2 4 3 2 7 2" xfId="14682" xr:uid="{00000000-0005-0000-0000-0000CC0E0000}"/>
    <cellStyle name="Comma 5 2 4 3 2 7 2 2" xfId="40237" xr:uid="{00000000-0005-0000-0000-0000CD0E0000}"/>
    <cellStyle name="Comma 5 2 4 3 2 7 3" xfId="24933" xr:uid="{00000000-0005-0000-0000-0000CE0E0000}"/>
    <cellStyle name="Comma 5 2 4 3 2 7 3 2" xfId="50486" xr:uid="{00000000-0005-0000-0000-0000CF0E0000}"/>
    <cellStyle name="Comma 5 2 4 3 2 7 4" xfId="31416" xr:uid="{00000000-0005-0000-0000-0000D00E0000}"/>
    <cellStyle name="Comma 5 2 4 3 2 8" xfId="7299" xr:uid="{00000000-0005-0000-0000-0000D10E0000}"/>
    <cellStyle name="Comma 5 2 4 3 2 8 2" xfId="20025" xr:uid="{00000000-0005-0000-0000-0000D20E0000}"/>
    <cellStyle name="Comma 5 2 4 3 2 8 2 2" xfId="45578" xr:uid="{00000000-0005-0000-0000-0000D30E0000}"/>
    <cellStyle name="Comma 5 2 4 3 2 8 3" xfId="32856" xr:uid="{00000000-0005-0000-0000-0000D40E0000}"/>
    <cellStyle name="Comma 5 2 4 3 2 9" xfId="16045" xr:uid="{00000000-0005-0000-0000-0000D50E0000}"/>
    <cellStyle name="Comma 5 2 4 3 2 9 2" xfId="41598" xr:uid="{00000000-0005-0000-0000-0000D60E0000}"/>
    <cellStyle name="Comma 5 2 4 3 3" xfId="374" xr:uid="{00000000-0005-0000-0000-0000D70E0000}"/>
    <cellStyle name="Comma 5 2 4 3 3 2" xfId="2860" xr:uid="{00000000-0005-0000-0000-0000D80E0000}"/>
    <cellStyle name="Comma 5 2 4 3 3 2 2" xfId="12148" xr:uid="{00000000-0005-0000-0000-0000D90E0000}"/>
    <cellStyle name="Comma 5 2 4 3 3 2 2 2" xfId="22221" xr:uid="{00000000-0005-0000-0000-0000DA0E0000}"/>
    <cellStyle name="Comma 5 2 4 3 3 2 2 2 2" xfId="47774" xr:uid="{00000000-0005-0000-0000-0000DB0E0000}"/>
    <cellStyle name="Comma 5 2 4 3 3 2 2 3" xfId="37703" xr:uid="{00000000-0005-0000-0000-0000DC0E0000}"/>
    <cellStyle name="Comma 5 2 4 3 3 2 3" xfId="8632" xr:uid="{00000000-0005-0000-0000-0000DD0E0000}"/>
    <cellStyle name="Comma 5 2 4 3 3 2 3 2" xfId="34189" xr:uid="{00000000-0005-0000-0000-0000DE0E0000}"/>
    <cellStyle name="Comma 5 2 4 3 3 2 4" xfId="17214" xr:uid="{00000000-0005-0000-0000-0000DF0E0000}"/>
    <cellStyle name="Comma 5 2 4 3 3 2 4 2" xfId="42767" xr:uid="{00000000-0005-0000-0000-0000E00E0000}"/>
    <cellStyle name="Comma 5 2 4 3 3 2 5" xfId="28704" xr:uid="{00000000-0005-0000-0000-0000E10E0000}"/>
    <cellStyle name="Comma 5 2 4 3 3 3" xfId="4458" xr:uid="{00000000-0005-0000-0000-0000E20E0000}"/>
    <cellStyle name="Comma 5 2 4 3 3 3 2" xfId="13296" xr:uid="{00000000-0005-0000-0000-0000E30E0000}"/>
    <cellStyle name="Comma 5 2 4 3 3 3 2 2" xfId="23547" xr:uid="{00000000-0005-0000-0000-0000E40E0000}"/>
    <cellStyle name="Comma 5 2 4 3 3 3 2 2 2" xfId="49100" xr:uid="{00000000-0005-0000-0000-0000E50E0000}"/>
    <cellStyle name="Comma 5 2 4 3 3 3 2 3" xfId="38851" xr:uid="{00000000-0005-0000-0000-0000E60E0000}"/>
    <cellStyle name="Comma 5 2 4 3 3 3 3" xfId="9717" xr:uid="{00000000-0005-0000-0000-0000E70E0000}"/>
    <cellStyle name="Comma 5 2 4 3 3 3 3 2" xfId="35274" xr:uid="{00000000-0005-0000-0000-0000E80E0000}"/>
    <cellStyle name="Comma 5 2 4 3 3 3 4" xfId="18540" xr:uid="{00000000-0005-0000-0000-0000E90E0000}"/>
    <cellStyle name="Comma 5 2 4 3 3 3 4 2" xfId="44093" xr:uid="{00000000-0005-0000-0000-0000EA0E0000}"/>
    <cellStyle name="Comma 5 2 4 3 3 3 5" xfId="30030" xr:uid="{00000000-0005-0000-0000-0000EB0E0000}"/>
    <cellStyle name="Comma 5 2 4 3 3 4" xfId="1969" xr:uid="{00000000-0005-0000-0000-0000EC0E0000}"/>
    <cellStyle name="Comma 5 2 4 3 3 4 2" xfId="11334" xr:uid="{00000000-0005-0000-0000-0000ED0E0000}"/>
    <cellStyle name="Comma 5 2 4 3 3 4 2 2" xfId="36889" xr:uid="{00000000-0005-0000-0000-0000EE0E0000}"/>
    <cellStyle name="Comma 5 2 4 3 3 4 3" xfId="21338" xr:uid="{00000000-0005-0000-0000-0000EF0E0000}"/>
    <cellStyle name="Comma 5 2 4 3 3 4 3 2" xfId="46891" xr:uid="{00000000-0005-0000-0000-0000F00E0000}"/>
    <cellStyle name="Comma 5 2 4 3 3 4 4" xfId="27821" xr:uid="{00000000-0005-0000-0000-0000F10E0000}"/>
    <cellStyle name="Comma 5 2 4 3 3 5" xfId="5914" xr:uid="{00000000-0005-0000-0000-0000F20E0000}"/>
    <cellStyle name="Comma 5 2 4 3 3 5 2" xfId="14741" xr:uid="{00000000-0005-0000-0000-0000F30E0000}"/>
    <cellStyle name="Comma 5 2 4 3 3 5 2 2" xfId="40296" xr:uid="{00000000-0005-0000-0000-0000F40E0000}"/>
    <cellStyle name="Comma 5 2 4 3 3 5 3" xfId="24992" xr:uid="{00000000-0005-0000-0000-0000F50E0000}"/>
    <cellStyle name="Comma 5 2 4 3 3 5 3 2" xfId="50545" xr:uid="{00000000-0005-0000-0000-0000F60E0000}"/>
    <cellStyle name="Comma 5 2 4 3 3 5 4" xfId="31475" xr:uid="{00000000-0005-0000-0000-0000F70E0000}"/>
    <cellStyle name="Comma 5 2 4 3 3 6" xfId="7358" xr:uid="{00000000-0005-0000-0000-0000F80E0000}"/>
    <cellStyle name="Comma 5 2 4 3 3 6 2" xfId="19820" xr:uid="{00000000-0005-0000-0000-0000F90E0000}"/>
    <cellStyle name="Comma 5 2 4 3 3 6 2 2" xfId="45373" xr:uid="{00000000-0005-0000-0000-0000FA0E0000}"/>
    <cellStyle name="Comma 5 2 4 3 3 6 3" xfId="32915" xr:uid="{00000000-0005-0000-0000-0000FB0E0000}"/>
    <cellStyle name="Comma 5 2 4 3 3 7" xfId="16331" xr:uid="{00000000-0005-0000-0000-0000FC0E0000}"/>
    <cellStyle name="Comma 5 2 4 3 3 7 2" xfId="41884" xr:uid="{00000000-0005-0000-0000-0000FD0E0000}"/>
    <cellStyle name="Comma 5 2 4 3 3 8" xfId="26303" xr:uid="{00000000-0005-0000-0000-0000FE0E0000}"/>
    <cellStyle name="Comma 5 2 4 3 4" xfId="643" xr:uid="{00000000-0005-0000-0000-0000FF0E0000}"/>
    <cellStyle name="Comma 5 2 4 3 4 2" xfId="3129" xr:uid="{00000000-0005-0000-0000-0000000F0000}"/>
    <cellStyle name="Comma 5 2 4 3 4 2 2" xfId="12272" xr:uid="{00000000-0005-0000-0000-0000010F0000}"/>
    <cellStyle name="Comma 5 2 4 3 4 2 2 2" xfId="22490" xr:uid="{00000000-0005-0000-0000-0000020F0000}"/>
    <cellStyle name="Comma 5 2 4 3 4 2 2 2 2" xfId="48043" xr:uid="{00000000-0005-0000-0000-0000030F0000}"/>
    <cellStyle name="Comma 5 2 4 3 4 2 2 3" xfId="37827" xr:uid="{00000000-0005-0000-0000-0000040F0000}"/>
    <cellStyle name="Comma 5 2 4 3 4 2 3" xfId="8694" xr:uid="{00000000-0005-0000-0000-0000050F0000}"/>
    <cellStyle name="Comma 5 2 4 3 4 2 3 2" xfId="34251" xr:uid="{00000000-0005-0000-0000-0000060F0000}"/>
    <cellStyle name="Comma 5 2 4 3 4 2 4" xfId="17483" xr:uid="{00000000-0005-0000-0000-0000070F0000}"/>
    <cellStyle name="Comma 5 2 4 3 4 2 4 2" xfId="43036" xr:uid="{00000000-0005-0000-0000-0000080F0000}"/>
    <cellStyle name="Comma 5 2 4 3 4 2 5" xfId="28973" xr:uid="{00000000-0005-0000-0000-0000090F0000}"/>
    <cellStyle name="Comma 5 2 4 3 4 3" xfId="4807" xr:uid="{00000000-0005-0000-0000-00000A0F0000}"/>
    <cellStyle name="Comma 5 2 4 3 4 3 2" xfId="13644" xr:uid="{00000000-0005-0000-0000-00000B0F0000}"/>
    <cellStyle name="Comma 5 2 4 3 4 3 2 2" xfId="23895" xr:uid="{00000000-0005-0000-0000-00000C0F0000}"/>
    <cellStyle name="Comma 5 2 4 3 4 3 2 2 2" xfId="49448" xr:uid="{00000000-0005-0000-0000-00000D0F0000}"/>
    <cellStyle name="Comma 5 2 4 3 4 3 2 3" xfId="39199" xr:uid="{00000000-0005-0000-0000-00000E0F0000}"/>
    <cellStyle name="Comma 5 2 4 3 4 3 3" xfId="10065" xr:uid="{00000000-0005-0000-0000-00000F0F0000}"/>
    <cellStyle name="Comma 5 2 4 3 4 3 3 2" xfId="35622" xr:uid="{00000000-0005-0000-0000-0000100F0000}"/>
    <cellStyle name="Comma 5 2 4 3 4 3 4" xfId="18888" xr:uid="{00000000-0005-0000-0000-0000110F0000}"/>
    <cellStyle name="Comma 5 2 4 3 4 3 4 2" xfId="44441" xr:uid="{00000000-0005-0000-0000-0000120F0000}"/>
    <cellStyle name="Comma 5 2 4 3 4 3 5" xfId="30378" xr:uid="{00000000-0005-0000-0000-0000130F0000}"/>
    <cellStyle name="Comma 5 2 4 3 4 4" xfId="2238" xr:uid="{00000000-0005-0000-0000-0000140F0000}"/>
    <cellStyle name="Comma 5 2 4 3 4 4 2" xfId="11603" xr:uid="{00000000-0005-0000-0000-0000150F0000}"/>
    <cellStyle name="Comma 5 2 4 3 4 4 2 2" xfId="37158" xr:uid="{00000000-0005-0000-0000-0000160F0000}"/>
    <cellStyle name="Comma 5 2 4 3 4 4 3" xfId="21607" xr:uid="{00000000-0005-0000-0000-0000170F0000}"/>
    <cellStyle name="Comma 5 2 4 3 4 4 3 2" xfId="47160" xr:uid="{00000000-0005-0000-0000-0000180F0000}"/>
    <cellStyle name="Comma 5 2 4 3 4 4 4" xfId="28090" xr:uid="{00000000-0005-0000-0000-0000190F0000}"/>
    <cellStyle name="Comma 5 2 4 3 4 5" xfId="6262" xr:uid="{00000000-0005-0000-0000-00001A0F0000}"/>
    <cellStyle name="Comma 5 2 4 3 4 5 2" xfId="15089" xr:uid="{00000000-0005-0000-0000-00001B0F0000}"/>
    <cellStyle name="Comma 5 2 4 3 4 5 2 2" xfId="40644" xr:uid="{00000000-0005-0000-0000-00001C0F0000}"/>
    <cellStyle name="Comma 5 2 4 3 4 5 3" xfId="25340" xr:uid="{00000000-0005-0000-0000-00001D0F0000}"/>
    <cellStyle name="Comma 5 2 4 3 4 5 3 2" xfId="50893" xr:uid="{00000000-0005-0000-0000-00001E0F0000}"/>
    <cellStyle name="Comma 5 2 4 3 4 5 4" xfId="31823" xr:uid="{00000000-0005-0000-0000-00001F0F0000}"/>
    <cellStyle name="Comma 5 2 4 3 4 6" xfId="7708" xr:uid="{00000000-0005-0000-0000-0000200F0000}"/>
    <cellStyle name="Comma 5 2 4 3 4 6 2" xfId="20089" xr:uid="{00000000-0005-0000-0000-0000210F0000}"/>
    <cellStyle name="Comma 5 2 4 3 4 6 2 2" xfId="45642" xr:uid="{00000000-0005-0000-0000-0000220F0000}"/>
    <cellStyle name="Comma 5 2 4 3 4 6 3" xfId="33265" xr:uid="{00000000-0005-0000-0000-0000230F0000}"/>
    <cellStyle name="Comma 5 2 4 3 4 7" xfId="16600" xr:uid="{00000000-0005-0000-0000-0000240F0000}"/>
    <cellStyle name="Comma 5 2 4 3 4 7 2" xfId="42153" xr:uid="{00000000-0005-0000-0000-0000250F0000}"/>
    <cellStyle name="Comma 5 2 4 3 4 8" xfId="26572" xr:uid="{00000000-0005-0000-0000-0000260F0000}"/>
    <cellStyle name="Comma 5 2 4 3 5" xfId="1146" xr:uid="{00000000-0005-0000-0000-0000270F0000}"/>
    <cellStyle name="Comma 5 2 4 3 5 2" xfId="3575" xr:uid="{00000000-0005-0000-0000-0000280F0000}"/>
    <cellStyle name="Comma 5 2 4 3 5 2 2" xfId="12711" xr:uid="{00000000-0005-0000-0000-0000290F0000}"/>
    <cellStyle name="Comma 5 2 4 3 5 2 2 2" xfId="22930" xr:uid="{00000000-0005-0000-0000-00002A0F0000}"/>
    <cellStyle name="Comma 5 2 4 3 5 2 2 2 2" xfId="48483" xr:uid="{00000000-0005-0000-0000-00002B0F0000}"/>
    <cellStyle name="Comma 5 2 4 3 5 2 2 3" xfId="38266" xr:uid="{00000000-0005-0000-0000-00002C0F0000}"/>
    <cellStyle name="Comma 5 2 4 3 5 2 3" xfId="9132" xr:uid="{00000000-0005-0000-0000-00002D0F0000}"/>
    <cellStyle name="Comma 5 2 4 3 5 2 3 2" xfId="34689" xr:uid="{00000000-0005-0000-0000-00002E0F0000}"/>
    <cellStyle name="Comma 5 2 4 3 5 2 4" xfId="17923" xr:uid="{00000000-0005-0000-0000-00002F0F0000}"/>
    <cellStyle name="Comma 5 2 4 3 5 2 4 2" xfId="43476" xr:uid="{00000000-0005-0000-0000-0000300F0000}"/>
    <cellStyle name="Comma 5 2 4 3 5 2 5" xfId="29413" xr:uid="{00000000-0005-0000-0000-0000310F0000}"/>
    <cellStyle name="Comma 5 2 4 3 5 3" xfId="5238" xr:uid="{00000000-0005-0000-0000-0000320F0000}"/>
    <cellStyle name="Comma 5 2 4 3 5 3 2" xfId="14075" xr:uid="{00000000-0005-0000-0000-0000330F0000}"/>
    <cellStyle name="Comma 5 2 4 3 5 3 2 2" xfId="24326" xr:uid="{00000000-0005-0000-0000-0000340F0000}"/>
    <cellStyle name="Comma 5 2 4 3 5 3 2 2 2" xfId="49879" xr:uid="{00000000-0005-0000-0000-0000350F0000}"/>
    <cellStyle name="Comma 5 2 4 3 5 3 2 3" xfId="39630" xr:uid="{00000000-0005-0000-0000-0000360F0000}"/>
    <cellStyle name="Comma 5 2 4 3 5 3 3" xfId="10496" xr:uid="{00000000-0005-0000-0000-0000370F0000}"/>
    <cellStyle name="Comma 5 2 4 3 5 3 3 2" xfId="36053" xr:uid="{00000000-0005-0000-0000-0000380F0000}"/>
    <cellStyle name="Comma 5 2 4 3 5 3 4" xfId="19319" xr:uid="{00000000-0005-0000-0000-0000390F0000}"/>
    <cellStyle name="Comma 5 2 4 3 5 3 4 2" xfId="44872" xr:uid="{00000000-0005-0000-0000-00003A0F0000}"/>
    <cellStyle name="Comma 5 2 4 3 5 3 5" xfId="30809" xr:uid="{00000000-0005-0000-0000-00003B0F0000}"/>
    <cellStyle name="Comma 5 2 4 3 5 4" xfId="1854" xr:uid="{00000000-0005-0000-0000-00003C0F0000}"/>
    <cellStyle name="Comma 5 2 4 3 5 4 2" xfId="11222" xr:uid="{00000000-0005-0000-0000-00003D0F0000}"/>
    <cellStyle name="Comma 5 2 4 3 5 4 2 2" xfId="36777" xr:uid="{00000000-0005-0000-0000-00003E0F0000}"/>
    <cellStyle name="Comma 5 2 4 3 5 4 3" xfId="21226" xr:uid="{00000000-0005-0000-0000-00003F0F0000}"/>
    <cellStyle name="Comma 5 2 4 3 5 4 3 2" xfId="46779" xr:uid="{00000000-0005-0000-0000-0000400F0000}"/>
    <cellStyle name="Comma 5 2 4 3 5 4 4" xfId="27709" xr:uid="{00000000-0005-0000-0000-0000410F0000}"/>
    <cellStyle name="Comma 5 2 4 3 5 5" xfId="6693" xr:uid="{00000000-0005-0000-0000-0000420F0000}"/>
    <cellStyle name="Comma 5 2 4 3 5 5 2" xfId="15520" xr:uid="{00000000-0005-0000-0000-0000430F0000}"/>
    <cellStyle name="Comma 5 2 4 3 5 5 2 2" xfId="41075" xr:uid="{00000000-0005-0000-0000-0000440F0000}"/>
    <cellStyle name="Comma 5 2 4 3 5 5 3" xfId="25771" xr:uid="{00000000-0005-0000-0000-0000450F0000}"/>
    <cellStyle name="Comma 5 2 4 3 5 5 3 2" xfId="51324" xr:uid="{00000000-0005-0000-0000-0000460F0000}"/>
    <cellStyle name="Comma 5 2 4 3 5 5 4" xfId="32254" xr:uid="{00000000-0005-0000-0000-0000470F0000}"/>
    <cellStyle name="Comma 5 2 4 3 5 6" xfId="8139" xr:uid="{00000000-0005-0000-0000-0000480F0000}"/>
    <cellStyle name="Comma 5 2 4 3 5 6 2" xfId="20529" xr:uid="{00000000-0005-0000-0000-0000490F0000}"/>
    <cellStyle name="Comma 5 2 4 3 5 6 2 2" xfId="46082" xr:uid="{00000000-0005-0000-0000-00004A0F0000}"/>
    <cellStyle name="Comma 5 2 4 3 5 6 3" xfId="33696" xr:uid="{00000000-0005-0000-0000-00004B0F0000}"/>
    <cellStyle name="Comma 5 2 4 3 5 7" xfId="16219" xr:uid="{00000000-0005-0000-0000-00004C0F0000}"/>
    <cellStyle name="Comma 5 2 4 3 5 7 2" xfId="41772" xr:uid="{00000000-0005-0000-0000-00004D0F0000}"/>
    <cellStyle name="Comma 5 2 4 3 5 8" xfId="27012" xr:uid="{00000000-0005-0000-0000-00004E0F0000}"/>
    <cellStyle name="Comma 5 2 4 3 6" xfId="2748" xr:uid="{00000000-0005-0000-0000-00004F0F0000}"/>
    <cellStyle name="Comma 5 2 4 3 6 2" xfId="12065" xr:uid="{00000000-0005-0000-0000-0000500F0000}"/>
    <cellStyle name="Comma 5 2 4 3 6 2 2" xfId="22109" xr:uid="{00000000-0005-0000-0000-0000510F0000}"/>
    <cellStyle name="Comma 5 2 4 3 6 2 2 2" xfId="47662" xr:uid="{00000000-0005-0000-0000-0000520F0000}"/>
    <cellStyle name="Comma 5 2 4 3 6 2 3" xfId="37620" xr:uid="{00000000-0005-0000-0000-0000530F0000}"/>
    <cellStyle name="Comma 5 2 4 3 6 3" xfId="8634" xr:uid="{00000000-0005-0000-0000-0000540F0000}"/>
    <cellStyle name="Comma 5 2 4 3 6 3 2" xfId="34191" xr:uid="{00000000-0005-0000-0000-0000550F0000}"/>
    <cellStyle name="Comma 5 2 4 3 6 4" xfId="17102" xr:uid="{00000000-0005-0000-0000-0000560F0000}"/>
    <cellStyle name="Comma 5 2 4 3 6 4 2" xfId="42655" xr:uid="{00000000-0005-0000-0000-0000570F0000}"/>
    <cellStyle name="Comma 5 2 4 3 6 5" xfId="28592" xr:uid="{00000000-0005-0000-0000-0000580F0000}"/>
    <cellStyle name="Comma 5 2 4 3 7" xfId="4194" xr:uid="{00000000-0005-0000-0000-0000590F0000}"/>
    <cellStyle name="Comma 5 2 4 3 7 2" xfId="13032" xr:uid="{00000000-0005-0000-0000-00005A0F0000}"/>
    <cellStyle name="Comma 5 2 4 3 7 2 2" xfId="23283" xr:uid="{00000000-0005-0000-0000-00005B0F0000}"/>
    <cellStyle name="Comma 5 2 4 3 7 2 2 2" xfId="48836" xr:uid="{00000000-0005-0000-0000-00005C0F0000}"/>
    <cellStyle name="Comma 5 2 4 3 7 2 3" xfId="38587" xr:uid="{00000000-0005-0000-0000-00005D0F0000}"/>
    <cellStyle name="Comma 5 2 4 3 7 3" xfId="9453" xr:uid="{00000000-0005-0000-0000-00005E0F0000}"/>
    <cellStyle name="Comma 5 2 4 3 7 3 2" xfId="35010" xr:uid="{00000000-0005-0000-0000-00005F0F0000}"/>
    <cellStyle name="Comma 5 2 4 3 7 4" xfId="18276" xr:uid="{00000000-0005-0000-0000-0000600F0000}"/>
    <cellStyle name="Comma 5 2 4 3 7 4 2" xfId="43829" xr:uid="{00000000-0005-0000-0000-0000610F0000}"/>
    <cellStyle name="Comma 5 2 4 3 7 5" xfId="29766" xr:uid="{00000000-0005-0000-0000-0000620F0000}"/>
    <cellStyle name="Comma 5 2 4 3 8" xfId="1466" xr:uid="{00000000-0005-0000-0000-0000630F0000}"/>
    <cellStyle name="Comma 5 2 4 3 8 2" xfId="10843" xr:uid="{00000000-0005-0000-0000-0000640F0000}"/>
    <cellStyle name="Comma 5 2 4 3 8 2 2" xfId="36398" xr:uid="{00000000-0005-0000-0000-0000650F0000}"/>
    <cellStyle name="Comma 5 2 4 3 8 3" xfId="20847" xr:uid="{00000000-0005-0000-0000-0000660F0000}"/>
    <cellStyle name="Comma 5 2 4 3 8 3 2" xfId="46400" xr:uid="{00000000-0005-0000-0000-0000670F0000}"/>
    <cellStyle name="Comma 5 2 4 3 8 4" xfId="27330" xr:uid="{00000000-0005-0000-0000-0000680F0000}"/>
    <cellStyle name="Comma 5 2 4 3 9" xfId="5650" xr:uid="{00000000-0005-0000-0000-0000690F0000}"/>
    <cellStyle name="Comma 5 2 4 3 9 2" xfId="14477" xr:uid="{00000000-0005-0000-0000-00006A0F0000}"/>
    <cellStyle name="Comma 5 2 4 3 9 2 2" xfId="40032" xr:uid="{00000000-0005-0000-0000-00006B0F0000}"/>
    <cellStyle name="Comma 5 2 4 3 9 3" xfId="24728" xr:uid="{00000000-0005-0000-0000-00006C0F0000}"/>
    <cellStyle name="Comma 5 2 4 3 9 3 2" xfId="50281" xr:uid="{00000000-0005-0000-0000-00006D0F0000}"/>
    <cellStyle name="Comma 5 2 4 3 9 4" xfId="31211" xr:uid="{00000000-0005-0000-0000-00006E0F0000}"/>
    <cellStyle name="Comma 5 2 4 4" xfId="474" xr:uid="{00000000-0005-0000-0000-00006F0F0000}"/>
    <cellStyle name="Comma 5 2 4 4 10" xfId="26403" xr:uid="{00000000-0005-0000-0000-0000700F0000}"/>
    <cellStyle name="Comma 5 2 4 4 2" xfId="645" xr:uid="{00000000-0005-0000-0000-0000710F0000}"/>
    <cellStyle name="Comma 5 2 4 4 2 2" xfId="3131" xr:uid="{00000000-0005-0000-0000-0000720F0000}"/>
    <cellStyle name="Comma 5 2 4 4 2 2 2" xfId="12274" xr:uid="{00000000-0005-0000-0000-0000730F0000}"/>
    <cellStyle name="Comma 5 2 4 4 2 2 2 2" xfId="22492" xr:uid="{00000000-0005-0000-0000-0000740F0000}"/>
    <cellStyle name="Comma 5 2 4 4 2 2 2 2 2" xfId="48045" xr:uid="{00000000-0005-0000-0000-0000750F0000}"/>
    <cellStyle name="Comma 5 2 4 4 2 2 2 3" xfId="37829" xr:uid="{00000000-0005-0000-0000-0000760F0000}"/>
    <cellStyle name="Comma 5 2 4 4 2 2 3" xfId="8696" xr:uid="{00000000-0005-0000-0000-0000770F0000}"/>
    <cellStyle name="Comma 5 2 4 4 2 2 3 2" xfId="34253" xr:uid="{00000000-0005-0000-0000-0000780F0000}"/>
    <cellStyle name="Comma 5 2 4 4 2 2 4" xfId="17485" xr:uid="{00000000-0005-0000-0000-0000790F0000}"/>
    <cellStyle name="Comma 5 2 4 4 2 2 4 2" xfId="43038" xr:uid="{00000000-0005-0000-0000-00007A0F0000}"/>
    <cellStyle name="Comma 5 2 4 4 2 2 5" xfId="28975" xr:uid="{00000000-0005-0000-0000-00007B0F0000}"/>
    <cellStyle name="Comma 5 2 4 4 2 3" xfId="4460" xr:uid="{00000000-0005-0000-0000-00007C0F0000}"/>
    <cellStyle name="Comma 5 2 4 4 2 3 2" xfId="13298" xr:uid="{00000000-0005-0000-0000-00007D0F0000}"/>
    <cellStyle name="Comma 5 2 4 4 2 3 2 2" xfId="23549" xr:uid="{00000000-0005-0000-0000-00007E0F0000}"/>
    <cellStyle name="Comma 5 2 4 4 2 3 2 2 2" xfId="49102" xr:uid="{00000000-0005-0000-0000-00007F0F0000}"/>
    <cellStyle name="Comma 5 2 4 4 2 3 2 3" xfId="38853" xr:uid="{00000000-0005-0000-0000-0000800F0000}"/>
    <cellStyle name="Comma 5 2 4 4 2 3 3" xfId="9719" xr:uid="{00000000-0005-0000-0000-0000810F0000}"/>
    <cellStyle name="Comma 5 2 4 4 2 3 3 2" xfId="35276" xr:uid="{00000000-0005-0000-0000-0000820F0000}"/>
    <cellStyle name="Comma 5 2 4 4 2 3 4" xfId="18542" xr:uid="{00000000-0005-0000-0000-0000830F0000}"/>
    <cellStyle name="Comma 5 2 4 4 2 3 4 2" xfId="44095" xr:uid="{00000000-0005-0000-0000-0000840F0000}"/>
    <cellStyle name="Comma 5 2 4 4 2 3 5" xfId="30032" xr:uid="{00000000-0005-0000-0000-0000850F0000}"/>
    <cellStyle name="Comma 5 2 4 4 2 4" xfId="2240" xr:uid="{00000000-0005-0000-0000-0000860F0000}"/>
    <cellStyle name="Comma 5 2 4 4 2 4 2" xfId="11605" xr:uid="{00000000-0005-0000-0000-0000870F0000}"/>
    <cellStyle name="Comma 5 2 4 4 2 4 2 2" xfId="37160" xr:uid="{00000000-0005-0000-0000-0000880F0000}"/>
    <cellStyle name="Comma 5 2 4 4 2 4 3" xfId="21609" xr:uid="{00000000-0005-0000-0000-0000890F0000}"/>
    <cellStyle name="Comma 5 2 4 4 2 4 3 2" xfId="47162" xr:uid="{00000000-0005-0000-0000-00008A0F0000}"/>
    <cellStyle name="Comma 5 2 4 4 2 4 4" xfId="28092" xr:uid="{00000000-0005-0000-0000-00008B0F0000}"/>
    <cellStyle name="Comma 5 2 4 4 2 5" xfId="5916" xr:uid="{00000000-0005-0000-0000-00008C0F0000}"/>
    <cellStyle name="Comma 5 2 4 4 2 5 2" xfId="14743" xr:uid="{00000000-0005-0000-0000-00008D0F0000}"/>
    <cellStyle name="Comma 5 2 4 4 2 5 2 2" xfId="40298" xr:uid="{00000000-0005-0000-0000-00008E0F0000}"/>
    <cellStyle name="Comma 5 2 4 4 2 5 3" xfId="24994" xr:uid="{00000000-0005-0000-0000-00008F0F0000}"/>
    <cellStyle name="Comma 5 2 4 4 2 5 3 2" xfId="50547" xr:uid="{00000000-0005-0000-0000-0000900F0000}"/>
    <cellStyle name="Comma 5 2 4 4 2 5 4" xfId="31477" xr:uid="{00000000-0005-0000-0000-0000910F0000}"/>
    <cellStyle name="Comma 5 2 4 4 2 6" xfId="7360" xr:uid="{00000000-0005-0000-0000-0000920F0000}"/>
    <cellStyle name="Comma 5 2 4 4 2 6 2" xfId="20091" xr:uid="{00000000-0005-0000-0000-0000930F0000}"/>
    <cellStyle name="Comma 5 2 4 4 2 6 2 2" xfId="45644" xr:uid="{00000000-0005-0000-0000-0000940F0000}"/>
    <cellStyle name="Comma 5 2 4 4 2 6 3" xfId="32917" xr:uid="{00000000-0005-0000-0000-0000950F0000}"/>
    <cellStyle name="Comma 5 2 4 4 2 7" xfId="16602" xr:uid="{00000000-0005-0000-0000-0000960F0000}"/>
    <cellStyle name="Comma 5 2 4 4 2 7 2" xfId="42155" xr:uid="{00000000-0005-0000-0000-0000970F0000}"/>
    <cellStyle name="Comma 5 2 4 4 2 8" xfId="26574" xr:uid="{00000000-0005-0000-0000-0000980F0000}"/>
    <cellStyle name="Comma 5 2 4 4 3" xfId="1246" xr:uid="{00000000-0005-0000-0000-0000990F0000}"/>
    <cellStyle name="Comma 5 2 4 4 3 2" xfId="3675" xr:uid="{00000000-0005-0000-0000-00009A0F0000}"/>
    <cellStyle name="Comma 5 2 4 4 3 2 2" xfId="12811" xr:uid="{00000000-0005-0000-0000-00009B0F0000}"/>
    <cellStyle name="Comma 5 2 4 4 3 2 2 2" xfId="23030" xr:uid="{00000000-0005-0000-0000-00009C0F0000}"/>
    <cellStyle name="Comma 5 2 4 4 3 2 2 2 2" xfId="48583" xr:uid="{00000000-0005-0000-0000-00009D0F0000}"/>
    <cellStyle name="Comma 5 2 4 4 3 2 2 3" xfId="38366" xr:uid="{00000000-0005-0000-0000-00009E0F0000}"/>
    <cellStyle name="Comma 5 2 4 4 3 2 3" xfId="9232" xr:uid="{00000000-0005-0000-0000-00009F0F0000}"/>
    <cellStyle name="Comma 5 2 4 4 3 2 3 2" xfId="34789" xr:uid="{00000000-0005-0000-0000-0000A00F0000}"/>
    <cellStyle name="Comma 5 2 4 4 3 2 4" xfId="18023" xr:uid="{00000000-0005-0000-0000-0000A10F0000}"/>
    <cellStyle name="Comma 5 2 4 4 3 2 4 2" xfId="43576" xr:uid="{00000000-0005-0000-0000-0000A20F0000}"/>
    <cellStyle name="Comma 5 2 4 4 3 2 5" xfId="29513" xr:uid="{00000000-0005-0000-0000-0000A30F0000}"/>
    <cellStyle name="Comma 5 2 4 4 3 3" xfId="4809" xr:uid="{00000000-0005-0000-0000-0000A40F0000}"/>
    <cellStyle name="Comma 5 2 4 4 3 3 2" xfId="13646" xr:uid="{00000000-0005-0000-0000-0000A50F0000}"/>
    <cellStyle name="Comma 5 2 4 4 3 3 2 2" xfId="23897" xr:uid="{00000000-0005-0000-0000-0000A60F0000}"/>
    <cellStyle name="Comma 5 2 4 4 3 3 2 2 2" xfId="49450" xr:uid="{00000000-0005-0000-0000-0000A70F0000}"/>
    <cellStyle name="Comma 5 2 4 4 3 3 2 3" xfId="39201" xr:uid="{00000000-0005-0000-0000-0000A80F0000}"/>
    <cellStyle name="Comma 5 2 4 4 3 3 3" xfId="10067" xr:uid="{00000000-0005-0000-0000-0000A90F0000}"/>
    <cellStyle name="Comma 5 2 4 4 3 3 3 2" xfId="35624" xr:uid="{00000000-0005-0000-0000-0000AA0F0000}"/>
    <cellStyle name="Comma 5 2 4 4 3 3 4" xfId="18890" xr:uid="{00000000-0005-0000-0000-0000AB0F0000}"/>
    <cellStyle name="Comma 5 2 4 4 3 3 4 2" xfId="44443" xr:uid="{00000000-0005-0000-0000-0000AC0F0000}"/>
    <cellStyle name="Comma 5 2 4 4 3 3 5" xfId="30380" xr:uid="{00000000-0005-0000-0000-0000AD0F0000}"/>
    <cellStyle name="Comma 5 2 4 4 3 4" xfId="2069" xr:uid="{00000000-0005-0000-0000-0000AE0F0000}"/>
    <cellStyle name="Comma 5 2 4 4 3 4 2" xfId="11434" xr:uid="{00000000-0005-0000-0000-0000AF0F0000}"/>
    <cellStyle name="Comma 5 2 4 4 3 4 2 2" xfId="36989" xr:uid="{00000000-0005-0000-0000-0000B00F0000}"/>
    <cellStyle name="Comma 5 2 4 4 3 4 3" xfId="21438" xr:uid="{00000000-0005-0000-0000-0000B10F0000}"/>
    <cellStyle name="Comma 5 2 4 4 3 4 3 2" xfId="46991" xr:uid="{00000000-0005-0000-0000-0000B20F0000}"/>
    <cellStyle name="Comma 5 2 4 4 3 4 4" xfId="27921" xr:uid="{00000000-0005-0000-0000-0000B30F0000}"/>
    <cellStyle name="Comma 5 2 4 4 3 5" xfId="6264" xr:uid="{00000000-0005-0000-0000-0000B40F0000}"/>
    <cellStyle name="Comma 5 2 4 4 3 5 2" xfId="15091" xr:uid="{00000000-0005-0000-0000-0000B50F0000}"/>
    <cellStyle name="Comma 5 2 4 4 3 5 2 2" xfId="40646" xr:uid="{00000000-0005-0000-0000-0000B60F0000}"/>
    <cellStyle name="Comma 5 2 4 4 3 5 3" xfId="25342" xr:uid="{00000000-0005-0000-0000-0000B70F0000}"/>
    <cellStyle name="Comma 5 2 4 4 3 5 3 2" xfId="50895" xr:uid="{00000000-0005-0000-0000-0000B80F0000}"/>
    <cellStyle name="Comma 5 2 4 4 3 5 4" xfId="31825" xr:uid="{00000000-0005-0000-0000-0000B90F0000}"/>
    <cellStyle name="Comma 5 2 4 4 3 6" xfId="7710" xr:uid="{00000000-0005-0000-0000-0000BA0F0000}"/>
    <cellStyle name="Comma 5 2 4 4 3 6 2" xfId="20629" xr:uid="{00000000-0005-0000-0000-0000BB0F0000}"/>
    <cellStyle name="Comma 5 2 4 4 3 6 2 2" xfId="46182" xr:uid="{00000000-0005-0000-0000-0000BC0F0000}"/>
    <cellStyle name="Comma 5 2 4 4 3 6 3" xfId="33267" xr:uid="{00000000-0005-0000-0000-0000BD0F0000}"/>
    <cellStyle name="Comma 5 2 4 4 3 7" xfId="16431" xr:uid="{00000000-0005-0000-0000-0000BE0F0000}"/>
    <cellStyle name="Comma 5 2 4 4 3 7 2" xfId="41984" xr:uid="{00000000-0005-0000-0000-0000BF0F0000}"/>
    <cellStyle name="Comma 5 2 4 4 3 8" xfId="27112" xr:uid="{00000000-0005-0000-0000-0000C00F0000}"/>
    <cellStyle name="Comma 5 2 4 4 4" xfId="2960" xr:uid="{00000000-0005-0000-0000-0000C10F0000}"/>
    <cellStyle name="Comma 5 2 4 4 4 2" xfId="5338" xr:uid="{00000000-0005-0000-0000-0000C20F0000}"/>
    <cellStyle name="Comma 5 2 4 4 4 2 2" xfId="14175" xr:uid="{00000000-0005-0000-0000-0000C30F0000}"/>
    <cellStyle name="Comma 5 2 4 4 4 2 2 2" xfId="24426" xr:uid="{00000000-0005-0000-0000-0000C40F0000}"/>
    <cellStyle name="Comma 5 2 4 4 4 2 2 2 2" xfId="49979" xr:uid="{00000000-0005-0000-0000-0000C50F0000}"/>
    <cellStyle name="Comma 5 2 4 4 4 2 2 3" xfId="39730" xr:uid="{00000000-0005-0000-0000-0000C60F0000}"/>
    <cellStyle name="Comma 5 2 4 4 4 2 3" xfId="10596" xr:uid="{00000000-0005-0000-0000-0000C70F0000}"/>
    <cellStyle name="Comma 5 2 4 4 4 2 3 2" xfId="36153" xr:uid="{00000000-0005-0000-0000-0000C80F0000}"/>
    <cellStyle name="Comma 5 2 4 4 4 2 4" xfId="19419" xr:uid="{00000000-0005-0000-0000-0000C90F0000}"/>
    <cellStyle name="Comma 5 2 4 4 4 2 4 2" xfId="44972" xr:uid="{00000000-0005-0000-0000-0000CA0F0000}"/>
    <cellStyle name="Comma 5 2 4 4 4 2 5" xfId="30909" xr:uid="{00000000-0005-0000-0000-0000CB0F0000}"/>
    <cellStyle name="Comma 5 2 4 4 4 3" xfId="6793" xr:uid="{00000000-0005-0000-0000-0000CC0F0000}"/>
    <cellStyle name="Comma 5 2 4 4 4 3 2" xfId="15620" xr:uid="{00000000-0005-0000-0000-0000CD0F0000}"/>
    <cellStyle name="Comma 5 2 4 4 4 3 2 2" xfId="41175" xr:uid="{00000000-0005-0000-0000-0000CE0F0000}"/>
    <cellStyle name="Comma 5 2 4 4 4 3 3" xfId="25871" xr:uid="{00000000-0005-0000-0000-0000CF0F0000}"/>
    <cellStyle name="Comma 5 2 4 4 4 3 3 2" xfId="51424" xr:uid="{00000000-0005-0000-0000-0000D00F0000}"/>
    <cellStyle name="Comma 5 2 4 4 4 3 4" xfId="32354" xr:uid="{00000000-0005-0000-0000-0000D10F0000}"/>
    <cellStyle name="Comma 5 2 4 4 4 4" xfId="8239" xr:uid="{00000000-0005-0000-0000-0000D20F0000}"/>
    <cellStyle name="Comma 5 2 4 4 4 4 2" xfId="22321" xr:uid="{00000000-0005-0000-0000-0000D30F0000}"/>
    <cellStyle name="Comma 5 2 4 4 4 4 2 2" xfId="47874" xr:uid="{00000000-0005-0000-0000-0000D40F0000}"/>
    <cellStyle name="Comma 5 2 4 4 4 4 3" xfId="33796" xr:uid="{00000000-0005-0000-0000-0000D50F0000}"/>
    <cellStyle name="Comma 5 2 4 4 4 5" xfId="17314" xr:uid="{00000000-0005-0000-0000-0000D60F0000}"/>
    <cellStyle name="Comma 5 2 4 4 4 5 2" xfId="42867" xr:uid="{00000000-0005-0000-0000-0000D70F0000}"/>
    <cellStyle name="Comma 5 2 4 4 4 6" xfId="28804" xr:uid="{00000000-0005-0000-0000-0000D80F0000}"/>
    <cellStyle name="Comma 5 2 4 4 5" xfId="4294" xr:uid="{00000000-0005-0000-0000-0000D90F0000}"/>
    <cellStyle name="Comma 5 2 4 4 5 2" xfId="13132" xr:uid="{00000000-0005-0000-0000-0000DA0F0000}"/>
    <cellStyle name="Comma 5 2 4 4 5 2 2" xfId="23383" xr:uid="{00000000-0005-0000-0000-0000DB0F0000}"/>
    <cellStyle name="Comma 5 2 4 4 5 2 2 2" xfId="48936" xr:uid="{00000000-0005-0000-0000-0000DC0F0000}"/>
    <cellStyle name="Comma 5 2 4 4 5 2 3" xfId="38687" xr:uid="{00000000-0005-0000-0000-0000DD0F0000}"/>
    <cellStyle name="Comma 5 2 4 4 5 3" xfId="9553" xr:uid="{00000000-0005-0000-0000-0000DE0F0000}"/>
    <cellStyle name="Comma 5 2 4 4 5 3 2" xfId="35110" xr:uid="{00000000-0005-0000-0000-0000DF0F0000}"/>
    <cellStyle name="Comma 5 2 4 4 5 4" xfId="18376" xr:uid="{00000000-0005-0000-0000-0000E00F0000}"/>
    <cellStyle name="Comma 5 2 4 4 5 4 2" xfId="43929" xr:uid="{00000000-0005-0000-0000-0000E10F0000}"/>
    <cellStyle name="Comma 5 2 4 4 5 5" xfId="29866" xr:uid="{00000000-0005-0000-0000-0000E20F0000}"/>
    <cellStyle name="Comma 5 2 4 4 6" xfId="1566" xr:uid="{00000000-0005-0000-0000-0000E30F0000}"/>
    <cellStyle name="Comma 5 2 4 4 6 2" xfId="10943" xr:uid="{00000000-0005-0000-0000-0000E40F0000}"/>
    <cellStyle name="Comma 5 2 4 4 6 2 2" xfId="36498" xr:uid="{00000000-0005-0000-0000-0000E50F0000}"/>
    <cellStyle name="Comma 5 2 4 4 6 3" xfId="20947" xr:uid="{00000000-0005-0000-0000-0000E60F0000}"/>
    <cellStyle name="Comma 5 2 4 4 6 3 2" xfId="46500" xr:uid="{00000000-0005-0000-0000-0000E70F0000}"/>
    <cellStyle name="Comma 5 2 4 4 6 4" xfId="27430" xr:uid="{00000000-0005-0000-0000-0000E80F0000}"/>
    <cellStyle name="Comma 5 2 4 4 7" xfId="5750" xr:uid="{00000000-0005-0000-0000-0000E90F0000}"/>
    <cellStyle name="Comma 5 2 4 4 7 2" xfId="14577" xr:uid="{00000000-0005-0000-0000-0000EA0F0000}"/>
    <cellStyle name="Comma 5 2 4 4 7 2 2" xfId="40132" xr:uid="{00000000-0005-0000-0000-0000EB0F0000}"/>
    <cellStyle name="Comma 5 2 4 4 7 3" xfId="24828" xr:uid="{00000000-0005-0000-0000-0000EC0F0000}"/>
    <cellStyle name="Comma 5 2 4 4 7 3 2" xfId="50381" xr:uid="{00000000-0005-0000-0000-0000ED0F0000}"/>
    <cellStyle name="Comma 5 2 4 4 7 4" xfId="31311" xr:uid="{00000000-0005-0000-0000-0000EE0F0000}"/>
    <cellStyle name="Comma 5 2 4 4 8" xfId="7194" xr:uid="{00000000-0005-0000-0000-0000EF0F0000}"/>
    <cellStyle name="Comma 5 2 4 4 8 2" xfId="19920" xr:uid="{00000000-0005-0000-0000-0000F00F0000}"/>
    <cellStyle name="Comma 5 2 4 4 8 2 2" xfId="45473" xr:uid="{00000000-0005-0000-0000-0000F10F0000}"/>
    <cellStyle name="Comma 5 2 4 4 8 3" xfId="32751" xr:uid="{00000000-0005-0000-0000-0000F20F0000}"/>
    <cellStyle name="Comma 5 2 4 4 9" xfId="15940" xr:uid="{00000000-0005-0000-0000-0000F30F0000}"/>
    <cellStyle name="Comma 5 2 4 4 9 2" xfId="41493" xr:uid="{00000000-0005-0000-0000-0000F40F0000}"/>
    <cellStyle name="Comma 5 2 4 5" xfId="315" xr:uid="{00000000-0005-0000-0000-0000F50F0000}"/>
    <cellStyle name="Comma 5 2 4 5 2" xfId="2801" xr:uid="{00000000-0005-0000-0000-0000F60F0000}"/>
    <cellStyle name="Comma 5 2 4 5 2 2" xfId="12105" xr:uid="{00000000-0005-0000-0000-0000F70F0000}"/>
    <cellStyle name="Comma 5 2 4 5 2 2 2" xfId="22162" xr:uid="{00000000-0005-0000-0000-0000F80F0000}"/>
    <cellStyle name="Comma 5 2 4 5 2 2 2 2" xfId="47715" xr:uid="{00000000-0005-0000-0000-0000F90F0000}"/>
    <cellStyle name="Comma 5 2 4 5 2 2 3" xfId="37660" xr:uid="{00000000-0005-0000-0000-0000FA0F0000}"/>
    <cellStyle name="Comma 5 2 4 5 2 3" xfId="8472" xr:uid="{00000000-0005-0000-0000-0000FB0F0000}"/>
    <cellStyle name="Comma 5 2 4 5 2 3 2" xfId="34029" xr:uid="{00000000-0005-0000-0000-0000FC0F0000}"/>
    <cellStyle name="Comma 5 2 4 5 2 4" xfId="17155" xr:uid="{00000000-0005-0000-0000-0000FD0F0000}"/>
    <cellStyle name="Comma 5 2 4 5 2 4 2" xfId="42708" xr:uid="{00000000-0005-0000-0000-0000FE0F0000}"/>
    <cellStyle name="Comma 5 2 4 5 2 5" xfId="28645" xr:uid="{00000000-0005-0000-0000-0000FF0F0000}"/>
    <cellStyle name="Comma 5 2 4 5 3" xfId="4455" xr:uid="{00000000-0005-0000-0000-000000100000}"/>
    <cellStyle name="Comma 5 2 4 5 3 2" xfId="13293" xr:uid="{00000000-0005-0000-0000-000001100000}"/>
    <cellStyle name="Comma 5 2 4 5 3 2 2" xfId="23544" xr:uid="{00000000-0005-0000-0000-000002100000}"/>
    <cellStyle name="Comma 5 2 4 5 3 2 2 2" xfId="49097" xr:uid="{00000000-0005-0000-0000-000003100000}"/>
    <cellStyle name="Comma 5 2 4 5 3 2 3" xfId="38848" xr:uid="{00000000-0005-0000-0000-000004100000}"/>
    <cellStyle name="Comma 5 2 4 5 3 3" xfId="9714" xr:uid="{00000000-0005-0000-0000-000005100000}"/>
    <cellStyle name="Comma 5 2 4 5 3 3 2" xfId="35271" xr:uid="{00000000-0005-0000-0000-000006100000}"/>
    <cellStyle name="Comma 5 2 4 5 3 4" xfId="18537" xr:uid="{00000000-0005-0000-0000-000007100000}"/>
    <cellStyle name="Comma 5 2 4 5 3 4 2" xfId="44090" xr:uid="{00000000-0005-0000-0000-000008100000}"/>
    <cellStyle name="Comma 5 2 4 5 3 5" xfId="30027" xr:uid="{00000000-0005-0000-0000-000009100000}"/>
    <cellStyle name="Comma 5 2 4 5 4" xfId="1910" xr:uid="{00000000-0005-0000-0000-00000A100000}"/>
    <cellStyle name="Comma 5 2 4 5 4 2" xfId="11275" xr:uid="{00000000-0005-0000-0000-00000B100000}"/>
    <cellStyle name="Comma 5 2 4 5 4 2 2" xfId="36830" xr:uid="{00000000-0005-0000-0000-00000C100000}"/>
    <cellStyle name="Comma 5 2 4 5 4 3" xfId="21279" xr:uid="{00000000-0005-0000-0000-00000D100000}"/>
    <cellStyle name="Comma 5 2 4 5 4 3 2" xfId="46832" xr:uid="{00000000-0005-0000-0000-00000E100000}"/>
    <cellStyle name="Comma 5 2 4 5 4 4" xfId="27762" xr:uid="{00000000-0005-0000-0000-00000F100000}"/>
    <cellStyle name="Comma 5 2 4 5 5" xfId="5911" xr:uid="{00000000-0005-0000-0000-000010100000}"/>
    <cellStyle name="Comma 5 2 4 5 5 2" xfId="14738" xr:uid="{00000000-0005-0000-0000-000011100000}"/>
    <cellStyle name="Comma 5 2 4 5 5 2 2" xfId="40293" xr:uid="{00000000-0005-0000-0000-000012100000}"/>
    <cellStyle name="Comma 5 2 4 5 5 3" xfId="24989" xr:uid="{00000000-0005-0000-0000-000013100000}"/>
    <cellStyle name="Comma 5 2 4 5 5 3 2" xfId="50542" xr:uid="{00000000-0005-0000-0000-000014100000}"/>
    <cellStyle name="Comma 5 2 4 5 5 4" xfId="31472" xr:uid="{00000000-0005-0000-0000-000015100000}"/>
    <cellStyle name="Comma 5 2 4 5 6" xfId="7355" xr:uid="{00000000-0005-0000-0000-000016100000}"/>
    <cellStyle name="Comma 5 2 4 5 6 2" xfId="19761" xr:uid="{00000000-0005-0000-0000-000017100000}"/>
    <cellStyle name="Comma 5 2 4 5 6 2 2" xfId="45314" xr:uid="{00000000-0005-0000-0000-000018100000}"/>
    <cellStyle name="Comma 5 2 4 5 6 3" xfId="32912" xr:uid="{00000000-0005-0000-0000-000019100000}"/>
    <cellStyle name="Comma 5 2 4 5 7" xfId="16272" xr:uid="{00000000-0005-0000-0000-00001A100000}"/>
    <cellStyle name="Comma 5 2 4 5 7 2" xfId="41825" xr:uid="{00000000-0005-0000-0000-00001B100000}"/>
    <cellStyle name="Comma 5 2 4 5 8" xfId="26244" xr:uid="{00000000-0005-0000-0000-00001C100000}"/>
    <cellStyle name="Comma 5 2 4 6" xfId="640" xr:uid="{00000000-0005-0000-0000-00001D100000}"/>
    <cellStyle name="Comma 5 2 4 6 2" xfId="3126" xr:uid="{00000000-0005-0000-0000-00001E100000}"/>
    <cellStyle name="Comma 5 2 4 6 2 2" xfId="12269" xr:uid="{00000000-0005-0000-0000-00001F100000}"/>
    <cellStyle name="Comma 5 2 4 6 2 2 2" xfId="22487" xr:uid="{00000000-0005-0000-0000-000020100000}"/>
    <cellStyle name="Comma 5 2 4 6 2 2 2 2" xfId="48040" xr:uid="{00000000-0005-0000-0000-000021100000}"/>
    <cellStyle name="Comma 5 2 4 6 2 2 3" xfId="37824" xr:uid="{00000000-0005-0000-0000-000022100000}"/>
    <cellStyle name="Comma 5 2 4 6 2 3" xfId="8691" xr:uid="{00000000-0005-0000-0000-000023100000}"/>
    <cellStyle name="Comma 5 2 4 6 2 3 2" xfId="34248" xr:uid="{00000000-0005-0000-0000-000024100000}"/>
    <cellStyle name="Comma 5 2 4 6 2 4" xfId="17480" xr:uid="{00000000-0005-0000-0000-000025100000}"/>
    <cellStyle name="Comma 5 2 4 6 2 4 2" xfId="43033" xr:uid="{00000000-0005-0000-0000-000026100000}"/>
    <cellStyle name="Comma 5 2 4 6 2 5" xfId="28970" xr:uid="{00000000-0005-0000-0000-000027100000}"/>
    <cellStyle name="Comma 5 2 4 6 3" xfId="4804" xr:uid="{00000000-0005-0000-0000-000028100000}"/>
    <cellStyle name="Comma 5 2 4 6 3 2" xfId="13641" xr:uid="{00000000-0005-0000-0000-000029100000}"/>
    <cellStyle name="Comma 5 2 4 6 3 2 2" xfId="23892" xr:uid="{00000000-0005-0000-0000-00002A100000}"/>
    <cellStyle name="Comma 5 2 4 6 3 2 2 2" xfId="49445" xr:uid="{00000000-0005-0000-0000-00002B100000}"/>
    <cellStyle name="Comma 5 2 4 6 3 2 3" xfId="39196" xr:uid="{00000000-0005-0000-0000-00002C100000}"/>
    <cellStyle name="Comma 5 2 4 6 3 3" xfId="10062" xr:uid="{00000000-0005-0000-0000-00002D100000}"/>
    <cellStyle name="Comma 5 2 4 6 3 3 2" xfId="35619" xr:uid="{00000000-0005-0000-0000-00002E100000}"/>
    <cellStyle name="Comma 5 2 4 6 3 4" xfId="18885" xr:uid="{00000000-0005-0000-0000-00002F100000}"/>
    <cellStyle name="Comma 5 2 4 6 3 4 2" xfId="44438" xr:uid="{00000000-0005-0000-0000-000030100000}"/>
    <cellStyle name="Comma 5 2 4 6 3 5" xfId="30375" xr:uid="{00000000-0005-0000-0000-000031100000}"/>
    <cellStyle name="Comma 5 2 4 6 4" xfId="2235" xr:uid="{00000000-0005-0000-0000-000032100000}"/>
    <cellStyle name="Comma 5 2 4 6 4 2" xfId="11600" xr:uid="{00000000-0005-0000-0000-000033100000}"/>
    <cellStyle name="Comma 5 2 4 6 4 2 2" xfId="37155" xr:uid="{00000000-0005-0000-0000-000034100000}"/>
    <cellStyle name="Comma 5 2 4 6 4 3" xfId="21604" xr:uid="{00000000-0005-0000-0000-000035100000}"/>
    <cellStyle name="Comma 5 2 4 6 4 3 2" xfId="47157" xr:uid="{00000000-0005-0000-0000-000036100000}"/>
    <cellStyle name="Comma 5 2 4 6 4 4" xfId="28087" xr:uid="{00000000-0005-0000-0000-000037100000}"/>
    <cellStyle name="Comma 5 2 4 6 5" xfId="6259" xr:uid="{00000000-0005-0000-0000-000038100000}"/>
    <cellStyle name="Comma 5 2 4 6 5 2" xfId="15086" xr:uid="{00000000-0005-0000-0000-000039100000}"/>
    <cellStyle name="Comma 5 2 4 6 5 2 2" xfId="40641" xr:uid="{00000000-0005-0000-0000-00003A100000}"/>
    <cellStyle name="Comma 5 2 4 6 5 3" xfId="25337" xr:uid="{00000000-0005-0000-0000-00003B100000}"/>
    <cellStyle name="Comma 5 2 4 6 5 3 2" xfId="50890" xr:uid="{00000000-0005-0000-0000-00003C100000}"/>
    <cellStyle name="Comma 5 2 4 6 5 4" xfId="31820" xr:uid="{00000000-0005-0000-0000-00003D100000}"/>
    <cellStyle name="Comma 5 2 4 6 6" xfId="7705" xr:uid="{00000000-0005-0000-0000-00003E100000}"/>
    <cellStyle name="Comma 5 2 4 6 6 2" xfId="20086" xr:uid="{00000000-0005-0000-0000-00003F100000}"/>
    <cellStyle name="Comma 5 2 4 6 6 2 2" xfId="45639" xr:uid="{00000000-0005-0000-0000-000040100000}"/>
    <cellStyle name="Comma 5 2 4 6 6 3" xfId="33262" xr:uid="{00000000-0005-0000-0000-000041100000}"/>
    <cellStyle name="Comma 5 2 4 6 7" xfId="16597" xr:uid="{00000000-0005-0000-0000-000042100000}"/>
    <cellStyle name="Comma 5 2 4 6 7 2" xfId="42150" xr:uid="{00000000-0005-0000-0000-000043100000}"/>
    <cellStyle name="Comma 5 2 4 6 8" xfId="26569" xr:uid="{00000000-0005-0000-0000-000044100000}"/>
    <cellStyle name="Comma 5 2 4 7" xfId="1087" xr:uid="{00000000-0005-0000-0000-000045100000}"/>
    <cellStyle name="Comma 5 2 4 7 2" xfId="3516" xr:uid="{00000000-0005-0000-0000-000046100000}"/>
    <cellStyle name="Comma 5 2 4 7 2 2" xfId="12652" xr:uid="{00000000-0005-0000-0000-000047100000}"/>
    <cellStyle name="Comma 5 2 4 7 2 2 2" xfId="22871" xr:uid="{00000000-0005-0000-0000-000048100000}"/>
    <cellStyle name="Comma 5 2 4 7 2 2 2 2" xfId="48424" xr:uid="{00000000-0005-0000-0000-000049100000}"/>
    <cellStyle name="Comma 5 2 4 7 2 2 3" xfId="38207" xr:uid="{00000000-0005-0000-0000-00004A100000}"/>
    <cellStyle name="Comma 5 2 4 7 2 3" xfId="9074" xr:uid="{00000000-0005-0000-0000-00004B100000}"/>
    <cellStyle name="Comma 5 2 4 7 2 3 2" xfId="34631" xr:uid="{00000000-0005-0000-0000-00004C100000}"/>
    <cellStyle name="Comma 5 2 4 7 2 4" xfId="17864" xr:uid="{00000000-0005-0000-0000-00004D100000}"/>
    <cellStyle name="Comma 5 2 4 7 2 4 2" xfId="43417" xr:uid="{00000000-0005-0000-0000-00004E100000}"/>
    <cellStyle name="Comma 5 2 4 7 2 5" xfId="29354" xr:uid="{00000000-0005-0000-0000-00004F100000}"/>
    <cellStyle name="Comma 5 2 4 7 3" xfId="5179" xr:uid="{00000000-0005-0000-0000-000050100000}"/>
    <cellStyle name="Comma 5 2 4 7 3 2" xfId="14016" xr:uid="{00000000-0005-0000-0000-000051100000}"/>
    <cellStyle name="Comma 5 2 4 7 3 2 2" xfId="24267" xr:uid="{00000000-0005-0000-0000-000052100000}"/>
    <cellStyle name="Comma 5 2 4 7 3 2 2 2" xfId="49820" xr:uid="{00000000-0005-0000-0000-000053100000}"/>
    <cellStyle name="Comma 5 2 4 7 3 2 3" xfId="39571" xr:uid="{00000000-0005-0000-0000-000054100000}"/>
    <cellStyle name="Comma 5 2 4 7 3 3" xfId="10437" xr:uid="{00000000-0005-0000-0000-000055100000}"/>
    <cellStyle name="Comma 5 2 4 7 3 3 2" xfId="35994" xr:uid="{00000000-0005-0000-0000-000056100000}"/>
    <cellStyle name="Comma 5 2 4 7 3 4" xfId="19260" xr:uid="{00000000-0005-0000-0000-000057100000}"/>
    <cellStyle name="Comma 5 2 4 7 3 4 2" xfId="44813" xr:uid="{00000000-0005-0000-0000-000058100000}"/>
    <cellStyle name="Comma 5 2 4 7 3 5" xfId="30750" xr:uid="{00000000-0005-0000-0000-000059100000}"/>
    <cellStyle name="Comma 5 2 4 7 4" xfId="1745" xr:uid="{00000000-0005-0000-0000-00005A100000}"/>
    <cellStyle name="Comma 5 2 4 7 4 2" xfId="11116" xr:uid="{00000000-0005-0000-0000-00005B100000}"/>
    <cellStyle name="Comma 5 2 4 7 4 2 2" xfId="36671" xr:uid="{00000000-0005-0000-0000-00005C100000}"/>
    <cellStyle name="Comma 5 2 4 7 4 3" xfId="21120" xr:uid="{00000000-0005-0000-0000-00005D100000}"/>
    <cellStyle name="Comma 5 2 4 7 4 3 2" xfId="46673" xr:uid="{00000000-0005-0000-0000-00005E100000}"/>
    <cellStyle name="Comma 5 2 4 7 4 4" xfId="27603" xr:uid="{00000000-0005-0000-0000-00005F100000}"/>
    <cellStyle name="Comma 5 2 4 7 5" xfId="6634" xr:uid="{00000000-0005-0000-0000-000060100000}"/>
    <cellStyle name="Comma 5 2 4 7 5 2" xfId="15461" xr:uid="{00000000-0005-0000-0000-000061100000}"/>
    <cellStyle name="Comma 5 2 4 7 5 2 2" xfId="41016" xr:uid="{00000000-0005-0000-0000-000062100000}"/>
    <cellStyle name="Comma 5 2 4 7 5 3" xfId="25712" xr:uid="{00000000-0005-0000-0000-000063100000}"/>
    <cellStyle name="Comma 5 2 4 7 5 3 2" xfId="51265" xr:uid="{00000000-0005-0000-0000-000064100000}"/>
    <cellStyle name="Comma 5 2 4 7 5 4" xfId="32195" xr:uid="{00000000-0005-0000-0000-000065100000}"/>
    <cellStyle name="Comma 5 2 4 7 6" xfId="8080" xr:uid="{00000000-0005-0000-0000-000066100000}"/>
    <cellStyle name="Comma 5 2 4 7 6 2" xfId="20470" xr:uid="{00000000-0005-0000-0000-000067100000}"/>
    <cellStyle name="Comma 5 2 4 7 6 2 2" xfId="46023" xr:uid="{00000000-0005-0000-0000-000068100000}"/>
    <cellStyle name="Comma 5 2 4 7 6 3" xfId="33637" xr:uid="{00000000-0005-0000-0000-000069100000}"/>
    <cellStyle name="Comma 5 2 4 7 7" xfId="16113" xr:uid="{00000000-0005-0000-0000-00006A100000}"/>
    <cellStyle name="Comma 5 2 4 7 7 2" xfId="41666" xr:uid="{00000000-0005-0000-0000-00006B100000}"/>
    <cellStyle name="Comma 5 2 4 7 8" xfId="26953" xr:uid="{00000000-0005-0000-0000-00006C100000}"/>
    <cellStyle name="Comma 5 2 4 8" xfId="2643" xr:uid="{00000000-0005-0000-0000-00006D100000}"/>
    <cellStyle name="Comma 5 2 4 8 2" xfId="5591" xr:uid="{00000000-0005-0000-0000-00006E100000}"/>
    <cellStyle name="Comma 5 2 4 8 2 2" xfId="14418" xr:uid="{00000000-0005-0000-0000-00006F100000}"/>
    <cellStyle name="Comma 5 2 4 8 2 2 2" xfId="39973" xr:uid="{00000000-0005-0000-0000-000070100000}"/>
    <cellStyle name="Comma 5 2 4 8 2 3" xfId="24669" xr:uid="{00000000-0005-0000-0000-000071100000}"/>
    <cellStyle name="Comma 5 2 4 8 2 3 2" xfId="50222" xr:uid="{00000000-0005-0000-0000-000072100000}"/>
    <cellStyle name="Comma 5 2 4 8 2 4" xfId="31152" xr:uid="{00000000-0005-0000-0000-000073100000}"/>
    <cellStyle name="Comma 5 2 4 8 3" xfId="7035" xr:uid="{00000000-0005-0000-0000-000074100000}"/>
    <cellStyle name="Comma 5 2 4 8 3 2" xfId="22004" xr:uid="{00000000-0005-0000-0000-000075100000}"/>
    <cellStyle name="Comma 5 2 4 8 3 2 2" xfId="47557" xr:uid="{00000000-0005-0000-0000-000076100000}"/>
    <cellStyle name="Comma 5 2 4 8 3 3" xfId="32592" xr:uid="{00000000-0005-0000-0000-000077100000}"/>
    <cellStyle name="Comma 5 2 4 8 4" xfId="16997" xr:uid="{00000000-0005-0000-0000-000078100000}"/>
    <cellStyle name="Comma 5 2 4 8 4 2" xfId="42550" xr:uid="{00000000-0005-0000-0000-000079100000}"/>
    <cellStyle name="Comma 5 2 4 8 5" xfId="28487" xr:uid="{00000000-0005-0000-0000-00007A100000}"/>
    <cellStyle name="Comma 5 2 4 9" xfId="4133" xr:uid="{00000000-0005-0000-0000-00007B100000}"/>
    <cellStyle name="Comma 5 2 4 9 2" xfId="12971" xr:uid="{00000000-0005-0000-0000-00007C100000}"/>
    <cellStyle name="Comma 5 2 4 9 2 2" xfId="23222" xr:uid="{00000000-0005-0000-0000-00007D100000}"/>
    <cellStyle name="Comma 5 2 4 9 2 2 2" xfId="48775" xr:uid="{00000000-0005-0000-0000-00007E100000}"/>
    <cellStyle name="Comma 5 2 4 9 2 3" xfId="38526" xr:uid="{00000000-0005-0000-0000-00007F100000}"/>
    <cellStyle name="Comma 5 2 4 9 3" xfId="9392" xr:uid="{00000000-0005-0000-0000-000080100000}"/>
    <cellStyle name="Comma 5 2 4 9 3 2" xfId="34949" xr:uid="{00000000-0005-0000-0000-000081100000}"/>
    <cellStyle name="Comma 5 2 4 9 4" xfId="18215" xr:uid="{00000000-0005-0000-0000-000082100000}"/>
    <cellStyle name="Comma 5 2 4 9 4 2" xfId="43768" xr:uid="{00000000-0005-0000-0000-000083100000}"/>
    <cellStyle name="Comma 5 2 4 9 5" xfId="29705" xr:uid="{00000000-0005-0000-0000-000084100000}"/>
    <cellStyle name="Comma 5 2 5" xfId="172" xr:uid="{00000000-0005-0000-0000-000085100000}"/>
    <cellStyle name="Comma 5 2 5 10" xfId="7120" xr:uid="{00000000-0005-0000-0000-000086100000}"/>
    <cellStyle name="Comma 5 2 5 10 2" xfId="19629" xr:uid="{00000000-0005-0000-0000-000087100000}"/>
    <cellStyle name="Comma 5 2 5 10 2 2" xfId="45182" xr:uid="{00000000-0005-0000-0000-000088100000}"/>
    <cellStyle name="Comma 5 2 5 10 3" xfId="32677" xr:uid="{00000000-0005-0000-0000-000089100000}"/>
    <cellStyle name="Comma 5 2 5 11" xfId="15866" xr:uid="{00000000-0005-0000-0000-00008A100000}"/>
    <cellStyle name="Comma 5 2 5 11 2" xfId="41419" xr:uid="{00000000-0005-0000-0000-00008B100000}"/>
    <cellStyle name="Comma 5 2 5 12" xfId="26112" xr:uid="{00000000-0005-0000-0000-00008C100000}"/>
    <cellStyle name="Comma 5 2 5 2" xfId="500" xr:uid="{00000000-0005-0000-0000-00008D100000}"/>
    <cellStyle name="Comma 5 2 5 2 10" xfId="26429" xr:uid="{00000000-0005-0000-0000-00008E100000}"/>
    <cellStyle name="Comma 5 2 5 2 2" xfId="647" xr:uid="{00000000-0005-0000-0000-00008F100000}"/>
    <cellStyle name="Comma 5 2 5 2 2 2" xfId="3133" xr:uid="{00000000-0005-0000-0000-000090100000}"/>
    <cellStyle name="Comma 5 2 5 2 2 2 2" xfId="12276" xr:uid="{00000000-0005-0000-0000-000091100000}"/>
    <cellStyle name="Comma 5 2 5 2 2 2 2 2" xfId="22494" xr:uid="{00000000-0005-0000-0000-000092100000}"/>
    <cellStyle name="Comma 5 2 5 2 2 2 2 2 2" xfId="48047" xr:uid="{00000000-0005-0000-0000-000093100000}"/>
    <cellStyle name="Comma 5 2 5 2 2 2 2 3" xfId="37831" xr:uid="{00000000-0005-0000-0000-000094100000}"/>
    <cellStyle name="Comma 5 2 5 2 2 2 3" xfId="8698" xr:uid="{00000000-0005-0000-0000-000095100000}"/>
    <cellStyle name="Comma 5 2 5 2 2 2 3 2" xfId="34255" xr:uid="{00000000-0005-0000-0000-000096100000}"/>
    <cellStyle name="Comma 5 2 5 2 2 2 4" xfId="17487" xr:uid="{00000000-0005-0000-0000-000097100000}"/>
    <cellStyle name="Comma 5 2 5 2 2 2 4 2" xfId="43040" xr:uid="{00000000-0005-0000-0000-000098100000}"/>
    <cellStyle name="Comma 5 2 5 2 2 2 5" xfId="28977" xr:uid="{00000000-0005-0000-0000-000099100000}"/>
    <cellStyle name="Comma 5 2 5 2 2 3" xfId="4462" xr:uid="{00000000-0005-0000-0000-00009A100000}"/>
    <cellStyle name="Comma 5 2 5 2 2 3 2" xfId="13300" xr:uid="{00000000-0005-0000-0000-00009B100000}"/>
    <cellStyle name="Comma 5 2 5 2 2 3 2 2" xfId="23551" xr:uid="{00000000-0005-0000-0000-00009C100000}"/>
    <cellStyle name="Comma 5 2 5 2 2 3 2 2 2" xfId="49104" xr:uid="{00000000-0005-0000-0000-00009D100000}"/>
    <cellStyle name="Comma 5 2 5 2 2 3 2 3" xfId="38855" xr:uid="{00000000-0005-0000-0000-00009E100000}"/>
    <cellStyle name="Comma 5 2 5 2 2 3 3" xfId="9721" xr:uid="{00000000-0005-0000-0000-00009F100000}"/>
    <cellStyle name="Comma 5 2 5 2 2 3 3 2" xfId="35278" xr:uid="{00000000-0005-0000-0000-0000A0100000}"/>
    <cellStyle name="Comma 5 2 5 2 2 3 4" xfId="18544" xr:uid="{00000000-0005-0000-0000-0000A1100000}"/>
    <cellStyle name="Comma 5 2 5 2 2 3 4 2" xfId="44097" xr:uid="{00000000-0005-0000-0000-0000A2100000}"/>
    <cellStyle name="Comma 5 2 5 2 2 3 5" xfId="30034" xr:uid="{00000000-0005-0000-0000-0000A3100000}"/>
    <cellStyle name="Comma 5 2 5 2 2 4" xfId="2242" xr:uid="{00000000-0005-0000-0000-0000A4100000}"/>
    <cellStyle name="Comma 5 2 5 2 2 4 2" xfId="11607" xr:uid="{00000000-0005-0000-0000-0000A5100000}"/>
    <cellStyle name="Comma 5 2 5 2 2 4 2 2" xfId="37162" xr:uid="{00000000-0005-0000-0000-0000A6100000}"/>
    <cellStyle name="Comma 5 2 5 2 2 4 3" xfId="21611" xr:uid="{00000000-0005-0000-0000-0000A7100000}"/>
    <cellStyle name="Comma 5 2 5 2 2 4 3 2" xfId="47164" xr:uid="{00000000-0005-0000-0000-0000A8100000}"/>
    <cellStyle name="Comma 5 2 5 2 2 4 4" xfId="28094" xr:uid="{00000000-0005-0000-0000-0000A9100000}"/>
    <cellStyle name="Comma 5 2 5 2 2 5" xfId="5918" xr:uid="{00000000-0005-0000-0000-0000AA100000}"/>
    <cellStyle name="Comma 5 2 5 2 2 5 2" xfId="14745" xr:uid="{00000000-0005-0000-0000-0000AB100000}"/>
    <cellStyle name="Comma 5 2 5 2 2 5 2 2" xfId="40300" xr:uid="{00000000-0005-0000-0000-0000AC100000}"/>
    <cellStyle name="Comma 5 2 5 2 2 5 3" xfId="24996" xr:uid="{00000000-0005-0000-0000-0000AD100000}"/>
    <cellStyle name="Comma 5 2 5 2 2 5 3 2" xfId="50549" xr:uid="{00000000-0005-0000-0000-0000AE100000}"/>
    <cellStyle name="Comma 5 2 5 2 2 5 4" xfId="31479" xr:uid="{00000000-0005-0000-0000-0000AF100000}"/>
    <cellStyle name="Comma 5 2 5 2 2 6" xfId="7362" xr:uid="{00000000-0005-0000-0000-0000B0100000}"/>
    <cellStyle name="Comma 5 2 5 2 2 6 2" xfId="20093" xr:uid="{00000000-0005-0000-0000-0000B1100000}"/>
    <cellStyle name="Comma 5 2 5 2 2 6 2 2" xfId="45646" xr:uid="{00000000-0005-0000-0000-0000B2100000}"/>
    <cellStyle name="Comma 5 2 5 2 2 6 3" xfId="32919" xr:uid="{00000000-0005-0000-0000-0000B3100000}"/>
    <cellStyle name="Comma 5 2 5 2 2 7" xfId="16604" xr:uid="{00000000-0005-0000-0000-0000B4100000}"/>
    <cellStyle name="Comma 5 2 5 2 2 7 2" xfId="42157" xr:uid="{00000000-0005-0000-0000-0000B5100000}"/>
    <cellStyle name="Comma 5 2 5 2 2 8" xfId="26576" xr:uid="{00000000-0005-0000-0000-0000B6100000}"/>
    <cellStyle name="Comma 5 2 5 2 3" xfId="1272" xr:uid="{00000000-0005-0000-0000-0000B7100000}"/>
    <cellStyle name="Comma 5 2 5 2 3 2" xfId="3701" xr:uid="{00000000-0005-0000-0000-0000B8100000}"/>
    <cellStyle name="Comma 5 2 5 2 3 2 2" xfId="12837" xr:uid="{00000000-0005-0000-0000-0000B9100000}"/>
    <cellStyle name="Comma 5 2 5 2 3 2 2 2" xfId="23056" xr:uid="{00000000-0005-0000-0000-0000BA100000}"/>
    <cellStyle name="Comma 5 2 5 2 3 2 2 2 2" xfId="48609" xr:uid="{00000000-0005-0000-0000-0000BB100000}"/>
    <cellStyle name="Comma 5 2 5 2 3 2 2 3" xfId="38392" xr:uid="{00000000-0005-0000-0000-0000BC100000}"/>
    <cellStyle name="Comma 5 2 5 2 3 2 3" xfId="9258" xr:uid="{00000000-0005-0000-0000-0000BD100000}"/>
    <cellStyle name="Comma 5 2 5 2 3 2 3 2" xfId="34815" xr:uid="{00000000-0005-0000-0000-0000BE100000}"/>
    <cellStyle name="Comma 5 2 5 2 3 2 4" xfId="18049" xr:uid="{00000000-0005-0000-0000-0000BF100000}"/>
    <cellStyle name="Comma 5 2 5 2 3 2 4 2" xfId="43602" xr:uid="{00000000-0005-0000-0000-0000C0100000}"/>
    <cellStyle name="Comma 5 2 5 2 3 2 5" xfId="29539" xr:uid="{00000000-0005-0000-0000-0000C1100000}"/>
    <cellStyle name="Comma 5 2 5 2 3 3" xfId="4811" xr:uid="{00000000-0005-0000-0000-0000C2100000}"/>
    <cellStyle name="Comma 5 2 5 2 3 3 2" xfId="13648" xr:uid="{00000000-0005-0000-0000-0000C3100000}"/>
    <cellStyle name="Comma 5 2 5 2 3 3 2 2" xfId="23899" xr:uid="{00000000-0005-0000-0000-0000C4100000}"/>
    <cellStyle name="Comma 5 2 5 2 3 3 2 2 2" xfId="49452" xr:uid="{00000000-0005-0000-0000-0000C5100000}"/>
    <cellStyle name="Comma 5 2 5 2 3 3 2 3" xfId="39203" xr:uid="{00000000-0005-0000-0000-0000C6100000}"/>
    <cellStyle name="Comma 5 2 5 2 3 3 3" xfId="10069" xr:uid="{00000000-0005-0000-0000-0000C7100000}"/>
    <cellStyle name="Comma 5 2 5 2 3 3 3 2" xfId="35626" xr:uid="{00000000-0005-0000-0000-0000C8100000}"/>
    <cellStyle name="Comma 5 2 5 2 3 3 4" xfId="18892" xr:uid="{00000000-0005-0000-0000-0000C9100000}"/>
    <cellStyle name="Comma 5 2 5 2 3 3 4 2" xfId="44445" xr:uid="{00000000-0005-0000-0000-0000CA100000}"/>
    <cellStyle name="Comma 5 2 5 2 3 3 5" xfId="30382" xr:uid="{00000000-0005-0000-0000-0000CB100000}"/>
    <cellStyle name="Comma 5 2 5 2 3 4" xfId="2095" xr:uid="{00000000-0005-0000-0000-0000CC100000}"/>
    <cellStyle name="Comma 5 2 5 2 3 4 2" xfId="11460" xr:uid="{00000000-0005-0000-0000-0000CD100000}"/>
    <cellStyle name="Comma 5 2 5 2 3 4 2 2" xfId="37015" xr:uid="{00000000-0005-0000-0000-0000CE100000}"/>
    <cellStyle name="Comma 5 2 5 2 3 4 3" xfId="21464" xr:uid="{00000000-0005-0000-0000-0000CF100000}"/>
    <cellStyle name="Comma 5 2 5 2 3 4 3 2" xfId="47017" xr:uid="{00000000-0005-0000-0000-0000D0100000}"/>
    <cellStyle name="Comma 5 2 5 2 3 4 4" xfId="27947" xr:uid="{00000000-0005-0000-0000-0000D1100000}"/>
    <cellStyle name="Comma 5 2 5 2 3 5" xfId="6266" xr:uid="{00000000-0005-0000-0000-0000D2100000}"/>
    <cellStyle name="Comma 5 2 5 2 3 5 2" xfId="15093" xr:uid="{00000000-0005-0000-0000-0000D3100000}"/>
    <cellStyle name="Comma 5 2 5 2 3 5 2 2" xfId="40648" xr:uid="{00000000-0005-0000-0000-0000D4100000}"/>
    <cellStyle name="Comma 5 2 5 2 3 5 3" xfId="25344" xr:uid="{00000000-0005-0000-0000-0000D5100000}"/>
    <cellStyle name="Comma 5 2 5 2 3 5 3 2" xfId="50897" xr:uid="{00000000-0005-0000-0000-0000D6100000}"/>
    <cellStyle name="Comma 5 2 5 2 3 5 4" xfId="31827" xr:uid="{00000000-0005-0000-0000-0000D7100000}"/>
    <cellStyle name="Comma 5 2 5 2 3 6" xfId="7712" xr:uid="{00000000-0005-0000-0000-0000D8100000}"/>
    <cellStyle name="Comma 5 2 5 2 3 6 2" xfId="20655" xr:uid="{00000000-0005-0000-0000-0000D9100000}"/>
    <cellStyle name="Comma 5 2 5 2 3 6 2 2" xfId="46208" xr:uid="{00000000-0005-0000-0000-0000DA100000}"/>
    <cellStyle name="Comma 5 2 5 2 3 6 3" xfId="33269" xr:uid="{00000000-0005-0000-0000-0000DB100000}"/>
    <cellStyle name="Comma 5 2 5 2 3 7" xfId="16457" xr:uid="{00000000-0005-0000-0000-0000DC100000}"/>
    <cellStyle name="Comma 5 2 5 2 3 7 2" xfId="42010" xr:uid="{00000000-0005-0000-0000-0000DD100000}"/>
    <cellStyle name="Comma 5 2 5 2 3 8" xfId="27138" xr:uid="{00000000-0005-0000-0000-0000DE100000}"/>
    <cellStyle name="Comma 5 2 5 2 4" xfId="2986" xr:uid="{00000000-0005-0000-0000-0000DF100000}"/>
    <cellStyle name="Comma 5 2 5 2 4 2" xfId="5364" xr:uid="{00000000-0005-0000-0000-0000E0100000}"/>
    <cellStyle name="Comma 5 2 5 2 4 2 2" xfId="14201" xr:uid="{00000000-0005-0000-0000-0000E1100000}"/>
    <cellStyle name="Comma 5 2 5 2 4 2 2 2" xfId="24452" xr:uid="{00000000-0005-0000-0000-0000E2100000}"/>
    <cellStyle name="Comma 5 2 5 2 4 2 2 2 2" xfId="50005" xr:uid="{00000000-0005-0000-0000-0000E3100000}"/>
    <cellStyle name="Comma 5 2 5 2 4 2 2 3" xfId="39756" xr:uid="{00000000-0005-0000-0000-0000E4100000}"/>
    <cellStyle name="Comma 5 2 5 2 4 2 3" xfId="10622" xr:uid="{00000000-0005-0000-0000-0000E5100000}"/>
    <cellStyle name="Comma 5 2 5 2 4 2 3 2" xfId="36179" xr:uid="{00000000-0005-0000-0000-0000E6100000}"/>
    <cellStyle name="Comma 5 2 5 2 4 2 4" xfId="19445" xr:uid="{00000000-0005-0000-0000-0000E7100000}"/>
    <cellStyle name="Comma 5 2 5 2 4 2 4 2" xfId="44998" xr:uid="{00000000-0005-0000-0000-0000E8100000}"/>
    <cellStyle name="Comma 5 2 5 2 4 2 5" xfId="30935" xr:uid="{00000000-0005-0000-0000-0000E9100000}"/>
    <cellStyle name="Comma 5 2 5 2 4 3" xfId="6819" xr:uid="{00000000-0005-0000-0000-0000EA100000}"/>
    <cellStyle name="Comma 5 2 5 2 4 3 2" xfId="15646" xr:uid="{00000000-0005-0000-0000-0000EB100000}"/>
    <cellStyle name="Comma 5 2 5 2 4 3 2 2" xfId="41201" xr:uid="{00000000-0005-0000-0000-0000EC100000}"/>
    <cellStyle name="Comma 5 2 5 2 4 3 3" xfId="25897" xr:uid="{00000000-0005-0000-0000-0000ED100000}"/>
    <cellStyle name="Comma 5 2 5 2 4 3 3 2" xfId="51450" xr:uid="{00000000-0005-0000-0000-0000EE100000}"/>
    <cellStyle name="Comma 5 2 5 2 4 3 4" xfId="32380" xr:uid="{00000000-0005-0000-0000-0000EF100000}"/>
    <cellStyle name="Comma 5 2 5 2 4 4" xfId="8265" xr:uid="{00000000-0005-0000-0000-0000F0100000}"/>
    <cellStyle name="Comma 5 2 5 2 4 4 2" xfId="22347" xr:uid="{00000000-0005-0000-0000-0000F1100000}"/>
    <cellStyle name="Comma 5 2 5 2 4 4 2 2" xfId="47900" xr:uid="{00000000-0005-0000-0000-0000F2100000}"/>
    <cellStyle name="Comma 5 2 5 2 4 4 3" xfId="33822" xr:uid="{00000000-0005-0000-0000-0000F3100000}"/>
    <cellStyle name="Comma 5 2 5 2 4 5" xfId="17340" xr:uid="{00000000-0005-0000-0000-0000F4100000}"/>
    <cellStyle name="Comma 5 2 5 2 4 5 2" xfId="42893" xr:uid="{00000000-0005-0000-0000-0000F5100000}"/>
    <cellStyle name="Comma 5 2 5 2 4 6" xfId="28830" xr:uid="{00000000-0005-0000-0000-0000F6100000}"/>
    <cellStyle name="Comma 5 2 5 2 5" xfId="4320" xr:uid="{00000000-0005-0000-0000-0000F7100000}"/>
    <cellStyle name="Comma 5 2 5 2 5 2" xfId="13158" xr:uid="{00000000-0005-0000-0000-0000F8100000}"/>
    <cellStyle name="Comma 5 2 5 2 5 2 2" xfId="23409" xr:uid="{00000000-0005-0000-0000-0000F9100000}"/>
    <cellStyle name="Comma 5 2 5 2 5 2 2 2" xfId="48962" xr:uid="{00000000-0005-0000-0000-0000FA100000}"/>
    <cellStyle name="Comma 5 2 5 2 5 2 3" xfId="38713" xr:uid="{00000000-0005-0000-0000-0000FB100000}"/>
    <cellStyle name="Comma 5 2 5 2 5 3" xfId="9579" xr:uid="{00000000-0005-0000-0000-0000FC100000}"/>
    <cellStyle name="Comma 5 2 5 2 5 3 2" xfId="35136" xr:uid="{00000000-0005-0000-0000-0000FD100000}"/>
    <cellStyle name="Comma 5 2 5 2 5 4" xfId="18402" xr:uid="{00000000-0005-0000-0000-0000FE100000}"/>
    <cellStyle name="Comma 5 2 5 2 5 4 2" xfId="43955" xr:uid="{00000000-0005-0000-0000-0000FF100000}"/>
    <cellStyle name="Comma 5 2 5 2 5 5" xfId="29892" xr:uid="{00000000-0005-0000-0000-000000110000}"/>
    <cellStyle name="Comma 5 2 5 2 6" xfId="1592" xr:uid="{00000000-0005-0000-0000-000001110000}"/>
    <cellStyle name="Comma 5 2 5 2 6 2" xfId="10969" xr:uid="{00000000-0005-0000-0000-000002110000}"/>
    <cellStyle name="Comma 5 2 5 2 6 2 2" xfId="36524" xr:uid="{00000000-0005-0000-0000-000003110000}"/>
    <cellStyle name="Comma 5 2 5 2 6 3" xfId="20973" xr:uid="{00000000-0005-0000-0000-000004110000}"/>
    <cellStyle name="Comma 5 2 5 2 6 3 2" xfId="46526" xr:uid="{00000000-0005-0000-0000-000005110000}"/>
    <cellStyle name="Comma 5 2 5 2 6 4" xfId="27456" xr:uid="{00000000-0005-0000-0000-000006110000}"/>
    <cellStyle name="Comma 5 2 5 2 7" xfId="5776" xr:uid="{00000000-0005-0000-0000-000007110000}"/>
    <cellStyle name="Comma 5 2 5 2 7 2" xfId="14603" xr:uid="{00000000-0005-0000-0000-000008110000}"/>
    <cellStyle name="Comma 5 2 5 2 7 2 2" xfId="40158" xr:uid="{00000000-0005-0000-0000-000009110000}"/>
    <cellStyle name="Comma 5 2 5 2 7 3" xfId="24854" xr:uid="{00000000-0005-0000-0000-00000A110000}"/>
    <cellStyle name="Comma 5 2 5 2 7 3 2" xfId="50407" xr:uid="{00000000-0005-0000-0000-00000B110000}"/>
    <cellStyle name="Comma 5 2 5 2 7 4" xfId="31337" xr:uid="{00000000-0005-0000-0000-00000C110000}"/>
    <cellStyle name="Comma 5 2 5 2 8" xfId="7220" xr:uid="{00000000-0005-0000-0000-00000D110000}"/>
    <cellStyle name="Comma 5 2 5 2 8 2" xfId="19946" xr:uid="{00000000-0005-0000-0000-00000E110000}"/>
    <cellStyle name="Comma 5 2 5 2 8 2 2" xfId="45499" xr:uid="{00000000-0005-0000-0000-00000F110000}"/>
    <cellStyle name="Comma 5 2 5 2 8 3" xfId="32777" xr:uid="{00000000-0005-0000-0000-000010110000}"/>
    <cellStyle name="Comma 5 2 5 2 9" xfId="15966" xr:uid="{00000000-0005-0000-0000-000011110000}"/>
    <cellStyle name="Comma 5 2 5 2 9 2" xfId="41519" xr:uid="{00000000-0005-0000-0000-000012110000}"/>
    <cellStyle name="Comma 5 2 5 3" xfId="400" xr:uid="{00000000-0005-0000-0000-000013110000}"/>
    <cellStyle name="Comma 5 2 5 3 2" xfId="2886" xr:uid="{00000000-0005-0000-0000-000014110000}"/>
    <cellStyle name="Comma 5 2 5 3 2 2" xfId="12174" xr:uid="{00000000-0005-0000-0000-000015110000}"/>
    <cellStyle name="Comma 5 2 5 3 2 2 2" xfId="22247" xr:uid="{00000000-0005-0000-0000-000016110000}"/>
    <cellStyle name="Comma 5 2 5 3 2 2 2 2" xfId="47800" xr:uid="{00000000-0005-0000-0000-000017110000}"/>
    <cellStyle name="Comma 5 2 5 3 2 2 3" xfId="37729" xr:uid="{00000000-0005-0000-0000-000018110000}"/>
    <cellStyle name="Comma 5 2 5 3 2 3" xfId="6968" xr:uid="{00000000-0005-0000-0000-000019110000}"/>
    <cellStyle name="Comma 5 2 5 3 2 3 2" xfId="32526" xr:uid="{00000000-0005-0000-0000-00001A110000}"/>
    <cellStyle name="Comma 5 2 5 3 2 4" xfId="17240" xr:uid="{00000000-0005-0000-0000-00001B110000}"/>
    <cellStyle name="Comma 5 2 5 3 2 4 2" xfId="42793" xr:uid="{00000000-0005-0000-0000-00001C110000}"/>
    <cellStyle name="Comma 5 2 5 3 2 5" xfId="28730" xr:uid="{00000000-0005-0000-0000-00001D110000}"/>
    <cellStyle name="Comma 5 2 5 3 3" xfId="4461" xr:uid="{00000000-0005-0000-0000-00001E110000}"/>
    <cellStyle name="Comma 5 2 5 3 3 2" xfId="13299" xr:uid="{00000000-0005-0000-0000-00001F110000}"/>
    <cellStyle name="Comma 5 2 5 3 3 2 2" xfId="23550" xr:uid="{00000000-0005-0000-0000-000020110000}"/>
    <cellStyle name="Comma 5 2 5 3 3 2 2 2" xfId="49103" xr:uid="{00000000-0005-0000-0000-000021110000}"/>
    <cellStyle name="Comma 5 2 5 3 3 2 3" xfId="38854" xr:uid="{00000000-0005-0000-0000-000022110000}"/>
    <cellStyle name="Comma 5 2 5 3 3 3" xfId="9720" xr:uid="{00000000-0005-0000-0000-000023110000}"/>
    <cellStyle name="Comma 5 2 5 3 3 3 2" xfId="35277" xr:uid="{00000000-0005-0000-0000-000024110000}"/>
    <cellStyle name="Comma 5 2 5 3 3 4" xfId="18543" xr:uid="{00000000-0005-0000-0000-000025110000}"/>
    <cellStyle name="Comma 5 2 5 3 3 4 2" xfId="44096" xr:uid="{00000000-0005-0000-0000-000026110000}"/>
    <cellStyle name="Comma 5 2 5 3 3 5" xfId="30033" xr:uid="{00000000-0005-0000-0000-000027110000}"/>
    <cellStyle name="Comma 5 2 5 3 4" xfId="1995" xr:uid="{00000000-0005-0000-0000-000028110000}"/>
    <cellStyle name="Comma 5 2 5 3 4 2" xfId="11360" xr:uid="{00000000-0005-0000-0000-000029110000}"/>
    <cellStyle name="Comma 5 2 5 3 4 2 2" xfId="36915" xr:uid="{00000000-0005-0000-0000-00002A110000}"/>
    <cellStyle name="Comma 5 2 5 3 4 3" xfId="21364" xr:uid="{00000000-0005-0000-0000-00002B110000}"/>
    <cellStyle name="Comma 5 2 5 3 4 3 2" xfId="46917" xr:uid="{00000000-0005-0000-0000-00002C110000}"/>
    <cellStyle name="Comma 5 2 5 3 4 4" xfId="27847" xr:uid="{00000000-0005-0000-0000-00002D110000}"/>
    <cellStyle name="Comma 5 2 5 3 5" xfId="5917" xr:uid="{00000000-0005-0000-0000-00002E110000}"/>
    <cellStyle name="Comma 5 2 5 3 5 2" xfId="14744" xr:uid="{00000000-0005-0000-0000-00002F110000}"/>
    <cellStyle name="Comma 5 2 5 3 5 2 2" xfId="40299" xr:uid="{00000000-0005-0000-0000-000030110000}"/>
    <cellStyle name="Comma 5 2 5 3 5 3" xfId="24995" xr:uid="{00000000-0005-0000-0000-000031110000}"/>
    <cellStyle name="Comma 5 2 5 3 5 3 2" xfId="50548" xr:uid="{00000000-0005-0000-0000-000032110000}"/>
    <cellStyle name="Comma 5 2 5 3 5 4" xfId="31478" xr:uid="{00000000-0005-0000-0000-000033110000}"/>
    <cellStyle name="Comma 5 2 5 3 6" xfId="7361" xr:uid="{00000000-0005-0000-0000-000034110000}"/>
    <cellStyle name="Comma 5 2 5 3 6 2" xfId="19846" xr:uid="{00000000-0005-0000-0000-000035110000}"/>
    <cellStyle name="Comma 5 2 5 3 6 2 2" xfId="45399" xr:uid="{00000000-0005-0000-0000-000036110000}"/>
    <cellStyle name="Comma 5 2 5 3 6 3" xfId="32918" xr:uid="{00000000-0005-0000-0000-000037110000}"/>
    <cellStyle name="Comma 5 2 5 3 7" xfId="16357" xr:uid="{00000000-0005-0000-0000-000038110000}"/>
    <cellStyle name="Comma 5 2 5 3 7 2" xfId="41910" xr:uid="{00000000-0005-0000-0000-000039110000}"/>
    <cellStyle name="Comma 5 2 5 3 8" xfId="26329" xr:uid="{00000000-0005-0000-0000-00003A110000}"/>
    <cellStyle name="Comma 5 2 5 4" xfId="646" xr:uid="{00000000-0005-0000-0000-00003B110000}"/>
    <cellStyle name="Comma 5 2 5 4 2" xfId="3132" xr:uid="{00000000-0005-0000-0000-00003C110000}"/>
    <cellStyle name="Comma 5 2 5 4 2 2" xfId="12275" xr:uid="{00000000-0005-0000-0000-00003D110000}"/>
    <cellStyle name="Comma 5 2 5 4 2 2 2" xfId="22493" xr:uid="{00000000-0005-0000-0000-00003E110000}"/>
    <cellStyle name="Comma 5 2 5 4 2 2 2 2" xfId="48046" xr:uid="{00000000-0005-0000-0000-00003F110000}"/>
    <cellStyle name="Comma 5 2 5 4 2 2 3" xfId="37830" xr:uid="{00000000-0005-0000-0000-000040110000}"/>
    <cellStyle name="Comma 5 2 5 4 2 3" xfId="8697" xr:uid="{00000000-0005-0000-0000-000041110000}"/>
    <cellStyle name="Comma 5 2 5 4 2 3 2" xfId="34254" xr:uid="{00000000-0005-0000-0000-000042110000}"/>
    <cellStyle name="Comma 5 2 5 4 2 4" xfId="17486" xr:uid="{00000000-0005-0000-0000-000043110000}"/>
    <cellStyle name="Comma 5 2 5 4 2 4 2" xfId="43039" xr:uid="{00000000-0005-0000-0000-000044110000}"/>
    <cellStyle name="Comma 5 2 5 4 2 5" xfId="28976" xr:uid="{00000000-0005-0000-0000-000045110000}"/>
    <cellStyle name="Comma 5 2 5 4 3" xfId="4810" xr:uid="{00000000-0005-0000-0000-000046110000}"/>
    <cellStyle name="Comma 5 2 5 4 3 2" xfId="13647" xr:uid="{00000000-0005-0000-0000-000047110000}"/>
    <cellStyle name="Comma 5 2 5 4 3 2 2" xfId="23898" xr:uid="{00000000-0005-0000-0000-000048110000}"/>
    <cellStyle name="Comma 5 2 5 4 3 2 2 2" xfId="49451" xr:uid="{00000000-0005-0000-0000-000049110000}"/>
    <cellStyle name="Comma 5 2 5 4 3 2 3" xfId="39202" xr:uid="{00000000-0005-0000-0000-00004A110000}"/>
    <cellStyle name="Comma 5 2 5 4 3 3" xfId="10068" xr:uid="{00000000-0005-0000-0000-00004B110000}"/>
    <cellStyle name="Comma 5 2 5 4 3 3 2" xfId="35625" xr:uid="{00000000-0005-0000-0000-00004C110000}"/>
    <cellStyle name="Comma 5 2 5 4 3 4" xfId="18891" xr:uid="{00000000-0005-0000-0000-00004D110000}"/>
    <cellStyle name="Comma 5 2 5 4 3 4 2" xfId="44444" xr:uid="{00000000-0005-0000-0000-00004E110000}"/>
    <cellStyle name="Comma 5 2 5 4 3 5" xfId="30381" xr:uid="{00000000-0005-0000-0000-00004F110000}"/>
    <cellStyle name="Comma 5 2 5 4 4" xfId="2241" xr:uid="{00000000-0005-0000-0000-000050110000}"/>
    <cellStyle name="Comma 5 2 5 4 4 2" xfId="11606" xr:uid="{00000000-0005-0000-0000-000051110000}"/>
    <cellStyle name="Comma 5 2 5 4 4 2 2" xfId="37161" xr:uid="{00000000-0005-0000-0000-000052110000}"/>
    <cellStyle name="Comma 5 2 5 4 4 3" xfId="21610" xr:uid="{00000000-0005-0000-0000-000053110000}"/>
    <cellStyle name="Comma 5 2 5 4 4 3 2" xfId="47163" xr:uid="{00000000-0005-0000-0000-000054110000}"/>
    <cellStyle name="Comma 5 2 5 4 4 4" xfId="28093" xr:uid="{00000000-0005-0000-0000-000055110000}"/>
    <cellStyle name="Comma 5 2 5 4 5" xfId="6265" xr:uid="{00000000-0005-0000-0000-000056110000}"/>
    <cellStyle name="Comma 5 2 5 4 5 2" xfId="15092" xr:uid="{00000000-0005-0000-0000-000057110000}"/>
    <cellStyle name="Comma 5 2 5 4 5 2 2" xfId="40647" xr:uid="{00000000-0005-0000-0000-000058110000}"/>
    <cellStyle name="Comma 5 2 5 4 5 3" xfId="25343" xr:uid="{00000000-0005-0000-0000-000059110000}"/>
    <cellStyle name="Comma 5 2 5 4 5 3 2" xfId="50896" xr:uid="{00000000-0005-0000-0000-00005A110000}"/>
    <cellStyle name="Comma 5 2 5 4 5 4" xfId="31826" xr:uid="{00000000-0005-0000-0000-00005B110000}"/>
    <cellStyle name="Comma 5 2 5 4 6" xfId="7711" xr:uid="{00000000-0005-0000-0000-00005C110000}"/>
    <cellStyle name="Comma 5 2 5 4 6 2" xfId="20092" xr:uid="{00000000-0005-0000-0000-00005D110000}"/>
    <cellStyle name="Comma 5 2 5 4 6 2 2" xfId="45645" xr:uid="{00000000-0005-0000-0000-00005E110000}"/>
    <cellStyle name="Comma 5 2 5 4 6 3" xfId="33268" xr:uid="{00000000-0005-0000-0000-00005F110000}"/>
    <cellStyle name="Comma 5 2 5 4 7" xfId="16603" xr:uid="{00000000-0005-0000-0000-000060110000}"/>
    <cellStyle name="Comma 5 2 5 4 7 2" xfId="42156" xr:uid="{00000000-0005-0000-0000-000061110000}"/>
    <cellStyle name="Comma 5 2 5 4 8" xfId="26575" xr:uid="{00000000-0005-0000-0000-000062110000}"/>
    <cellStyle name="Comma 5 2 5 5" xfId="1172" xr:uid="{00000000-0005-0000-0000-000063110000}"/>
    <cellStyle name="Comma 5 2 5 5 2" xfId="3601" xr:uid="{00000000-0005-0000-0000-000064110000}"/>
    <cellStyle name="Comma 5 2 5 5 2 2" xfId="12737" xr:uid="{00000000-0005-0000-0000-000065110000}"/>
    <cellStyle name="Comma 5 2 5 5 2 2 2" xfId="22956" xr:uid="{00000000-0005-0000-0000-000066110000}"/>
    <cellStyle name="Comma 5 2 5 5 2 2 2 2" xfId="48509" xr:uid="{00000000-0005-0000-0000-000067110000}"/>
    <cellStyle name="Comma 5 2 5 5 2 2 3" xfId="38292" xr:uid="{00000000-0005-0000-0000-000068110000}"/>
    <cellStyle name="Comma 5 2 5 5 2 3" xfId="9158" xr:uid="{00000000-0005-0000-0000-000069110000}"/>
    <cellStyle name="Comma 5 2 5 5 2 3 2" xfId="34715" xr:uid="{00000000-0005-0000-0000-00006A110000}"/>
    <cellStyle name="Comma 5 2 5 5 2 4" xfId="17949" xr:uid="{00000000-0005-0000-0000-00006B110000}"/>
    <cellStyle name="Comma 5 2 5 5 2 4 2" xfId="43502" xr:uid="{00000000-0005-0000-0000-00006C110000}"/>
    <cellStyle name="Comma 5 2 5 5 2 5" xfId="29439" xr:uid="{00000000-0005-0000-0000-00006D110000}"/>
    <cellStyle name="Comma 5 2 5 5 3" xfId="5264" xr:uid="{00000000-0005-0000-0000-00006E110000}"/>
    <cellStyle name="Comma 5 2 5 5 3 2" xfId="14101" xr:uid="{00000000-0005-0000-0000-00006F110000}"/>
    <cellStyle name="Comma 5 2 5 5 3 2 2" xfId="24352" xr:uid="{00000000-0005-0000-0000-000070110000}"/>
    <cellStyle name="Comma 5 2 5 5 3 2 2 2" xfId="49905" xr:uid="{00000000-0005-0000-0000-000071110000}"/>
    <cellStyle name="Comma 5 2 5 5 3 2 3" xfId="39656" xr:uid="{00000000-0005-0000-0000-000072110000}"/>
    <cellStyle name="Comma 5 2 5 5 3 3" xfId="10522" xr:uid="{00000000-0005-0000-0000-000073110000}"/>
    <cellStyle name="Comma 5 2 5 5 3 3 2" xfId="36079" xr:uid="{00000000-0005-0000-0000-000074110000}"/>
    <cellStyle name="Comma 5 2 5 5 3 4" xfId="19345" xr:uid="{00000000-0005-0000-0000-000075110000}"/>
    <cellStyle name="Comma 5 2 5 5 3 4 2" xfId="44898" xr:uid="{00000000-0005-0000-0000-000076110000}"/>
    <cellStyle name="Comma 5 2 5 5 3 5" xfId="30835" xr:uid="{00000000-0005-0000-0000-000077110000}"/>
    <cellStyle name="Comma 5 2 5 5 4" xfId="1774" xr:uid="{00000000-0005-0000-0000-000078110000}"/>
    <cellStyle name="Comma 5 2 5 5 4 2" xfId="11143" xr:uid="{00000000-0005-0000-0000-000079110000}"/>
    <cellStyle name="Comma 5 2 5 5 4 2 2" xfId="36698" xr:uid="{00000000-0005-0000-0000-00007A110000}"/>
    <cellStyle name="Comma 5 2 5 5 4 3" xfId="21147" xr:uid="{00000000-0005-0000-0000-00007B110000}"/>
    <cellStyle name="Comma 5 2 5 5 4 3 2" xfId="46700" xr:uid="{00000000-0005-0000-0000-00007C110000}"/>
    <cellStyle name="Comma 5 2 5 5 4 4" xfId="27630" xr:uid="{00000000-0005-0000-0000-00007D110000}"/>
    <cellStyle name="Comma 5 2 5 5 5" xfId="6719" xr:uid="{00000000-0005-0000-0000-00007E110000}"/>
    <cellStyle name="Comma 5 2 5 5 5 2" xfId="15546" xr:uid="{00000000-0005-0000-0000-00007F110000}"/>
    <cellStyle name="Comma 5 2 5 5 5 2 2" xfId="41101" xr:uid="{00000000-0005-0000-0000-000080110000}"/>
    <cellStyle name="Comma 5 2 5 5 5 3" xfId="25797" xr:uid="{00000000-0005-0000-0000-000081110000}"/>
    <cellStyle name="Comma 5 2 5 5 5 3 2" xfId="51350" xr:uid="{00000000-0005-0000-0000-000082110000}"/>
    <cellStyle name="Comma 5 2 5 5 5 4" xfId="32280" xr:uid="{00000000-0005-0000-0000-000083110000}"/>
    <cellStyle name="Comma 5 2 5 5 6" xfId="8165" xr:uid="{00000000-0005-0000-0000-000084110000}"/>
    <cellStyle name="Comma 5 2 5 5 6 2" xfId="20555" xr:uid="{00000000-0005-0000-0000-000085110000}"/>
    <cellStyle name="Comma 5 2 5 5 6 2 2" xfId="46108" xr:uid="{00000000-0005-0000-0000-000086110000}"/>
    <cellStyle name="Comma 5 2 5 5 6 3" xfId="33722" xr:uid="{00000000-0005-0000-0000-000087110000}"/>
    <cellStyle name="Comma 5 2 5 5 7" xfId="16140" xr:uid="{00000000-0005-0000-0000-000088110000}"/>
    <cellStyle name="Comma 5 2 5 5 7 2" xfId="41693" xr:uid="{00000000-0005-0000-0000-000089110000}"/>
    <cellStyle name="Comma 5 2 5 5 8" xfId="27038" xr:uid="{00000000-0005-0000-0000-00008A110000}"/>
    <cellStyle name="Comma 5 2 5 6" xfId="2669" xr:uid="{00000000-0005-0000-0000-00008B110000}"/>
    <cellStyle name="Comma 5 2 5 6 2" xfId="11986" xr:uid="{00000000-0005-0000-0000-00008C110000}"/>
    <cellStyle name="Comma 5 2 5 6 2 2" xfId="22030" xr:uid="{00000000-0005-0000-0000-00008D110000}"/>
    <cellStyle name="Comma 5 2 5 6 2 2 2" xfId="47583" xr:uid="{00000000-0005-0000-0000-00008E110000}"/>
    <cellStyle name="Comma 5 2 5 6 2 3" xfId="37541" xr:uid="{00000000-0005-0000-0000-00008F110000}"/>
    <cellStyle name="Comma 5 2 5 6 3" xfId="8498" xr:uid="{00000000-0005-0000-0000-000090110000}"/>
    <cellStyle name="Comma 5 2 5 6 3 2" xfId="34055" xr:uid="{00000000-0005-0000-0000-000091110000}"/>
    <cellStyle name="Comma 5 2 5 6 4" xfId="17023" xr:uid="{00000000-0005-0000-0000-000092110000}"/>
    <cellStyle name="Comma 5 2 5 6 4 2" xfId="42576" xr:uid="{00000000-0005-0000-0000-000093110000}"/>
    <cellStyle name="Comma 5 2 5 6 5" xfId="28513" xr:uid="{00000000-0005-0000-0000-000094110000}"/>
    <cellStyle name="Comma 5 2 5 7" xfId="4220" xr:uid="{00000000-0005-0000-0000-000095110000}"/>
    <cellStyle name="Comma 5 2 5 7 2" xfId="13058" xr:uid="{00000000-0005-0000-0000-000096110000}"/>
    <cellStyle name="Comma 5 2 5 7 2 2" xfId="23309" xr:uid="{00000000-0005-0000-0000-000097110000}"/>
    <cellStyle name="Comma 5 2 5 7 2 2 2" xfId="48862" xr:uid="{00000000-0005-0000-0000-000098110000}"/>
    <cellStyle name="Comma 5 2 5 7 2 3" xfId="38613" xr:uid="{00000000-0005-0000-0000-000099110000}"/>
    <cellStyle name="Comma 5 2 5 7 3" xfId="9479" xr:uid="{00000000-0005-0000-0000-00009A110000}"/>
    <cellStyle name="Comma 5 2 5 7 3 2" xfId="35036" xr:uid="{00000000-0005-0000-0000-00009B110000}"/>
    <cellStyle name="Comma 5 2 5 7 4" xfId="18302" xr:uid="{00000000-0005-0000-0000-00009C110000}"/>
    <cellStyle name="Comma 5 2 5 7 4 2" xfId="43855" xr:uid="{00000000-0005-0000-0000-00009D110000}"/>
    <cellStyle name="Comma 5 2 5 7 5" xfId="29792" xr:uid="{00000000-0005-0000-0000-00009E110000}"/>
    <cellStyle name="Comma 5 2 5 8" xfId="1492" xr:uid="{00000000-0005-0000-0000-00009F110000}"/>
    <cellStyle name="Comma 5 2 5 8 2" xfId="10869" xr:uid="{00000000-0005-0000-0000-0000A0110000}"/>
    <cellStyle name="Comma 5 2 5 8 2 2" xfId="36424" xr:uid="{00000000-0005-0000-0000-0000A1110000}"/>
    <cellStyle name="Comma 5 2 5 8 3" xfId="20873" xr:uid="{00000000-0005-0000-0000-0000A2110000}"/>
    <cellStyle name="Comma 5 2 5 8 3 2" xfId="46426" xr:uid="{00000000-0005-0000-0000-0000A3110000}"/>
    <cellStyle name="Comma 5 2 5 8 4" xfId="27356" xr:uid="{00000000-0005-0000-0000-0000A4110000}"/>
    <cellStyle name="Comma 5 2 5 9" xfId="5676" xr:uid="{00000000-0005-0000-0000-0000A5110000}"/>
    <cellStyle name="Comma 5 2 5 9 2" xfId="14503" xr:uid="{00000000-0005-0000-0000-0000A6110000}"/>
    <cellStyle name="Comma 5 2 5 9 2 2" xfId="40058" xr:uid="{00000000-0005-0000-0000-0000A7110000}"/>
    <cellStyle name="Comma 5 2 5 9 3" xfId="24754" xr:uid="{00000000-0005-0000-0000-0000A8110000}"/>
    <cellStyle name="Comma 5 2 5 9 3 2" xfId="50307" xr:uid="{00000000-0005-0000-0000-0000A9110000}"/>
    <cellStyle name="Comma 5 2 5 9 4" xfId="31237" xr:uid="{00000000-0005-0000-0000-0000AA110000}"/>
    <cellStyle name="Comma 5 2 6" xfId="225" xr:uid="{00000000-0005-0000-0000-0000AB110000}"/>
    <cellStyle name="Comma 5 2 6 10" xfId="7063" xr:uid="{00000000-0005-0000-0000-0000AC110000}"/>
    <cellStyle name="Comma 5 2 6 10 2" xfId="19677" xr:uid="{00000000-0005-0000-0000-0000AD110000}"/>
    <cellStyle name="Comma 5 2 6 10 2 2" xfId="45230" xr:uid="{00000000-0005-0000-0000-0000AE110000}"/>
    <cellStyle name="Comma 5 2 6 10 3" xfId="32620" xr:uid="{00000000-0005-0000-0000-0000AF110000}"/>
    <cellStyle name="Comma 5 2 6 11" xfId="15809" xr:uid="{00000000-0005-0000-0000-0000B0110000}"/>
    <cellStyle name="Comma 5 2 6 11 2" xfId="41362" xr:uid="{00000000-0005-0000-0000-0000B1110000}"/>
    <cellStyle name="Comma 5 2 6 12" xfId="26160" xr:uid="{00000000-0005-0000-0000-0000B2110000}"/>
    <cellStyle name="Comma 5 2 6 2" xfId="548" xr:uid="{00000000-0005-0000-0000-0000B3110000}"/>
    <cellStyle name="Comma 5 2 6 2 10" xfId="26477" xr:uid="{00000000-0005-0000-0000-0000B4110000}"/>
    <cellStyle name="Comma 5 2 6 2 2" xfId="649" xr:uid="{00000000-0005-0000-0000-0000B5110000}"/>
    <cellStyle name="Comma 5 2 6 2 2 2" xfId="3135" xr:uid="{00000000-0005-0000-0000-0000B6110000}"/>
    <cellStyle name="Comma 5 2 6 2 2 2 2" xfId="12278" xr:uid="{00000000-0005-0000-0000-0000B7110000}"/>
    <cellStyle name="Comma 5 2 6 2 2 2 2 2" xfId="22496" xr:uid="{00000000-0005-0000-0000-0000B8110000}"/>
    <cellStyle name="Comma 5 2 6 2 2 2 2 2 2" xfId="48049" xr:uid="{00000000-0005-0000-0000-0000B9110000}"/>
    <cellStyle name="Comma 5 2 6 2 2 2 2 3" xfId="37833" xr:uid="{00000000-0005-0000-0000-0000BA110000}"/>
    <cellStyle name="Comma 5 2 6 2 2 2 3" xfId="8700" xr:uid="{00000000-0005-0000-0000-0000BB110000}"/>
    <cellStyle name="Comma 5 2 6 2 2 2 3 2" xfId="34257" xr:uid="{00000000-0005-0000-0000-0000BC110000}"/>
    <cellStyle name="Comma 5 2 6 2 2 2 4" xfId="17489" xr:uid="{00000000-0005-0000-0000-0000BD110000}"/>
    <cellStyle name="Comma 5 2 6 2 2 2 4 2" xfId="43042" xr:uid="{00000000-0005-0000-0000-0000BE110000}"/>
    <cellStyle name="Comma 5 2 6 2 2 2 5" xfId="28979" xr:uid="{00000000-0005-0000-0000-0000BF110000}"/>
    <cellStyle name="Comma 5 2 6 2 2 3" xfId="4464" xr:uid="{00000000-0005-0000-0000-0000C0110000}"/>
    <cellStyle name="Comma 5 2 6 2 2 3 2" xfId="13302" xr:uid="{00000000-0005-0000-0000-0000C1110000}"/>
    <cellStyle name="Comma 5 2 6 2 2 3 2 2" xfId="23553" xr:uid="{00000000-0005-0000-0000-0000C2110000}"/>
    <cellStyle name="Comma 5 2 6 2 2 3 2 2 2" xfId="49106" xr:uid="{00000000-0005-0000-0000-0000C3110000}"/>
    <cellStyle name="Comma 5 2 6 2 2 3 2 3" xfId="38857" xr:uid="{00000000-0005-0000-0000-0000C4110000}"/>
    <cellStyle name="Comma 5 2 6 2 2 3 3" xfId="9723" xr:uid="{00000000-0005-0000-0000-0000C5110000}"/>
    <cellStyle name="Comma 5 2 6 2 2 3 3 2" xfId="35280" xr:uid="{00000000-0005-0000-0000-0000C6110000}"/>
    <cellStyle name="Comma 5 2 6 2 2 3 4" xfId="18546" xr:uid="{00000000-0005-0000-0000-0000C7110000}"/>
    <cellStyle name="Comma 5 2 6 2 2 3 4 2" xfId="44099" xr:uid="{00000000-0005-0000-0000-0000C8110000}"/>
    <cellStyle name="Comma 5 2 6 2 2 3 5" xfId="30036" xr:uid="{00000000-0005-0000-0000-0000C9110000}"/>
    <cellStyle name="Comma 5 2 6 2 2 4" xfId="2244" xr:uid="{00000000-0005-0000-0000-0000CA110000}"/>
    <cellStyle name="Comma 5 2 6 2 2 4 2" xfId="11609" xr:uid="{00000000-0005-0000-0000-0000CB110000}"/>
    <cellStyle name="Comma 5 2 6 2 2 4 2 2" xfId="37164" xr:uid="{00000000-0005-0000-0000-0000CC110000}"/>
    <cellStyle name="Comma 5 2 6 2 2 4 3" xfId="21613" xr:uid="{00000000-0005-0000-0000-0000CD110000}"/>
    <cellStyle name="Comma 5 2 6 2 2 4 3 2" xfId="47166" xr:uid="{00000000-0005-0000-0000-0000CE110000}"/>
    <cellStyle name="Comma 5 2 6 2 2 4 4" xfId="28096" xr:uid="{00000000-0005-0000-0000-0000CF110000}"/>
    <cellStyle name="Comma 5 2 6 2 2 5" xfId="5920" xr:uid="{00000000-0005-0000-0000-0000D0110000}"/>
    <cellStyle name="Comma 5 2 6 2 2 5 2" xfId="14747" xr:uid="{00000000-0005-0000-0000-0000D1110000}"/>
    <cellStyle name="Comma 5 2 6 2 2 5 2 2" xfId="40302" xr:uid="{00000000-0005-0000-0000-0000D2110000}"/>
    <cellStyle name="Comma 5 2 6 2 2 5 3" xfId="24998" xr:uid="{00000000-0005-0000-0000-0000D3110000}"/>
    <cellStyle name="Comma 5 2 6 2 2 5 3 2" xfId="50551" xr:uid="{00000000-0005-0000-0000-0000D4110000}"/>
    <cellStyle name="Comma 5 2 6 2 2 5 4" xfId="31481" xr:uid="{00000000-0005-0000-0000-0000D5110000}"/>
    <cellStyle name="Comma 5 2 6 2 2 6" xfId="7364" xr:uid="{00000000-0005-0000-0000-0000D6110000}"/>
    <cellStyle name="Comma 5 2 6 2 2 6 2" xfId="20095" xr:uid="{00000000-0005-0000-0000-0000D7110000}"/>
    <cellStyle name="Comma 5 2 6 2 2 6 2 2" xfId="45648" xr:uid="{00000000-0005-0000-0000-0000D8110000}"/>
    <cellStyle name="Comma 5 2 6 2 2 6 3" xfId="32921" xr:uid="{00000000-0005-0000-0000-0000D9110000}"/>
    <cellStyle name="Comma 5 2 6 2 2 7" xfId="16606" xr:uid="{00000000-0005-0000-0000-0000DA110000}"/>
    <cellStyle name="Comma 5 2 6 2 2 7 2" xfId="42159" xr:uid="{00000000-0005-0000-0000-0000DB110000}"/>
    <cellStyle name="Comma 5 2 6 2 2 8" xfId="26578" xr:uid="{00000000-0005-0000-0000-0000DC110000}"/>
    <cellStyle name="Comma 5 2 6 2 3" xfId="1320" xr:uid="{00000000-0005-0000-0000-0000DD110000}"/>
    <cellStyle name="Comma 5 2 6 2 3 2" xfId="3749" xr:uid="{00000000-0005-0000-0000-0000DE110000}"/>
    <cellStyle name="Comma 5 2 6 2 3 2 2" xfId="12885" xr:uid="{00000000-0005-0000-0000-0000DF110000}"/>
    <cellStyle name="Comma 5 2 6 2 3 2 2 2" xfId="23104" xr:uid="{00000000-0005-0000-0000-0000E0110000}"/>
    <cellStyle name="Comma 5 2 6 2 3 2 2 2 2" xfId="48657" xr:uid="{00000000-0005-0000-0000-0000E1110000}"/>
    <cellStyle name="Comma 5 2 6 2 3 2 2 3" xfId="38440" xr:uid="{00000000-0005-0000-0000-0000E2110000}"/>
    <cellStyle name="Comma 5 2 6 2 3 2 3" xfId="9306" xr:uid="{00000000-0005-0000-0000-0000E3110000}"/>
    <cellStyle name="Comma 5 2 6 2 3 2 3 2" xfId="34863" xr:uid="{00000000-0005-0000-0000-0000E4110000}"/>
    <cellStyle name="Comma 5 2 6 2 3 2 4" xfId="18097" xr:uid="{00000000-0005-0000-0000-0000E5110000}"/>
    <cellStyle name="Comma 5 2 6 2 3 2 4 2" xfId="43650" xr:uid="{00000000-0005-0000-0000-0000E6110000}"/>
    <cellStyle name="Comma 5 2 6 2 3 2 5" xfId="29587" xr:uid="{00000000-0005-0000-0000-0000E7110000}"/>
    <cellStyle name="Comma 5 2 6 2 3 3" xfId="4813" xr:uid="{00000000-0005-0000-0000-0000E8110000}"/>
    <cellStyle name="Comma 5 2 6 2 3 3 2" xfId="13650" xr:uid="{00000000-0005-0000-0000-0000E9110000}"/>
    <cellStyle name="Comma 5 2 6 2 3 3 2 2" xfId="23901" xr:uid="{00000000-0005-0000-0000-0000EA110000}"/>
    <cellStyle name="Comma 5 2 6 2 3 3 2 2 2" xfId="49454" xr:uid="{00000000-0005-0000-0000-0000EB110000}"/>
    <cellStyle name="Comma 5 2 6 2 3 3 2 3" xfId="39205" xr:uid="{00000000-0005-0000-0000-0000EC110000}"/>
    <cellStyle name="Comma 5 2 6 2 3 3 3" xfId="10071" xr:uid="{00000000-0005-0000-0000-0000ED110000}"/>
    <cellStyle name="Comma 5 2 6 2 3 3 3 2" xfId="35628" xr:uid="{00000000-0005-0000-0000-0000EE110000}"/>
    <cellStyle name="Comma 5 2 6 2 3 3 4" xfId="18894" xr:uid="{00000000-0005-0000-0000-0000EF110000}"/>
    <cellStyle name="Comma 5 2 6 2 3 3 4 2" xfId="44447" xr:uid="{00000000-0005-0000-0000-0000F0110000}"/>
    <cellStyle name="Comma 5 2 6 2 3 3 5" xfId="30384" xr:uid="{00000000-0005-0000-0000-0000F1110000}"/>
    <cellStyle name="Comma 5 2 6 2 3 4" xfId="2143" xr:uid="{00000000-0005-0000-0000-0000F2110000}"/>
    <cellStyle name="Comma 5 2 6 2 3 4 2" xfId="11508" xr:uid="{00000000-0005-0000-0000-0000F3110000}"/>
    <cellStyle name="Comma 5 2 6 2 3 4 2 2" xfId="37063" xr:uid="{00000000-0005-0000-0000-0000F4110000}"/>
    <cellStyle name="Comma 5 2 6 2 3 4 3" xfId="21512" xr:uid="{00000000-0005-0000-0000-0000F5110000}"/>
    <cellStyle name="Comma 5 2 6 2 3 4 3 2" xfId="47065" xr:uid="{00000000-0005-0000-0000-0000F6110000}"/>
    <cellStyle name="Comma 5 2 6 2 3 4 4" xfId="27995" xr:uid="{00000000-0005-0000-0000-0000F7110000}"/>
    <cellStyle name="Comma 5 2 6 2 3 5" xfId="6268" xr:uid="{00000000-0005-0000-0000-0000F8110000}"/>
    <cellStyle name="Comma 5 2 6 2 3 5 2" xfId="15095" xr:uid="{00000000-0005-0000-0000-0000F9110000}"/>
    <cellStyle name="Comma 5 2 6 2 3 5 2 2" xfId="40650" xr:uid="{00000000-0005-0000-0000-0000FA110000}"/>
    <cellStyle name="Comma 5 2 6 2 3 5 3" xfId="25346" xr:uid="{00000000-0005-0000-0000-0000FB110000}"/>
    <cellStyle name="Comma 5 2 6 2 3 5 3 2" xfId="50899" xr:uid="{00000000-0005-0000-0000-0000FC110000}"/>
    <cellStyle name="Comma 5 2 6 2 3 5 4" xfId="31829" xr:uid="{00000000-0005-0000-0000-0000FD110000}"/>
    <cellStyle name="Comma 5 2 6 2 3 6" xfId="7714" xr:uid="{00000000-0005-0000-0000-0000FE110000}"/>
    <cellStyle name="Comma 5 2 6 2 3 6 2" xfId="20703" xr:uid="{00000000-0005-0000-0000-0000FF110000}"/>
    <cellStyle name="Comma 5 2 6 2 3 6 2 2" xfId="46256" xr:uid="{00000000-0005-0000-0000-000000120000}"/>
    <cellStyle name="Comma 5 2 6 2 3 6 3" xfId="33271" xr:uid="{00000000-0005-0000-0000-000001120000}"/>
    <cellStyle name="Comma 5 2 6 2 3 7" xfId="16505" xr:uid="{00000000-0005-0000-0000-000002120000}"/>
    <cellStyle name="Comma 5 2 6 2 3 7 2" xfId="42058" xr:uid="{00000000-0005-0000-0000-000003120000}"/>
    <cellStyle name="Comma 5 2 6 2 3 8" xfId="27186" xr:uid="{00000000-0005-0000-0000-000004120000}"/>
    <cellStyle name="Comma 5 2 6 2 4" xfId="3034" xr:uid="{00000000-0005-0000-0000-000005120000}"/>
    <cellStyle name="Comma 5 2 6 2 4 2" xfId="5412" xr:uid="{00000000-0005-0000-0000-000006120000}"/>
    <cellStyle name="Comma 5 2 6 2 4 2 2" xfId="14249" xr:uid="{00000000-0005-0000-0000-000007120000}"/>
    <cellStyle name="Comma 5 2 6 2 4 2 2 2" xfId="24500" xr:uid="{00000000-0005-0000-0000-000008120000}"/>
    <cellStyle name="Comma 5 2 6 2 4 2 2 2 2" xfId="50053" xr:uid="{00000000-0005-0000-0000-000009120000}"/>
    <cellStyle name="Comma 5 2 6 2 4 2 2 3" xfId="39804" xr:uid="{00000000-0005-0000-0000-00000A120000}"/>
    <cellStyle name="Comma 5 2 6 2 4 2 3" xfId="10670" xr:uid="{00000000-0005-0000-0000-00000B120000}"/>
    <cellStyle name="Comma 5 2 6 2 4 2 3 2" xfId="36227" xr:uid="{00000000-0005-0000-0000-00000C120000}"/>
    <cellStyle name="Comma 5 2 6 2 4 2 4" xfId="19493" xr:uid="{00000000-0005-0000-0000-00000D120000}"/>
    <cellStyle name="Comma 5 2 6 2 4 2 4 2" xfId="45046" xr:uid="{00000000-0005-0000-0000-00000E120000}"/>
    <cellStyle name="Comma 5 2 6 2 4 2 5" xfId="30983" xr:uid="{00000000-0005-0000-0000-00000F120000}"/>
    <cellStyle name="Comma 5 2 6 2 4 3" xfId="6867" xr:uid="{00000000-0005-0000-0000-000010120000}"/>
    <cellStyle name="Comma 5 2 6 2 4 3 2" xfId="15694" xr:uid="{00000000-0005-0000-0000-000011120000}"/>
    <cellStyle name="Comma 5 2 6 2 4 3 2 2" xfId="41249" xr:uid="{00000000-0005-0000-0000-000012120000}"/>
    <cellStyle name="Comma 5 2 6 2 4 3 3" xfId="25945" xr:uid="{00000000-0005-0000-0000-000013120000}"/>
    <cellStyle name="Comma 5 2 6 2 4 3 3 2" xfId="51498" xr:uid="{00000000-0005-0000-0000-000014120000}"/>
    <cellStyle name="Comma 5 2 6 2 4 3 4" xfId="32428" xr:uid="{00000000-0005-0000-0000-000015120000}"/>
    <cellStyle name="Comma 5 2 6 2 4 4" xfId="8313" xr:uid="{00000000-0005-0000-0000-000016120000}"/>
    <cellStyle name="Comma 5 2 6 2 4 4 2" xfId="22395" xr:uid="{00000000-0005-0000-0000-000017120000}"/>
    <cellStyle name="Comma 5 2 6 2 4 4 2 2" xfId="47948" xr:uid="{00000000-0005-0000-0000-000018120000}"/>
    <cellStyle name="Comma 5 2 6 2 4 4 3" xfId="33870" xr:uid="{00000000-0005-0000-0000-000019120000}"/>
    <cellStyle name="Comma 5 2 6 2 4 5" xfId="17388" xr:uid="{00000000-0005-0000-0000-00001A120000}"/>
    <cellStyle name="Comma 5 2 6 2 4 5 2" xfId="42941" xr:uid="{00000000-0005-0000-0000-00001B120000}"/>
    <cellStyle name="Comma 5 2 6 2 4 6" xfId="28878" xr:uid="{00000000-0005-0000-0000-00001C120000}"/>
    <cellStyle name="Comma 5 2 6 2 5" xfId="4368" xr:uid="{00000000-0005-0000-0000-00001D120000}"/>
    <cellStyle name="Comma 5 2 6 2 5 2" xfId="13206" xr:uid="{00000000-0005-0000-0000-00001E120000}"/>
    <cellStyle name="Comma 5 2 6 2 5 2 2" xfId="23457" xr:uid="{00000000-0005-0000-0000-00001F120000}"/>
    <cellStyle name="Comma 5 2 6 2 5 2 2 2" xfId="49010" xr:uid="{00000000-0005-0000-0000-000020120000}"/>
    <cellStyle name="Comma 5 2 6 2 5 2 3" xfId="38761" xr:uid="{00000000-0005-0000-0000-000021120000}"/>
    <cellStyle name="Comma 5 2 6 2 5 3" xfId="9627" xr:uid="{00000000-0005-0000-0000-000022120000}"/>
    <cellStyle name="Comma 5 2 6 2 5 3 2" xfId="35184" xr:uid="{00000000-0005-0000-0000-000023120000}"/>
    <cellStyle name="Comma 5 2 6 2 5 4" xfId="18450" xr:uid="{00000000-0005-0000-0000-000024120000}"/>
    <cellStyle name="Comma 5 2 6 2 5 4 2" xfId="44003" xr:uid="{00000000-0005-0000-0000-000025120000}"/>
    <cellStyle name="Comma 5 2 6 2 5 5" xfId="29940" xr:uid="{00000000-0005-0000-0000-000026120000}"/>
    <cellStyle name="Comma 5 2 6 2 6" xfId="1640" xr:uid="{00000000-0005-0000-0000-000027120000}"/>
    <cellStyle name="Comma 5 2 6 2 6 2" xfId="11017" xr:uid="{00000000-0005-0000-0000-000028120000}"/>
    <cellStyle name="Comma 5 2 6 2 6 2 2" xfId="36572" xr:uid="{00000000-0005-0000-0000-000029120000}"/>
    <cellStyle name="Comma 5 2 6 2 6 3" xfId="21021" xr:uid="{00000000-0005-0000-0000-00002A120000}"/>
    <cellStyle name="Comma 5 2 6 2 6 3 2" xfId="46574" xr:uid="{00000000-0005-0000-0000-00002B120000}"/>
    <cellStyle name="Comma 5 2 6 2 6 4" xfId="27504" xr:uid="{00000000-0005-0000-0000-00002C120000}"/>
    <cellStyle name="Comma 5 2 6 2 7" xfId="5824" xr:uid="{00000000-0005-0000-0000-00002D120000}"/>
    <cellStyle name="Comma 5 2 6 2 7 2" xfId="14651" xr:uid="{00000000-0005-0000-0000-00002E120000}"/>
    <cellStyle name="Comma 5 2 6 2 7 2 2" xfId="40206" xr:uid="{00000000-0005-0000-0000-00002F120000}"/>
    <cellStyle name="Comma 5 2 6 2 7 3" xfId="24902" xr:uid="{00000000-0005-0000-0000-000030120000}"/>
    <cellStyle name="Comma 5 2 6 2 7 3 2" xfId="50455" xr:uid="{00000000-0005-0000-0000-000031120000}"/>
    <cellStyle name="Comma 5 2 6 2 7 4" xfId="31385" xr:uid="{00000000-0005-0000-0000-000032120000}"/>
    <cellStyle name="Comma 5 2 6 2 8" xfId="7268" xr:uid="{00000000-0005-0000-0000-000033120000}"/>
    <cellStyle name="Comma 5 2 6 2 8 2" xfId="19994" xr:uid="{00000000-0005-0000-0000-000034120000}"/>
    <cellStyle name="Comma 5 2 6 2 8 2 2" xfId="45547" xr:uid="{00000000-0005-0000-0000-000035120000}"/>
    <cellStyle name="Comma 5 2 6 2 8 3" xfId="32825" xr:uid="{00000000-0005-0000-0000-000036120000}"/>
    <cellStyle name="Comma 5 2 6 2 9" xfId="16014" xr:uid="{00000000-0005-0000-0000-000037120000}"/>
    <cellStyle name="Comma 5 2 6 2 9 2" xfId="41567" xr:uid="{00000000-0005-0000-0000-000038120000}"/>
    <cellStyle name="Comma 5 2 6 3" xfId="343" xr:uid="{00000000-0005-0000-0000-000039120000}"/>
    <cellStyle name="Comma 5 2 6 3 2" xfId="2829" xr:uid="{00000000-0005-0000-0000-00003A120000}"/>
    <cellStyle name="Comma 5 2 6 3 2 2" xfId="12117" xr:uid="{00000000-0005-0000-0000-00003B120000}"/>
    <cellStyle name="Comma 5 2 6 3 2 2 2" xfId="22190" xr:uid="{00000000-0005-0000-0000-00003C120000}"/>
    <cellStyle name="Comma 5 2 6 3 2 2 2 2" xfId="47743" xr:uid="{00000000-0005-0000-0000-00003D120000}"/>
    <cellStyle name="Comma 5 2 6 3 2 2 3" xfId="37672" xr:uid="{00000000-0005-0000-0000-00003E120000}"/>
    <cellStyle name="Comma 5 2 6 3 2 3" xfId="8468" xr:uid="{00000000-0005-0000-0000-00003F120000}"/>
    <cellStyle name="Comma 5 2 6 3 2 3 2" xfId="34025" xr:uid="{00000000-0005-0000-0000-000040120000}"/>
    <cellStyle name="Comma 5 2 6 3 2 4" xfId="17183" xr:uid="{00000000-0005-0000-0000-000041120000}"/>
    <cellStyle name="Comma 5 2 6 3 2 4 2" xfId="42736" xr:uid="{00000000-0005-0000-0000-000042120000}"/>
    <cellStyle name="Comma 5 2 6 3 2 5" xfId="28673" xr:uid="{00000000-0005-0000-0000-000043120000}"/>
    <cellStyle name="Comma 5 2 6 3 3" xfId="4463" xr:uid="{00000000-0005-0000-0000-000044120000}"/>
    <cellStyle name="Comma 5 2 6 3 3 2" xfId="13301" xr:uid="{00000000-0005-0000-0000-000045120000}"/>
    <cellStyle name="Comma 5 2 6 3 3 2 2" xfId="23552" xr:uid="{00000000-0005-0000-0000-000046120000}"/>
    <cellStyle name="Comma 5 2 6 3 3 2 2 2" xfId="49105" xr:uid="{00000000-0005-0000-0000-000047120000}"/>
    <cellStyle name="Comma 5 2 6 3 3 2 3" xfId="38856" xr:uid="{00000000-0005-0000-0000-000048120000}"/>
    <cellStyle name="Comma 5 2 6 3 3 3" xfId="9722" xr:uid="{00000000-0005-0000-0000-000049120000}"/>
    <cellStyle name="Comma 5 2 6 3 3 3 2" xfId="35279" xr:uid="{00000000-0005-0000-0000-00004A120000}"/>
    <cellStyle name="Comma 5 2 6 3 3 4" xfId="18545" xr:uid="{00000000-0005-0000-0000-00004B120000}"/>
    <cellStyle name="Comma 5 2 6 3 3 4 2" xfId="44098" xr:uid="{00000000-0005-0000-0000-00004C120000}"/>
    <cellStyle name="Comma 5 2 6 3 3 5" xfId="30035" xr:uid="{00000000-0005-0000-0000-00004D120000}"/>
    <cellStyle name="Comma 5 2 6 3 4" xfId="1938" xr:uid="{00000000-0005-0000-0000-00004E120000}"/>
    <cellStyle name="Comma 5 2 6 3 4 2" xfId="11303" xr:uid="{00000000-0005-0000-0000-00004F120000}"/>
    <cellStyle name="Comma 5 2 6 3 4 2 2" xfId="36858" xr:uid="{00000000-0005-0000-0000-000050120000}"/>
    <cellStyle name="Comma 5 2 6 3 4 3" xfId="21307" xr:uid="{00000000-0005-0000-0000-000051120000}"/>
    <cellStyle name="Comma 5 2 6 3 4 3 2" xfId="46860" xr:uid="{00000000-0005-0000-0000-000052120000}"/>
    <cellStyle name="Comma 5 2 6 3 4 4" xfId="27790" xr:uid="{00000000-0005-0000-0000-000053120000}"/>
    <cellStyle name="Comma 5 2 6 3 5" xfId="5919" xr:uid="{00000000-0005-0000-0000-000054120000}"/>
    <cellStyle name="Comma 5 2 6 3 5 2" xfId="14746" xr:uid="{00000000-0005-0000-0000-000055120000}"/>
    <cellStyle name="Comma 5 2 6 3 5 2 2" xfId="40301" xr:uid="{00000000-0005-0000-0000-000056120000}"/>
    <cellStyle name="Comma 5 2 6 3 5 3" xfId="24997" xr:uid="{00000000-0005-0000-0000-000057120000}"/>
    <cellStyle name="Comma 5 2 6 3 5 3 2" xfId="50550" xr:uid="{00000000-0005-0000-0000-000058120000}"/>
    <cellStyle name="Comma 5 2 6 3 5 4" xfId="31480" xr:uid="{00000000-0005-0000-0000-000059120000}"/>
    <cellStyle name="Comma 5 2 6 3 6" xfId="7363" xr:uid="{00000000-0005-0000-0000-00005A120000}"/>
    <cellStyle name="Comma 5 2 6 3 6 2" xfId="19789" xr:uid="{00000000-0005-0000-0000-00005B120000}"/>
    <cellStyle name="Comma 5 2 6 3 6 2 2" xfId="45342" xr:uid="{00000000-0005-0000-0000-00005C120000}"/>
    <cellStyle name="Comma 5 2 6 3 6 3" xfId="32920" xr:uid="{00000000-0005-0000-0000-00005D120000}"/>
    <cellStyle name="Comma 5 2 6 3 7" xfId="16300" xr:uid="{00000000-0005-0000-0000-00005E120000}"/>
    <cellStyle name="Comma 5 2 6 3 7 2" xfId="41853" xr:uid="{00000000-0005-0000-0000-00005F120000}"/>
    <cellStyle name="Comma 5 2 6 3 8" xfId="26272" xr:uid="{00000000-0005-0000-0000-000060120000}"/>
    <cellStyle name="Comma 5 2 6 4" xfId="648" xr:uid="{00000000-0005-0000-0000-000061120000}"/>
    <cellStyle name="Comma 5 2 6 4 2" xfId="3134" xr:uid="{00000000-0005-0000-0000-000062120000}"/>
    <cellStyle name="Comma 5 2 6 4 2 2" xfId="12277" xr:uid="{00000000-0005-0000-0000-000063120000}"/>
    <cellStyle name="Comma 5 2 6 4 2 2 2" xfId="22495" xr:uid="{00000000-0005-0000-0000-000064120000}"/>
    <cellStyle name="Comma 5 2 6 4 2 2 2 2" xfId="48048" xr:uid="{00000000-0005-0000-0000-000065120000}"/>
    <cellStyle name="Comma 5 2 6 4 2 2 3" xfId="37832" xr:uid="{00000000-0005-0000-0000-000066120000}"/>
    <cellStyle name="Comma 5 2 6 4 2 3" xfId="8699" xr:uid="{00000000-0005-0000-0000-000067120000}"/>
    <cellStyle name="Comma 5 2 6 4 2 3 2" xfId="34256" xr:uid="{00000000-0005-0000-0000-000068120000}"/>
    <cellStyle name="Comma 5 2 6 4 2 4" xfId="17488" xr:uid="{00000000-0005-0000-0000-000069120000}"/>
    <cellStyle name="Comma 5 2 6 4 2 4 2" xfId="43041" xr:uid="{00000000-0005-0000-0000-00006A120000}"/>
    <cellStyle name="Comma 5 2 6 4 2 5" xfId="28978" xr:uid="{00000000-0005-0000-0000-00006B120000}"/>
    <cellStyle name="Comma 5 2 6 4 3" xfId="4812" xr:uid="{00000000-0005-0000-0000-00006C120000}"/>
    <cellStyle name="Comma 5 2 6 4 3 2" xfId="13649" xr:uid="{00000000-0005-0000-0000-00006D120000}"/>
    <cellStyle name="Comma 5 2 6 4 3 2 2" xfId="23900" xr:uid="{00000000-0005-0000-0000-00006E120000}"/>
    <cellStyle name="Comma 5 2 6 4 3 2 2 2" xfId="49453" xr:uid="{00000000-0005-0000-0000-00006F120000}"/>
    <cellStyle name="Comma 5 2 6 4 3 2 3" xfId="39204" xr:uid="{00000000-0005-0000-0000-000070120000}"/>
    <cellStyle name="Comma 5 2 6 4 3 3" xfId="10070" xr:uid="{00000000-0005-0000-0000-000071120000}"/>
    <cellStyle name="Comma 5 2 6 4 3 3 2" xfId="35627" xr:uid="{00000000-0005-0000-0000-000072120000}"/>
    <cellStyle name="Comma 5 2 6 4 3 4" xfId="18893" xr:uid="{00000000-0005-0000-0000-000073120000}"/>
    <cellStyle name="Comma 5 2 6 4 3 4 2" xfId="44446" xr:uid="{00000000-0005-0000-0000-000074120000}"/>
    <cellStyle name="Comma 5 2 6 4 3 5" xfId="30383" xr:uid="{00000000-0005-0000-0000-000075120000}"/>
    <cellStyle name="Comma 5 2 6 4 4" xfId="2243" xr:uid="{00000000-0005-0000-0000-000076120000}"/>
    <cellStyle name="Comma 5 2 6 4 4 2" xfId="11608" xr:uid="{00000000-0005-0000-0000-000077120000}"/>
    <cellStyle name="Comma 5 2 6 4 4 2 2" xfId="37163" xr:uid="{00000000-0005-0000-0000-000078120000}"/>
    <cellStyle name="Comma 5 2 6 4 4 3" xfId="21612" xr:uid="{00000000-0005-0000-0000-000079120000}"/>
    <cellStyle name="Comma 5 2 6 4 4 3 2" xfId="47165" xr:uid="{00000000-0005-0000-0000-00007A120000}"/>
    <cellStyle name="Comma 5 2 6 4 4 4" xfId="28095" xr:uid="{00000000-0005-0000-0000-00007B120000}"/>
    <cellStyle name="Comma 5 2 6 4 5" xfId="6267" xr:uid="{00000000-0005-0000-0000-00007C120000}"/>
    <cellStyle name="Comma 5 2 6 4 5 2" xfId="15094" xr:uid="{00000000-0005-0000-0000-00007D120000}"/>
    <cellStyle name="Comma 5 2 6 4 5 2 2" xfId="40649" xr:uid="{00000000-0005-0000-0000-00007E120000}"/>
    <cellStyle name="Comma 5 2 6 4 5 3" xfId="25345" xr:uid="{00000000-0005-0000-0000-00007F120000}"/>
    <cellStyle name="Comma 5 2 6 4 5 3 2" xfId="50898" xr:uid="{00000000-0005-0000-0000-000080120000}"/>
    <cellStyle name="Comma 5 2 6 4 5 4" xfId="31828" xr:uid="{00000000-0005-0000-0000-000081120000}"/>
    <cellStyle name="Comma 5 2 6 4 6" xfId="7713" xr:uid="{00000000-0005-0000-0000-000082120000}"/>
    <cellStyle name="Comma 5 2 6 4 6 2" xfId="20094" xr:uid="{00000000-0005-0000-0000-000083120000}"/>
    <cellStyle name="Comma 5 2 6 4 6 2 2" xfId="45647" xr:uid="{00000000-0005-0000-0000-000084120000}"/>
    <cellStyle name="Comma 5 2 6 4 6 3" xfId="33270" xr:uid="{00000000-0005-0000-0000-000085120000}"/>
    <cellStyle name="Comma 5 2 6 4 7" xfId="16605" xr:uid="{00000000-0005-0000-0000-000086120000}"/>
    <cellStyle name="Comma 5 2 6 4 7 2" xfId="42158" xr:uid="{00000000-0005-0000-0000-000087120000}"/>
    <cellStyle name="Comma 5 2 6 4 8" xfId="26577" xr:uid="{00000000-0005-0000-0000-000088120000}"/>
    <cellStyle name="Comma 5 2 6 5" xfId="1115" xr:uid="{00000000-0005-0000-0000-000089120000}"/>
    <cellStyle name="Comma 5 2 6 5 2" xfId="3544" xr:uid="{00000000-0005-0000-0000-00008A120000}"/>
    <cellStyle name="Comma 5 2 6 5 2 2" xfId="12680" xr:uid="{00000000-0005-0000-0000-00008B120000}"/>
    <cellStyle name="Comma 5 2 6 5 2 2 2" xfId="22899" xr:uid="{00000000-0005-0000-0000-00008C120000}"/>
    <cellStyle name="Comma 5 2 6 5 2 2 2 2" xfId="48452" xr:uid="{00000000-0005-0000-0000-00008D120000}"/>
    <cellStyle name="Comma 5 2 6 5 2 2 3" xfId="38235" xr:uid="{00000000-0005-0000-0000-00008E120000}"/>
    <cellStyle name="Comma 5 2 6 5 2 3" xfId="9101" xr:uid="{00000000-0005-0000-0000-00008F120000}"/>
    <cellStyle name="Comma 5 2 6 5 2 3 2" xfId="34658" xr:uid="{00000000-0005-0000-0000-000090120000}"/>
    <cellStyle name="Comma 5 2 6 5 2 4" xfId="17892" xr:uid="{00000000-0005-0000-0000-000091120000}"/>
    <cellStyle name="Comma 5 2 6 5 2 4 2" xfId="43445" xr:uid="{00000000-0005-0000-0000-000092120000}"/>
    <cellStyle name="Comma 5 2 6 5 2 5" xfId="29382" xr:uid="{00000000-0005-0000-0000-000093120000}"/>
    <cellStyle name="Comma 5 2 6 5 3" xfId="5207" xr:uid="{00000000-0005-0000-0000-000094120000}"/>
    <cellStyle name="Comma 5 2 6 5 3 2" xfId="14044" xr:uid="{00000000-0005-0000-0000-000095120000}"/>
    <cellStyle name="Comma 5 2 6 5 3 2 2" xfId="24295" xr:uid="{00000000-0005-0000-0000-000096120000}"/>
    <cellStyle name="Comma 5 2 6 5 3 2 2 2" xfId="49848" xr:uid="{00000000-0005-0000-0000-000097120000}"/>
    <cellStyle name="Comma 5 2 6 5 3 2 3" xfId="39599" xr:uid="{00000000-0005-0000-0000-000098120000}"/>
    <cellStyle name="Comma 5 2 6 5 3 3" xfId="10465" xr:uid="{00000000-0005-0000-0000-000099120000}"/>
    <cellStyle name="Comma 5 2 6 5 3 3 2" xfId="36022" xr:uid="{00000000-0005-0000-0000-00009A120000}"/>
    <cellStyle name="Comma 5 2 6 5 3 4" xfId="19288" xr:uid="{00000000-0005-0000-0000-00009B120000}"/>
    <cellStyle name="Comma 5 2 6 5 3 4 2" xfId="44841" xr:uid="{00000000-0005-0000-0000-00009C120000}"/>
    <cellStyle name="Comma 5 2 6 5 3 5" xfId="30778" xr:uid="{00000000-0005-0000-0000-00009D120000}"/>
    <cellStyle name="Comma 5 2 6 5 4" xfId="1823" xr:uid="{00000000-0005-0000-0000-00009E120000}"/>
    <cellStyle name="Comma 5 2 6 5 4 2" xfId="11191" xr:uid="{00000000-0005-0000-0000-00009F120000}"/>
    <cellStyle name="Comma 5 2 6 5 4 2 2" xfId="36746" xr:uid="{00000000-0005-0000-0000-0000A0120000}"/>
    <cellStyle name="Comma 5 2 6 5 4 3" xfId="21195" xr:uid="{00000000-0005-0000-0000-0000A1120000}"/>
    <cellStyle name="Comma 5 2 6 5 4 3 2" xfId="46748" xr:uid="{00000000-0005-0000-0000-0000A2120000}"/>
    <cellStyle name="Comma 5 2 6 5 4 4" xfId="27678" xr:uid="{00000000-0005-0000-0000-0000A3120000}"/>
    <cellStyle name="Comma 5 2 6 5 5" xfId="6662" xr:uid="{00000000-0005-0000-0000-0000A4120000}"/>
    <cellStyle name="Comma 5 2 6 5 5 2" xfId="15489" xr:uid="{00000000-0005-0000-0000-0000A5120000}"/>
    <cellStyle name="Comma 5 2 6 5 5 2 2" xfId="41044" xr:uid="{00000000-0005-0000-0000-0000A6120000}"/>
    <cellStyle name="Comma 5 2 6 5 5 3" xfId="25740" xr:uid="{00000000-0005-0000-0000-0000A7120000}"/>
    <cellStyle name="Comma 5 2 6 5 5 3 2" xfId="51293" xr:uid="{00000000-0005-0000-0000-0000A8120000}"/>
    <cellStyle name="Comma 5 2 6 5 5 4" xfId="32223" xr:uid="{00000000-0005-0000-0000-0000A9120000}"/>
    <cellStyle name="Comma 5 2 6 5 6" xfId="8108" xr:uid="{00000000-0005-0000-0000-0000AA120000}"/>
    <cellStyle name="Comma 5 2 6 5 6 2" xfId="20498" xr:uid="{00000000-0005-0000-0000-0000AB120000}"/>
    <cellStyle name="Comma 5 2 6 5 6 2 2" xfId="46051" xr:uid="{00000000-0005-0000-0000-0000AC120000}"/>
    <cellStyle name="Comma 5 2 6 5 6 3" xfId="33665" xr:uid="{00000000-0005-0000-0000-0000AD120000}"/>
    <cellStyle name="Comma 5 2 6 5 7" xfId="16188" xr:uid="{00000000-0005-0000-0000-0000AE120000}"/>
    <cellStyle name="Comma 5 2 6 5 7 2" xfId="41741" xr:uid="{00000000-0005-0000-0000-0000AF120000}"/>
    <cellStyle name="Comma 5 2 6 5 8" xfId="26981" xr:uid="{00000000-0005-0000-0000-0000B0120000}"/>
    <cellStyle name="Comma 5 2 6 6" xfId="2717" xr:uid="{00000000-0005-0000-0000-0000B1120000}"/>
    <cellStyle name="Comma 5 2 6 6 2" xfId="12034" xr:uid="{00000000-0005-0000-0000-0000B2120000}"/>
    <cellStyle name="Comma 5 2 6 6 2 2" xfId="22078" xr:uid="{00000000-0005-0000-0000-0000B3120000}"/>
    <cellStyle name="Comma 5 2 6 6 2 2 2" xfId="47631" xr:uid="{00000000-0005-0000-0000-0000B4120000}"/>
    <cellStyle name="Comma 5 2 6 6 2 3" xfId="37589" xr:uid="{00000000-0005-0000-0000-0000B5120000}"/>
    <cellStyle name="Comma 5 2 6 6 3" xfId="8414" xr:uid="{00000000-0005-0000-0000-0000B6120000}"/>
    <cellStyle name="Comma 5 2 6 6 3 2" xfId="33971" xr:uid="{00000000-0005-0000-0000-0000B7120000}"/>
    <cellStyle name="Comma 5 2 6 6 4" xfId="17071" xr:uid="{00000000-0005-0000-0000-0000B8120000}"/>
    <cellStyle name="Comma 5 2 6 6 4 2" xfId="42624" xr:uid="{00000000-0005-0000-0000-0000B9120000}"/>
    <cellStyle name="Comma 5 2 6 6 5" xfId="28561" xr:uid="{00000000-0005-0000-0000-0000BA120000}"/>
    <cellStyle name="Comma 5 2 6 7" xfId="4163" xr:uid="{00000000-0005-0000-0000-0000BB120000}"/>
    <cellStyle name="Comma 5 2 6 7 2" xfId="13001" xr:uid="{00000000-0005-0000-0000-0000BC120000}"/>
    <cellStyle name="Comma 5 2 6 7 2 2" xfId="23252" xr:uid="{00000000-0005-0000-0000-0000BD120000}"/>
    <cellStyle name="Comma 5 2 6 7 2 2 2" xfId="48805" xr:uid="{00000000-0005-0000-0000-0000BE120000}"/>
    <cellStyle name="Comma 5 2 6 7 2 3" xfId="38556" xr:uid="{00000000-0005-0000-0000-0000BF120000}"/>
    <cellStyle name="Comma 5 2 6 7 3" xfId="9422" xr:uid="{00000000-0005-0000-0000-0000C0120000}"/>
    <cellStyle name="Comma 5 2 6 7 3 2" xfId="34979" xr:uid="{00000000-0005-0000-0000-0000C1120000}"/>
    <cellStyle name="Comma 5 2 6 7 4" xfId="18245" xr:uid="{00000000-0005-0000-0000-0000C2120000}"/>
    <cellStyle name="Comma 5 2 6 7 4 2" xfId="43798" xr:uid="{00000000-0005-0000-0000-0000C3120000}"/>
    <cellStyle name="Comma 5 2 6 7 5" xfId="29735" xr:uid="{00000000-0005-0000-0000-0000C4120000}"/>
    <cellStyle name="Comma 5 2 6 8" xfId="1435" xr:uid="{00000000-0005-0000-0000-0000C5120000}"/>
    <cellStyle name="Comma 5 2 6 8 2" xfId="10812" xr:uid="{00000000-0005-0000-0000-0000C6120000}"/>
    <cellStyle name="Comma 5 2 6 8 2 2" xfId="36367" xr:uid="{00000000-0005-0000-0000-0000C7120000}"/>
    <cellStyle name="Comma 5 2 6 8 3" xfId="20816" xr:uid="{00000000-0005-0000-0000-0000C8120000}"/>
    <cellStyle name="Comma 5 2 6 8 3 2" xfId="46369" xr:uid="{00000000-0005-0000-0000-0000C9120000}"/>
    <cellStyle name="Comma 5 2 6 8 4" xfId="27299" xr:uid="{00000000-0005-0000-0000-0000CA120000}"/>
    <cellStyle name="Comma 5 2 6 9" xfId="5619" xr:uid="{00000000-0005-0000-0000-0000CB120000}"/>
    <cellStyle name="Comma 5 2 6 9 2" xfId="14446" xr:uid="{00000000-0005-0000-0000-0000CC120000}"/>
    <cellStyle name="Comma 5 2 6 9 2 2" xfId="40001" xr:uid="{00000000-0005-0000-0000-0000CD120000}"/>
    <cellStyle name="Comma 5 2 6 9 3" xfId="24697" xr:uid="{00000000-0005-0000-0000-0000CE120000}"/>
    <cellStyle name="Comma 5 2 6 9 3 2" xfId="50250" xr:uid="{00000000-0005-0000-0000-0000CF120000}"/>
    <cellStyle name="Comma 5 2 6 9 4" xfId="31180" xr:uid="{00000000-0005-0000-0000-0000D0120000}"/>
    <cellStyle name="Comma 5 2 7" xfId="282" xr:uid="{00000000-0005-0000-0000-0000D1120000}"/>
    <cellStyle name="Comma 5 2 7 10" xfId="16070" xr:uid="{00000000-0005-0000-0000-0000D2120000}"/>
    <cellStyle name="Comma 5 2 7 10 2" xfId="41623" xr:uid="{00000000-0005-0000-0000-0000D3120000}"/>
    <cellStyle name="Comma 5 2 7 11" xfId="26216" xr:uid="{00000000-0005-0000-0000-0000D4120000}"/>
    <cellStyle name="Comma 5 2 7 2" xfId="604" xr:uid="{00000000-0005-0000-0000-0000D5120000}"/>
    <cellStyle name="Comma 5 2 7 2 2" xfId="3090" xr:uid="{00000000-0005-0000-0000-0000D6120000}"/>
    <cellStyle name="Comma 5 2 7 2 2 2" xfId="12233" xr:uid="{00000000-0005-0000-0000-0000D7120000}"/>
    <cellStyle name="Comma 5 2 7 2 2 2 2" xfId="22451" xr:uid="{00000000-0005-0000-0000-0000D8120000}"/>
    <cellStyle name="Comma 5 2 7 2 2 2 2 2" xfId="48004" xr:uid="{00000000-0005-0000-0000-0000D9120000}"/>
    <cellStyle name="Comma 5 2 7 2 2 2 3" xfId="37788" xr:uid="{00000000-0005-0000-0000-0000DA120000}"/>
    <cellStyle name="Comma 5 2 7 2 2 3" xfId="8655" xr:uid="{00000000-0005-0000-0000-0000DB120000}"/>
    <cellStyle name="Comma 5 2 7 2 2 3 2" xfId="34212" xr:uid="{00000000-0005-0000-0000-0000DC120000}"/>
    <cellStyle name="Comma 5 2 7 2 2 4" xfId="17444" xr:uid="{00000000-0005-0000-0000-0000DD120000}"/>
    <cellStyle name="Comma 5 2 7 2 2 4 2" xfId="42997" xr:uid="{00000000-0005-0000-0000-0000DE120000}"/>
    <cellStyle name="Comma 5 2 7 2 2 5" xfId="28934" xr:uid="{00000000-0005-0000-0000-0000DF120000}"/>
    <cellStyle name="Comma 5 2 7 2 3" xfId="4465" xr:uid="{00000000-0005-0000-0000-0000E0120000}"/>
    <cellStyle name="Comma 5 2 7 2 3 2" xfId="13303" xr:uid="{00000000-0005-0000-0000-0000E1120000}"/>
    <cellStyle name="Comma 5 2 7 2 3 2 2" xfId="23554" xr:uid="{00000000-0005-0000-0000-0000E2120000}"/>
    <cellStyle name="Comma 5 2 7 2 3 2 2 2" xfId="49107" xr:uid="{00000000-0005-0000-0000-0000E3120000}"/>
    <cellStyle name="Comma 5 2 7 2 3 2 3" xfId="38858" xr:uid="{00000000-0005-0000-0000-0000E4120000}"/>
    <cellStyle name="Comma 5 2 7 2 3 3" xfId="9724" xr:uid="{00000000-0005-0000-0000-0000E5120000}"/>
    <cellStyle name="Comma 5 2 7 2 3 3 2" xfId="35281" xr:uid="{00000000-0005-0000-0000-0000E6120000}"/>
    <cellStyle name="Comma 5 2 7 2 3 4" xfId="18547" xr:uid="{00000000-0005-0000-0000-0000E7120000}"/>
    <cellStyle name="Comma 5 2 7 2 3 4 2" xfId="44100" xr:uid="{00000000-0005-0000-0000-0000E8120000}"/>
    <cellStyle name="Comma 5 2 7 2 3 5" xfId="30037" xr:uid="{00000000-0005-0000-0000-0000E9120000}"/>
    <cellStyle name="Comma 5 2 7 2 4" xfId="2199" xr:uid="{00000000-0005-0000-0000-0000EA120000}"/>
    <cellStyle name="Comma 5 2 7 2 4 2" xfId="11564" xr:uid="{00000000-0005-0000-0000-0000EB120000}"/>
    <cellStyle name="Comma 5 2 7 2 4 2 2" xfId="37119" xr:uid="{00000000-0005-0000-0000-0000EC120000}"/>
    <cellStyle name="Comma 5 2 7 2 4 3" xfId="21568" xr:uid="{00000000-0005-0000-0000-0000ED120000}"/>
    <cellStyle name="Comma 5 2 7 2 4 3 2" xfId="47121" xr:uid="{00000000-0005-0000-0000-0000EE120000}"/>
    <cellStyle name="Comma 5 2 7 2 4 4" xfId="28051" xr:uid="{00000000-0005-0000-0000-0000EF120000}"/>
    <cellStyle name="Comma 5 2 7 2 5" xfId="5921" xr:uid="{00000000-0005-0000-0000-0000F0120000}"/>
    <cellStyle name="Comma 5 2 7 2 5 2" xfId="14748" xr:uid="{00000000-0005-0000-0000-0000F1120000}"/>
    <cellStyle name="Comma 5 2 7 2 5 2 2" xfId="40303" xr:uid="{00000000-0005-0000-0000-0000F2120000}"/>
    <cellStyle name="Comma 5 2 7 2 5 3" xfId="24999" xr:uid="{00000000-0005-0000-0000-0000F3120000}"/>
    <cellStyle name="Comma 5 2 7 2 5 3 2" xfId="50552" xr:uid="{00000000-0005-0000-0000-0000F4120000}"/>
    <cellStyle name="Comma 5 2 7 2 5 4" xfId="31482" xr:uid="{00000000-0005-0000-0000-0000F5120000}"/>
    <cellStyle name="Comma 5 2 7 2 6" xfId="7365" xr:uid="{00000000-0005-0000-0000-0000F6120000}"/>
    <cellStyle name="Comma 5 2 7 2 6 2" xfId="20050" xr:uid="{00000000-0005-0000-0000-0000F7120000}"/>
    <cellStyle name="Comma 5 2 7 2 6 2 2" xfId="45603" xr:uid="{00000000-0005-0000-0000-0000F8120000}"/>
    <cellStyle name="Comma 5 2 7 2 6 3" xfId="32922" xr:uid="{00000000-0005-0000-0000-0000F9120000}"/>
    <cellStyle name="Comma 5 2 7 2 7" xfId="16561" xr:uid="{00000000-0005-0000-0000-0000FA120000}"/>
    <cellStyle name="Comma 5 2 7 2 7 2" xfId="42114" xr:uid="{00000000-0005-0000-0000-0000FB120000}"/>
    <cellStyle name="Comma 5 2 7 2 8" xfId="26533" xr:uid="{00000000-0005-0000-0000-0000FC120000}"/>
    <cellStyle name="Comma 5 2 7 3" xfId="650" xr:uid="{00000000-0005-0000-0000-0000FD120000}"/>
    <cellStyle name="Comma 5 2 7 3 2" xfId="3136" xr:uid="{00000000-0005-0000-0000-0000FE120000}"/>
    <cellStyle name="Comma 5 2 7 3 2 2" xfId="12279" xr:uid="{00000000-0005-0000-0000-0000FF120000}"/>
    <cellStyle name="Comma 5 2 7 3 2 2 2" xfId="22497" xr:uid="{00000000-0005-0000-0000-000000130000}"/>
    <cellStyle name="Comma 5 2 7 3 2 2 2 2" xfId="48050" xr:uid="{00000000-0005-0000-0000-000001130000}"/>
    <cellStyle name="Comma 5 2 7 3 2 2 3" xfId="37834" xr:uid="{00000000-0005-0000-0000-000002130000}"/>
    <cellStyle name="Comma 5 2 7 3 2 3" xfId="8701" xr:uid="{00000000-0005-0000-0000-000003130000}"/>
    <cellStyle name="Comma 5 2 7 3 2 3 2" xfId="34258" xr:uid="{00000000-0005-0000-0000-000004130000}"/>
    <cellStyle name="Comma 5 2 7 3 2 4" xfId="17490" xr:uid="{00000000-0005-0000-0000-000005130000}"/>
    <cellStyle name="Comma 5 2 7 3 2 4 2" xfId="43043" xr:uid="{00000000-0005-0000-0000-000006130000}"/>
    <cellStyle name="Comma 5 2 7 3 2 5" xfId="28980" xr:uid="{00000000-0005-0000-0000-000007130000}"/>
    <cellStyle name="Comma 5 2 7 3 3" xfId="4814" xr:uid="{00000000-0005-0000-0000-000008130000}"/>
    <cellStyle name="Comma 5 2 7 3 3 2" xfId="13651" xr:uid="{00000000-0005-0000-0000-000009130000}"/>
    <cellStyle name="Comma 5 2 7 3 3 2 2" xfId="23902" xr:uid="{00000000-0005-0000-0000-00000A130000}"/>
    <cellStyle name="Comma 5 2 7 3 3 2 2 2" xfId="49455" xr:uid="{00000000-0005-0000-0000-00000B130000}"/>
    <cellStyle name="Comma 5 2 7 3 3 2 3" xfId="39206" xr:uid="{00000000-0005-0000-0000-00000C130000}"/>
    <cellStyle name="Comma 5 2 7 3 3 3" xfId="10072" xr:uid="{00000000-0005-0000-0000-00000D130000}"/>
    <cellStyle name="Comma 5 2 7 3 3 3 2" xfId="35629" xr:uid="{00000000-0005-0000-0000-00000E130000}"/>
    <cellStyle name="Comma 5 2 7 3 3 4" xfId="18895" xr:uid="{00000000-0005-0000-0000-00000F130000}"/>
    <cellStyle name="Comma 5 2 7 3 3 4 2" xfId="44448" xr:uid="{00000000-0005-0000-0000-000010130000}"/>
    <cellStyle name="Comma 5 2 7 3 3 5" xfId="30385" xr:uid="{00000000-0005-0000-0000-000011130000}"/>
    <cellStyle name="Comma 5 2 7 3 4" xfId="2245" xr:uid="{00000000-0005-0000-0000-000012130000}"/>
    <cellStyle name="Comma 5 2 7 3 4 2" xfId="11610" xr:uid="{00000000-0005-0000-0000-000013130000}"/>
    <cellStyle name="Comma 5 2 7 3 4 2 2" xfId="37165" xr:uid="{00000000-0005-0000-0000-000014130000}"/>
    <cellStyle name="Comma 5 2 7 3 4 3" xfId="21614" xr:uid="{00000000-0005-0000-0000-000015130000}"/>
    <cellStyle name="Comma 5 2 7 3 4 3 2" xfId="47167" xr:uid="{00000000-0005-0000-0000-000016130000}"/>
    <cellStyle name="Comma 5 2 7 3 4 4" xfId="28097" xr:uid="{00000000-0005-0000-0000-000017130000}"/>
    <cellStyle name="Comma 5 2 7 3 5" xfId="6269" xr:uid="{00000000-0005-0000-0000-000018130000}"/>
    <cellStyle name="Comma 5 2 7 3 5 2" xfId="15096" xr:uid="{00000000-0005-0000-0000-000019130000}"/>
    <cellStyle name="Comma 5 2 7 3 5 2 2" xfId="40651" xr:uid="{00000000-0005-0000-0000-00001A130000}"/>
    <cellStyle name="Comma 5 2 7 3 5 3" xfId="25347" xr:uid="{00000000-0005-0000-0000-00001B130000}"/>
    <cellStyle name="Comma 5 2 7 3 5 3 2" xfId="50900" xr:uid="{00000000-0005-0000-0000-00001C130000}"/>
    <cellStyle name="Comma 5 2 7 3 5 4" xfId="31830" xr:uid="{00000000-0005-0000-0000-00001D130000}"/>
    <cellStyle name="Comma 5 2 7 3 6" xfId="7715" xr:uid="{00000000-0005-0000-0000-00001E130000}"/>
    <cellStyle name="Comma 5 2 7 3 6 2" xfId="20096" xr:uid="{00000000-0005-0000-0000-00001F130000}"/>
    <cellStyle name="Comma 5 2 7 3 6 2 2" xfId="45649" xr:uid="{00000000-0005-0000-0000-000020130000}"/>
    <cellStyle name="Comma 5 2 7 3 6 3" xfId="33272" xr:uid="{00000000-0005-0000-0000-000021130000}"/>
    <cellStyle name="Comma 5 2 7 3 7" xfId="16607" xr:uid="{00000000-0005-0000-0000-000022130000}"/>
    <cellStyle name="Comma 5 2 7 3 7 2" xfId="42160" xr:uid="{00000000-0005-0000-0000-000023130000}"/>
    <cellStyle name="Comma 5 2 7 3 8" xfId="26579" xr:uid="{00000000-0005-0000-0000-000024130000}"/>
    <cellStyle name="Comma 5 2 7 4" xfId="1376" xr:uid="{00000000-0005-0000-0000-000025130000}"/>
    <cellStyle name="Comma 5 2 7 4 2" xfId="3805" xr:uid="{00000000-0005-0000-0000-000026130000}"/>
    <cellStyle name="Comma 5 2 7 4 2 2" xfId="12941" xr:uid="{00000000-0005-0000-0000-000027130000}"/>
    <cellStyle name="Comma 5 2 7 4 2 2 2" xfId="23160" xr:uid="{00000000-0005-0000-0000-000028130000}"/>
    <cellStyle name="Comma 5 2 7 4 2 2 2 2" xfId="48713" xr:uid="{00000000-0005-0000-0000-000029130000}"/>
    <cellStyle name="Comma 5 2 7 4 2 2 3" xfId="38496" xr:uid="{00000000-0005-0000-0000-00002A130000}"/>
    <cellStyle name="Comma 5 2 7 4 2 3" xfId="9362" xr:uid="{00000000-0005-0000-0000-00002B130000}"/>
    <cellStyle name="Comma 5 2 7 4 2 3 2" xfId="34919" xr:uid="{00000000-0005-0000-0000-00002C130000}"/>
    <cellStyle name="Comma 5 2 7 4 2 4" xfId="18153" xr:uid="{00000000-0005-0000-0000-00002D130000}"/>
    <cellStyle name="Comma 5 2 7 4 2 4 2" xfId="43706" xr:uid="{00000000-0005-0000-0000-00002E130000}"/>
    <cellStyle name="Comma 5 2 7 4 2 5" xfId="29643" xr:uid="{00000000-0005-0000-0000-00002F130000}"/>
    <cellStyle name="Comma 5 2 7 4 3" xfId="5468" xr:uid="{00000000-0005-0000-0000-000030130000}"/>
    <cellStyle name="Comma 5 2 7 4 3 2" xfId="14305" xr:uid="{00000000-0005-0000-0000-000031130000}"/>
    <cellStyle name="Comma 5 2 7 4 3 2 2" xfId="24556" xr:uid="{00000000-0005-0000-0000-000032130000}"/>
    <cellStyle name="Comma 5 2 7 4 3 2 2 2" xfId="50109" xr:uid="{00000000-0005-0000-0000-000033130000}"/>
    <cellStyle name="Comma 5 2 7 4 3 2 3" xfId="39860" xr:uid="{00000000-0005-0000-0000-000034130000}"/>
    <cellStyle name="Comma 5 2 7 4 3 3" xfId="10726" xr:uid="{00000000-0005-0000-0000-000035130000}"/>
    <cellStyle name="Comma 5 2 7 4 3 3 2" xfId="36283" xr:uid="{00000000-0005-0000-0000-000036130000}"/>
    <cellStyle name="Comma 5 2 7 4 3 4" xfId="19549" xr:uid="{00000000-0005-0000-0000-000037130000}"/>
    <cellStyle name="Comma 5 2 7 4 3 4 2" xfId="45102" xr:uid="{00000000-0005-0000-0000-000038130000}"/>
    <cellStyle name="Comma 5 2 7 4 3 5" xfId="31039" xr:uid="{00000000-0005-0000-0000-000039130000}"/>
    <cellStyle name="Comma 5 2 7 4 4" xfId="1879" xr:uid="{00000000-0005-0000-0000-00003A130000}"/>
    <cellStyle name="Comma 5 2 7 4 4 2" xfId="11247" xr:uid="{00000000-0005-0000-0000-00003B130000}"/>
    <cellStyle name="Comma 5 2 7 4 4 2 2" xfId="36802" xr:uid="{00000000-0005-0000-0000-00003C130000}"/>
    <cellStyle name="Comma 5 2 7 4 4 3" xfId="21251" xr:uid="{00000000-0005-0000-0000-00003D130000}"/>
    <cellStyle name="Comma 5 2 7 4 4 3 2" xfId="46804" xr:uid="{00000000-0005-0000-0000-00003E130000}"/>
    <cellStyle name="Comma 5 2 7 4 4 4" xfId="27734" xr:uid="{00000000-0005-0000-0000-00003F130000}"/>
    <cellStyle name="Comma 5 2 7 4 5" xfId="6923" xr:uid="{00000000-0005-0000-0000-000040130000}"/>
    <cellStyle name="Comma 5 2 7 4 5 2" xfId="15750" xr:uid="{00000000-0005-0000-0000-000041130000}"/>
    <cellStyle name="Comma 5 2 7 4 5 2 2" xfId="41305" xr:uid="{00000000-0005-0000-0000-000042130000}"/>
    <cellStyle name="Comma 5 2 7 4 5 3" xfId="26001" xr:uid="{00000000-0005-0000-0000-000043130000}"/>
    <cellStyle name="Comma 5 2 7 4 5 3 2" xfId="51554" xr:uid="{00000000-0005-0000-0000-000044130000}"/>
    <cellStyle name="Comma 5 2 7 4 5 4" xfId="32484" xr:uid="{00000000-0005-0000-0000-000045130000}"/>
    <cellStyle name="Comma 5 2 7 4 6" xfId="8369" xr:uid="{00000000-0005-0000-0000-000046130000}"/>
    <cellStyle name="Comma 5 2 7 4 6 2" xfId="20759" xr:uid="{00000000-0005-0000-0000-000047130000}"/>
    <cellStyle name="Comma 5 2 7 4 6 2 2" xfId="46312" xr:uid="{00000000-0005-0000-0000-000048130000}"/>
    <cellStyle name="Comma 5 2 7 4 6 3" xfId="33926" xr:uid="{00000000-0005-0000-0000-000049130000}"/>
    <cellStyle name="Comma 5 2 7 4 7" xfId="16244" xr:uid="{00000000-0005-0000-0000-00004A130000}"/>
    <cellStyle name="Comma 5 2 7 4 7 2" xfId="41797" xr:uid="{00000000-0005-0000-0000-00004B130000}"/>
    <cellStyle name="Comma 5 2 7 4 8" xfId="27242" xr:uid="{00000000-0005-0000-0000-00004C130000}"/>
    <cellStyle name="Comma 5 2 7 5" xfId="2773" xr:uid="{00000000-0005-0000-0000-00004D130000}"/>
    <cellStyle name="Comma 5 2 7 5 2" xfId="12090" xr:uid="{00000000-0005-0000-0000-00004E130000}"/>
    <cellStyle name="Comma 5 2 7 5 2 2" xfId="22134" xr:uid="{00000000-0005-0000-0000-00004F130000}"/>
    <cellStyle name="Comma 5 2 7 5 2 2 2" xfId="47687" xr:uid="{00000000-0005-0000-0000-000050130000}"/>
    <cellStyle name="Comma 5 2 7 5 2 3" xfId="37645" xr:uid="{00000000-0005-0000-0000-000051130000}"/>
    <cellStyle name="Comma 5 2 7 5 3" xfId="8534" xr:uid="{00000000-0005-0000-0000-000052130000}"/>
    <cellStyle name="Comma 5 2 7 5 3 2" xfId="34091" xr:uid="{00000000-0005-0000-0000-000053130000}"/>
    <cellStyle name="Comma 5 2 7 5 4" xfId="17127" xr:uid="{00000000-0005-0000-0000-000054130000}"/>
    <cellStyle name="Comma 5 2 7 5 4 2" xfId="42680" xr:uid="{00000000-0005-0000-0000-000055130000}"/>
    <cellStyle name="Comma 5 2 7 5 5" xfId="28617" xr:uid="{00000000-0005-0000-0000-000056130000}"/>
    <cellStyle name="Comma 5 2 7 6" xfId="4424" xr:uid="{00000000-0005-0000-0000-000057130000}"/>
    <cellStyle name="Comma 5 2 7 6 2" xfId="13262" xr:uid="{00000000-0005-0000-0000-000058130000}"/>
    <cellStyle name="Comma 5 2 7 6 2 2" xfId="23513" xr:uid="{00000000-0005-0000-0000-000059130000}"/>
    <cellStyle name="Comma 5 2 7 6 2 2 2" xfId="49066" xr:uid="{00000000-0005-0000-0000-00005A130000}"/>
    <cellStyle name="Comma 5 2 7 6 2 3" xfId="38817" xr:uid="{00000000-0005-0000-0000-00005B130000}"/>
    <cellStyle name="Comma 5 2 7 6 3" xfId="9683" xr:uid="{00000000-0005-0000-0000-00005C130000}"/>
    <cellStyle name="Comma 5 2 7 6 3 2" xfId="35240" xr:uid="{00000000-0005-0000-0000-00005D130000}"/>
    <cellStyle name="Comma 5 2 7 6 4" xfId="18506" xr:uid="{00000000-0005-0000-0000-00005E130000}"/>
    <cellStyle name="Comma 5 2 7 6 4 2" xfId="44059" xr:uid="{00000000-0005-0000-0000-00005F130000}"/>
    <cellStyle name="Comma 5 2 7 6 5" xfId="29996" xr:uid="{00000000-0005-0000-0000-000060130000}"/>
    <cellStyle name="Comma 5 2 7 7" xfId="1696" xr:uid="{00000000-0005-0000-0000-000061130000}"/>
    <cellStyle name="Comma 5 2 7 7 2" xfId="11073" xr:uid="{00000000-0005-0000-0000-000062130000}"/>
    <cellStyle name="Comma 5 2 7 7 2 2" xfId="36628" xr:uid="{00000000-0005-0000-0000-000063130000}"/>
    <cellStyle name="Comma 5 2 7 7 3" xfId="21077" xr:uid="{00000000-0005-0000-0000-000064130000}"/>
    <cellStyle name="Comma 5 2 7 7 3 2" xfId="46630" xr:uid="{00000000-0005-0000-0000-000065130000}"/>
    <cellStyle name="Comma 5 2 7 7 4" xfId="27560" xr:uid="{00000000-0005-0000-0000-000066130000}"/>
    <cellStyle name="Comma 5 2 7 8" xfId="5880" xr:uid="{00000000-0005-0000-0000-000067130000}"/>
    <cellStyle name="Comma 5 2 7 8 2" xfId="14707" xr:uid="{00000000-0005-0000-0000-000068130000}"/>
    <cellStyle name="Comma 5 2 7 8 2 2" xfId="40262" xr:uid="{00000000-0005-0000-0000-000069130000}"/>
    <cellStyle name="Comma 5 2 7 8 3" xfId="24958" xr:uid="{00000000-0005-0000-0000-00006A130000}"/>
    <cellStyle name="Comma 5 2 7 8 3 2" xfId="50511" xr:uid="{00000000-0005-0000-0000-00006B130000}"/>
    <cellStyle name="Comma 5 2 7 8 4" xfId="31441" xr:uid="{00000000-0005-0000-0000-00006C130000}"/>
    <cellStyle name="Comma 5 2 7 9" xfId="7324" xr:uid="{00000000-0005-0000-0000-00006D130000}"/>
    <cellStyle name="Comma 5 2 7 9 2" xfId="19733" xr:uid="{00000000-0005-0000-0000-00006E130000}"/>
    <cellStyle name="Comma 5 2 7 9 2 2" xfId="45286" xr:uid="{00000000-0005-0000-0000-00006F130000}"/>
    <cellStyle name="Comma 5 2 7 9 3" xfId="32881" xr:uid="{00000000-0005-0000-0000-000070130000}"/>
    <cellStyle name="Comma 5 2 8" xfId="443" xr:uid="{00000000-0005-0000-0000-000071130000}"/>
    <cellStyle name="Comma 5 2 8 10" xfId="26372" xr:uid="{00000000-0005-0000-0000-000072130000}"/>
    <cellStyle name="Comma 5 2 8 2" xfId="651" xr:uid="{00000000-0005-0000-0000-000073130000}"/>
    <cellStyle name="Comma 5 2 8 2 2" xfId="3137" xr:uid="{00000000-0005-0000-0000-000074130000}"/>
    <cellStyle name="Comma 5 2 8 2 2 2" xfId="12280" xr:uid="{00000000-0005-0000-0000-000075130000}"/>
    <cellStyle name="Comma 5 2 8 2 2 2 2" xfId="22498" xr:uid="{00000000-0005-0000-0000-000076130000}"/>
    <cellStyle name="Comma 5 2 8 2 2 2 2 2" xfId="48051" xr:uid="{00000000-0005-0000-0000-000077130000}"/>
    <cellStyle name="Comma 5 2 8 2 2 2 3" xfId="37835" xr:uid="{00000000-0005-0000-0000-000078130000}"/>
    <cellStyle name="Comma 5 2 8 2 2 3" xfId="8702" xr:uid="{00000000-0005-0000-0000-000079130000}"/>
    <cellStyle name="Comma 5 2 8 2 2 3 2" xfId="34259" xr:uid="{00000000-0005-0000-0000-00007A130000}"/>
    <cellStyle name="Comma 5 2 8 2 2 4" xfId="17491" xr:uid="{00000000-0005-0000-0000-00007B130000}"/>
    <cellStyle name="Comma 5 2 8 2 2 4 2" xfId="43044" xr:uid="{00000000-0005-0000-0000-00007C130000}"/>
    <cellStyle name="Comma 5 2 8 2 2 5" xfId="28981" xr:uid="{00000000-0005-0000-0000-00007D130000}"/>
    <cellStyle name="Comma 5 2 8 2 3" xfId="4466" xr:uid="{00000000-0005-0000-0000-00007E130000}"/>
    <cellStyle name="Comma 5 2 8 2 3 2" xfId="13304" xr:uid="{00000000-0005-0000-0000-00007F130000}"/>
    <cellStyle name="Comma 5 2 8 2 3 2 2" xfId="23555" xr:uid="{00000000-0005-0000-0000-000080130000}"/>
    <cellStyle name="Comma 5 2 8 2 3 2 2 2" xfId="49108" xr:uid="{00000000-0005-0000-0000-000081130000}"/>
    <cellStyle name="Comma 5 2 8 2 3 2 3" xfId="38859" xr:uid="{00000000-0005-0000-0000-000082130000}"/>
    <cellStyle name="Comma 5 2 8 2 3 3" xfId="9725" xr:uid="{00000000-0005-0000-0000-000083130000}"/>
    <cellStyle name="Comma 5 2 8 2 3 3 2" xfId="35282" xr:uid="{00000000-0005-0000-0000-000084130000}"/>
    <cellStyle name="Comma 5 2 8 2 3 4" xfId="18548" xr:uid="{00000000-0005-0000-0000-000085130000}"/>
    <cellStyle name="Comma 5 2 8 2 3 4 2" xfId="44101" xr:uid="{00000000-0005-0000-0000-000086130000}"/>
    <cellStyle name="Comma 5 2 8 2 3 5" xfId="30038" xr:uid="{00000000-0005-0000-0000-000087130000}"/>
    <cellStyle name="Comma 5 2 8 2 4" xfId="2246" xr:uid="{00000000-0005-0000-0000-000088130000}"/>
    <cellStyle name="Comma 5 2 8 2 4 2" xfId="11611" xr:uid="{00000000-0005-0000-0000-000089130000}"/>
    <cellStyle name="Comma 5 2 8 2 4 2 2" xfId="37166" xr:uid="{00000000-0005-0000-0000-00008A130000}"/>
    <cellStyle name="Comma 5 2 8 2 4 3" xfId="21615" xr:uid="{00000000-0005-0000-0000-00008B130000}"/>
    <cellStyle name="Comma 5 2 8 2 4 3 2" xfId="47168" xr:uid="{00000000-0005-0000-0000-00008C130000}"/>
    <cellStyle name="Comma 5 2 8 2 4 4" xfId="28098" xr:uid="{00000000-0005-0000-0000-00008D130000}"/>
    <cellStyle name="Comma 5 2 8 2 5" xfId="5922" xr:uid="{00000000-0005-0000-0000-00008E130000}"/>
    <cellStyle name="Comma 5 2 8 2 5 2" xfId="14749" xr:uid="{00000000-0005-0000-0000-00008F130000}"/>
    <cellStyle name="Comma 5 2 8 2 5 2 2" xfId="40304" xr:uid="{00000000-0005-0000-0000-000090130000}"/>
    <cellStyle name="Comma 5 2 8 2 5 3" xfId="25000" xr:uid="{00000000-0005-0000-0000-000091130000}"/>
    <cellStyle name="Comma 5 2 8 2 5 3 2" xfId="50553" xr:uid="{00000000-0005-0000-0000-000092130000}"/>
    <cellStyle name="Comma 5 2 8 2 5 4" xfId="31483" xr:uid="{00000000-0005-0000-0000-000093130000}"/>
    <cellStyle name="Comma 5 2 8 2 6" xfId="7366" xr:uid="{00000000-0005-0000-0000-000094130000}"/>
    <cellStyle name="Comma 5 2 8 2 6 2" xfId="20097" xr:uid="{00000000-0005-0000-0000-000095130000}"/>
    <cellStyle name="Comma 5 2 8 2 6 2 2" xfId="45650" xr:uid="{00000000-0005-0000-0000-000096130000}"/>
    <cellStyle name="Comma 5 2 8 2 6 3" xfId="32923" xr:uid="{00000000-0005-0000-0000-000097130000}"/>
    <cellStyle name="Comma 5 2 8 2 7" xfId="16608" xr:uid="{00000000-0005-0000-0000-000098130000}"/>
    <cellStyle name="Comma 5 2 8 2 7 2" xfId="42161" xr:uid="{00000000-0005-0000-0000-000099130000}"/>
    <cellStyle name="Comma 5 2 8 2 8" xfId="26580" xr:uid="{00000000-0005-0000-0000-00009A130000}"/>
    <cellStyle name="Comma 5 2 8 3" xfId="1215" xr:uid="{00000000-0005-0000-0000-00009B130000}"/>
    <cellStyle name="Comma 5 2 8 3 2" xfId="3644" xr:uid="{00000000-0005-0000-0000-00009C130000}"/>
    <cellStyle name="Comma 5 2 8 3 2 2" xfId="12780" xr:uid="{00000000-0005-0000-0000-00009D130000}"/>
    <cellStyle name="Comma 5 2 8 3 2 2 2" xfId="22999" xr:uid="{00000000-0005-0000-0000-00009E130000}"/>
    <cellStyle name="Comma 5 2 8 3 2 2 2 2" xfId="48552" xr:uid="{00000000-0005-0000-0000-00009F130000}"/>
    <cellStyle name="Comma 5 2 8 3 2 2 3" xfId="38335" xr:uid="{00000000-0005-0000-0000-0000A0130000}"/>
    <cellStyle name="Comma 5 2 8 3 2 3" xfId="9201" xr:uid="{00000000-0005-0000-0000-0000A1130000}"/>
    <cellStyle name="Comma 5 2 8 3 2 3 2" xfId="34758" xr:uid="{00000000-0005-0000-0000-0000A2130000}"/>
    <cellStyle name="Comma 5 2 8 3 2 4" xfId="17992" xr:uid="{00000000-0005-0000-0000-0000A3130000}"/>
    <cellStyle name="Comma 5 2 8 3 2 4 2" xfId="43545" xr:uid="{00000000-0005-0000-0000-0000A4130000}"/>
    <cellStyle name="Comma 5 2 8 3 2 5" xfId="29482" xr:uid="{00000000-0005-0000-0000-0000A5130000}"/>
    <cellStyle name="Comma 5 2 8 3 3" xfId="4815" xr:uid="{00000000-0005-0000-0000-0000A6130000}"/>
    <cellStyle name="Comma 5 2 8 3 3 2" xfId="13652" xr:uid="{00000000-0005-0000-0000-0000A7130000}"/>
    <cellStyle name="Comma 5 2 8 3 3 2 2" xfId="23903" xr:uid="{00000000-0005-0000-0000-0000A8130000}"/>
    <cellStyle name="Comma 5 2 8 3 3 2 2 2" xfId="49456" xr:uid="{00000000-0005-0000-0000-0000A9130000}"/>
    <cellStyle name="Comma 5 2 8 3 3 2 3" xfId="39207" xr:uid="{00000000-0005-0000-0000-0000AA130000}"/>
    <cellStyle name="Comma 5 2 8 3 3 3" xfId="10073" xr:uid="{00000000-0005-0000-0000-0000AB130000}"/>
    <cellStyle name="Comma 5 2 8 3 3 3 2" xfId="35630" xr:uid="{00000000-0005-0000-0000-0000AC130000}"/>
    <cellStyle name="Comma 5 2 8 3 3 4" xfId="18896" xr:uid="{00000000-0005-0000-0000-0000AD130000}"/>
    <cellStyle name="Comma 5 2 8 3 3 4 2" xfId="44449" xr:uid="{00000000-0005-0000-0000-0000AE130000}"/>
    <cellStyle name="Comma 5 2 8 3 3 5" xfId="30386" xr:uid="{00000000-0005-0000-0000-0000AF130000}"/>
    <cellStyle name="Comma 5 2 8 3 4" xfId="2038" xr:uid="{00000000-0005-0000-0000-0000B0130000}"/>
    <cellStyle name="Comma 5 2 8 3 4 2" xfId="11403" xr:uid="{00000000-0005-0000-0000-0000B1130000}"/>
    <cellStyle name="Comma 5 2 8 3 4 2 2" xfId="36958" xr:uid="{00000000-0005-0000-0000-0000B2130000}"/>
    <cellStyle name="Comma 5 2 8 3 4 3" xfId="21407" xr:uid="{00000000-0005-0000-0000-0000B3130000}"/>
    <cellStyle name="Comma 5 2 8 3 4 3 2" xfId="46960" xr:uid="{00000000-0005-0000-0000-0000B4130000}"/>
    <cellStyle name="Comma 5 2 8 3 4 4" xfId="27890" xr:uid="{00000000-0005-0000-0000-0000B5130000}"/>
    <cellStyle name="Comma 5 2 8 3 5" xfId="6270" xr:uid="{00000000-0005-0000-0000-0000B6130000}"/>
    <cellStyle name="Comma 5 2 8 3 5 2" xfId="15097" xr:uid="{00000000-0005-0000-0000-0000B7130000}"/>
    <cellStyle name="Comma 5 2 8 3 5 2 2" xfId="40652" xr:uid="{00000000-0005-0000-0000-0000B8130000}"/>
    <cellStyle name="Comma 5 2 8 3 5 3" xfId="25348" xr:uid="{00000000-0005-0000-0000-0000B9130000}"/>
    <cellStyle name="Comma 5 2 8 3 5 3 2" xfId="50901" xr:uid="{00000000-0005-0000-0000-0000BA130000}"/>
    <cellStyle name="Comma 5 2 8 3 5 4" xfId="31831" xr:uid="{00000000-0005-0000-0000-0000BB130000}"/>
    <cellStyle name="Comma 5 2 8 3 6" xfId="7716" xr:uid="{00000000-0005-0000-0000-0000BC130000}"/>
    <cellStyle name="Comma 5 2 8 3 6 2" xfId="20598" xr:uid="{00000000-0005-0000-0000-0000BD130000}"/>
    <cellStyle name="Comma 5 2 8 3 6 2 2" xfId="46151" xr:uid="{00000000-0005-0000-0000-0000BE130000}"/>
    <cellStyle name="Comma 5 2 8 3 6 3" xfId="33273" xr:uid="{00000000-0005-0000-0000-0000BF130000}"/>
    <cellStyle name="Comma 5 2 8 3 7" xfId="16400" xr:uid="{00000000-0005-0000-0000-0000C0130000}"/>
    <cellStyle name="Comma 5 2 8 3 7 2" xfId="41953" xr:uid="{00000000-0005-0000-0000-0000C1130000}"/>
    <cellStyle name="Comma 5 2 8 3 8" xfId="27081" xr:uid="{00000000-0005-0000-0000-0000C2130000}"/>
    <cellStyle name="Comma 5 2 8 4" xfId="2929" xr:uid="{00000000-0005-0000-0000-0000C3130000}"/>
    <cellStyle name="Comma 5 2 8 4 2" xfId="5307" xr:uid="{00000000-0005-0000-0000-0000C4130000}"/>
    <cellStyle name="Comma 5 2 8 4 2 2" xfId="14144" xr:uid="{00000000-0005-0000-0000-0000C5130000}"/>
    <cellStyle name="Comma 5 2 8 4 2 2 2" xfId="24395" xr:uid="{00000000-0005-0000-0000-0000C6130000}"/>
    <cellStyle name="Comma 5 2 8 4 2 2 2 2" xfId="49948" xr:uid="{00000000-0005-0000-0000-0000C7130000}"/>
    <cellStyle name="Comma 5 2 8 4 2 2 3" xfId="39699" xr:uid="{00000000-0005-0000-0000-0000C8130000}"/>
    <cellStyle name="Comma 5 2 8 4 2 3" xfId="10565" xr:uid="{00000000-0005-0000-0000-0000C9130000}"/>
    <cellStyle name="Comma 5 2 8 4 2 3 2" xfId="36122" xr:uid="{00000000-0005-0000-0000-0000CA130000}"/>
    <cellStyle name="Comma 5 2 8 4 2 4" xfId="19388" xr:uid="{00000000-0005-0000-0000-0000CB130000}"/>
    <cellStyle name="Comma 5 2 8 4 2 4 2" xfId="44941" xr:uid="{00000000-0005-0000-0000-0000CC130000}"/>
    <cellStyle name="Comma 5 2 8 4 2 5" xfId="30878" xr:uid="{00000000-0005-0000-0000-0000CD130000}"/>
    <cellStyle name="Comma 5 2 8 4 3" xfId="6762" xr:uid="{00000000-0005-0000-0000-0000CE130000}"/>
    <cellStyle name="Comma 5 2 8 4 3 2" xfId="15589" xr:uid="{00000000-0005-0000-0000-0000CF130000}"/>
    <cellStyle name="Comma 5 2 8 4 3 2 2" xfId="41144" xr:uid="{00000000-0005-0000-0000-0000D0130000}"/>
    <cellStyle name="Comma 5 2 8 4 3 3" xfId="25840" xr:uid="{00000000-0005-0000-0000-0000D1130000}"/>
    <cellStyle name="Comma 5 2 8 4 3 3 2" xfId="51393" xr:uid="{00000000-0005-0000-0000-0000D2130000}"/>
    <cellStyle name="Comma 5 2 8 4 3 4" xfId="32323" xr:uid="{00000000-0005-0000-0000-0000D3130000}"/>
    <cellStyle name="Comma 5 2 8 4 4" xfId="8208" xr:uid="{00000000-0005-0000-0000-0000D4130000}"/>
    <cellStyle name="Comma 5 2 8 4 4 2" xfId="22290" xr:uid="{00000000-0005-0000-0000-0000D5130000}"/>
    <cellStyle name="Comma 5 2 8 4 4 2 2" xfId="47843" xr:uid="{00000000-0005-0000-0000-0000D6130000}"/>
    <cellStyle name="Comma 5 2 8 4 4 3" xfId="33765" xr:uid="{00000000-0005-0000-0000-0000D7130000}"/>
    <cellStyle name="Comma 5 2 8 4 5" xfId="17283" xr:uid="{00000000-0005-0000-0000-0000D8130000}"/>
    <cellStyle name="Comma 5 2 8 4 5 2" xfId="42836" xr:uid="{00000000-0005-0000-0000-0000D9130000}"/>
    <cellStyle name="Comma 5 2 8 4 6" xfId="28773" xr:uid="{00000000-0005-0000-0000-0000DA130000}"/>
    <cellStyle name="Comma 5 2 8 5" xfId="4263" xr:uid="{00000000-0005-0000-0000-0000DB130000}"/>
    <cellStyle name="Comma 5 2 8 5 2" xfId="13101" xr:uid="{00000000-0005-0000-0000-0000DC130000}"/>
    <cellStyle name="Comma 5 2 8 5 2 2" xfId="23352" xr:uid="{00000000-0005-0000-0000-0000DD130000}"/>
    <cellStyle name="Comma 5 2 8 5 2 2 2" xfId="48905" xr:uid="{00000000-0005-0000-0000-0000DE130000}"/>
    <cellStyle name="Comma 5 2 8 5 2 3" xfId="38656" xr:uid="{00000000-0005-0000-0000-0000DF130000}"/>
    <cellStyle name="Comma 5 2 8 5 3" xfId="9522" xr:uid="{00000000-0005-0000-0000-0000E0130000}"/>
    <cellStyle name="Comma 5 2 8 5 3 2" xfId="35079" xr:uid="{00000000-0005-0000-0000-0000E1130000}"/>
    <cellStyle name="Comma 5 2 8 5 4" xfId="18345" xr:uid="{00000000-0005-0000-0000-0000E2130000}"/>
    <cellStyle name="Comma 5 2 8 5 4 2" xfId="43898" xr:uid="{00000000-0005-0000-0000-0000E3130000}"/>
    <cellStyle name="Comma 5 2 8 5 5" xfId="29835" xr:uid="{00000000-0005-0000-0000-0000E4130000}"/>
    <cellStyle name="Comma 5 2 8 6" xfId="1535" xr:uid="{00000000-0005-0000-0000-0000E5130000}"/>
    <cellStyle name="Comma 5 2 8 6 2" xfId="10912" xr:uid="{00000000-0005-0000-0000-0000E6130000}"/>
    <cellStyle name="Comma 5 2 8 6 2 2" xfId="36467" xr:uid="{00000000-0005-0000-0000-0000E7130000}"/>
    <cellStyle name="Comma 5 2 8 6 3" xfId="20916" xr:uid="{00000000-0005-0000-0000-0000E8130000}"/>
    <cellStyle name="Comma 5 2 8 6 3 2" xfId="46469" xr:uid="{00000000-0005-0000-0000-0000E9130000}"/>
    <cellStyle name="Comma 5 2 8 6 4" xfId="27399" xr:uid="{00000000-0005-0000-0000-0000EA130000}"/>
    <cellStyle name="Comma 5 2 8 7" xfId="5719" xr:uid="{00000000-0005-0000-0000-0000EB130000}"/>
    <cellStyle name="Comma 5 2 8 7 2" xfId="14546" xr:uid="{00000000-0005-0000-0000-0000EC130000}"/>
    <cellStyle name="Comma 5 2 8 7 2 2" xfId="40101" xr:uid="{00000000-0005-0000-0000-0000ED130000}"/>
    <cellStyle name="Comma 5 2 8 7 3" xfId="24797" xr:uid="{00000000-0005-0000-0000-0000EE130000}"/>
    <cellStyle name="Comma 5 2 8 7 3 2" xfId="50350" xr:uid="{00000000-0005-0000-0000-0000EF130000}"/>
    <cellStyle name="Comma 5 2 8 7 4" xfId="31280" xr:uid="{00000000-0005-0000-0000-0000F0130000}"/>
    <cellStyle name="Comma 5 2 8 8" xfId="7163" xr:uid="{00000000-0005-0000-0000-0000F1130000}"/>
    <cellStyle name="Comma 5 2 8 8 2" xfId="19889" xr:uid="{00000000-0005-0000-0000-0000F2130000}"/>
    <cellStyle name="Comma 5 2 8 8 2 2" xfId="45442" xr:uid="{00000000-0005-0000-0000-0000F3130000}"/>
    <cellStyle name="Comma 5 2 8 8 3" xfId="32720" xr:uid="{00000000-0005-0000-0000-0000F4130000}"/>
    <cellStyle name="Comma 5 2 8 9" xfId="15909" xr:uid="{00000000-0005-0000-0000-0000F5130000}"/>
    <cellStyle name="Comma 5 2 8 9 2" xfId="41462" xr:uid="{00000000-0005-0000-0000-0000F6130000}"/>
    <cellStyle name="Comma 5 2 9" xfId="304" xr:uid="{00000000-0005-0000-0000-0000F7130000}"/>
    <cellStyle name="Comma 5 2 9 10" xfId="26233" xr:uid="{00000000-0005-0000-0000-0000F8130000}"/>
    <cellStyle name="Comma 5 2 9 2" xfId="652" xr:uid="{00000000-0005-0000-0000-0000F9130000}"/>
    <cellStyle name="Comma 5 2 9 2 2" xfId="3138" xr:uid="{00000000-0005-0000-0000-0000FA130000}"/>
    <cellStyle name="Comma 5 2 9 2 2 2" xfId="12281" xr:uid="{00000000-0005-0000-0000-0000FB130000}"/>
    <cellStyle name="Comma 5 2 9 2 2 2 2" xfId="22499" xr:uid="{00000000-0005-0000-0000-0000FC130000}"/>
    <cellStyle name="Comma 5 2 9 2 2 2 2 2" xfId="48052" xr:uid="{00000000-0005-0000-0000-0000FD130000}"/>
    <cellStyle name="Comma 5 2 9 2 2 2 3" xfId="37836" xr:uid="{00000000-0005-0000-0000-0000FE130000}"/>
    <cellStyle name="Comma 5 2 9 2 2 3" xfId="8703" xr:uid="{00000000-0005-0000-0000-0000FF130000}"/>
    <cellStyle name="Comma 5 2 9 2 2 3 2" xfId="34260" xr:uid="{00000000-0005-0000-0000-000000140000}"/>
    <cellStyle name="Comma 5 2 9 2 2 4" xfId="17492" xr:uid="{00000000-0005-0000-0000-000001140000}"/>
    <cellStyle name="Comma 5 2 9 2 2 4 2" xfId="43045" xr:uid="{00000000-0005-0000-0000-000002140000}"/>
    <cellStyle name="Comma 5 2 9 2 2 5" xfId="28982" xr:uid="{00000000-0005-0000-0000-000003140000}"/>
    <cellStyle name="Comma 5 2 9 2 3" xfId="4467" xr:uid="{00000000-0005-0000-0000-000004140000}"/>
    <cellStyle name="Comma 5 2 9 2 3 2" xfId="13305" xr:uid="{00000000-0005-0000-0000-000005140000}"/>
    <cellStyle name="Comma 5 2 9 2 3 2 2" xfId="23556" xr:uid="{00000000-0005-0000-0000-000006140000}"/>
    <cellStyle name="Comma 5 2 9 2 3 2 2 2" xfId="49109" xr:uid="{00000000-0005-0000-0000-000007140000}"/>
    <cellStyle name="Comma 5 2 9 2 3 2 3" xfId="38860" xr:uid="{00000000-0005-0000-0000-000008140000}"/>
    <cellStyle name="Comma 5 2 9 2 3 3" xfId="9726" xr:uid="{00000000-0005-0000-0000-000009140000}"/>
    <cellStyle name="Comma 5 2 9 2 3 3 2" xfId="35283" xr:uid="{00000000-0005-0000-0000-00000A140000}"/>
    <cellStyle name="Comma 5 2 9 2 3 4" xfId="18549" xr:uid="{00000000-0005-0000-0000-00000B140000}"/>
    <cellStyle name="Comma 5 2 9 2 3 4 2" xfId="44102" xr:uid="{00000000-0005-0000-0000-00000C140000}"/>
    <cellStyle name="Comma 5 2 9 2 3 5" xfId="30039" xr:uid="{00000000-0005-0000-0000-00000D140000}"/>
    <cellStyle name="Comma 5 2 9 2 4" xfId="2247" xr:uid="{00000000-0005-0000-0000-00000E140000}"/>
    <cellStyle name="Comma 5 2 9 2 4 2" xfId="11612" xr:uid="{00000000-0005-0000-0000-00000F140000}"/>
    <cellStyle name="Comma 5 2 9 2 4 2 2" xfId="37167" xr:uid="{00000000-0005-0000-0000-000010140000}"/>
    <cellStyle name="Comma 5 2 9 2 4 3" xfId="21616" xr:uid="{00000000-0005-0000-0000-000011140000}"/>
    <cellStyle name="Comma 5 2 9 2 4 3 2" xfId="47169" xr:uid="{00000000-0005-0000-0000-000012140000}"/>
    <cellStyle name="Comma 5 2 9 2 4 4" xfId="28099" xr:uid="{00000000-0005-0000-0000-000013140000}"/>
    <cellStyle name="Comma 5 2 9 2 5" xfId="5923" xr:uid="{00000000-0005-0000-0000-000014140000}"/>
    <cellStyle name="Comma 5 2 9 2 5 2" xfId="14750" xr:uid="{00000000-0005-0000-0000-000015140000}"/>
    <cellStyle name="Comma 5 2 9 2 5 2 2" xfId="40305" xr:uid="{00000000-0005-0000-0000-000016140000}"/>
    <cellStyle name="Comma 5 2 9 2 5 3" xfId="25001" xr:uid="{00000000-0005-0000-0000-000017140000}"/>
    <cellStyle name="Comma 5 2 9 2 5 3 2" xfId="50554" xr:uid="{00000000-0005-0000-0000-000018140000}"/>
    <cellStyle name="Comma 5 2 9 2 5 4" xfId="31484" xr:uid="{00000000-0005-0000-0000-000019140000}"/>
    <cellStyle name="Comma 5 2 9 2 6" xfId="7367" xr:uid="{00000000-0005-0000-0000-00001A140000}"/>
    <cellStyle name="Comma 5 2 9 2 6 2" xfId="20098" xr:uid="{00000000-0005-0000-0000-00001B140000}"/>
    <cellStyle name="Comma 5 2 9 2 6 2 2" xfId="45651" xr:uid="{00000000-0005-0000-0000-00001C140000}"/>
    <cellStyle name="Comma 5 2 9 2 6 3" xfId="32924" xr:uid="{00000000-0005-0000-0000-00001D140000}"/>
    <cellStyle name="Comma 5 2 9 2 7" xfId="16609" xr:uid="{00000000-0005-0000-0000-00001E140000}"/>
    <cellStyle name="Comma 5 2 9 2 7 2" xfId="42162" xr:uid="{00000000-0005-0000-0000-00001F140000}"/>
    <cellStyle name="Comma 5 2 9 2 8" xfId="26581" xr:uid="{00000000-0005-0000-0000-000020140000}"/>
    <cellStyle name="Comma 5 2 9 3" xfId="1076" xr:uid="{00000000-0005-0000-0000-000021140000}"/>
    <cellStyle name="Comma 5 2 9 3 2" xfId="3505" xr:uid="{00000000-0005-0000-0000-000022140000}"/>
    <cellStyle name="Comma 5 2 9 3 2 2" xfId="12641" xr:uid="{00000000-0005-0000-0000-000023140000}"/>
    <cellStyle name="Comma 5 2 9 3 2 2 2" xfId="22860" xr:uid="{00000000-0005-0000-0000-000024140000}"/>
    <cellStyle name="Comma 5 2 9 3 2 2 2 2" xfId="48413" xr:uid="{00000000-0005-0000-0000-000025140000}"/>
    <cellStyle name="Comma 5 2 9 3 2 2 3" xfId="38196" xr:uid="{00000000-0005-0000-0000-000026140000}"/>
    <cellStyle name="Comma 5 2 9 3 2 3" xfId="9063" xr:uid="{00000000-0005-0000-0000-000027140000}"/>
    <cellStyle name="Comma 5 2 9 3 2 3 2" xfId="34620" xr:uid="{00000000-0005-0000-0000-000028140000}"/>
    <cellStyle name="Comma 5 2 9 3 2 4" xfId="17853" xr:uid="{00000000-0005-0000-0000-000029140000}"/>
    <cellStyle name="Comma 5 2 9 3 2 4 2" xfId="43406" xr:uid="{00000000-0005-0000-0000-00002A140000}"/>
    <cellStyle name="Comma 5 2 9 3 2 5" xfId="29343" xr:uid="{00000000-0005-0000-0000-00002B140000}"/>
    <cellStyle name="Comma 5 2 9 3 3" xfId="4816" xr:uid="{00000000-0005-0000-0000-00002C140000}"/>
    <cellStyle name="Comma 5 2 9 3 3 2" xfId="13653" xr:uid="{00000000-0005-0000-0000-00002D140000}"/>
    <cellStyle name="Comma 5 2 9 3 3 2 2" xfId="23904" xr:uid="{00000000-0005-0000-0000-00002E140000}"/>
    <cellStyle name="Comma 5 2 9 3 3 2 2 2" xfId="49457" xr:uid="{00000000-0005-0000-0000-00002F140000}"/>
    <cellStyle name="Comma 5 2 9 3 3 2 3" xfId="39208" xr:uid="{00000000-0005-0000-0000-000030140000}"/>
    <cellStyle name="Comma 5 2 9 3 3 3" xfId="10074" xr:uid="{00000000-0005-0000-0000-000031140000}"/>
    <cellStyle name="Comma 5 2 9 3 3 3 2" xfId="35631" xr:uid="{00000000-0005-0000-0000-000032140000}"/>
    <cellStyle name="Comma 5 2 9 3 3 4" xfId="18897" xr:uid="{00000000-0005-0000-0000-000033140000}"/>
    <cellStyle name="Comma 5 2 9 3 3 4 2" xfId="44450" xr:uid="{00000000-0005-0000-0000-000034140000}"/>
    <cellStyle name="Comma 5 2 9 3 3 5" xfId="30387" xr:uid="{00000000-0005-0000-0000-000035140000}"/>
    <cellStyle name="Comma 5 2 9 3 4" xfId="2578" xr:uid="{00000000-0005-0000-0000-000036140000}"/>
    <cellStyle name="Comma 5 2 9 3 4 2" xfId="11942" xr:uid="{00000000-0005-0000-0000-000037140000}"/>
    <cellStyle name="Comma 5 2 9 3 4 2 2" xfId="37497" xr:uid="{00000000-0005-0000-0000-000038140000}"/>
    <cellStyle name="Comma 5 2 9 3 4 3" xfId="21946" xr:uid="{00000000-0005-0000-0000-000039140000}"/>
    <cellStyle name="Comma 5 2 9 3 4 3 2" xfId="47499" xr:uid="{00000000-0005-0000-0000-00003A140000}"/>
    <cellStyle name="Comma 5 2 9 3 4 4" xfId="28429" xr:uid="{00000000-0005-0000-0000-00003B140000}"/>
    <cellStyle name="Comma 5 2 9 3 5" xfId="6271" xr:uid="{00000000-0005-0000-0000-00003C140000}"/>
    <cellStyle name="Comma 5 2 9 3 5 2" xfId="15098" xr:uid="{00000000-0005-0000-0000-00003D140000}"/>
    <cellStyle name="Comma 5 2 9 3 5 2 2" xfId="40653" xr:uid="{00000000-0005-0000-0000-00003E140000}"/>
    <cellStyle name="Comma 5 2 9 3 5 3" xfId="25349" xr:uid="{00000000-0005-0000-0000-00003F140000}"/>
    <cellStyle name="Comma 5 2 9 3 5 3 2" xfId="50902" xr:uid="{00000000-0005-0000-0000-000040140000}"/>
    <cellStyle name="Comma 5 2 9 3 5 4" xfId="31832" xr:uid="{00000000-0005-0000-0000-000041140000}"/>
    <cellStyle name="Comma 5 2 9 3 6" xfId="7717" xr:uid="{00000000-0005-0000-0000-000042140000}"/>
    <cellStyle name="Comma 5 2 9 3 6 2" xfId="20459" xr:uid="{00000000-0005-0000-0000-000043140000}"/>
    <cellStyle name="Comma 5 2 9 3 6 2 2" xfId="46012" xr:uid="{00000000-0005-0000-0000-000044140000}"/>
    <cellStyle name="Comma 5 2 9 3 6 3" xfId="33274" xr:uid="{00000000-0005-0000-0000-000045140000}"/>
    <cellStyle name="Comma 5 2 9 3 7" xfId="16939" xr:uid="{00000000-0005-0000-0000-000046140000}"/>
    <cellStyle name="Comma 5 2 9 3 7 2" xfId="42492" xr:uid="{00000000-0005-0000-0000-000047140000}"/>
    <cellStyle name="Comma 5 2 9 3 8" xfId="26942" xr:uid="{00000000-0005-0000-0000-000048140000}"/>
    <cellStyle name="Comma 5 2 9 4" xfId="2790" xr:uid="{00000000-0005-0000-0000-000049140000}"/>
    <cellStyle name="Comma 5 2 9 4 2" xfId="5168" xr:uid="{00000000-0005-0000-0000-00004A140000}"/>
    <cellStyle name="Comma 5 2 9 4 2 2" xfId="14005" xr:uid="{00000000-0005-0000-0000-00004B140000}"/>
    <cellStyle name="Comma 5 2 9 4 2 2 2" xfId="24256" xr:uid="{00000000-0005-0000-0000-00004C140000}"/>
    <cellStyle name="Comma 5 2 9 4 2 2 2 2" xfId="49809" xr:uid="{00000000-0005-0000-0000-00004D140000}"/>
    <cellStyle name="Comma 5 2 9 4 2 2 3" xfId="39560" xr:uid="{00000000-0005-0000-0000-00004E140000}"/>
    <cellStyle name="Comma 5 2 9 4 2 3" xfId="10426" xr:uid="{00000000-0005-0000-0000-00004F140000}"/>
    <cellStyle name="Comma 5 2 9 4 2 3 2" xfId="35983" xr:uid="{00000000-0005-0000-0000-000050140000}"/>
    <cellStyle name="Comma 5 2 9 4 2 4" xfId="19249" xr:uid="{00000000-0005-0000-0000-000051140000}"/>
    <cellStyle name="Comma 5 2 9 4 2 4 2" xfId="44802" xr:uid="{00000000-0005-0000-0000-000052140000}"/>
    <cellStyle name="Comma 5 2 9 4 2 5" xfId="30739" xr:uid="{00000000-0005-0000-0000-000053140000}"/>
    <cellStyle name="Comma 5 2 9 4 3" xfId="6623" xr:uid="{00000000-0005-0000-0000-000054140000}"/>
    <cellStyle name="Comma 5 2 9 4 3 2" xfId="15450" xr:uid="{00000000-0005-0000-0000-000055140000}"/>
    <cellStyle name="Comma 5 2 9 4 3 2 2" xfId="41005" xr:uid="{00000000-0005-0000-0000-000056140000}"/>
    <cellStyle name="Comma 5 2 9 4 3 3" xfId="25701" xr:uid="{00000000-0005-0000-0000-000057140000}"/>
    <cellStyle name="Comma 5 2 9 4 3 3 2" xfId="51254" xr:uid="{00000000-0005-0000-0000-000058140000}"/>
    <cellStyle name="Comma 5 2 9 4 3 4" xfId="32184" xr:uid="{00000000-0005-0000-0000-000059140000}"/>
    <cellStyle name="Comma 5 2 9 4 4" xfId="8069" xr:uid="{00000000-0005-0000-0000-00005A140000}"/>
    <cellStyle name="Comma 5 2 9 4 4 2" xfId="22151" xr:uid="{00000000-0005-0000-0000-00005B140000}"/>
    <cellStyle name="Comma 5 2 9 4 4 2 2" xfId="47704" xr:uid="{00000000-0005-0000-0000-00005C140000}"/>
    <cellStyle name="Comma 5 2 9 4 4 3" xfId="33626" xr:uid="{00000000-0005-0000-0000-00005D140000}"/>
    <cellStyle name="Comma 5 2 9 4 5" xfId="17144" xr:uid="{00000000-0005-0000-0000-00005E140000}"/>
    <cellStyle name="Comma 5 2 9 4 5 2" xfId="42697" xr:uid="{00000000-0005-0000-0000-00005F140000}"/>
    <cellStyle name="Comma 5 2 9 4 6" xfId="28634" xr:uid="{00000000-0005-0000-0000-000060140000}"/>
    <cellStyle name="Comma 5 2 9 5" xfId="4122" xr:uid="{00000000-0005-0000-0000-000061140000}"/>
    <cellStyle name="Comma 5 2 9 5 2" xfId="12960" xr:uid="{00000000-0005-0000-0000-000062140000}"/>
    <cellStyle name="Comma 5 2 9 5 2 2" xfId="23211" xr:uid="{00000000-0005-0000-0000-000063140000}"/>
    <cellStyle name="Comma 5 2 9 5 2 2 2" xfId="48764" xr:uid="{00000000-0005-0000-0000-000064140000}"/>
    <cellStyle name="Comma 5 2 9 5 2 3" xfId="38515" xr:uid="{00000000-0005-0000-0000-000065140000}"/>
    <cellStyle name="Comma 5 2 9 5 3" xfId="9381" xr:uid="{00000000-0005-0000-0000-000066140000}"/>
    <cellStyle name="Comma 5 2 9 5 3 2" xfId="34938" xr:uid="{00000000-0005-0000-0000-000067140000}"/>
    <cellStyle name="Comma 5 2 9 5 4" xfId="18204" xr:uid="{00000000-0005-0000-0000-000068140000}"/>
    <cellStyle name="Comma 5 2 9 5 4 2" xfId="43757" xr:uid="{00000000-0005-0000-0000-000069140000}"/>
    <cellStyle name="Comma 5 2 9 5 5" xfId="29694" xr:uid="{00000000-0005-0000-0000-00006A140000}"/>
    <cellStyle name="Comma 5 2 9 6" xfId="1899" xr:uid="{00000000-0005-0000-0000-00006B140000}"/>
    <cellStyle name="Comma 5 2 9 6 2" xfId="11264" xr:uid="{00000000-0005-0000-0000-00006C140000}"/>
    <cellStyle name="Comma 5 2 9 6 2 2" xfId="36819" xr:uid="{00000000-0005-0000-0000-00006D140000}"/>
    <cellStyle name="Comma 5 2 9 6 3" xfId="21268" xr:uid="{00000000-0005-0000-0000-00006E140000}"/>
    <cellStyle name="Comma 5 2 9 6 3 2" xfId="46821" xr:uid="{00000000-0005-0000-0000-00006F140000}"/>
    <cellStyle name="Comma 5 2 9 6 4" xfId="27751" xr:uid="{00000000-0005-0000-0000-000070140000}"/>
    <cellStyle name="Comma 5 2 9 7" xfId="5580" xr:uid="{00000000-0005-0000-0000-000071140000}"/>
    <cellStyle name="Comma 5 2 9 7 2" xfId="14407" xr:uid="{00000000-0005-0000-0000-000072140000}"/>
    <cellStyle name="Comma 5 2 9 7 2 2" xfId="39962" xr:uid="{00000000-0005-0000-0000-000073140000}"/>
    <cellStyle name="Comma 5 2 9 7 3" xfId="24658" xr:uid="{00000000-0005-0000-0000-000074140000}"/>
    <cellStyle name="Comma 5 2 9 7 3 2" xfId="50211" xr:uid="{00000000-0005-0000-0000-000075140000}"/>
    <cellStyle name="Comma 5 2 9 7 4" xfId="31141" xr:uid="{00000000-0005-0000-0000-000076140000}"/>
    <cellStyle name="Comma 5 2 9 8" xfId="7024" xr:uid="{00000000-0005-0000-0000-000077140000}"/>
    <cellStyle name="Comma 5 2 9 8 2" xfId="19750" xr:uid="{00000000-0005-0000-0000-000078140000}"/>
    <cellStyle name="Comma 5 2 9 8 2 2" xfId="45303" xr:uid="{00000000-0005-0000-0000-000079140000}"/>
    <cellStyle name="Comma 5 2 9 8 3" xfId="32581" xr:uid="{00000000-0005-0000-0000-00007A140000}"/>
    <cellStyle name="Comma 5 2 9 9" xfId="16261" xr:uid="{00000000-0005-0000-0000-00007B140000}"/>
    <cellStyle name="Comma 5 2 9 9 2" xfId="41814" xr:uid="{00000000-0005-0000-0000-00007C140000}"/>
    <cellStyle name="Comma 5 3" xfId="111" xr:uid="{00000000-0005-0000-0000-00007D140000}"/>
    <cellStyle name="Comma 5 3 10" xfId="4101" xr:uid="{00000000-0005-0000-0000-00007E140000}"/>
    <cellStyle name="Comma 5 3 10 2" xfId="5559" xr:uid="{00000000-0005-0000-0000-00007F140000}"/>
    <cellStyle name="Comma 5 3 10 2 2" xfId="14386" xr:uid="{00000000-0005-0000-0000-000080140000}"/>
    <cellStyle name="Comma 5 3 10 2 2 2" xfId="39941" xr:uid="{00000000-0005-0000-0000-000081140000}"/>
    <cellStyle name="Comma 5 3 10 2 3" xfId="24637" xr:uid="{00000000-0005-0000-0000-000082140000}"/>
    <cellStyle name="Comma 5 3 10 2 3 2" xfId="50190" xr:uid="{00000000-0005-0000-0000-000083140000}"/>
    <cellStyle name="Comma 5 3 10 2 4" xfId="31120" xr:uid="{00000000-0005-0000-0000-000084140000}"/>
    <cellStyle name="Comma 5 3 10 3" xfId="7003" xr:uid="{00000000-0005-0000-0000-000085140000}"/>
    <cellStyle name="Comma 5 3 10 3 2" xfId="23190" xr:uid="{00000000-0005-0000-0000-000086140000}"/>
    <cellStyle name="Comma 5 3 10 3 2 2" xfId="48743" xr:uid="{00000000-0005-0000-0000-000087140000}"/>
    <cellStyle name="Comma 5 3 10 3 3" xfId="32560" xr:uid="{00000000-0005-0000-0000-000088140000}"/>
    <cellStyle name="Comma 5 3 10 4" xfId="18183" xr:uid="{00000000-0005-0000-0000-000089140000}"/>
    <cellStyle name="Comma 5 3 10 4 2" xfId="43736" xr:uid="{00000000-0005-0000-0000-00008A140000}"/>
    <cellStyle name="Comma 5 3 10 5" xfId="29673" xr:uid="{00000000-0005-0000-0000-00008B140000}"/>
    <cellStyle name="Comma 5 3 11" xfId="1420" xr:uid="{00000000-0005-0000-0000-00008C140000}"/>
    <cellStyle name="Comma 5 3 11 2" xfId="10797" xr:uid="{00000000-0005-0000-0000-00008D140000}"/>
    <cellStyle name="Comma 5 3 11 2 2" xfId="36352" xr:uid="{00000000-0005-0000-0000-00008E140000}"/>
    <cellStyle name="Comma 5 3 11 3" xfId="20801" xr:uid="{00000000-0005-0000-0000-00008F140000}"/>
    <cellStyle name="Comma 5 3 11 3 2" xfId="46354" xr:uid="{00000000-0005-0000-0000-000090140000}"/>
    <cellStyle name="Comma 5 3 11 4" xfId="27284" xr:uid="{00000000-0005-0000-0000-000091140000}"/>
    <cellStyle name="Comma 5 3 12" xfId="5529" xr:uid="{00000000-0005-0000-0000-000092140000}"/>
    <cellStyle name="Comma 5 3 12 2" xfId="14356" xr:uid="{00000000-0005-0000-0000-000093140000}"/>
    <cellStyle name="Comma 5 3 12 2 2" xfId="39911" xr:uid="{00000000-0005-0000-0000-000094140000}"/>
    <cellStyle name="Comma 5 3 12 3" xfId="24607" xr:uid="{00000000-0005-0000-0000-000095140000}"/>
    <cellStyle name="Comma 5 3 12 3 2" xfId="50160" xr:uid="{00000000-0005-0000-0000-000096140000}"/>
    <cellStyle name="Comma 5 3 12 4" xfId="31090" xr:uid="{00000000-0005-0000-0000-000097140000}"/>
    <cellStyle name="Comma 5 3 13" xfId="6973" xr:uid="{00000000-0005-0000-0000-000098140000}"/>
    <cellStyle name="Comma 5 3 13 2" xfId="19584" xr:uid="{00000000-0005-0000-0000-000099140000}"/>
    <cellStyle name="Comma 5 3 13 2 2" xfId="45137" xr:uid="{00000000-0005-0000-0000-00009A140000}"/>
    <cellStyle name="Comma 5 3 13 3" xfId="32530" xr:uid="{00000000-0005-0000-0000-00009B140000}"/>
    <cellStyle name="Comma 5 3 14" xfId="15794" xr:uid="{00000000-0005-0000-0000-00009C140000}"/>
    <cellStyle name="Comma 5 3 14 2" xfId="41347" xr:uid="{00000000-0005-0000-0000-00009D140000}"/>
    <cellStyle name="Comma 5 3 15" xfId="26067" xr:uid="{00000000-0005-0000-0000-00009E140000}"/>
    <cellStyle name="Comma 5 3 2" xfId="155" xr:uid="{00000000-0005-0000-0000-00009F140000}"/>
    <cellStyle name="Comma 5 3 2 10" xfId="5661" xr:uid="{00000000-0005-0000-0000-0000A0140000}"/>
    <cellStyle name="Comma 5 3 2 10 2" xfId="14488" xr:uid="{00000000-0005-0000-0000-0000A1140000}"/>
    <cellStyle name="Comma 5 3 2 10 2 2" xfId="40043" xr:uid="{00000000-0005-0000-0000-0000A2140000}"/>
    <cellStyle name="Comma 5 3 2 10 3" xfId="24739" xr:uid="{00000000-0005-0000-0000-0000A3140000}"/>
    <cellStyle name="Comma 5 3 2 10 3 2" xfId="50292" xr:uid="{00000000-0005-0000-0000-0000A4140000}"/>
    <cellStyle name="Comma 5 3 2 10 4" xfId="31222" xr:uid="{00000000-0005-0000-0000-0000A5140000}"/>
    <cellStyle name="Comma 5 3 2 11" xfId="7105" xr:uid="{00000000-0005-0000-0000-0000A6140000}"/>
    <cellStyle name="Comma 5 3 2 11 2" xfId="19614" xr:uid="{00000000-0005-0000-0000-0000A7140000}"/>
    <cellStyle name="Comma 5 3 2 11 2 2" xfId="45167" xr:uid="{00000000-0005-0000-0000-0000A8140000}"/>
    <cellStyle name="Comma 5 3 2 11 3" xfId="32662" xr:uid="{00000000-0005-0000-0000-0000A9140000}"/>
    <cellStyle name="Comma 5 3 2 12" xfId="15851" xr:uid="{00000000-0005-0000-0000-0000AA140000}"/>
    <cellStyle name="Comma 5 3 2 12 2" xfId="41404" xr:uid="{00000000-0005-0000-0000-0000AB140000}"/>
    <cellStyle name="Comma 5 3 2 13" xfId="26097" xr:uid="{00000000-0005-0000-0000-0000AC140000}"/>
    <cellStyle name="Comma 5 3 2 2" xfId="267" xr:uid="{00000000-0005-0000-0000-0000AD140000}"/>
    <cellStyle name="Comma 5 3 2 2 10" xfId="16055" xr:uid="{00000000-0005-0000-0000-0000AE140000}"/>
    <cellStyle name="Comma 5 3 2 2 10 2" xfId="41608" xr:uid="{00000000-0005-0000-0000-0000AF140000}"/>
    <cellStyle name="Comma 5 3 2 2 11" xfId="26201" xr:uid="{00000000-0005-0000-0000-0000B0140000}"/>
    <cellStyle name="Comma 5 3 2 2 2" xfId="589" xr:uid="{00000000-0005-0000-0000-0000B1140000}"/>
    <cellStyle name="Comma 5 3 2 2 2 2" xfId="3075" xr:uid="{00000000-0005-0000-0000-0000B2140000}"/>
    <cellStyle name="Comma 5 3 2 2 2 2 2" xfId="12222" xr:uid="{00000000-0005-0000-0000-0000B3140000}"/>
    <cellStyle name="Comma 5 3 2 2 2 2 2 2" xfId="22436" xr:uid="{00000000-0005-0000-0000-0000B4140000}"/>
    <cellStyle name="Comma 5 3 2 2 2 2 2 2 2" xfId="47989" xr:uid="{00000000-0005-0000-0000-0000B5140000}"/>
    <cellStyle name="Comma 5 3 2 2 2 2 2 3" xfId="37777" xr:uid="{00000000-0005-0000-0000-0000B6140000}"/>
    <cellStyle name="Comma 5 3 2 2 2 2 3" xfId="8644" xr:uid="{00000000-0005-0000-0000-0000B7140000}"/>
    <cellStyle name="Comma 5 3 2 2 2 2 3 2" xfId="34201" xr:uid="{00000000-0005-0000-0000-0000B8140000}"/>
    <cellStyle name="Comma 5 3 2 2 2 2 4" xfId="17429" xr:uid="{00000000-0005-0000-0000-0000B9140000}"/>
    <cellStyle name="Comma 5 3 2 2 2 2 4 2" xfId="42982" xr:uid="{00000000-0005-0000-0000-0000BA140000}"/>
    <cellStyle name="Comma 5 3 2 2 2 2 5" xfId="28919" xr:uid="{00000000-0005-0000-0000-0000BB140000}"/>
    <cellStyle name="Comma 5 3 2 2 2 3" xfId="4470" xr:uid="{00000000-0005-0000-0000-0000BC140000}"/>
    <cellStyle name="Comma 5 3 2 2 2 3 2" xfId="13308" xr:uid="{00000000-0005-0000-0000-0000BD140000}"/>
    <cellStyle name="Comma 5 3 2 2 2 3 2 2" xfId="23559" xr:uid="{00000000-0005-0000-0000-0000BE140000}"/>
    <cellStyle name="Comma 5 3 2 2 2 3 2 2 2" xfId="49112" xr:uid="{00000000-0005-0000-0000-0000BF140000}"/>
    <cellStyle name="Comma 5 3 2 2 2 3 2 3" xfId="38863" xr:uid="{00000000-0005-0000-0000-0000C0140000}"/>
    <cellStyle name="Comma 5 3 2 2 2 3 3" xfId="9729" xr:uid="{00000000-0005-0000-0000-0000C1140000}"/>
    <cellStyle name="Comma 5 3 2 2 2 3 3 2" xfId="35286" xr:uid="{00000000-0005-0000-0000-0000C2140000}"/>
    <cellStyle name="Comma 5 3 2 2 2 3 4" xfId="18552" xr:uid="{00000000-0005-0000-0000-0000C3140000}"/>
    <cellStyle name="Comma 5 3 2 2 2 3 4 2" xfId="44105" xr:uid="{00000000-0005-0000-0000-0000C4140000}"/>
    <cellStyle name="Comma 5 3 2 2 2 3 5" xfId="30042" xr:uid="{00000000-0005-0000-0000-0000C5140000}"/>
    <cellStyle name="Comma 5 3 2 2 2 4" xfId="2184" xr:uid="{00000000-0005-0000-0000-0000C6140000}"/>
    <cellStyle name="Comma 5 3 2 2 2 4 2" xfId="11549" xr:uid="{00000000-0005-0000-0000-0000C7140000}"/>
    <cellStyle name="Comma 5 3 2 2 2 4 2 2" xfId="37104" xr:uid="{00000000-0005-0000-0000-0000C8140000}"/>
    <cellStyle name="Comma 5 3 2 2 2 4 3" xfId="21553" xr:uid="{00000000-0005-0000-0000-0000C9140000}"/>
    <cellStyle name="Comma 5 3 2 2 2 4 3 2" xfId="47106" xr:uid="{00000000-0005-0000-0000-0000CA140000}"/>
    <cellStyle name="Comma 5 3 2 2 2 4 4" xfId="28036" xr:uid="{00000000-0005-0000-0000-0000CB140000}"/>
    <cellStyle name="Comma 5 3 2 2 2 5" xfId="5926" xr:uid="{00000000-0005-0000-0000-0000CC140000}"/>
    <cellStyle name="Comma 5 3 2 2 2 5 2" xfId="14753" xr:uid="{00000000-0005-0000-0000-0000CD140000}"/>
    <cellStyle name="Comma 5 3 2 2 2 5 2 2" xfId="40308" xr:uid="{00000000-0005-0000-0000-0000CE140000}"/>
    <cellStyle name="Comma 5 3 2 2 2 5 3" xfId="25004" xr:uid="{00000000-0005-0000-0000-0000CF140000}"/>
    <cellStyle name="Comma 5 3 2 2 2 5 3 2" xfId="50557" xr:uid="{00000000-0005-0000-0000-0000D0140000}"/>
    <cellStyle name="Comma 5 3 2 2 2 5 4" xfId="31487" xr:uid="{00000000-0005-0000-0000-0000D1140000}"/>
    <cellStyle name="Comma 5 3 2 2 2 6" xfId="7370" xr:uid="{00000000-0005-0000-0000-0000D2140000}"/>
    <cellStyle name="Comma 5 3 2 2 2 6 2" xfId="20035" xr:uid="{00000000-0005-0000-0000-0000D3140000}"/>
    <cellStyle name="Comma 5 3 2 2 2 6 2 2" xfId="45588" xr:uid="{00000000-0005-0000-0000-0000D4140000}"/>
    <cellStyle name="Comma 5 3 2 2 2 6 3" xfId="32927" xr:uid="{00000000-0005-0000-0000-0000D5140000}"/>
    <cellStyle name="Comma 5 3 2 2 2 7" xfId="16546" xr:uid="{00000000-0005-0000-0000-0000D6140000}"/>
    <cellStyle name="Comma 5 3 2 2 2 7 2" xfId="42099" xr:uid="{00000000-0005-0000-0000-0000D7140000}"/>
    <cellStyle name="Comma 5 3 2 2 2 8" xfId="26518" xr:uid="{00000000-0005-0000-0000-0000D8140000}"/>
    <cellStyle name="Comma 5 3 2 2 3" xfId="655" xr:uid="{00000000-0005-0000-0000-0000D9140000}"/>
    <cellStyle name="Comma 5 3 2 2 3 2" xfId="3141" xr:uid="{00000000-0005-0000-0000-0000DA140000}"/>
    <cellStyle name="Comma 5 3 2 2 3 2 2" xfId="12284" xr:uid="{00000000-0005-0000-0000-0000DB140000}"/>
    <cellStyle name="Comma 5 3 2 2 3 2 2 2" xfId="22502" xr:uid="{00000000-0005-0000-0000-0000DC140000}"/>
    <cellStyle name="Comma 5 3 2 2 3 2 2 2 2" xfId="48055" xr:uid="{00000000-0005-0000-0000-0000DD140000}"/>
    <cellStyle name="Comma 5 3 2 2 3 2 2 3" xfId="37839" xr:uid="{00000000-0005-0000-0000-0000DE140000}"/>
    <cellStyle name="Comma 5 3 2 2 3 2 3" xfId="8706" xr:uid="{00000000-0005-0000-0000-0000DF140000}"/>
    <cellStyle name="Comma 5 3 2 2 3 2 3 2" xfId="34263" xr:uid="{00000000-0005-0000-0000-0000E0140000}"/>
    <cellStyle name="Comma 5 3 2 2 3 2 4" xfId="17495" xr:uid="{00000000-0005-0000-0000-0000E1140000}"/>
    <cellStyle name="Comma 5 3 2 2 3 2 4 2" xfId="43048" xr:uid="{00000000-0005-0000-0000-0000E2140000}"/>
    <cellStyle name="Comma 5 3 2 2 3 2 5" xfId="28985" xr:uid="{00000000-0005-0000-0000-0000E3140000}"/>
    <cellStyle name="Comma 5 3 2 2 3 3" xfId="4819" xr:uid="{00000000-0005-0000-0000-0000E4140000}"/>
    <cellStyle name="Comma 5 3 2 2 3 3 2" xfId="13656" xr:uid="{00000000-0005-0000-0000-0000E5140000}"/>
    <cellStyle name="Comma 5 3 2 2 3 3 2 2" xfId="23907" xr:uid="{00000000-0005-0000-0000-0000E6140000}"/>
    <cellStyle name="Comma 5 3 2 2 3 3 2 2 2" xfId="49460" xr:uid="{00000000-0005-0000-0000-0000E7140000}"/>
    <cellStyle name="Comma 5 3 2 2 3 3 2 3" xfId="39211" xr:uid="{00000000-0005-0000-0000-0000E8140000}"/>
    <cellStyle name="Comma 5 3 2 2 3 3 3" xfId="10077" xr:uid="{00000000-0005-0000-0000-0000E9140000}"/>
    <cellStyle name="Comma 5 3 2 2 3 3 3 2" xfId="35634" xr:uid="{00000000-0005-0000-0000-0000EA140000}"/>
    <cellStyle name="Comma 5 3 2 2 3 3 4" xfId="18900" xr:uid="{00000000-0005-0000-0000-0000EB140000}"/>
    <cellStyle name="Comma 5 3 2 2 3 3 4 2" xfId="44453" xr:uid="{00000000-0005-0000-0000-0000EC140000}"/>
    <cellStyle name="Comma 5 3 2 2 3 3 5" xfId="30390" xr:uid="{00000000-0005-0000-0000-0000ED140000}"/>
    <cellStyle name="Comma 5 3 2 2 3 4" xfId="2250" xr:uid="{00000000-0005-0000-0000-0000EE140000}"/>
    <cellStyle name="Comma 5 3 2 2 3 4 2" xfId="11615" xr:uid="{00000000-0005-0000-0000-0000EF140000}"/>
    <cellStyle name="Comma 5 3 2 2 3 4 2 2" xfId="37170" xr:uid="{00000000-0005-0000-0000-0000F0140000}"/>
    <cellStyle name="Comma 5 3 2 2 3 4 3" xfId="21619" xr:uid="{00000000-0005-0000-0000-0000F1140000}"/>
    <cellStyle name="Comma 5 3 2 2 3 4 3 2" xfId="47172" xr:uid="{00000000-0005-0000-0000-0000F2140000}"/>
    <cellStyle name="Comma 5 3 2 2 3 4 4" xfId="28102" xr:uid="{00000000-0005-0000-0000-0000F3140000}"/>
    <cellStyle name="Comma 5 3 2 2 3 5" xfId="6274" xr:uid="{00000000-0005-0000-0000-0000F4140000}"/>
    <cellStyle name="Comma 5 3 2 2 3 5 2" xfId="15101" xr:uid="{00000000-0005-0000-0000-0000F5140000}"/>
    <cellStyle name="Comma 5 3 2 2 3 5 2 2" xfId="40656" xr:uid="{00000000-0005-0000-0000-0000F6140000}"/>
    <cellStyle name="Comma 5 3 2 2 3 5 3" xfId="25352" xr:uid="{00000000-0005-0000-0000-0000F7140000}"/>
    <cellStyle name="Comma 5 3 2 2 3 5 3 2" xfId="50905" xr:uid="{00000000-0005-0000-0000-0000F8140000}"/>
    <cellStyle name="Comma 5 3 2 2 3 5 4" xfId="31835" xr:uid="{00000000-0005-0000-0000-0000F9140000}"/>
    <cellStyle name="Comma 5 3 2 2 3 6" xfId="7720" xr:uid="{00000000-0005-0000-0000-0000FA140000}"/>
    <cellStyle name="Comma 5 3 2 2 3 6 2" xfId="20101" xr:uid="{00000000-0005-0000-0000-0000FB140000}"/>
    <cellStyle name="Comma 5 3 2 2 3 6 2 2" xfId="45654" xr:uid="{00000000-0005-0000-0000-0000FC140000}"/>
    <cellStyle name="Comma 5 3 2 2 3 6 3" xfId="33277" xr:uid="{00000000-0005-0000-0000-0000FD140000}"/>
    <cellStyle name="Comma 5 3 2 2 3 7" xfId="16612" xr:uid="{00000000-0005-0000-0000-0000FE140000}"/>
    <cellStyle name="Comma 5 3 2 2 3 7 2" xfId="42165" xr:uid="{00000000-0005-0000-0000-0000FF140000}"/>
    <cellStyle name="Comma 5 3 2 2 3 8" xfId="26584" xr:uid="{00000000-0005-0000-0000-000000150000}"/>
    <cellStyle name="Comma 5 3 2 2 4" xfId="1361" xr:uid="{00000000-0005-0000-0000-000001150000}"/>
    <cellStyle name="Comma 5 3 2 2 4 2" xfId="3790" xr:uid="{00000000-0005-0000-0000-000002150000}"/>
    <cellStyle name="Comma 5 3 2 2 4 2 2" xfId="12926" xr:uid="{00000000-0005-0000-0000-000003150000}"/>
    <cellStyle name="Comma 5 3 2 2 4 2 2 2" xfId="23145" xr:uid="{00000000-0005-0000-0000-000004150000}"/>
    <cellStyle name="Comma 5 3 2 2 4 2 2 2 2" xfId="48698" xr:uid="{00000000-0005-0000-0000-000005150000}"/>
    <cellStyle name="Comma 5 3 2 2 4 2 2 3" xfId="38481" xr:uid="{00000000-0005-0000-0000-000006150000}"/>
    <cellStyle name="Comma 5 3 2 2 4 2 3" xfId="9347" xr:uid="{00000000-0005-0000-0000-000007150000}"/>
    <cellStyle name="Comma 5 3 2 2 4 2 3 2" xfId="34904" xr:uid="{00000000-0005-0000-0000-000008150000}"/>
    <cellStyle name="Comma 5 3 2 2 4 2 4" xfId="18138" xr:uid="{00000000-0005-0000-0000-000009150000}"/>
    <cellStyle name="Comma 5 3 2 2 4 2 4 2" xfId="43691" xr:uid="{00000000-0005-0000-0000-00000A150000}"/>
    <cellStyle name="Comma 5 3 2 2 4 2 5" xfId="29628" xr:uid="{00000000-0005-0000-0000-00000B150000}"/>
    <cellStyle name="Comma 5 3 2 2 4 3" xfId="5453" xr:uid="{00000000-0005-0000-0000-00000C150000}"/>
    <cellStyle name="Comma 5 3 2 2 4 3 2" xfId="14290" xr:uid="{00000000-0005-0000-0000-00000D150000}"/>
    <cellStyle name="Comma 5 3 2 2 4 3 2 2" xfId="24541" xr:uid="{00000000-0005-0000-0000-00000E150000}"/>
    <cellStyle name="Comma 5 3 2 2 4 3 2 2 2" xfId="50094" xr:uid="{00000000-0005-0000-0000-00000F150000}"/>
    <cellStyle name="Comma 5 3 2 2 4 3 2 3" xfId="39845" xr:uid="{00000000-0005-0000-0000-000010150000}"/>
    <cellStyle name="Comma 5 3 2 2 4 3 3" xfId="10711" xr:uid="{00000000-0005-0000-0000-000011150000}"/>
    <cellStyle name="Comma 5 3 2 2 4 3 3 2" xfId="36268" xr:uid="{00000000-0005-0000-0000-000012150000}"/>
    <cellStyle name="Comma 5 3 2 2 4 3 4" xfId="19534" xr:uid="{00000000-0005-0000-0000-000013150000}"/>
    <cellStyle name="Comma 5 3 2 2 4 3 4 2" xfId="45087" xr:uid="{00000000-0005-0000-0000-000014150000}"/>
    <cellStyle name="Comma 5 3 2 2 4 3 5" xfId="31024" xr:uid="{00000000-0005-0000-0000-000015150000}"/>
    <cellStyle name="Comma 5 3 2 2 4 4" xfId="1864" xr:uid="{00000000-0005-0000-0000-000016150000}"/>
    <cellStyle name="Comma 5 3 2 2 4 4 2" xfId="11232" xr:uid="{00000000-0005-0000-0000-000017150000}"/>
    <cellStyle name="Comma 5 3 2 2 4 4 2 2" xfId="36787" xr:uid="{00000000-0005-0000-0000-000018150000}"/>
    <cellStyle name="Comma 5 3 2 2 4 4 3" xfId="21236" xr:uid="{00000000-0005-0000-0000-000019150000}"/>
    <cellStyle name="Comma 5 3 2 2 4 4 3 2" xfId="46789" xr:uid="{00000000-0005-0000-0000-00001A150000}"/>
    <cellStyle name="Comma 5 3 2 2 4 4 4" xfId="27719" xr:uid="{00000000-0005-0000-0000-00001B150000}"/>
    <cellStyle name="Comma 5 3 2 2 4 5" xfId="6908" xr:uid="{00000000-0005-0000-0000-00001C150000}"/>
    <cellStyle name="Comma 5 3 2 2 4 5 2" xfId="15735" xr:uid="{00000000-0005-0000-0000-00001D150000}"/>
    <cellStyle name="Comma 5 3 2 2 4 5 2 2" xfId="41290" xr:uid="{00000000-0005-0000-0000-00001E150000}"/>
    <cellStyle name="Comma 5 3 2 2 4 5 3" xfId="25986" xr:uid="{00000000-0005-0000-0000-00001F150000}"/>
    <cellStyle name="Comma 5 3 2 2 4 5 3 2" xfId="51539" xr:uid="{00000000-0005-0000-0000-000020150000}"/>
    <cellStyle name="Comma 5 3 2 2 4 5 4" xfId="32469" xr:uid="{00000000-0005-0000-0000-000021150000}"/>
    <cellStyle name="Comma 5 3 2 2 4 6" xfId="8354" xr:uid="{00000000-0005-0000-0000-000022150000}"/>
    <cellStyle name="Comma 5 3 2 2 4 6 2" xfId="20744" xr:uid="{00000000-0005-0000-0000-000023150000}"/>
    <cellStyle name="Comma 5 3 2 2 4 6 2 2" xfId="46297" xr:uid="{00000000-0005-0000-0000-000024150000}"/>
    <cellStyle name="Comma 5 3 2 2 4 6 3" xfId="33911" xr:uid="{00000000-0005-0000-0000-000025150000}"/>
    <cellStyle name="Comma 5 3 2 2 4 7" xfId="16229" xr:uid="{00000000-0005-0000-0000-000026150000}"/>
    <cellStyle name="Comma 5 3 2 2 4 7 2" xfId="41782" xr:uid="{00000000-0005-0000-0000-000027150000}"/>
    <cellStyle name="Comma 5 3 2 2 4 8" xfId="27227" xr:uid="{00000000-0005-0000-0000-000028150000}"/>
    <cellStyle name="Comma 5 3 2 2 5" xfId="2758" xr:uid="{00000000-0005-0000-0000-000029150000}"/>
    <cellStyle name="Comma 5 3 2 2 5 2" xfId="12075" xr:uid="{00000000-0005-0000-0000-00002A150000}"/>
    <cellStyle name="Comma 5 3 2 2 5 2 2" xfId="22119" xr:uid="{00000000-0005-0000-0000-00002B150000}"/>
    <cellStyle name="Comma 5 3 2 2 5 2 2 2" xfId="47672" xr:uid="{00000000-0005-0000-0000-00002C150000}"/>
    <cellStyle name="Comma 5 3 2 2 5 2 3" xfId="37630" xr:uid="{00000000-0005-0000-0000-00002D150000}"/>
    <cellStyle name="Comma 5 3 2 2 5 3" xfId="8478" xr:uid="{00000000-0005-0000-0000-00002E150000}"/>
    <cellStyle name="Comma 5 3 2 2 5 3 2" xfId="34035" xr:uid="{00000000-0005-0000-0000-00002F150000}"/>
    <cellStyle name="Comma 5 3 2 2 5 4" xfId="17112" xr:uid="{00000000-0005-0000-0000-000030150000}"/>
    <cellStyle name="Comma 5 3 2 2 5 4 2" xfId="42665" xr:uid="{00000000-0005-0000-0000-000031150000}"/>
    <cellStyle name="Comma 5 3 2 2 5 5" xfId="28602" xr:uid="{00000000-0005-0000-0000-000032150000}"/>
    <cellStyle name="Comma 5 3 2 2 6" xfId="4409" xr:uid="{00000000-0005-0000-0000-000033150000}"/>
    <cellStyle name="Comma 5 3 2 2 6 2" xfId="13247" xr:uid="{00000000-0005-0000-0000-000034150000}"/>
    <cellStyle name="Comma 5 3 2 2 6 2 2" xfId="23498" xr:uid="{00000000-0005-0000-0000-000035150000}"/>
    <cellStyle name="Comma 5 3 2 2 6 2 2 2" xfId="49051" xr:uid="{00000000-0005-0000-0000-000036150000}"/>
    <cellStyle name="Comma 5 3 2 2 6 2 3" xfId="38802" xr:uid="{00000000-0005-0000-0000-000037150000}"/>
    <cellStyle name="Comma 5 3 2 2 6 3" xfId="9668" xr:uid="{00000000-0005-0000-0000-000038150000}"/>
    <cellStyle name="Comma 5 3 2 2 6 3 2" xfId="35225" xr:uid="{00000000-0005-0000-0000-000039150000}"/>
    <cellStyle name="Comma 5 3 2 2 6 4" xfId="18491" xr:uid="{00000000-0005-0000-0000-00003A150000}"/>
    <cellStyle name="Comma 5 3 2 2 6 4 2" xfId="44044" xr:uid="{00000000-0005-0000-0000-00003B150000}"/>
    <cellStyle name="Comma 5 3 2 2 6 5" xfId="29981" xr:uid="{00000000-0005-0000-0000-00003C150000}"/>
    <cellStyle name="Comma 5 3 2 2 7" xfId="1681" xr:uid="{00000000-0005-0000-0000-00003D150000}"/>
    <cellStyle name="Comma 5 3 2 2 7 2" xfId="11058" xr:uid="{00000000-0005-0000-0000-00003E150000}"/>
    <cellStyle name="Comma 5 3 2 2 7 2 2" xfId="36613" xr:uid="{00000000-0005-0000-0000-00003F150000}"/>
    <cellStyle name="Comma 5 3 2 2 7 3" xfId="21062" xr:uid="{00000000-0005-0000-0000-000040150000}"/>
    <cellStyle name="Comma 5 3 2 2 7 3 2" xfId="46615" xr:uid="{00000000-0005-0000-0000-000041150000}"/>
    <cellStyle name="Comma 5 3 2 2 7 4" xfId="27545" xr:uid="{00000000-0005-0000-0000-000042150000}"/>
    <cellStyle name="Comma 5 3 2 2 8" xfId="5865" xr:uid="{00000000-0005-0000-0000-000043150000}"/>
    <cellStyle name="Comma 5 3 2 2 8 2" xfId="14692" xr:uid="{00000000-0005-0000-0000-000044150000}"/>
    <cellStyle name="Comma 5 3 2 2 8 2 2" xfId="40247" xr:uid="{00000000-0005-0000-0000-000045150000}"/>
    <cellStyle name="Comma 5 3 2 2 8 3" xfId="24943" xr:uid="{00000000-0005-0000-0000-000046150000}"/>
    <cellStyle name="Comma 5 3 2 2 8 3 2" xfId="50496" xr:uid="{00000000-0005-0000-0000-000047150000}"/>
    <cellStyle name="Comma 5 3 2 2 8 4" xfId="31426" xr:uid="{00000000-0005-0000-0000-000048150000}"/>
    <cellStyle name="Comma 5 3 2 2 9" xfId="7309" xr:uid="{00000000-0005-0000-0000-000049150000}"/>
    <cellStyle name="Comma 5 3 2 2 9 2" xfId="19718" xr:uid="{00000000-0005-0000-0000-00004A150000}"/>
    <cellStyle name="Comma 5 3 2 2 9 2 2" xfId="45271" xr:uid="{00000000-0005-0000-0000-00004B150000}"/>
    <cellStyle name="Comma 5 3 2 2 9 3" xfId="32866" xr:uid="{00000000-0005-0000-0000-00004C150000}"/>
    <cellStyle name="Comma 5 3 2 3" xfId="485" xr:uid="{00000000-0005-0000-0000-00004D150000}"/>
    <cellStyle name="Comma 5 3 2 3 10" xfId="26414" xr:uid="{00000000-0005-0000-0000-00004E150000}"/>
    <cellStyle name="Comma 5 3 2 3 2" xfId="656" xr:uid="{00000000-0005-0000-0000-00004F150000}"/>
    <cellStyle name="Comma 5 3 2 3 2 2" xfId="3142" xr:uid="{00000000-0005-0000-0000-000050150000}"/>
    <cellStyle name="Comma 5 3 2 3 2 2 2" xfId="12285" xr:uid="{00000000-0005-0000-0000-000051150000}"/>
    <cellStyle name="Comma 5 3 2 3 2 2 2 2" xfId="22503" xr:uid="{00000000-0005-0000-0000-000052150000}"/>
    <cellStyle name="Comma 5 3 2 3 2 2 2 2 2" xfId="48056" xr:uid="{00000000-0005-0000-0000-000053150000}"/>
    <cellStyle name="Comma 5 3 2 3 2 2 2 3" xfId="37840" xr:uid="{00000000-0005-0000-0000-000054150000}"/>
    <cellStyle name="Comma 5 3 2 3 2 2 3" xfId="8707" xr:uid="{00000000-0005-0000-0000-000055150000}"/>
    <cellStyle name="Comma 5 3 2 3 2 2 3 2" xfId="34264" xr:uid="{00000000-0005-0000-0000-000056150000}"/>
    <cellStyle name="Comma 5 3 2 3 2 2 4" xfId="17496" xr:uid="{00000000-0005-0000-0000-000057150000}"/>
    <cellStyle name="Comma 5 3 2 3 2 2 4 2" xfId="43049" xr:uid="{00000000-0005-0000-0000-000058150000}"/>
    <cellStyle name="Comma 5 3 2 3 2 2 5" xfId="28986" xr:uid="{00000000-0005-0000-0000-000059150000}"/>
    <cellStyle name="Comma 5 3 2 3 2 3" xfId="4471" xr:uid="{00000000-0005-0000-0000-00005A150000}"/>
    <cellStyle name="Comma 5 3 2 3 2 3 2" xfId="13309" xr:uid="{00000000-0005-0000-0000-00005B150000}"/>
    <cellStyle name="Comma 5 3 2 3 2 3 2 2" xfId="23560" xr:uid="{00000000-0005-0000-0000-00005C150000}"/>
    <cellStyle name="Comma 5 3 2 3 2 3 2 2 2" xfId="49113" xr:uid="{00000000-0005-0000-0000-00005D150000}"/>
    <cellStyle name="Comma 5 3 2 3 2 3 2 3" xfId="38864" xr:uid="{00000000-0005-0000-0000-00005E150000}"/>
    <cellStyle name="Comma 5 3 2 3 2 3 3" xfId="9730" xr:uid="{00000000-0005-0000-0000-00005F150000}"/>
    <cellStyle name="Comma 5 3 2 3 2 3 3 2" xfId="35287" xr:uid="{00000000-0005-0000-0000-000060150000}"/>
    <cellStyle name="Comma 5 3 2 3 2 3 4" xfId="18553" xr:uid="{00000000-0005-0000-0000-000061150000}"/>
    <cellStyle name="Comma 5 3 2 3 2 3 4 2" xfId="44106" xr:uid="{00000000-0005-0000-0000-000062150000}"/>
    <cellStyle name="Comma 5 3 2 3 2 3 5" xfId="30043" xr:uid="{00000000-0005-0000-0000-000063150000}"/>
    <cellStyle name="Comma 5 3 2 3 2 4" xfId="2251" xr:uid="{00000000-0005-0000-0000-000064150000}"/>
    <cellStyle name="Comma 5 3 2 3 2 4 2" xfId="11616" xr:uid="{00000000-0005-0000-0000-000065150000}"/>
    <cellStyle name="Comma 5 3 2 3 2 4 2 2" xfId="37171" xr:uid="{00000000-0005-0000-0000-000066150000}"/>
    <cellStyle name="Comma 5 3 2 3 2 4 3" xfId="21620" xr:uid="{00000000-0005-0000-0000-000067150000}"/>
    <cellStyle name="Comma 5 3 2 3 2 4 3 2" xfId="47173" xr:uid="{00000000-0005-0000-0000-000068150000}"/>
    <cellStyle name="Comma 5 3 2 3 2 4 4" xfId="28103" xr:uid="{00000000-0005-0000-0000-000069150000}"/>
    <cellStyle name="Comma 5 3 2 3 2 5" xfId="5927" xr:uid="{00000000-0005-0000-0000-00006A150000}"/>
    <cellStyle name="Comma 5 3 2 3 2 5 2" xfId="14754" xr:uid="{00000000-0005-0000-0000-00006B150000}"/>
    <cellStyle name="Comma 5 3 2 3 2 5 2 2" xfId="40309" xr:uid="{00000000-0005-0000-0000-00006C150000}"/>
    <cellStyle name="Comma 5 3 2 3 2 5 3" xfId="25005" xr:uid="{00000000-0005-0000-0000-00006D150000}"/>
    <cellStyle name="Comma 5 3 2 3 2 5 3 2" xfId="50558" xr:uid="{00000000-0005-0000-0000-00006E150000}"/>
    <cellStyle name="Comma 5 3 2 3 2 5 4" xfId="31488" xr:uid="{00000000-0005-0000-0000-00006F150000}"/>
    <cellStyle name="Comma 5 3 2 3 2 6" xfId="7371" xr:uid="{00000000-0005-0000-0000-000070150000}"/>
    <cellStyle name="Comma 5 3 2 3 2 6 2" xfId="20102" xr:uid="{00000000-0005-0000-0000-000071150000}"/>
    <cellStyle name="Comma 5 3 2 3 2 6 2 2" xfId="45655" xr:uid="{00000000-0005-0000-0000-000072150000}"/>
    <cellStyle name="Comma 5 3 2 3 2 6 3" xfId="32928" xr:uid="{00000000-0005-0000-0000-000073150000}"/>
    <cellStyle name="Comma 5 3 2 3 2 7" xfId="16613" xr:uid="{00000000-0005-0000-0000-000074150000}"/>
    <cellStyle name="Comma 5 3 2 3 2 7 2" xfId="42166" xr:uid="{00000000-0005-0000-0000-000075150000}"/>
    <cellStyle name="Comma 5 3 2 3 2 8" xfId="26585" xr:uid="{00000000-0005-0000-0000-000076150000}"/>
    <cellStyle name="Comma 5 3 2 3 3" xfId="1257" xr:uid="{00000000-0005-0000-0000-000077150000}"/>
    <cellStyle name="Comma 5 3 2 3 3 2" xfId="3686" xr:uid="{00000000-0005-0000-0000-000078150000}"/>
    <cellStyle name="Comma 5 3 2 3 3 2 2" xfId="12822" xr:uid="{00000000-0005-0000-0000-000079150000}"/>
    <cellStyle name="Comma 5 3 2 3 3 2 2 2" xfId="23041" xr:uid="{00000000-0005-0000-0000-00007A150000}"/>
    <cellStyle name="Comma 5 3 2 3 3 2 2 2 2" xfId="48594" xr:uid="{00000000-0005-0000-0000-00007B150000}"/>
    <cellStyle name="Comma 5 3 2 3 3 2 2 3" xfId="38377" xr:uid="{00000000-0005-0000-0000-00007C150000}"/>
    <cellStyle name="Comma 5 3 2 3 3 2 3" xfId="9243" xr:uid="{00000000-0005-0000-0000-00007D150000}"/>
    <cellStyle name="Comma 5 3 2 3 3 2 3 2" xfId="34800" xr:uid="{00000000-0005-0000-0000-00007E150000}"/>
    <cellStyle name="Comma 5 3 2 3 3 2 4" xfId="18034" xr:uid="{00000000-0005-0000-0000-00007F150000}"/>
    <cellStyle name="Comma 5 3 2 3 3 2 4 2" xfId="43587" xr:uid="{00000000-0005-0000-0000-000080150000}"/>
    <cellStyle name="Comma 5 3 2 3 3 2 5" xfId="29524" xr:uid="{00000000-0005-0000-0000-000081150000}"/>
    <cellStyle name="Comma 5 3 2 3 3 3" xfId="4820" xr:uid="{00000000-0005-0000-0000-000082150000}"/>
    <cellStyle name="Comma 5 3 2 3 3 3 2" xfId="13657" xr:uid="{00000000-0005-0000-0000-000083150000}"/>
    <cellStyle name="Comma 5 3 2 3 3 3 2 2" xfId="23908" xr:uid="{00000000-0005-0000-0000-000084150000}"/>
    <cellStyle name="Comma 5 3 2 3 3 3 2 2 2" xfId="49461" xr:uid="{00000000-0005-0000-0000-000085150000}"/>
    <cellStyle name="Comma 5 3 2 3 3 3 2 3" xfId="39212" xr:uid="{00000000-0005-0000-0000-000086150000}"/>
    <cellStyle name="Comma 5 3 2 3 3 3 3" xfId="10078" xr:uid="{00000000-0005-0000-0000-000087150000}"/>
    <cellStyle name="Comma 5 3 2 3 3 3 3 2" xfId="35635" xr:uid="{00000000-0005-0000-0000-000088150000}"/>
    <cellStyle name="Comma 5 3 2 3 3 3 4" xfId="18901" xr:uid="{00000000-0005-0000-0000-000089150000}"/>
    <cellStyle name="Comma 5 3 2 3 3 3 4 2" xfId="44454" xr:uid="{00000000-0005-0000-0000-00008A150000}"/>
    <cellStyle name="Comma 5 3 2 3 3 3 5" xfId="30391" xr:uid="{00000000-0005-0000-0000-00008B150000}"/>
    <cellStyle name="Comma 5 3 2 3 3 4" xfId="2080" xr:uid="{00000000-0005-0000-0000-00008C150000}"/>
    <cellStyle name="Comma 5 3 2 3 3 4 2" xfId="11445" xr:uid="{00000000-0005-0000-0000-00008D150000}"/>
    <cellStyle name="Comma 5 3 2 3 3 4 2 2" xfId="37000" xr:uid="{00000000-0005-0000-0000-00008E150000}"/>
    <cellStyle name="Comma 5 3 2 3 3 4 3" xfId="21449" xr:uid="{00000000-0005-0000-0000-00008F150000}"/>
    <cellStyle name="Comma 5 3 2 3 3 4 3 2" xfId="47002" xr:uid="{00000000-0005-0000-0000-000090150000}"/>
    <cellStyle name="Comma 5 3 2 3 3 4 4" xfId="27932" xr:uid="{00000000-0005-0000-0000-000091150000}"/>
    <cellStyle name="Comma 5 3 2 3 3 5" xfId="6275" xr:uid="{00000000-0005-0000-0000-000092150000}"/>
    <cellStyle name="Comma 5 3 2 3 3 5 2" xfId="15102" xr:uid="{00000000-0005-0000-0000-000093150000}"/>
    <cellStyle name="Comma 5 3 2 3 3 5 2 2" xfId="40657" xr:uid="{00000000-0005-0000-0000-000094150000}"/>
    <cellStyle name="Comma 5 3 2 3 3 5 3" xfId="25353" xr:uid="{00000000-0005-0000-0000-000095150000}"/>
    <cellStyle name="Comma 5 3 2 3 3 5 3 2" xfId="50906" xr:uid="{00000000-0005-0000-0000-000096150000}"/>
    <cellStyle name="Comma 5 3 2 3 3 5 4" xfId="31836" xr:uid="{00000000-0005-0000-0000-000097150000}"/>
    <cellStyle name="Comma 5 3 2 3 3 6" xfId="7721" xr:uid="{00000000-0005-0000-0000-000098150000}"/>
    <cellStyle name="Comma 5 3 2 3 3 6 2" xfId="20640" xr:uid="{00000000-0005-0000-0000-000099150000}"/>
    <cellStyle name="Comma 5 3 2 3 3 6 2 2" xfId="46193" xr:uid="{00000000-0005-0000-0000-00009A150000}"/>
    <cellStyle name="Comma 5 3 2 3 3 6 3" xfId="33278" xr:uid="{00000000-0005-0000-0000-00009B150000}"/>
    <cellStyle name="Comma 5 3 2 3 3 7" xfId="16442" xr:uid="{00000000-0005-0000-0000-00009C150000}"/>
    <cellStyle name="Comma 5 3 2 3 3 7 2" xfId="41995" xr:uid="{00000000-0005-0000-0000-00009D150000}"/>
    <cellStyle name="Comma 5 3 2 3 3 8" xfId="27123" xr:uid="{00000000-0005-0000-0000-00009E150000}"/>
    <cellStyle name="Comma 5 3 2 3 4" xfId="2971" xr:uid="{00000000-0005-0000-0000-00009F150000}"/>
    <cellStyle name="Comma 5 3 2 3 4 2" xfId="5349" xr:uid="{00000000-0005-0000-0000-0000A0150000}"/>
    <cellStyle name="Comma 5 3 2 3 4 2 2" xfId="14186" xr:uid="{00000000-0005-0000-0000-0000A1150000}"/>
    <cellStyle name="Comma 5 3 2 3 4 2 2 2" xfId="24437" xr:uid="{00000000-0005-0000-0000-0000A2150000}"/>
    <cellStyle name="Comma 5 3 2 3 4 2 2 2 2" xfId="49990" xr:uid="{00000000-0005-0000-0000-0000A3150000}"/>
    <cellStyle name="Comma 5 3 2 3 4 2 2 3" xfId="39741" xr:uid="{00000000-0005-0000-0000-0000A4150000}"/>
    <cellStyle name="Comma 5 3 2 3 4 2 3" xfId="10607" xr:uid="{00000000-0005-0000-0000-0000A5150000}"/>
    <cellStyle name="Comma 5 3 2 3 4 2 3 2" xfId="36164" xr:uid="{00000000-0005-0000-0000-0000A6150000}"/>
    <cellStyle name="Comma 5 3 2 3 4 2 4" xfId="19430" xr:uid="{00000000-0005-0000-0000-0000A7150000}"/>
    <cellStyle name="Comma 5 3 2 3 4 2 4 2" xfId="44983" xr:uid="{00000000-0005-0000-0000-0000A8150000}"/>
    <cellStyle name="Comma 5 3 2 3 4 2 5" xfId="30920" xr:uid="{00000000-0005-0000-0000-0000A9150000}"/>
    <cellStyle name="Comma 5 3 2 3 4 3" xfId="6804" xr:uid="{00000000-0005-0000-0000-0000AA150000}"/>
    <cellStyle name="Comma 5 3 2 3 4 3 2" xfId="15631" xr:uid="{00000000-0005-0000-0000-0000AB150000}"/>
    <cellStyle name="Comma 5 3 2 3 4 3 2 2" xfId="41186" xr:uid="{00000000-0005-0000-0000-0000AC150000}"/>
    <cellStyle name="Comma 5 3 2 3 4 3 3" xfId="25882" xr:uid="{00000000-0005-0000-0000-0000AD150000}"/>
    <cellStyle name="Comma 5 3 2 3 4 3 3 2" xfId="51435" xr:uid="{00000000-0005-0000-0000-0000AE150000}"/>
    <cellStyle name="Comma 5 3 2 3 4 3 4" xfId="32365" xr:uid="{00000000-0005-0000-0000-0000AF150000}"/>
    <cellStyle name="Comma 5 3 2 3 4 4" xfId="8250" xr:uid="{00000000-0005-0000-0000-0000B0150000}"/>
    <cellStyle name="Comma 5 3 2 3 4 4 2" xfId="22332" xr:uid="{00000000-0005-0000-0000-0000B1150000}"/>
    <cellStyle name="Comma 5 3 2 3 4 4 2 2" xfId="47885" xr:uid="{00000000-0005-0000-0000-0000B2150000}"/>
    <cellStyle name="Comma 5 3 2 3 4 4 3" xfId="33807" xr:uid="{00000000-0005-0000-0000-0000B3150000}"/>
    <cellStyle name="Comma 5 3 2 3 4 5" xfId="17325" xr:uid="{00000000-0005-0000-0000-0000B4150000}"/>
    <cellStyle name="Comma 5 3 2 3 4 5 2" xfId="42878" xr:uid="{00000000-0005-0000-0000-0000B5150000}"/>
    <cellStyle name="Comma 5 3 2 3 4 6" xfId="28815" xr:uid="{00000000-0005-0000-0000-0000B6150000}"/>
    <cellStyle name="Comma 5 3 2 3 5" xfId="4305" xr:uid="{00000000-0005-0000-0000-0000B7150000}"/>
    <cellStyle name="Comma 5 3 2 3 5 2" xfId="13143" xr:uid="{00000000-0005-0000-0000-0000B8150000}"/>
    <cellStyle name="Comma 5 3 2 3 5 2 2" xfId="23394" xr:uid="{00000000-0005-0000-0000-0000B9150000}"/>
    <cellStyle name="Comma 5 3 2 3 5 2 2 2" xfId="48947" xr:uid="{00000000-0005-0000-0000-0000BA150000}"/>
    <cellStyle name="Comma 5 3 2 3 5 2 3" xfId="38698" xr:uid="{00000000-0005-0000-0000-0000BB150000}"/>
    <cellStyle name="Comma 5 3 2 3 5 3" xfId="9564" xr:uid="{00000000-0005-0000-0000-0000BC150000}"/>
    <cellStyle name="Comma 5 3 2 3 5 3 2" xfId="35121" xr:uid="{00000000-0005-0000-0000-0000BD150000}"/>
    <cellStyle name="Comma 5 3 2 3 5 4" xfId="18387" xr:uid="{00000000-0005-0000-0000-0000BE150000}"/>
    <cellStyle name="Comma 5 3 2 3 5 4 2" xfId="43940" xr:uid="{00000000-0005-0000-0000-0000BF150000}"/>
    <cellStyle name="Comma 5 3 2 3 5 5" xfId="29877" xr:uid="{00000000-0005-0000-0000-0000C0150000}"/>
    <cellStyle name="Comma 5 3 2 3 6" xfId="1577" xr:uid="{00000000-0005-0000-0000-0000C1150000}"/>
    <cellStyle name="Comma 5 3 2 3 6 2" xfId="10954" xr:uid="{00000000-0005-0000-0000-0000C2150000}"/>
    <cellStyle name="Comma 5 3 2 3 6 2 2" xfId="36509" xr:uid="{00000000-0005-0000-0000-0000C3150000}"/>
    <cellStyle name="Comma 5 3 2 3 6 3" xfId="20958" xr:uid="{00000000-0005-0000-0000-0000C4150000}"/>
    <cellStyle name="Comma 5 3 2 3 6 3 2" xfId="46511" xr:uid="{00000000-0005-0000-0000-0000C5150000}"/>
    <cellStyle name="Comma 5 3 2 3 6 4" xfId="27441" xr:uid="{00000000-0005-0000-0000-0000C6150000}"/>
    <cellStyle name="Comma 5 3 2 3 7" xfId="5761" xr:uid="{00000000-0005-0000-0000-0000C7150000}"/>
    <cellStyle name="Comma 5 3 2 3 7 2" xfId="14588" xr:uid="{00000000-0005-0000-0000-0000C8150000}"/>
    <cellStyle name="Comma 5 3 2 3 7 2 2" xfId="40143" xr:uid="{00000000-0005-0000-0000-0000C9150000}"/>
    <cellStyle name="Comma 5 3 2 3 7 3" xfId="24839" xr:uid="{00000000-0005-0000-0000-0000CA150000}"/>
    <cellStyle name="Comma 5 3 2 3 7 3 2" xfId="50392" xr:uid="{00000000-0005-0000-0000-0000CB150000}"/>
    <cellStyle name="Comma 5 3 2 3 7 4" xfId="31322" xr:uid="{00000000-0005-0000-0000-0000CC150000}"/>
    <cellStyle name="Comma 5 3 2 3 8" xfId="7205" xr:uid="{00000000-0005-0000-0000-0000CD150000}"/>
    <cellStyle name="Comma 5 3 2 3 8 2" xfId="19931" xr:uid="{00000000-0005-0000-0000-0000CE150000}"/>
    <cellStyle name="Comma 5 3 2 3 8 2 2" xfId="45484" xr:uid="{00000000-0005-0000-0000-0000CF150000}"/>
    <cellStyle name="Comma 5 3 2 3 8 3" xfId="32762" xr:uid="{00000000-0005-0000-0000-0000D0150000}"/>
    <cellStyle name="Comma 5 3 2 3 9" xfId="15951" xr:uid="{00000000-0005-0000-0000-0000D1150000}"/>
    <cellStyle name="Comma 5 3 2 3 9 2" xfId="41504" xr:uid="{00000000-0005-0000-0000-0000D2150000}"/>
    <cellStyle name="Comma 5 3 2 4" xfId="385" xr:uid="{00000000-0005-0000-0000-0000D3150000}"/>
    <cellStyle name="Comma 5 3 2 4 2" xfId="2871" xr:uid="{00000000-0005-0000-0000-0000D4150000}"/>
    <cellStyle name="Comma 5 3 2 4 2 2" xfId="12159" xr:uid="{00000000-0005-0000-0000-0000D5150000}"/>
    <cellStyle name="Comma 5 3 2 4 2 2 2" xfId="22232" xr:uid="{00000000-0005-0000-0000-0000D6150000}"/>
    <cellStyle name="Comma 5 3 2 4 2 2 2 2" xfId="47785" xr:uid="{00000000-0005-0000-0000-0000D7150000}"/>
    <cellStyle name="Comma 5 3 2 4 2 2 3" xfId="37714" xr:uid="{00000000-0005-0000-0000-0000D8150000}"/>
    <cellStyle name="Comma 5 3 2 4 2 3" xfId="8425" xr:uid="{00000000-0005-0000-0000-0000D9150000}"/>
    <cellStyle name="Comma 5 3 2 4 2 3 2" xfId="33982" xr:uid="{00000000-0005-0000-0000-0000DA150000}"/>
    <cellStyle name="Comma 5 3 2 4 2 4" xfId="17225" xr:uid="{00000000-0005-0000-0000-0000DB150000}"/>
    <cellStyle name="Comma 5 3 2 4 2 4 2" xfId="42778" xr:uid="{00000000-0005-0000-0000-0000DC150000}"/>
    <cellStyle name="Comma 5 3 2 4 2 5" xfId="28715" xr:uid="{00000000-0005-0000-0000-0000DD150000}"/>
    <cellStyle name="Comma 5 3 2 4 3" xfId="4469" xr:uid="{00000000-0005-0000-0000-0000DE150000}"/>
    <cellStyle name="Comma 5 3 2 4 3 2" xfId="13307" xr:uid="{00000000-0005-0000-0000-0000DF150000}"/>
    <cellStyle name="Comma 5 3 2 4 3 2 2" xfId="23558" xr:uid="{00000000-0005-0000-0000-0000E0150000}"/>
    <cellStyle name="Comma 5 3 2 4 3 2 2 2" xfId="49111" xr:uid="{00000000-0005-0000-0000-0000E1150000}"/>
    <cellStyle name="Comma 5 3 2 4 3 2 3" xfId="38862" xr:uid="{00000000-0005-0000-0000-0000E2150000}"/>
    <cellStyle name="Comma 5 3 2 4 3 3" xfId="9728" xr:uid="{00000000-0005-0000-0000-0000E3150000}"/>
    <cellStyle name="Comma 5 3 2 4 3 3 2" xfId="35285" xr:uid="{00000000-0005-0000-0000-0000E4150000}"/>
    <cellStyle name="Comma 5 3 2 4 3 4" xfId="18551" xr:uid="{00000000-0005-0000-0000-0000E5150000}"/>
    <cellStyle name="Comma 5 3 2 4 3 4 2" xfId="44104" xr:uid="{00000000-0005-0000-0000-0000E6150000}"/>
    <cellStyle name="Comma 5 3 2 4 3 5" xfId="30041" xr:uid="{00000000-0005-0000-0000-0000E7150000}"/>
    <cellStyle name="Comma 5 3 2 4 4" xfId="1980" xr:uid="{00000000-0005-0000-0000-0000E8150000}"/>
    <cellStyle name="Comma 5 3 2 4 4 2" xfId="11345" xr:uid="{00000000-0005-0000-0000-0000E9150000}"/>
    <cellStyle name="Comma 5 3 2 4 4 2 2" xfId="36900" xr:uid="{00000000-0005-0000-0000-0000EA150000}"/>
    <cellStyle name="Comma 5 3 2 4 4 3" xfId="21349" xr:uid="{00000000-0005-0000-0000-0000EB150000}"/>
    <cellStyle name="Comma 5 3 2 4 4 3 2" xfId="46902" xr:uid="{00000000-0005-0000-0000-0000EC150000}"/>
    <cellStyle name="Comma 5 3 2 4 4 4" xfId="27832" xr:uid="{00000000-0005-0000-0000-0000ED150000}"/>
    <cellStyle name="Comma 5 3 2 4 5" xfId="5925" xr:uid="{00000000-0005-0000-0000-0000EE150000}"/>
    <cellStyle name="Comma 5 3 2 4 5 2" xfId="14752" xr:uid="{00000000-0005-0000-0000-0000EF150000}"/>
    <cellStyle name="Comma 5 3 2 4 5 2 2" xfId="40307" xr:uid="{00000000-0005-0000-0000-0000F0150000}"/>
    <cellStyle name="Comma 5 3 2 4 5 3" xfId="25003" xr:uid="{00000000-0005-0000-0000-0000F1150000}"/>
    <cellStyle name="Comma 5 3 2 4 5 3 2" xfId="50556" xr:uid="{00000000-0005-0000-0000-0000F2150000}"/>
    <cellStyle name="Comma 5 3 2 4 5 4" xfId="31486" xr:uid="{00000000-0005-0000-0000-0000F3150000}"/>
    <cellStyle name="Comma 5 3 2 4 6" xfId="7369" xr:uid="{00000000-0005-0000-0000-0000F4150000}"/>
    <cellStyle name="Comma 5 3 2 4 6 2" xfId="19831" xr:uid="{00000000-0005-0000-0000-0000F5150000}"/>
    <cellStyle name="Comma 5 3 2 4 6 2 2" xfId="45384" xr:uid="{00000000-0005-0000-0000-0000F6150000}"/>
    <cellStyle name="Comma 5 3 2 4 6 3" xfId="32926" xr:uid="{00000000-0005-0000-0000-0000F7150000}"/>
    <cellStyle name="Comma 5 3 2 4 7" xfId="16342" xr:uid="{00000000-0005-0000-0000-0000F8150000}"/>
    <cellStyle name="Comma 5 3 2 4 7 2" xfId="41895" xr:uid="{00000000-0005-0000-0000-0000F9150000}"/>
    <cellStyle name="Comma 5 3 2 4 8" xfId="26314" xr:uid="{00000000-0005-0000-0000-0000FA150000}"/>
    <cellStyle name="Comma 5 3 2 5" xfId="654" xr:uid="{00000000-0005-0000-0000-0000FB150000}"/>
    <cellStyle name="Comma 5 3 2 5 2" xfId="3140" xr:uid="{00000000-0005-0000-0000-0000FC150000}"/>
    <cellStyle name="Comma 5 3 2 5 2 2" xfId="12283" xr:uid="{00000000-0005-0000-0000-0000FD150000}"/>
    <cellStyle name="Comma 5 3 2 5 2 2 2" xfId="22501" xr:uid="{00000000-0005-0000-0000-0000FE150000}"/>
    <cellStyle name="Comma 5 3 2 5 2 2 2 2" xfId="48054" xr:uid="{00000000-0005-0000-0000-0000FF150000}"/>
    <cellStyle name="Comma 5 3 2 5 2 2 3" xfId="37838" xr:uid="{00000000-0005-0000-0000-000000160000}"/>
    <cellStyle name="Comma 5 3 2 5 2 3" xfId="8705" xr:uid="{00000000-0005-0000-0000-000001160000}"/>
    <cellStyle name="Comma 5 3 2 5 2 3 2" xfId="34262" xr:uid="{00000000-0005-0000-0000-000002160000}"/>
    <cellStyle name="Comma 5 3 2 5 2 4" xfId="17494" xr:uid="{00000000-0005-0000-0000-000003160000}"/>
    <cellStyle name="Comma 5 3 2 5 2 4 2" xfId="43047" xr:uid="{00000000-0005-0000-0000-000004160000}"/>
    <cellStyle name="Comma 5 3 2 5 2 5" xfId="28984" xr:uid="{00000000-0005-0000-0000-000005160000}"/>
    <cellStyle name="Comma 5 3 2 5 3" xfId="4818" xr:uid="{00000000-0005-0000-0000-000006160000}"/>
    <cellStyle name="Comma 5 3 2 5 3 2" xfId="13655" xr:uid="{00000000-0005-0000-0000-000007160000}"/>
    <cellStyle name="Comma 5 3 2 5 3 2 2" xfId="23906" xr:uid="{00000000-0005-0000-0000-000008160000}"/>
    <cellStyle name="Comma 5 3 2 5 3 2 2 2" xfId="49459" xr:uid="{00000000-0005-0000-0000-000009160000}"/>
    <cellStyle name="Comma 5 3 2 5 3 2 3" xfId="39210" xr:uid="{00000000-0005-0000-0000-00000A160000}"/>
    <cellStyle name="Comma 5 3 2 5 3 3" xfId="10076" xr:uid="{00000000-0005-0000-0000-00000B160000}"/>
    <cellStyle name="Comma 5 3 2 5 3 3 2" xfId="35633" xr:uid="{00000000-0005-0000-0000-00000C160000}"/>
    <cellStyle name="Comma 5 3 2 5 3 4" xfId="18899" xr:uid="{00000000-0005-0000-0000-00000D160000}"/>
    <cellStyle name="Comma 5 3 2 5 3 4 2" xfId="44452" xr:uid="{00000000-0005-0000-0000-00000E160000}"/>
    <cellStyle name="Comma 5 3 2 5 3 5" xfId="30389" xr:uid="{00000000-0005-0000-0000-00000F160000}"/>
    <cellStyle name="Comma 5 3 2 5 4" xfId="2249" xr:uid="{00000000-0005-0000-0000-000010160000}"/>
    <cellStyle name="Comma 5 3 2 5 4 2" xfId="11614" xr:uid="{00000000-0005-0000-0000-000011160000}"/>
    <cellStyle name="Comma 5 3 2 5 4 2 2" xfId="37169" xr:uid="{00000000-0005-0000-0000-000012160000}"/>
    <cellStyle name="Comma 5 3 2 5 4 3" xfId="21618" xr:uid="{00000000-0005-0000-0000-000013160000}"/>
    <cellStyle name="Comma 5 3 2 5 4 3 2" xfId="47171" xr:uid="{00000000-0005-0000-0000-000014160000}"/>
    <cellStyle name="Comma 5 3 2 5 4 4" xfId="28101" xr:uid="{00000000-0005-0000-0000-000015160000}"/>
    <cellStyle name="Comma 5 3 2 5 5" xfId="6273" xr:uid="{00000000-0005-0000-0000-000016160000}"/>
    <cellStyle name="Comma 5 3 2 5 5 2" xfId="15100" xr:uid="{00000000-0005-0000-0000-000017160000}"/>
    <cellStyle name="Comma 5 3 2 5 5 2 2" xfId="40655" xr:uid="{00000000-0005-0000-0000-000018160000}"/>
    <cellStyle name="Comma 5 3 2 5 5 3" xfId="25351" xr:uid="{00000000-0005-0000-0000-000019160000}"/>
    <cellStyle name="Comma 5 3 2 5 5 3 2" xfId="50904" xr:uid="{00000000-0005-0000-0000-00001A160000}"/>
    <cellStyle name="Comma 5 3 2 5 5 4" xfId="31834" xr:uid="{00000000-0005-0000-0000-00001B160000}"/>
    <cellStyle name="Comma 5 3 2 5 6" xfId="7719" xr:uid="{00000000-0005-0000-0000-00001C160000}"/>
    <cellStyle name="Comma 5 3 2 5 6 2" xfId="20100" xr:uid="{00000000-0005-0000-0000-00001D160000}"/>
    <cellStyle name="Comma 5 3 2 5 6 2 2" xfId="45653" xr:uid="{00000000-0005-0000-0000-00001E160000}"/>
    <cellStyle name="Comma 5 3 2 5 6 3" xfId="33276" xr:uid="{00000000-0005-0000-0000-00001F160000}"/>
    <cellStyle name="Comma 5 3 2 5 7" xfId="16611" xr:uid="{00000000-0005-0000-0000-000020160000}"/>
    <cellStyle name="Comma 5 3 2 5 7 2" xfId="42164" xr:uid="{00000000-0005-0000-0000-000021160000}"/>
    <cellStyle name="Comma 5 3 2 5 8" xfId="26583" xr:uid="{00000000-0005-0000-0000-000022160000}"/>
    <cellStyle name="Comma 5 3 2 6" xfId="1157" xr:uid="{00000000-0005-0000-0000-000023160000}"/>
    <cellStyle name="Comma 5 3 2 6 2" xfId="3586" xr:uid="{00000000-0005-0000-0000-000024160000}"/>
    <cellStyle name="Comma 5 3 2 6 2 2" xfId="12722" xr:uid="{00000000-0005-0000-0000-000025160000}"/>
    <cellStyle name="Comma 5 3 2 6 2 2 2" xfId="22941" xr:uid="{00000000-0005-0000-0000-000026160000}"/>
    <cellStyle name="Comma 5 3 2 6 2 2 2 2" xfId="48494" xr:uid="{00000000-0005-0000-0000-000027160000}"/>
    <cellStyle name="Comma 5 3 2 6 2 2 3" xfId="38277" xr:uid="{00000000-0005-0000-0000-000028160000}"/>
    <cellStyle name="Comma 5 3 2 6 2 3" xfId="9143" xr:uid="{00000000-0005-0000-0000-000029160000}"/>
    <cellStyle name="Comma 5 3 2 6 2 3 2" xfId="34700" xr:uid="{00000000-0005-0000-0000-00002A160000}"/>
    <cellStyle name="Comma 5 3 2 6 2 4" xfId="17934" xr:uid="{00000000-0005-0000-0000-00002B160000}"/>
    <cellStyle name="Comma 5 3 2 6 2 4 2" xfId="43487" xr:uid="{00000000-0005-0000-0000-00002C160000}"/>
    <cellStyle name="Comma 5 3 2 6 2 5" xfId="29424" xr:uid="{00000000-0005-0000-0000-00002D160000}"/>
    <cellStyle name="Comma 5 3 2 6 3" xfId="5249" xr:uid="{00000000-0005-0000-0000-00002E160000}"/>
    <cellStyle name="Comma 5 3 2 6 3 2" xfId="14086" xr:uid="{00000000-0005-0000-0000-00002F160000}"/>
    <cellStyle name="Comma 5 3 2 6 3 2 2" xfId="24337" xr:uid="{00000000-0005-0000-0000-000030160000}"/>
    <cellStyle name="Comma 5 3 2 6 3 2 2 2" xfId="49890" xr:uid="{00000000-0005-0000-0000-000031160000}"/>
    <cellStyle name="Comma 5 3 2 6 3 2 3" xfId="39641" xr:uid="{00000000-0005-0000-0000-000032160000}"/>
    <cellStyle name="Comma 5 3 2 6 3 3" xfId="10507" xr:uid="{00000000-0005-0000-0000-000033160000}"/>
    <cellStyle name="Comma 5 3 2 6 3 3 2" xfId="36064" xr:uid="{00000000-0005-0000-0000-000034160000}"/>
    <cellStyle name="Comma 5 3 2 6 3 4" xfId="19330" xr:uid="{00000000-0005-0000-0000-000035160000}"/>
    <cellStyle name="Comma 5 3 2 6 3 4 2" xfId="44883" xr:uid="{00000000-0005-0000-0000-000036160000}"/>
    <cellStyle name="Comma 5 3 2 6 3 5" xfId="30820" xr:uid="{00000000-0005-0000-0000-000037160000}"/>
    <cellStyle name="Comma 5 3 2 6 4" xfId="1757" xr:uid="{00000000-0005-0000-0000-000038160000}"/>
    <cellStyle name="Comma 5 3 2 6 4 2" xfId="11128" xr:uid="{00000000-0005-0000-0000-000039160000}"/>
    <cellStyle name="Comma 5 3 2 6 4 2 2" xfId="36683" xr:uid="{00000000-0005-0000-0000-00003A160000}"/>
    <cellStyle name="Comma 5 3 2 6 4 3" xfId="21132" xr:uid="{00000000-0005-0000-0000-00003B160000}"/>
    <cellStyle name="Comma 5 3 2 6 4 3 2" xfId="46685" xr:uid="{00000000-0005-0000-0000-00003C160000}"/>
    <cellStyle name="Comma 5 3 2 6 4 4" xfId="27615" xr:uid="{00000000-0005-0000-0000-00003D160000}"/>
    <cellStyle name="Comma 5 3 2 6 5" xfId="6704" xr:uid="{00000000-0005-0000-0000-00003E160000}"/>
    <cellStyle name="Comma 5 3 2 6 5 2" xfId="15531" xr:uid="{00000000-0005-0000-0000-00003F160000}"/>
    <cellStyle name="Comma 5 3 2 6 5 2 2" xfId="41086" xr:uid="{00000000-0005-0000-0000-000040160000}"/>
    <cellStyle name="Comma 5 3 2 6 5 3" xfId="25782" xr:uid="{00000000-0005-0000-0000-000041160000}"/>
    <cellStyle name="Comma 5 3 2 6 5 3 2" xfId="51335" xr:uid="{00000000-0005-0000-0000-000042160000}"/>
    <cellStyle name="Comma 5 3 2 6 5 4" xfId="32265" xr:uid="{00000000-0005-0000-0000-000043160000}"/>
    <cellStyle name="Comma 5 3 2 6 6" xfId="8150" xr:uid="{00000000-0005-0000-0000-000044160000}"/>
    <cellStyle name="Comma 5 3 2 6 6 2" xfId="20540" xr:uid="{00000000-0005-0000-0000-000045160000}"/>
    <cellStyle name="Comma 5 3 2 6 6 2 2" xfId="46093" xr:uid="{00000000-0005-0000-0000-000046160000}"/>
    <cellStyle name="Comma 5 3 2 6 6 3" xfId="33707" xr:uid="{00000000-0005-0000-0000-000047160000}"/>
    <cellStyle name="Comma 5 3 2 6 7" xfId="16125" xr:uid="{00000000-0005-0000-0000-000048160000}"/>
    <cellStyle name="Comma 5 3 2 6 7 2" xfId="41678" xr:uid="{00000000-0005-0000-0000-000049160000}"/>
    <cellStyle name="Comma 5 3 2 6 8" xfId="27023" xr:uid="{00000000-0005-0000-0000-00004A160000}"/>
    <cellStyle name="Comma 5 3 2 7" xfId="2654" xr:uid="{00000000-0005-0000-0000-00004B160000}"/>
    <cellStyle name="Comma 5 3 2 7 2" xfId="11974" xr:uid="{00000000-0005-0000-0000-00004C160000}"/>
    <cellStyle name="Comma 5 3 2 7 2 2" xfId="22015" xr:uid="{00000000-0005-0000-0000-00004D160000}"/>
    <cellStyle name="Comma 5 3 2 7 2 2 2" xfId="47568" xr:uid="{00000000-0005-0000-0000-00004E160000}"/>
    <cellStyle name="Comma 5 3 2 7 2 3" xfId="37529" xr:uid="{00000000-0005-0000-0000-00004F160000}"/>
    <cellStyle name="Comma 5 3 2 7 3" xfId="8560" xr:uid="{00000000-0005-0000-0000-000050160000}"/>
    <cellStyle name="Comma 5 3 2 7 3 2" xfId="34117" xr:uid="{00000000-0005-0000-0000-000051160000}"/>
    <cellStyle name="Comma 5 3 2 7 4" xfId="17008" xr:uid="{00000000-0005-0000-0000-000052160000}"/>
    <cellStyle name="Comma 5 3 2 7 4 2" xfId="42561" xr:uid="{00000000-0005-0000-0000-000053160000}"/>
    <cellStyle name="Comma 5 3 2 7 5" xfId="28498" xr:uid="{00000000-0005-0000-0000-000054160000}"/>
    <cellStyle name="Comma 5 3 2 8" xfId="4205" xr:uid="{00000000-0005-0000-0000-000055160000}"/>
    <cellStyle name="Comma 5 3 2 8 2" xfId="13043" xr:uid="{00000000-0005-0000-0000-000056160000}"/>
    <cellStyle name="Comma 5 3 2 8 2 2" xfId="23294" xr:uid="{00000000-0005-0000-0000-000057160000}"/>
    <cellStyle name="Comma 5 3 2 8 2 2 2" xfId="48847" xr:uid="{00000000-0005-0000-0000-000058160000}"/>
    <cellStyle name="Comma 5 3 2 8 2 3" xfId="38598" xr:uid="{00000000-0005-0000-0000-000059160000}"/>
    <cellStyle name="Comma 5 3 2 8 3" xfId="9464" xr:uid="{00000000-0005-0000-0000-00005A160000}"/>
    <cellStyle name="Comma 5 3 2 8 3 2" xfId="35021" xr:uid="{00000000-0005-0000-0000-00005B160000}"/>
    <cellStyle name="Comma 5 3 2 8 4" xfId="18287" xr:uid="{00000000-0005-0000-0000-00005C160000}"/>
    <cellStyle name="Comma 5 3 2 8 4 2" xfId="43840" xr:uid="{00000000-0005-0000-0000-00005D160000}"/>
    <cellStyle name="Comma 5 3 2 8 5" xfId="29777" xr:uid="{00000000-0005-0000-0000-00005E160000}"/>
    <cellStyle name="Comma 5 3 2 9" xfId="1477" xr:uid="{00000000-0005-0000-0000-00005F160000}"/>
    <cellStyle name="Comma 5 3 2 9 2" xfId="10854" xr:uid="{00000000-0005-0000-0000-000060160000}"/>
    <cellStyle name="Comma 5 3 2 9 2 2" xfId="36409" xr:uid="{00000000-0005-0000-0000-000061160000}"/>
    <cellStyle name="Comma 5 3 2 9 3" xfId="20858" xr:uid="{00000000-0005-0000-0000-000062160000}"/>
    <cellStyle name="Comma 5 3 2 9 3 2" xfId="46411" xr:uid="{00000000-0005-0000-0000-000063160000}"/>
    <cellStyle name="Comma 5 3 2 9 4" xfId="27341" xr:uid="{00000000-0005-0000-0000-000064160000}"/>
    <cellStyle name="Comma 5 3 3" xfId="202" xr:uid="{00000000-0005-0000-0000-000065160000}"/>
    <cellStyle name="Comma 5 3 3 10" xfId="7148" xr:uid="{00000000-0005-0000-0000-000066160000}"/>
    <cellStyle name="Comma 5 3 3 10 2" xfId="19657" xr:uid="{00000000-0005-0000-0000-000067160000}"/>
    <cellStyle name="Comma 5 3 3 10 2 2" xfId="45210" xr:uid="{00000000-0005-0000-0000-000068160000}"/>
    <cellStyle name="Comma 5 3 3 10 3" xfId="32705" xr:uid="{00000000-0005-0000-0000-000069160000}"/>
    <cellStyle name="Comma 5 3 3 11" xfId="15894" xr:uid="{00000000-0005-0000-0000-00006A160000}"/>
    <cellStyle name="Comma 5 3 3 11 2" xfId="41447" xr:uid="{00000000-0005-0000-0000-00006B160000}"/>
    <cellStyle name="Comma 5 3 3 12" xfId="26140" xr:uid="{00000000-0005-0000-0000-00006C160000}"/>
    <cellStyle name="Comma 5 3 3 2" xfId="528" xr:uid="{00000000-0005-0000-0000-00006D160000}"/>
    <cellStyle name="Comma 5 3 3 2 10" xfId="26457" xr:uid="{00000000-0005-0000-0000-00006E160000}"/>
    <cellStyle name="Comma 5 3 3 2 2" xfId="658" xr:uid="{00000000-0005-0000-0000-00006F160000}"/>
    <cellStyle name="Comma 5 3 3 2 2 2" xfId="3144" xr:uid="{00000000-0005-0000-0000-000070160000}"/>
    <cellStyle name="Comma 5 3 3 2 2 2 2" xfId="12287" xr:uid="{00000000-0005-0000-0000-000071160000}"/>
    <cellStyle name="Comma 5 3 3 2 2 2 2 2" xfId="22505" xr:uid="{00000000-0005-0000-0000-000072160000}"/>
    <cellStyle name="Comma 5 3 3 2 2 2 2 2 2" xfId="48058" xr:uid="{00000000-0005-0000-0000-000073160000}"/>
    <cellStyle name="Comma 5 3 3 2 2 2 2 3" xfId="37842" xr:uid="{00000000-0005-0000-0000-000074160000}"/>
    <cellStyle name="Comma 5 3 3 2 2 2 3" xfId="8709" xr:uid="{00000000-0005-0000-0000-000075160000}"/>
    <cellStyle name="Comma 5 3 3 2 2 2 3 2" xfId="34266" xr:uid="{00000000-0005-0000-0000-000076160000}"/>
    <cellStyle name="Comma 5 3 3 2 2 2 4" xfId="17498" xr:uid="{00000000-0005-0000-0000-000077160000}"/>
    <cellStyle name="Comma 5 3 3 2 2 2 4 2" xfId="43051" xr:uid="{00000000-0005-0000-0000-000078160000}"/>
    <cellStyle name="Comma 5 3 3 2 2 2 5" xfId="28988" xr:uid="{00000000-0005-0000-0000-000079160000}"/>
    <cellStyle name="Comma 5 3 3 2 2 3" xfId="4473" xr:uid="{00000000-0005-0000-0000-00007A160000}"/>
    <cellStyle name="Comma 5 3 3 2 2 3 2" xfId="13311" xr:uid="{00000000-0005-0000-0000-00007B160000}"/>
    <cellStyle name="Comma 5 3 3 2 2 3 2 2" xfId="23562" xr:uid="{00000000-0005-0000-0000-00007C160000}"/>
    <cellStyle name="Comma 5 3 3 2 2 3 2 2 2" xfId="49115" xr:uid="{00000000-0005-0000-0000-00007D160000}"/>
    <cellStyle name="Comma 5 3 3 2 2 3 2 3" xfId="38866" xr:uid="{00000000-0005-0000-0000-00007E160000}"/>
    <cellStyle name="Comma 5 3 3 2 2 3 3" xfId="9732" xr:uid="{00000000-0005-0000-0000-00007F160000}"/>
    <cellStyle name="Comma 5 3 3 2 2 3 3 2" xfId="35289" xr:uid="{00000000-0005-0000-0000-000080160000}"/>
    <cellStyle name="Comma 5 3 3 2 2 3 4" xfId="18555" xr:uid="{00000000-0005-0000-0000-000081160000}"/>
    <cellStyle name="Comma 5 3 3 2 2 3 4 2" xfId="44108" xr:uid="{00000000-0005-0000-0000-000082160000}"/>
    <cellStyle name="Comma 5 3 3 2 2 3 5" xfId="30045" xr:uid="{00000000-0005-0000-0000-000083160000}"/>
    <cellStyle name="Comma 5 3 3 2 2 4" xfId="2253" xr:uid="{00000000-0005-0000-0000-000084160000}"/>
    <cellStyle name="Comma 5 3 3 2 2 4 2" xfId="11618" xr:uid="{00000000-0005-0000-0000-000085160000}"/>
    <cellStyle name="Comma 5 3 3 2 2 4 2 2" xfId="37173" xr:uid="{00000000-0005-0000-0000-000086160000}"/>
    <cellStyle name="Comma 5 3 3 2 2 4 3" xfId="21622" xr:uid="{00000000-0005-0000-0000-000087160000}"/>
    <cellStyle name="Comma 5 3 3 2 2 4 3 2" xfId="47175" xr:uid="{00000000-0005-0000-0000-000088160000}"/>
    <cellStyle name="Comma 5 3 3 2 2 4 4" xfId="28105" xr:uid="{00000000-0005-0000-0000-000089160000}"/>
    <cellStyle name="Comma 5 3 3 2 2 5" xfId="5929" xr:uid="{00000000-0005-0000-0000-00008A160000}"/>
    <cellStyle name="Comma 5 3 3 2 2 5 2" xfId="14756" xr:uid="{00000000-0005-0000-0000-00008B160000}"/>
    <cellStyle name="Comma 5 3 3 2 2 5 2 2" xfId="40311" xr:uid="{00000000-0005-0000-0000-00008C160000}"/>
    <cellStyle name="Comma 5 3 3 2 2 5 3" xfId="25007" xr:uid="{00000000-0005-0000-0000-00008D160000}"/>
    <cellStyle name="Comma 5 3 3 2 2 5 3 2" xfId="50560" xr:uid="{00000000-0005-0000-0000-00008E160000}"/>
    <cellStyle name="Comma 5 3 3 2 2 5 4" xfId="31490" xr:uid="{00000000-0005-0000-0000-00008F160000}"/>
    <cellStyle name="Comma 5 3 3 2 2 6" xfId="7373" xr:uid="{00000000-0005-0000-0000-000090160000}"/>
    <cellStyle name="Comma 5 3 3 2 2 6 2" xfId="20104" xr:uid="{00000000-0005-0000-0000-000091160000}"/>
    <cellStyle name="Comma 5 3 3 2 2 6 2 2" xfId="45657" xr:uid="{00000000-0005-0000-0000-000092160000}"/>
    <cellStyle name="Comma 5 3 3 2 2 6 3" xfId="32930" xr:uid="{00000000-0005-0000-0000-000093160000}"/>
    <cellStyle name="Comma 5 3 3 2 2 7" xfId="16615" xr:uid="{00000000-0005-0000-0000-000094160000}"/>
    <cellStyle name="Comma 5 3 3 2 2 7 2" xfId="42168" xr:uid="{00000000-0005-0000-0000-000095160000}"/>
    <cellStyle name="Comma 5 3 3 2 2 8" xfId="26587" xr:uid="{00000000-0005-0000-0000-000096160000}"/>
    <cellStyle name="Comma 5 3 3 2 3" xfId="1300" xr:uid="{00000000-0005-0000-0000-000097160000}"/>
    <cellStyle name="Comma 5 3 3 2 3 2" xfId="3729" xr:uid="{00000000-0005-0000-0000-000098160000}"/>
    <cellStyle name="Comma 5 3 3 2 3 2 2" xfId="12865" xr:uid="{00000000-0005-0000-0000-000099160000}"/>
    <cellStyle name="Comma 5 3 3 2 3 2 2 2" xfId="23084" xr:uid="{00000000-0005-0000-0000-00009A160000}"/>
    <cellStyle name="Comma 5 3 3 2 3 2 2 2 2" xfId="48637" xr:uid="{00000000-0005-0000-0000-00009B160000}"/>
    <cellStyle name="Comma 5 3 3 2 3 2 2 3" xfId="38420" xr:uid="{00000000-0005-0000-0000-00009C160000}"/>
    <cellStyle name="Comma 5 3 3 2 3 2 3" xfId="9286" xr:uid="{00000000-0005-0000-0000-00009D160000}"/>
    <cellStyle name="Comma 5 3 3 2 3 2 3 2" xfId="34843" xr:uid="{00000000-0005-0000-0000-00009E160000}"/>
    <cellStyle name="Comma 5 3 3 2 3 2 4" xfId="18077" xr:uid="{00000000-0005-0000-0000-00009F160000}"/>
    <cellStyle name="Comma 5 3 3 2 3 2 4 2" xfId="43630" xr:uid="{00000000-0005-0000-0000-0000A0160000}"/>
    <cellStyle name="Comma 5 3 3 2 3 2 5" xfId="29567" xr:uid="{00000000-0005-0000-0000-0000A1160000}"/>
    <cellStyle name="Comma 5 3 3 2 3 3" xfId="4822" xr:uid="{00000000-0005-0000-0000-0000A2160000}"/>
    <cellStyle name="Comma 5 3 3 2 3 3 2" xfId="13659" xr:uid="{00000000-0005-0000-0000-0000A3160000}"/>
    <cellStyle name="Comma 5 3 3 2 3 3 2 2" xfId="23910" xr:uid="{00000000-0005-0000-0000-0000A4160000}"/>
    <cellStyle name="Comma 5 3 3 2 3 3 2 2 2" xfId="49463" xr:uid="{00000000-0005-0000-0000-0000A5160000}"/>
    <cellStyle name="Comma 5 3 3 2 3 3 2 3" xfId="39214" xr:uid="{00000000-0005-0000-0000-0000A6160000}"/>
    <cellStyle name="Comma 5 3 3 2 3 3 3" xfId="10080" xr:uid="{00000000-0005-0000-0000-0000A7160000}"/>
    <cellStyle name="Comma 5 3 3 2 3 3 3 2" xfId="35637" xr:uid="{00000000-0005-0000-0000-0000A8160000}"/>
    <cellStyle name="Comma 5 3 3 2 3 3 4" xfId="18903" xr:uid="{00000000-0005-0000-0000-0000A9160000}"/>
    <cellStyle name="Comma 5 3 3 2 3 3 4 2" xfId="44456" xr:uid="{00000000-0005-0000-0000-0000AA160000}"/>
    <cellStyle name="Comma 5 3 3 2 3 3 5" xfId="30393" xr:uid="{00000000-0005-0000-0000-0000AB160000}"/>
    <cellStyle name="Comma 5 3 3 2 3 4" xfId="2123" xr:uid="{00000000-0005-0000-0000-0000AC160000}"/>
    <cellStyle name="Comma 5 3 3 2 3 4 2" xfId="11488" xr:uid="{00000000-0005-0000-0000-0000AD160000}"/>
    <cellStyle name="Comma 5 3 3 2 3 4 2 2" xfId="37043" xr:uid="{00000000-0005-0000-0000-0000AE160000}"/>
    <cellStyle name="Comma 5 3 3 2 3 4 3" xfId="21492" xr:uid="{00000000-0005-0000-0000-0000AF160000}"/>
    <cellStyle name="Comma 5 3 3 2 3 4 3 2" xfId="47045" xr:uid="{00000000-0005-0000-0000-0000B0160000}"/>
    <cellStyle name="Comma 5 3 3 2 3 4 4" xfId="27975" xr:uid="{00000000-0005-0000-0000-0000B1160000}"/>
    <cellStyle name="Comma 5 3 3 2 3 5" xfId="6277" xr:uid="{00000000-0005-0000-0000-0000B2160000}"/>
    <cellStyle name="Comma 5 3 3 2 3 5 2" xfId="15104" xr:uid="{00000000-0005-0000-0000-0000B3160000}"/>
    <cellStyle name="Comma 5 3 3 2 3 5 2 2" xfId="40659" xr:uid="{00000000-0005-0000-0000-0000B4160000}"/>
    <cellStyle name="Comma 5 3 3 2 3 5 3" xfId="25355" xr:uid="{00000000-0005-0000-0000-0000B5160000}"/>
    <cellStyle name="Comma 5 3 3 2 3 5 3 2" xfId="50908" xr:uid="{00000000-0005-0000-0000-0000B6160000}"/>
    <cellStyle name="Comma 5 3 3 2 3 5 4" xfId="31838" xr:uid="{00000000-0005-0000-0000-0000B7160000}"/>
    <cellStyle name="Comma 5 3 3 2 3 6" xfId="7723" xr:uid="{00000000-0005-0000-0000-0000B8160000}"/>
    <cellStyle name="Comma 5 3 3 2 3 6 2" xfId="20683" xr:uid="{00000000-0005-0000-0000-0000B9160000}"/>
    <cellStyle name="Comma 5 3 3 2 3 6 2 2" xfId="46236" xr:uid="{00000000-0005-0000-0000-0000BA160000}"/>
    <cellStyle name="Comma 5 3 3 2 3 6 3" xfId="33280" xr:uid="{00000000-0005-0000-0000-0000BB160000}"/>
    <cellStyle name="Comma 5 3 3 2 3 7" xfId="16485" xr:uid="{00000000-0005-0000-0000-0000BC160000}"/>
    <cellStyle name="Comma 5 3 3 2 3 7 2" xfId="42038" xr:uid="{00000000-0005-0000-0000-0000BD160000}"/>
    <cellStyle name="Comma 5 3 3 2 3 8" xfId="27166" xr:uid="{00000000-0005-0000-0000-0000BE160000}"/>
    <cellStyle name="Comma 5 3 3 2 4" xfId="3014" xr:uid="{00000000-0005-0000-0000-0000BF160000}"/>
    <cellStyle name="Comma 5 3 3 2 4 2" xfId="5392" xr:uid="{00000000-0005-0000-0000-0000C0160000}"/>
    <cellStyle name="Comma 5 3 3 2 4 2 2" xfId="14229" xr:uid="{00000000-0005-0000-0000-0000C1160000}"/>
    <cellStyle name="Comma 5 3 3 2 4 2 2 2" xfId="24480" xr:uid="{00000000-0005-0000-0000-0000C2160000}"/>
    <cellStyle name="Comma 5 3 3 2 4 2 2 2 2" xfId="50033" xr:uid="{00000000-0005-0000-0000-0000C3160000}"/>
    <cellStyle name="Comma 5 3 3 2 4 2 2 3" xfId="39784" xr:uid="{00000000-0005-0000-0000-0000C4160000}"/>
    <cellStyle name="Comma 5 3 3 2 4 2 3" xfId="10650" xr:uid="{00000000-0005-0000-0000-0000C5160000}"/>
    <cellStyle name="Comma 5 3 3 2 4 2 3 2" xfId="36207" xr:uid="{00000000-0005-0000-0000-0000C6160000}"/>
    <cellStyle name="Comma 5 3 3 2 4 2 4" xfId="19473" xr:uid="{00000000-0005-0000-0000-0000C7160000}"/>
    <cellStyle name="Comma 5 3 3 2 4 2 4 2" xfId="45026" xr:uid="{00000000-0005-0000-0000-0000C8160000}"/>
    <cellStyle name="Comma 5 3 3 2 4 2 5" xfId="30963" xr:uid="{00000000-0005-0000-0000-0000C9160000}"/>
    <cellStyle name="Comma 5 3 3 2 4 3" xfId="6847" xr:uid="{00000000-0005-0000-0000-0000CA160000}"/>
    <cellStyle name="Comma 5 3 3 2 4 3 2" xfId="15674" xr:uid="{00000000-0005-0000-0000-0000CB160000}"/>
    <cellStyle name="Comma 5 3 3 2 4 3 2 2" xfId="41229" xr:uid="{00000000-0005-0000-0000-0000CC160000}"/>
    <cellStyle name="Comma 5 3 3 2 4 3 3" xfId="25925" xr:uid="{00000000-0005-0000-0000-0000CD160000}"/>
    <cellStyle name="Comma 5 3 3 2 4 3 3 2" xfId="51478" xr:uid="{00000000-0005-0000-0000-0000CE160000}"/>
    <cellStyle name="Comma 5 3 3 2 4 3 4" xfId="32408" xr:uid="{00000000-0005-0000-0000-0000CF160000}"/>
    <cellStyle name="Comma 5 3 3 2 4 4" xfId="8293" xr:uid="{00000000-0005-0000-0000-0000D0160000}"/>
    <cellStyle name="Comma 5 3 3 2 4 4 2" xfId="22375" xr:uid="{00000000-0005-0000-0000-0000D1160000}"/>
    <cellStyle name="Comma 5 3 3 2 4 4 2 2" xfId="47928" xr:uid="{00000000-0005-0000-0000-0000D2160000}"/>
    <cellStyle name="Comma 5 3 3 2 4 4 3" xfId="33850" xr:uid="{00000000-0005-0000-0000-0000D3160000}"/>
    <cellStyle name="Comma 5 3 3 2 4 5" xfId="17368" xr:uid="{00000000-0005-0000-0000-0000D4160000}"/>
    <cellStyle name="Comma 5 3 3 2 4 5 2" xfId="42921" xr:uid="{00000000-0005-0000-0000-0000D5160000}"/>
    <cellStyle name="Comma 5 3 3 2 4 6" xfId="28858" xr:uid="{00000000-0005-0000-0000-0000D6160000}"/>
    <cellStyle name="Comma 5 3 3 2 5" xfId="4348" xr:uid="{00000000-0005-0000-0000-0000D7160000}"/>
    <cellStyle name="Comma 5 3 3 2 5 2" xfId="13186" xr:uid="{00000000-0005-0000-0000-0000D8160000}"/>
    <cellStyle name="Comma 5 3 3 2 5 2 2" xfId="23437" xr:uid="{00000000-0005-0000-0000-0000D9160000}"/>
    <cellStyle name="Comma 5 3 3 2 5 2 2 2" xfId="48990" xr:uid="{00000000-0005-0000-0000-0000DA160000}"/>
    <cellStyle name="Comma 5 3 3 2 5 2 3" xfId="38741" xr:uid="{00000000-0005-0000-0000-0000DB160000}"/>
    <cellStyle name="Comma 5 3 3 2 5 3" xfId="9607" xr:uid="{00000000-0005-0000-0000-0000DC160000}"/>
    <cellStyle name="Comma 5 3 3 2 5 3 2" xfId="35164" xr:uid="{00000000-0005-0000-0000-0000DD160000}"/>
    <cellStyle name="Comma 5 3 3 2 5 4" xfId="18430" xr:uid="{00000000-0005-0000-0000-0000DE160000}"/>
    <cellStyle name="Comma 5 3 3 2 5 4 2" xfId="43983" xr:uid="{00000000-0005-0000-0000-0000DF160000}"/>
    <cellStyle name="Comma 5 3 3 2 5 5" xfId="29920" xr:uid="{00000000-0005-0000-0000-0000E0160000}"/>
    <cellStyle name="Comma 5 3 3 2 6" xfId="1620" xr:uid="{00000000-0005-0000-0000-0000E1160000}"/>
    <cellStyle name="Comma 5 3 3 2 6 2" xfId="10997" xr:uid="{00000000-0005-0000-0000-0000E2160000}"/>
    <cellStyle name="Comma 5 3 3 2 6 2 2" xfId="36552" xr:uid="{00000000-0005-0000-0000-0000E3160000}"/>
    <cellStyle name="Comma 5 3 3 2 6 3" xfId="21001" xr:uid="{00000000-0005-0000-0000-0000E4160000}"/>
    <cellStyle name="Comma 5 3 3 2 6 3 2" xfId="46554" xr:uid="{00000000-0005-0000-0000-0000E5160000}"/>
    <cellStyle name="Comma 5 3 3 2 6 4" xfId="27484" xr:uid="{00000000-0005-0000-0000-0000E6160000}"/>
    <cellStyle name="Comma 5 3 3 2 7" xfId="5804" xr:uid="{00000000-0005-0000-0000-0000E7160000}"/>
    <cellStyle name="Comma 5 3 3 2 7 2" xfId="14631" xr:uid="{00000000-0005-0000-0000-0000E8160000}"/>
    <cellStyle name="Comma 5 3 3 2 7 2 2" xfId="40186" xr:uid="{00000000-0005-0000-0000-0000E9160000}"/>
    <cellStyle name="Comma 5 3 3 2 7 3" xfId="24882" xr:uid="{00000000-0005-0000-0000-0000EA160000}"/>
    <cellStyle name="Comma 5 3 3 2 7 3 2" xfId="50435" xr:uid="{00000000-0005-0000-0000-0000EB160000}"/>
    <cellStyle name="Comma 5 3 3 2 7 4" xfId="31365" xr:uid="{00000000-0005-0000-0000-0000EC160000}"/>
    <cellStyle name="Comma 5 3 3 2 8" xfId="7248" xr:uid="{00000000-0005-0000-0000-0000ED160000}"/>
    <cellStyle name="Comma 5 3 3 2 8 2" xfId="19974" xr:uid="{00000000-0005-0000-0000-0000EE160000}"/>
    <cellStyle name="Comma 5 3 3 2 8 2 2" xfId="45527" xr:uid="{00000000-0005-0000-0000-0000EF160000}"/>
    <cellStyle name="Comma 5 3 3 2 8 3" xfId="32805" xr:uid="{00000000-0005-0000-0000-0000F0160000}"/>
    <cellStyle name="Comma 5 3 3 2 9" xfId="15994" xr:uid="{00000000-0005-0000-0000-0000F1160000}"/>
    <cellStyle name="Comma 5 3 3 2 9 2" xfId="41547" xr:uid="{00000000-0005-0000-0000-0000F2160000}"/>
    <cellStyle name="Comma 5 3 3 3" xfId="428" xr:uid="{00000000-0005-0000-0000-0000F3160000}"/>
    <cellStyle name="Comma 5 3 3 3 2" xfId="2914" xr:uid="{00000000-0005-0000-0000-0000F4160000}"/>
    <cellStyle name="Comma 5 3 3 3 2 2" xfId="12202" xr:uid="{00000000-0005-0000-0000-0000F5160000}"/>
    <cellStyle name="Comma 5 3 3 3 2 2 2" xfId="22275" xr:uid="{00000000-0005-0000-0000-0000F6160000}"/>
    <cellStyle name="Comma 5 3 3 3 2 2 2 2" xfId="47828" xr:uid="{00000000-0005-0000-0000-0000F7160000}"/>
    <cellStyle name="Comma 5 3 3 3 2 2 3" xfId="37757" xr:uid="{00000000-0005-0000-0000-0000F8160000}"/>
    <cellStyle name="Comma 5 3 3 3 2 3" xfId="8403" xr:uid="{00000000-0005-0000-0000-0000F9160000}"/>
    <cellStyle name="Comma 5 3 3 3 2 3 2" xfId="33960" xr:uid="{00000000-0005-0000-0000-0000FA160000}"/>
    <cellStyle name="Comma 5 3 3 3 2 4" xfId="17268" xr:uid="{00000000-0005-0000-0000-0000FB160000}"/>
    <cellStyle name="Comma 5 3 3 3 2 4 2" xfId="42821" xr:uid="{00000000-0005-0000-0000-0000FC160000}"/>
    <cellStyle name="Comma 5 3 3 3 2 5" xfId="28758" xr:uid="{00000000-0005-0000-0000-0000FD160000}"/>
    <cellStyle name="Comma 5 3 3 3 3" xfId="4472" xr:uid="{00000000-0005-0000-0000-0000FE160000}"/>
    <cellStyle name="Comma 5 3 3 3 3 2" xfId="13310" xr:uid="{00000000-0005-0000-0000-0000FF160000}"/>
    <cellStyle name="Comma 5 3 3 3 3 2 2" xfId="23561" xr:uid="{00000000-0005-0000-0000-000000170000}"/>
    <cellStyle name="Comma 5 3 3 3 3 2 2 2" xfId="49114" xr:uid="{00000000-0005-0000-0000-000001170000}"/>
    <cellStyle name="Comma 5 3 3 3 3 2 3" xfId="38865" xr:uid="{00000000-0005-0000-0000-000002170000}"/>
    <cellStyle name="Comma 5 3 3 3 3 3" xfId="9731" xr:uid="{00000000-0005-0000-0000-000003170000}"/>
    <cellStyle name="Comma 5 3 3 3 3 3 2" xfId="35288" xr:uid="{00000000-0005-0000-0000-000004170000}"/>
    <cellStyle name="Comma 5 3 3 3 3 4" xfId="18554" xr:uid="{00000000-0005-0000-0000-000005170000}"/>
    <cellStyle name="Comma 5 3 3 3 3 4 2" xfId="44107" xr:uid="{00000000-0005-0000-0000-000006170000}"/>
    <cellStyle name="Comma 5 3 3 3 3 5" xfId="30044" xr:uid="{00000000-0005-0000-0000-000007170000}"/>
    <cellStyle name="Comma 5 3 3 3 4" xfId="2023" xr:uid="{00000000-0005-0000-0000-000008170000}"/>
    <cellStyle name="Comma 5 3 3 3 4 2" xfId="11388" xr:uid="{00000000-0005-0000-0000-000009170000}"/>
    <cellStyle name="Comma 5 3 3 3 4 2 2" xfId="36943" xr:uid="{00000000-0005-0000-0000-00000A170000}"/>
    <cellStyle name="Comma 5 3 3 3 4 3" xfId="21392" xr:uid="{00000000-0005-0000-0000-00000B170000}"/>
    <cellStyle name="Comma 5 3 3 3 4 3 2" xfId="46945" xr:uid="{00000000-0005-0000-0000-00000C170000}"/>
    <cellStyle name="Comma 5 3 3 3 4 4" xfId="27875" xr:uid="{00000000-0005-0000-0000-00000D170000}"/>
    <cellStyle name="Comma 5 3 3 3 5" xfId="5928" xr:uid="{00000000-0005-0000-0000-00000E170000}"/>
    <cellStyle name="Comma 5 3 3 3 5 2" xfId="14755" xr:uid="{00000000-0005-0000-0000-00000F170000}"/>
    <cellStyle name="Comma 5 3 3 3 5 2 2" xfId="40310" xr:uid="{00000000-0005-0000-0000-000010170000}"/>
    <cellStyle name="Comma 5 3 3 3 5 3" xfId="25006" xr:uid="{00000000-0005-0000-0000-000011170000}"/>
    <cellStyle name="Comma 5 3 3 3 5 3 2" xfId="50559" xr:uid="{00000000-0005-0000-0000-000012170000}"/>
    <cellStyle name="Comma 5 3 3 3 5 4" xfId="31489" xr:uid="{00000000-0005-0000-0000-000013170000}"/>
    <cellStyle name="Comma 5 3 3 3 6" xfId="7372" xr:uid="{00000000-0005-0000-0000-000014170000}"/>
    <cellStyle name="Comma 5 3 3 3 6 2" xfId="19874" xr:uid="{00000000-0005-0000-0000-000015170000}"/>
    <cellStyle name="Comma 5 3 3 3 6 2 2" xfId="45427" xr:uid="{00000000-0005-0000-0000-000016170000}"/>
    <cellStyle name="Comma 5 3 3 3 6 3" xfId="32929" xr:uid="{00000000-0005-0000-0000-000017170000}"/>
    <cellStyle name="Comma 5 3 3 3 7" xfId="16385" xr:uid="{00000000-0005-0000-0000-000018170000}"/>
    <cellStyle name="Comma 5 3 3 3 7 2" xfId="41938" xr:uid="{00000000-0005-0000-0000-000019170000}"/>
    <cellStyle name="Comma 5 3 3 3 8" xfId="26357" xr:uid="{00000000-0005-0000-0000-00001A170000}"/>
    <cellStyle name="Comma 5 3 3 4" xfId="657" xr:uid="{00000000-0005-0000-0000-00001B170000}"/>
    <cellStyle name="Comma 5 3 3 4 2" xfId="3143" xr:uid="{00000000-0005-0000-0000-00001C170000}"/>
    <cellStyle name="Comma 5 3 3 4 2 2" xfId="12286" xr:uid="{00000000-0005-0000-0000-00001D170000}"/>
    <cellStyle name="Comma 5 3 3 4 2 2 2" xfId="22504" xr:uid="{00000000-0005-0000-0000-00001E170000}"/>
    <cellStyle name="Comma 5 3 3 4 2 2 2 2" xfId="48057" xr:uid="{00000000-0005-0000-0000-00001F170000}"/>
    <cellStyle name="Comma 5 3 3 4 2 2 3" xfId="37841" xr:uid="{00000000-0005-0000-0000-000020170000}"/>
    <cellStyle name="Comma 5 3 3 4 2 3" xfId="8708" xr:uid="{00000000-0005-0000-0000-000021170000}"/>
    <cellStyle name="Comma 5 3 3 4 2 3 2" xfId="34265" xr:uid="{00000000-0005-0000-0000-000022170000}"/>
    <cellStyle name="Comma 5 3 3 4 2 4" xfId="17497" xr:uid="{00000000-0005-0000-0000-000023170000}"/>
    <cellStyle name="Comma 5 3 3 4 2 4 2" xfId="43050" xr:uid="{00000000-0005-0000-0000-000024170000}"/>
    <cellStyle name="Comma 5 3 3 4 2 5" xfId="28987" xr:uid="{00000000-0005-0000-0000-000025170000}"/>
    <cellStyle name="Comma 5 3 3 4 3" xfId="4821" xr:uid="{00000000-0005-0000-0000-000026170000}"/>
    <cellStyle name="Comma 5 3 3 4 3 2" xfId="13658" xr:uid="{00000000-0005-0000-0000-000027170000}"/>
    <cellStyle name="Comma 5 3 3 4 3 2 2" xfId="23909" xr:uid="{00000000-0005-0000-0000-000028170000}"/>
    <cellStyle name="Comma 5 3 3 4 3 2 2 2" xfId="49462" xr:uid="{00000000-0005-0000-0000-000029170000}"/>
    <cellStyle name="Comma 5 3 3 4 3 2 3" xfId="39213" xr:uid="{00000000-0005-0000-0000-00002A170000}"/>
    <cellStyle name="Comma 5 3 3 4 3 3" xfId="10079" xr:uid="{00000000-0005-0000-0000-00002B170000}"/>
    <cellStyle name="Comma 5 3 3 4 3 3 2" xfId="35636" xr:uid="{00000000-0005-0000-0000-00002C170000}"/>
    <cellStyle name="Comma 5 3 3 4 3 4" xfId="18902" xr:uid="{00000000-0005-0000-0000-00002D170000}"/>
    <cellStyle name="Comma 5 3 3 4 3 4 2" xfId="44455" xr:uid="{00000000-0005-0000-0000-00002E170000}"/>
    <cellStyle name="Comma 5 3 3 4 3 5" xfId="30392" xr:uid="{00000000-0005-0000-0000-00002F170000}"/>
    <cellStyle name="Comma 5 3 3 4 4" xfId="2252" xr:uid="{00000000-0005-0000-0000-000030170000}"/>
    <cellStyle name="Comma 5 3 3 4 4 2" xfId="11617" xr:uid="{00000000-0005-0000-0000-000031170000}"/>
    <cellStyle name="Comma 5 3 3 4 4 2 2" xfId="37172" xr:uid="{00000000-0005-0000-0000-000032170000}"/>
    <cellStyle name="Comma 5 3 3 4 4 3" xfId="21621" xr:uid="{00000000-0005-0000-0000-000033170000}"/>
    <cellStyle name="Comma 5 3 3 4 4 3 2" xfId="47174" xr:uid="{00000000-0005-0000-0000-000034170000}"/>
    <cellStyle name="Comma 5 3 3 4 4 4" xfId="28104" xr:uid="{00000000-0005-0000-0000-000035170000}"/>
    <cellStyle name="Comma 5 3 3 4 5" xfId="6276" xr:uid="{00000000-0005-0000-0000-000036170000}"/>
    <cellStyle name="Comma 5 3 3 4 5 2" xfId="15103" xr:uid="{00000000-0005-0000-0000-000037170000}"/>
    <cellStyle name="Comma 5 3 3 4 5 2 2" xfId="40658" xr:uid="{00000000-0005-0000-0000-000038170000}"/>
    <cellStyle name="Comma 5 3 3 4 5 3" xfId="25354" xr:uid="{00000000-0005-0000-0000-000039170000}"/>
    <cellStyle name="Comma 5 3 3 4 5 3 2" xfId="50907" xr:uid="{00000000-0005-0000-0000-00003A170000}"/>
    <cellStyle name="Comma 5 3 3 4 5 4" xfId="31837" xr:uid="{00000000-0005-0000-0000-00003B170000}"/>
    <cellStyle name="Comma 5 3 3 4 6" xfId="7722" xr:uid="{00000000-0005-0000-0000-00003C170000}"/>
    <cellStyle name="Comma 5 3 3 4 6 2" xfId="20103" xr:uid="{00000000-0005-0000-0000-00003D170000}"/>
    <cellStyle name="Comma 5 3 3 4 6 2 2" xfId="45656" xr:uid="{00000000-0005-0000-0000-00003E170000}"/>
    <cellStyle name="Comma 5 3 3 4 6 3" xfId="33279" xr:uid="{00000000-0005-0000-0000-00003F170000}"/>
    <cellStyle name="Comma 5 3 3 4 7" xfId="16614" xr:uid="{00000000-0005-0000-0000-000040170000}"/>
    <cellStyle name="Comma 5 3 3 4 7 2" xfId="42167" xr:uid="{00000000-0005-0000-0000-000041170000}"/>
    <cellStyle name="Comma 5 3 3 4 8" xfId="26586" xr:uid="{00000000-0005-0000-0000-000042170000}"/>
    <cellStyle name="Comma 5 3 3 5" xfId="1200" xr:uid="{00000000-0005-0000-0000-000043170000}"/>
    <cellStyle name="Comma 5 3 3 5 2" xfId="3629" xr:uid="{00000000-0005-0000-0000-000044170000}"/>
    <cellStyle name="Comma 5 3 3 5 2 2" xfId="12765" xr:uid="{00000000-0005-0000-0000-000045170000}"/>
    <cellStyle name="Comma 5 3 3 5 2 2 2" xfId="22984" xr:uid="{00000000-0005-0000-0000-000046170000}"/>
    <cellStyle name="Comma 5 3 3 5 2 2 2 2" xfId="48537" xr:uid="{00000000-0005-0000-0000-000047170000}"/>
    <cellStyle name="Comma 5 3 3 5 2 2 3" xfId="38320" xr:uid="{00000000-0005-0000-0000-000048170000}"/>
    <cellStyle name="Comma 5 3 3 5 2 3" xfId="9186" xr:uid="{00000000-0005-0000-0000-000049170000}"/>
    <cellStyle name="Comma 5 3 3 5 2 3 2" xfId="34743" xr:uid="{00000000-0005-0000-0000-00004A170000}"/>
    <cellStyle name="Comma 5 3 3 5 2 4" xfId="17977" xr:uid="{00000000-0005-0000-0000-00004B170000}"/>
    <cellStyle name="Comma 5 3 3 5 2 4 2" xfId="43530" xr:uid="{00000000-0005-0000-0000-00004C170000}"/>
    <cellStyle name="Comma 5 3 3 5 2 5" xfId="29467" xr:uid="{00000000-0005-0000-0000-00004D170000}"/>
    <cellStyle name="Comma 5 3 3 5 3" xfId="5292" xr:uid="{00000000-0005-0000-0000-00004E170000}"/>
    <cellStyle name="Comma 5 3 3 5 3 2" xfId="14129" xr:uid="{00000000-0005-0000-0000-00004F170000}"/>
    <cellStyle name="Comma 5 3 3 5 3 2 2" xfId="24380" xr:uid="{00000000-0005-0000-0000-000050170000}"/>
    <cellStyle name="Comma 5 3 3 5 3 2 2 2" xfId="49933" xr:uid="{00000000-0005-0000-0000-000051170000}"/>
    <cellStyle name="Comma 5 3 3 5 3 2 3" xfId="39684" xr:uid="{00000000-0005-0000-0000-000052170000}"/>
    <cellStyle name="Comma 5 3 3 5 3 3" xfId="10550" xr:uid="{00000000-0005-0000-0000-000053170000}"/>
    <cellStyle name="Comma 5 3 3 5 3 3 2" xfId="36107" xr:uid="{00000000-0005-0000-0000-000054170000}"/>
    <cellStyle name="Comma 5 3 3 5 3 4" xfId="19373" xr:uid="{00000000-0005-0000-0000-000055170000}"/>
    <cellStyle name="Comma 5 3 3 5 3 4 2" xfId="44926" xr:uid="{00000000-0005-0000-0000-000056170000}"/>
    <cellStyle name="Comma 5 3 3 5 3 5" xfId="30863" xr:uid="{00000000-0005-0000-0000-000057170000}"/>
    <cellStyle name="Comma 5 3 3 5 4" xfId="1803" xr:uid="{00000000-0005-0000-0000-000058170000}"/>
    <cellStyle name="Comma 5 3 3 5 4 2" xfId="11171" xr:uid="{00000000-0005-0000-0000-000059170000}"/>
    <cellStyle name="Comma 5 3 3 5 4 2 2" xfId="36726" xr:uid="{00000000-0005-0000-0000-00005A170000}"/>
    <cellStyle name="Comma 5 3 3 5 4 3" xfId="21175" xr:uid="{00000000-0005-0000-0000-00005B170000}"/>
    <cellStyle name="Comma 5 3 3 5 4 3 2" xfId="46728" xr:uid="{00000000-0005-0000-0000-00005C170000}"/>
    <cellStyle name="Comma 5 3 3 5 4 4" xfId="27658" xr:uid="{00000000-0005-0000-0000-00005D170000}"/>
    <cellStyle name="Comma 5 3 3 5 5" xfId="6747" xr:uid="{00000000-0005-0000-0000-00005E170000}"/>
    <cellStyle name="Comma 5 3 3 5 5 2" xfId="15574" xr:uid="{00000000-0005-0000-0000-00005F170000}"/>
    <cellStyle name="Comma 5 3 3 5 5 2 2" xfId="41129" xr:uid="{00000000-0005-0000-0000-000060170000}"/>
    <cellStyle name="Comma 5 3 3 5 5 3" xfId="25825" xr:uid="{00000000-0005-0000-0000-000061170000}"/>
    <cellStyle name="Comma 5 3 3 5 5 3 2" xfId="51378" xr:uid="{00000000-0005-0000-0000-000062170000}"/>
    <cellStyle name="Comma 5 3 3 5 5 4" xfId="32308" xr:uid="{00000000-0005-0000-0000-000063170000}"/>
    <cellStyle name="Comma 5 3 3 5 6" xfId="8193" xr:uid="{00000000-0005-0000-0000-000064170000}"/>
    <cellStyle name="Comma 5 3 3 5 6 2" xfId="20583" xr:uid="{00000000-0005-0000-0000-000065170000}"/>
    <cellStyle name="Comma 5 3 3 5 6 2 2" xfId="46136" xr:uid="{00000000-0005-0000-0000-000066170000}"/>
    <cellStyle name="Comma 5 3 3 5 6 3" xfId="33750" xr:uid="{00000000-0005-0000-0000-000067170000}"/>
    <cellStyle name="Comma 5 3 3 5 7" xfId="16168" xr:uid="{00000000-0005-0000-0000-000068170000}"/>
    <cellStyle name="Comma 5 3 3 5 7 2" xfId="41721" xr:uid="{00000000-0005-0000-0000-000069170000}"/>
    <cellStyle name="Comma 5 3 3 5 8" xfId="27066" xr:uid="{00000000-0005-0000-0000-00006A170000}"/>
    <cellStyle name="Comma 5 3 3 6" xfId="2697" xr:uid="{00000000-0005-0000-0000-00006B170000}"/>
    <cellStyle name="Comma 5 3 3 6 2" xfId="12014" xr:uid="{00000000-0005-0000-0000-00006C170000}"/>
    <cellStyle name="Comma 5 3 3 6 2 2" xfId="22058" xr:uid="{00000000-0005-0000-0000-00006D170000}"/>
    <cellStyle name="Comma 5 3 3 6 2 2 2" xfId="47611" xr:uid="{00000000-0005-0000-0000-00006E170000}"/>
    <cellStyle name="Comma 5 3 3 6 2 3" xfId="37569" xr:uid="{00000000-0005-0000-0000-00006F170000}"/>
    <cellStyle name="Comma 5 3 3 6 3" xfId="8626" xr:uid="{00000000-0005-0000-0000-000070170000}"/>
    <cellStyle name="Comma 5 3 3 6 3 2" xfId="34183" xr:uid="{00000000-0005-0000-0000-000071170000}"/>
    <cellStyle name="Comma 5 3 3 6 4" xfId="17051" xr:uid="{00000000-0005-0000-0000-000072170000}"/>
    <cellStyle name="Comma 5 3 3 6 4 2" xfId="42604" xr:uid="{00000000-0005-0000-0000-000073170000}"/>
    <cellStyle name="Comma 5 3 3 6 5" xfId="28541" xr:uid="{00000000-0005-0000-0000-000074170000}"/>
    <cellStyle name="Comma 5 3 3 7" xfId="4248" xr:uid="{00000000-0005-0000-0000-000075170000}"/>
    <cellStyle name="Comma 5 3 3 7 2" xfId="13086" xr:uid="{00000000-0005-0000-0000-000076170000}"/>
    <cellStyle name="Comma 5 3 3 7 2 2" xfId="23337" xr:uid="{00000000-0005-0000-0000-000077170000}"/>
    <cellStyle name="Comma 5 3 3 7 2 2 2" xfId="48890" xr:uid="{00000000-0005-0000-0000-000078170000}"/>
    <cellStyle name="Comma 5 3 3 7 2 3" xfId="38641" xr:uid="{00000000-0005-0000-0000-000079170000}"/>
    <cellStyle name="Comma 5 3 3 7 3" xfId="9507" xr:uid="{00000000-0005-0000-0000-00007A170000}"/>
    <cellStyle name="Comma 5 3 3 7 3 2" xfId="35064" xr:uid="{00000000-0005-0000-0000-00007B170000}"/>
    <cellStyle name="Comma 5 3 3 7 4" xfId="18330" xr:uid="{00000000-0005-0000-0000-00007C170000}"/>
    <cellStyle name="Comma 5 3 3 7 4 2" xfId="43883" xr:uid="{00000000-0005-0000-0000-00007D170000}"/>
    <cellStyle name="Comma 5 3 3 7 5" xfId="29820" xr:uid="{00000000-0005-0000-0000-00007E170000}"/>
    <cellStyle name="Comma 5 3 3 8" xfId="1520" xr:uid="{00000000-0005-0000-0000-00007F170000}"/>
    <cellStyle name="Comma 5 3 3 8 2" xfId="10897" xr:uid="{00000000-0005-0000-0000-000080170000}"/>
    <cellStyle name="Comma 5 3 3 8 2 2" xfId="36452" xr:uid="{00000000-0005-0000-0000-000081170000}"/>
    <cellStyle name="Comma 5 3 3 8 3" xfId="20901" xr:uid="{00000000-0005-0000-0000-000082170000}"/>
    <cellStyle name="Comma 5 3 3 8 3 2" xfId="46454" xr:uid="{00000000-0005-0000-0000-000083170000}"/>
    <cellStyle name="Comma 5 3 3 8 4" xfId="27384" xr:uid="{00000000-0005-0000-0000-000084170000}"/>
    <cellStyle name="Comma 5 3 3 9" xfId="5704" xr:uid="{00000000-0005-0000-0000-000085170000}"/>
    <cellStyle name="Comma 5 3 3 9 2" xfId="14531" xr:uid="{00000000-0005-0000-0000-000086170000}"/>
    <cellStyle name="Comma 5 3 3 9 2 2" xfId="40086" xr:uid="{00000000-0005-0000-0000-000087170000}"/>
    <cellStyle name="Comma 5 3 3 9 3" xfId="24782" xr:uid="{00000000-0005-0000-0000-000088170000}"/>
    <cellStyle name="Comma 5 3 3 9 3 2" xfId="50335" xr:uid="{00000000-0005-0000-0000-000089170000}"/>
    <cellStyle name="Comma 5 3 3 9 4" xfId="31265" xr:uid="{00000000-0005-0000-0000-00008A170000}"/>
    <cellStyle name="Comma 5 3 4" xfId="237" xr:uid="{00000000-0005-0000-0000-00008B170000}"/>
    <cellStyle name="Comma 5 3 4 10" xfId="7075" xr:uid="{00000000-0005-0000-0000-00008C170000}"/>
    <cellStyle name="Comma 5 3 4 10 2" xfId="19689" xr:uid="{00000000-0005-0000-0000-00008D170000}"/>
    <cellStyle name="Comma 5 3 4 10 2 2" xfId="45242" xr:uid="{00000000-0005-0000-0000-00008E170000}"/>
    <cellStyle name="Comma 5 3 4 10 3" xfId="32632" xr:uid="{00000000-0005-0000-0000-00008F170000}"/>
    <cellStyle name="Comma 5 3 4 11" xfId="15821" xr:uid="{00000000-0005-0000-0000-000090170000}"/>
    <cellStyle name="Comma 5 3 4 11 2" xfId="41374" xr:uid="{00000000-0005-0000-0000-000091170000}"/>
    <cellStyle name="Comma 5 3 4 12" xfId="26172" xr:uid="{00000000-0005-0000-0000-000092170000}"/>
    <cellStyle name="Comma 5 3 4 2" xfId="560" xr:uid="{00000000-0005-0000-0000-000093170000}"/>
    <cellStyle name="Comma 5 3 4 2 10" xfId="26489" xr:uid="{00000000-0005-0000-0000-000094170000}"/>
    <cellStyle name="Comma 5 3 4 2 2" xfId="660" xr:uid="{00000000-0005-0000-0000-000095170000}"/>
    <cellStyle name="Comma 5 3 4 2 2 2" xfId="3146" xr:uid="{00000000-0005-0000-0000-000096170000}"/>
    <cellStyle name="Comma 5 3 4 2 2 2 2" xfId="12289" xr:uid="{00000000-0005-0000-0000-000097170000}"/>
    <cellStyle name="Comma 5 3 4 2 2 2 2 2" xfId="22507" xr:uid="{00000000-0005-0000-0000-000098170000}"/>
    <cellStyle name="Comma 5 3 4 2 2 2 2 2 2" xfId="48060" xr:uid="{00000000-0005-0000-0000-000099170000}"/>
    <cellStyle name="Comma 5 3 4 2 2 2 2 3" xfId="37844" xr:uid="{00000000-0005-0000-0000-00009A170000}"/>
    <cellStyle name="Comma 5 3 4 2 2 2 3" xfId="8711" xr:uid="{00000000-0005-0000-0000-00009B170000}"/>
    <cellStyle name="Comma 5 3 4 2 2 2 3 2" xfId="34268" xr:uid="{00000000-0005-0000-0000-00009C170000}"/>
    <cellStyle name="Comma 5 3 4 2 2 2 4" xfId="17500" xr:uid="{00000000-0005-0000-0000-00009D170000}"/>
    <cellStyle name="Comma 5 3 4 2 2 2 4 2" xfId="43053" xr:uid="{00000000-0005-0000-0000-00009E170000}"/>
    <cellStyle name="Comma 5 3 4 2 2 2 5" xfId="28990" xr:uid="{00000000-0005-0000-0000-00009F170000}"/>
    <cellStyle name="Comma 5 3 4 2 2 3" xfId="4475" xr:uid="{00000000-0005-0000-0000-0000A0170000}"/>
    <cellStyle name="Comma 5 3 4 2 2 3 2" xfId="13313" xr:uid="{00000000-0005-0000-0000-0000A1170000}"/>
    <cellStyle name="Comma 5 3 4 2 2 3 2 2" xfId="23564" xr:uid="{00000000-0005-0000-0000-0000A2170000}"/>
    <cellStyle name="Comma 5 3 4 2 2 3 2 2 2" xfId="49117" xr:uid="{00000000-0005-0000-0000-0000A3170000}"/>
    <cellStyle name="Comma 5 3 4 2 2 3 2 3" xfId="38868" xr:uid="{00000000-0005-0000-0000-0000A4170000}"/>
    <cellStyle name="Comma 5 3 4 2 2 3 3" xfId="9734" xr:uid="{00000000-0005-0000-0000-0000A5170000}"/>
    <cellStyle name="Comma 5 3 4 2 2 3 3 2" xfId="35291" xr:uid="{00000000-0005-0000-0000-0000A6170000}"/>
    <cellStyle name="Comma 5 3 4 2 2 3 4" xfId="18557" xr:uid="{00000000-0005-0000-0000-0000A7170000}"/>
    <cellStyle name="Comma 5 3 4 2 2 3 4 2" xfId="44110" xr:uid="{00000000-0005-0000-0000-0000A8170000}"/>
    <cellStyle name="Comma 5 3 4 2 2 3 5" xfId="30047" xr:uid="{00000000-0005-0000-0000-0000A9170000}"/>
    <cellStyle name="Comma 5 3 4 2 2 4" xfId="2255" xr:uid="{00000000-0005-0000-0000-0000AA170000}"/>
    <cellStyle name="Comma 5 3 4 2 2 4 2" xfId="11620" xr:uid="{00000000-0005-0000-0000-0000AB170000}"/>
    <cellStyle name="Comma 5 3 4 2 2 4 2 2" xfId="37175" xr:uid="{00000000-0005-0000-0000-0000AC170000}"/>
    <cellStyle name="Comma 5 3 4 2 2 4 3" xfId="21624" xr:uid="{00000000-0005-0000-0000-0000AD170000}"/>
    <cellStyle name="Comma 5 3 4 2 2 4 3 2" xfId="47177" xr:uid="{00000000-0005-0000-0000-0000AE170000}"/>
    <cellStyle name="Comma 5 3 4 2 2 4 4" xfId="28107" xr:uid="{00000000-0005-0000-0000-0000AF170000}"/>
    <cellStyle name="Comma 5 3 4 2 2 5" xfId="5931" xr:uid="{00000000-0005-0000-0000-0000B0170000}"/>
    <cellStyle name="Comma 5 3 4 2 2 5 2" xfId="14758" xr:uid="{00000000-0005-0000-0000-0000B1170000}"/>
    <cellStyle name="Comma 5 3 4 2 2 5 2 2" xfId="40313" xr:uid="{00000000-0005-0000-0000-0000B2170000}"/>
    <cellStyle name="Comma 5 3 4 2 2 5 3" xfId="25009" xr:uid="{00000000-0005-0000-0000-0000B3170000}"/>
    <cellStyle name="Comma 5 3 4 2 2 5 3 2" xfId="50562" xr:uid="{00000000-0005-0000-0000-0000B4170000}"/>
    <cellStyle name="Comma 5 3 4 2 2 5 4" xfId="31492" xr:uid="{00000000-0005-0000-0000-0000B5170000}"/>
    <cellStyle name="Comma 5 3 4 2 2 6" xfId="7375" xr:uid="{00000000-0005-0000-0000-0000B6170000}"/>
    <cellStyle name="Comma 5 3 4 2 2 6 2" xfId="20106" xr:uid="{00000000-0005-0000-0000-0000B7170000}"/>
    <cellStyle name="Comma 5 3 4 2 2 6 2 2" xfId="45659" xr:uid="{00000000-0005-0000-0000-0000B8170000}"/>
    <cellStyle name="Comma 5 3 4 2 2 6 3" xfId="32932" xr:uid="{00000000-0005-0000-0000-0000B9170000}"/>
    <cellStyle name="Comma 5 3 4 2 2 7" xfId="16617" xr:uid="{00000000-0005-0000-0000-0000BA170000}"/>
    <cellStyle name="Comma 5 3 4 2 2 7 2" xfId="42170" xr:uid="{00000000-0005-0000-0000-0000BB170000}"/>
    <cellStyle name="Comma 5 3 4 2 2 8" xfId="26589" xr:uid="{00000000-0005-0000-0000-0000BC170000}"/>
    <cellStyle name="Comma 5 3 4 2 3" xfId="1332" xr:uid="{00000000-0005-0000-0000-0000BD170000}"/>
    <cellStyle name="Comma 5 3 4 2 3 2" xfId="3761" xr:uid="{00000000-0005-0000-0000-0000BE170000}"/>
    <cellStyle name="Comma 5 3 4 2 3 2 2" xfId="12897" xr:uid="{00000000-0005-0000-0000-0000BF170000}"/>
    <cellStyle name="Comma 5 3 4 2 3 2 2 2" xfId="23116" xr:uid="{00000000-0005-0000-0000-0000C0170000}"/>
    <cellStyle name="Comma 5 3 4 2 3 2 2 2 2" xfId="48669" xr:uid="{00000000-0005-0000-0000-0000C1170000}"/>
    <cellStyle name="Comma 5 3 4 2 3 2 2 3" xfId="38452" xr:uid="{00000000-0005-0000-0000-0000C2170000}"/>
    <cellStyle name="Comma 5 3 4 2 3 2 3" xfId="9318" xr:uid="{00000000-0005-0000-0000-0000C3170000}"/>
    <cellStyle name="Comma 5 3 4 2 3 2 3 2" xfId="34875" xr:uid="{00000000-0005-0000-0000-0000C4170000}"/>
    <cellStyle name="Comma 5 3 4 2 3 2 4" xfId="18109" xr:uid="{00000000-0005-0000-0000-0000C5170000}"/>
    <cellStyle name="Comma 5 3 4 2 3 2 4 2" xfId="43662" xr:uid="{00000000-0005-0000-0000-0000C6170000}"/>
    <cellStyle name="Comma 5 3 4 2 3 2 5" xfId="29599" xr:uid="{00000000-0005-0000-0000-0000C7170000}"/>
    <cellStyle name="Comma 5 3 4 2 3 3" xfId="4824" xr:uid="{00000000-0005-0000-0000-0000C8170000}"/>
    <cellStyle name="Comma 5 3 4 2 3 3 2" xfId="13661" xr:uid="{00000000-0005-0000-0000-0000C9170000}"/>
    <cellStyle name="Comma 5 3 4 2 3 3 2 2" xfId="23912" xr:uid="{00000000-0005-0000-0000-0000CA170000}"/>
    <cellStyle name="Comma 5 3 4 2 3 3 2 2 2" xfId="49465" xr:uid="{00000000-0005-0000-0000-0000CB170000}"/>
    <cellStyle name="Comma 5 3 4 2 3 3 2 3" xfId="39216" xr:uid="{00000000-0005-0000-0000-0000CC170000}"/>
    <cellStyle name="Comma 5 3 4 2 3 3 3" xfId="10082" xr:uid="{00000000-0005-0000-0000-0000CD170000}"/>
    <cellStyle name="Comma 5 3 4 2 3 3 3 2" xfId="35639" xr:uid="{00000000-0005-0000-0000-0000CE170000}"/>
    <cellStyle name="Comma 5 3 4 2 3 3 4" xfId="18905" xr:uid="{00000000-0005-0000-0000-0000CF170000}"/>
    <cellStyle name="Comma 5 3 4 2 3 3 4 2" xfId="44458" xr:uid="{00000000-0005-0000-0000-0000D0170000}"/>
    <cellStyle name="Comma 5 3 4 2 3 3 5" xfId="30395" xr:uid="{00000000-0005-0000-0000-0000D1170000}"/>
    <cellStyle name="Comma 5 3 4 2 3 4" xfId="2155" xr:uid="{00000000-0005-0000-0000-0000D2170000}"/>
    <cellStyle name="Comma 5 3 4 2 3 4 2" xfId="11520" xr:uid="{00000000-0005-0000-0000-0000D3170000}"/>
    <cellStyle name="Comma 5 3 4 2 3 4 2 2" xfId="37075" xr:uid="{00000000-0005-0000-0000-0000D4170000}"/>
    <cellStyle name="Comma 5 3 4 2 3 4 3" xfId="21524" xr:uid="{00000000-0005-0000-0000-0000D5170000}"/>
    <cellStyle name="Comma 5 3 4 2 3 4 3 2" xfId="47077" xr:uid="{00000000-0005-0000-0000-0000D6170000}"/>
    <cellStyle name="Comma 5 3 4 2 3 4 4" xfId="28007" xr:uid="{00000000-0005-0000-0000-0000D7170000}"/>
    <cellStyle name="Comma 5 3 4 2 3 5" xfId="6279" xr:uid="{00000000-0005-0000-0000-0000D8170000}"/>
    <cellStyle name="Comma 5 3 4 2 3 5 2" xfId="15106" xr:uid="{00000000-0005-0000-0000-0000D9170000}"/>
    <cellStyle name="Comma 5 3 4 2 3 5 2 2" xfId="40661" xr:uid="{00000000-0005-0000-0000-0000DA170000}"/>
    <cellStyle name="Comma 5 3 4 2 3 5 3" xfId="25357" xr:uid="{00000000-0005-0000-0000-0000DB170000}"/>
    <cellStyle name="Comma 5 3 4 2 3 5 3 2" xfId="50910" xr:uid="{00000000-0005-0000-0000-0000DC170000}"/>
    <cellStyle name="Comma 5 3 4 2 3 5 4" xfId="31840" xr:uid="{00000000-0005-0000-0000-0000DD170000}"/>
    <cellStyle name="Comma 5 3 4 2 3 6" xfId="7725" xr:uid="{00000000-0005-0000-0000-0000DE170000}"/>
    <cellStyle name="Comma 5 3 4 2 3 6 2" xfId="20715" xr:uid="{00000000-0005-0000-0000-0000DF170000}"/>
    <cellStyle name="Comma 5 3 4 2 3 6 2 2" xfId="46268" xr:uid="{00000000-0005-0000-0000-0000E0170000}"/>
    <cellStyle name="Comma 5 3 4 2 3 6 3" xfId="33282" xr:uid="{00000000-0005-0000-0000-0000E1170000}"/>
    <cellStyle name="Comma 5 3 4 2 3 7" xfId="16517" xr:uid="{00000000-0005-0000-0000-0000E2170000}"/>
    <cellStyle name="Comma 5 3 4 2 3 7 2" xfId="42070" xr:uid="{00000000-0005-0000-0000-0000E3170000}"/>
    <cellStyle name="Comma 5 3 4 2 3 8" xfId="27198" xr:uid="{00000000-0005-0000-0000-0000E4170000}"/>
    <cellStyle name="Comma 5 3 4 2 4" xfId="3046" xr:uid="{00000000-0005-0000-0000-0000E5170000}"/>
    <cellStyle name="Comma 5 3 4 2 4 2" xfId="5424" xr:uid="{00000000-0005-0000-0000-0000E6170000}"/>
    <cellStyle name="Comma 5 3 4 2 4 2 2" xfId="14261" xr:uid="{00000000-0005-0000-0000-0000E7170000}"/>
    <cellStyle name="Comma 5 3 4 2 4 2 2 2" xfId="24512" xr:uid="{00000000-0005-0000-0000-0000E8170000}"/>
    <cellStyle name="Comma 5 3 4 2 4 2 2 2 2" xfId="50065" xr:uid="{00000000-0005-0000-0000-0000E9170000}"/>
    <cellStyle name="Comma 5 3 4 2 4 2 2 3" xfId="39816" xr:uid="{00000000-0005-0000-0000-0000EA170000}"/>
    <cellStyle name="Comma 5 3 4 2 4 2 3" xfId="10682" xr:uid="{00000000-0005-0000-0000-0000EB170000}"/>
    <cellStyle name="Comma 5 3 4 2 4 2 3 2" xfId="36239" xr:uid="{00000000-0005-0000-0000-0000EC170000}"/>
    <cellStyle name="Comma 5 3 4 2 4 2 4" xfId="19505" xr:uid="{00000000-0005-0000-0000-0000ED170000}"/>
    <cellStyle name="Comma 5 3 4 2 4 2 4 2" xfId="45058" xr:uid="{00000000-0005-0000-0000-0000EE170000}"/>
    <cellStyle name="Comma 5 3 4 2 4 2 5" xfId="30995" xr:uid="{00000000-0005-0000-0000-0000EF170000}"/>
    <cellStyle name="Comma 5 3 4 2 4 3" xfId="6879" xr:uid="{00000000-0005-0000-0000-0000F0170000}"/>
    <cellStyle name="Comma 5 3 4 2 4 3 2" xfId="15706" xr:uid="{00000000-0005-0000-0000-0000F1170000}"/>
    <cellStyle name="Comma 5 3 4 2 4 3 2 2" xfId="41261" xr:uid="{00000000-0005-0000-0000-0000F2170000}"/>
    <cellStyle name="Comma 5 3 4 2 4 3 3" xfId="25957" xr:uid="{00000000-0005-0000-0000-0000F3170000}"/>
    <cellStyle name="Comma 5 3 4 2 4 3 3 2" xfId="51510" xr:uid="{00000000-0005-0000-0000-0000F4170000}"/>
    <cellStyle name="Comma 5 3 4 2 4 3 4" xfId="32440" xr:uid="{00000000-0005-0000-0000-0000F5170000}"/>
    <cellStyle name="Comma 5 3 4 2 4 4" xfId="8325" xr:uid="{00000000-0005-0000-0000-0000F6170000}"/>
    <cellStyle name="Comma 5 3 4 2 4 4 2" xfId="22407" xr:uid="{00000000-0005-0000-0000-0000F7170000}"/>
    <cellStyle name="Comma 5 3 4 2 4 4 2 2" xfId="47960" xr:uid="{00000000-0005-0000-0000-0000F8170000}"/>
    <cellStyle name="Comma 5 3 4 2 4 4 3" xfId="33882" xr:uid="{00000000-0005-0000-0000-0000F9170000}"/>
    <cellStyle name="Comma 5 3 4 2 4 5" xfId="17400" xr:uid="{00000000-0005-0000-0000-0000FA170000}"/>
    <cellStyle name="Comma 5 3 4 2 4 5 2" xfId="42953" xr:uid="{00000000-0005-0000-0000-0000FB170000}"/>
    <cellStyle name="Comma 5 3 4 2 4 6" xfId="28890" xr:uid="{00000000-0005-0000-0000-0000FC170000}"/>
    <cellStyle name="Comma 5 3 4 2 5" xfId="4380" xr:uid="{00000000-0005-0000-0000-0000FD170000}"/>
    <cellStyle name="Comma 5 3 4 2 5 2" xfId="13218" xr:uid="{00000000-0005-0000-0000-0000FE170000}"/>
    <cellStyle name="Comma 5 3 4 2 5 2 2" xfId="23469" xr:uid="{00000000-0005-0000-0000-0000FF170000}"/>
    <cellStyle name="Comma 5 3 4 2 5 2 2 2" xfId="49022" xr:uid="{00000000-0005-0000-0000-000000180000}"/>
    <cellStyle name="Comma 5 3 4 2 5 2 3" xfId="38773" xr:uid="{00000000-0005-0000-0000-000001180000}"/>
    <cellStyle name="Comma 5 3 4 2 5 3" xfId="9639" xr:uid="{00000000-0005-0000-0000-000002180000}"/>
    <cellStyle name="Comma 5 3 4 2 5 3 2" xfId="35196" xr:uid="{00000000-0005-0000-0000-000003180000}"/>
    <cellStyle name="Comma 5 3 4 2 5 4" xfId="18462" xr:uid="{00000000-0005-0000-0000-000004180000}"/>
    <cellStyle name="Comma 5 3 4 2 5 4 2" xfId="44015" xr:uid="{00000000-0005-0000-0000-000005180000}"/>
    <cellStyle name="Comma 5 3 4 2 5 5" xfId="29952" xr:uid="{00000000-0005-0000-0000-000006180000}"/>
    <cellStyle name="Comma 5 3 4 2 6" xfId="1652" xr:uid="{00000000-0005-0000-0000-000007180000}"/>
    <cellStyle name="Comma 5 3 4 2 6 2" xfId="11029" xr:uid="{00000000-0005-0000-0000-000008180000}"/>
    <cellStyle name="Comma 5 3 4 2 6 2 2" xfId="36584" xr:uid="{00000000-0005-0000-0000-000009180000}"/>
    <cellStyle name="Comma 5 3 4 2 6 3" xfId="21033" xr:uid="{00000000-0005-0000-0000-00000A180000}"/>
    <cellStyle name="Comma 5 3 4 2 6 3 2" xfId="46586" xr:uid="{00000000-0005-0000-0000-00000B180000}"/>
    <cellStyle name="Comma 5 3 4 2 6 4" xfId="27516" xr:uid="{00000000-0005-0000-0000-00000C180000}"/>
    <cellStyle name="Comma 5 3 4 2 7" xfId="5836" xr:uid="{00000000-0005-0000-0000-00000D180000}"/>
    <cellStyle name="Comma 5 3 4 2 7 2" xfId="14663" xr:uid="{00000000-0005-0000-0000-00000E180000}"/>
    <cellStyle name="Comma 5 3 4 2 7 2 2" xfId="40218" xr:uid="{00000000-0005-0000-0000-00000F180000}"/>
    <cellStyle name="Comma 5 3 4 2 7 3" xfId="24914" xr:uid="{00000000-0005-0000-0000-000010180000}"/>
    <cellStyle name="Comma 5 3 4 2 7 3 2" xfId="50467" xr:uid="{00000000-0005-0000-0000-000011180000}"/>
    <cellStyle name="Comma 5 3 4 2 7 4" xfId="31397" xr:uid="{00000000-0005-0000-0000-000012180000}"/>
    <cellStyle name="Comma 5 3 4 2 8" xfId="7280" xr:uid="{00000000-0005-0000-0000-000013180000}"/>
    <cellStyle name="Comma 5 3 4 2 8 2" xfId="20006" xr:uid="{00000000-0005-0000-0000-000014180000}"/>
    <cellStyle name="Comma 5 3 4 2 8 2 2" xfId="45559" xr:uid="{00000000-0005-0000-0000-000015180000}"/>
    <cellStyle name="Comma 5 3 4 2 8 3" xfId="32837" xr:uid="{00000000-0005-0000-0000-000016180000}"/>
    <cellStyle name="Comma 5 3 4 2 9" xfId="16026" xr:uid="{00000000-0005-0000-0000-000017180000}"/>
    <cellStyle name="Comma 5 3 4 2 9 2" xfId="41579" xr:uid="{00000000-0005-0000-0000-000018180000}"/>
    <cellStyle name="Comma 5 3 4 3" xfId="355" xr:uid="{00000000-0005-0000-0000-000019180000}"/>
    <cellStyle name="Comma 5 3 4 3 2" xfId="2841" xr:uid="{00000000-0005-0000-0000-00001A180000}"/>
    <cellStyle name="Comma 5 3 4 3 2 2" xfId="12129" xr:uid="{00000000-0005-0000-0000-00001B180000}"/>
    <cellStyle name="Comma 5 3 4 3 2 2 2" xfId="22202" xr:uid="{00000000-0005-0000-0000-00001C180000}"/>
    <cellStyle name="Comma 5 3 4 3 2 2 2 2" xfId="47755" xr:uid="{00000000-0005-0000-0000-00001D180000}"/>
    <cellStyle name="Comma 5 3 4 3 2 2 3" xfId="37684" xr:uid="{00000000-0005-0000-0000-00001E180000}"/>
    <cellStyle name="Comma 5 3 4 3 2 3" xfId="8465" xr:uid="{00000000-0005-0000-0000-00001F180000}"/>
    <cellStyle name="Comma 5 3 4 3 2 3 2" xfId="34022" xr:uid="{00000000-0005-0000-0000-000020180000}"/>
    <cellStyle name="Comma 5 3 4 3 2 4" xfId="17195" xr:uid="{00000000-0005-0000-0000-000021180000}"/>
    <cellStyle name="Comma 5 3 4 3 2 4 2" xfId="42748" xr:uid="{00000000-0005-0000-0000-000022180000}"/>
    <cellStyle name="Comma 5 3 4 3 2 5" xfId="28685" xr:uid="{00000000-0005-0000-0000-000023180000}"/>
    <cellStyle name="Comma 5 3 4 3 3" xfId="4474" xr:uid="{00000000-0005-0000-0000-000024180000}"/>
    <cellStyle name="Comma 5 3 4 3 3 2" xfId="13312" xr:uid="{00000000-0005-0000-0000-000025180000}"/>
    <cellStyle name="Comma 5 3 4 3 3 2 2" xfId="23563" xr:uid="{00000000-0005-0000-0000-000026180000}"/>
    <cellStyle name="Comma 5 3 4 3 3 2 2 2" xfId="49116" xr:uid="{00000000-0005-0000-0000-000027180000}"/>
    <cellStyle name="Comma 5 3 4 3 3 2 3" xfId="38867" xr:uid="{00000000-0005-0000-0000-000028180000}"/>
    <cellStyle name="Comma 5 3 4 3 3 3" xfId="9733" xr:uid="{00000000-0005-0000-0000-000029180000}"/>
    <cellStyle name="Comma 5 3 4 3 3 3 2" xfId="35290" xr:uid="{00000000-0005-0000-0000-00002A180000}"/>
    <cellStyle name="Comma 5 3 4 3 3 4" xfId="18556" xr:uid="{00000000-0005-0000-0000-00002B180000}"/>
    <cellStyle name="Comma 5 3 4 3 3 4 2" xfId="44109" xr:uid="{00000000-0005-0000-0000-00002C180000}"/>
    <cellStyle name="Comma 5 3 4 3 3 5" xfId="30046" xr:uid="{00000000-0005-0000-0000-00002D180000}"/>
    <cellStyle name="Comma 5 3 4 3 4" xfId="1950" xr:uid="{00000000-0005-0000-0000-00002E180000}"/>
    <cellStyle name="Comma 5 3 4 3 4 2" xfId="11315" xr:uid="{00000000-0005-0000-0000-00002F180000}"/>
    <cellStyle name="Comma 5 3 4 3 4 2 2" xfId="36870" xr:uid="{00000000-0005-0000-0000-000030180000}"/>
    <cellStyle name="Comma 5 3 4 3 4 3" xfId="21319" xr:uid="{00000000-0005-0000-0000-000031180000}"/>
    <cellStyle name="Comma 5 3 4 3 4 3 2" xfId="46872" xr:uid="{00000000-0005-0000-0000-000032180000}"/>
    <cellStyle name="Comma 5 3 4 3 4 4" xfId="27802" xr:uid="{00000000-0005-0000-0000-000033180000}"/>
    <cellStyle name="Comma 5 3 4 3 5" xfId="5930" xr:uid="{00000000-0005-0000-0000-000034180000}"/>
    <cellStyle name="Comma 5 3 4 3 5 2" xfId="14757" xr:uid="{00000000-0005-0000-0000-000035180000}"/>
    <cellStyle name="Comma 5 3 4 3 5 2 2" xfId="40312" xr:uid="{00000000-0005-0000-0000-000036180000}"/>
    <cellStyle name="Comma 5 3 4 3 5 3" xfId="25008" xr:uid="{00000000-0005-0000-0000-000037180000}"/>
    <cellStyle name="Comma 5 3 4 3 5 3 2" xfId="50561" xr:uid="{00000000-0005-0000-0000-000038180000}"/>
    <cellStyle name="Comma 5 3 4 3 5 4" xfId="31491" xr:uid="{00000000-0005-0000-0000-000039180000}"/>
    <cellStyle name="Comma 5 3 4 3 6" xfId="7374" xr:uid="{00000000-0005-0000-0000-00003A180000}"/>
    <cellStyle name="Comma 5 3 4 3 6 2" xfId="19801" xr:uid="{00000000-0005-0000-0000-00003B180000}"/>
    <cellStyle name="Comma 5 3 4 3 6 2 2" xfId="45354" xr:uid="{00000000-0005-0000-0000-00003C180000}"/>
    <cellStyle name="Comma 5 3 4 3 6 3" xfId="32931" xr:uid="{00000000-0005-0000-0000-00003D180000}"/>
    <cellStyle name="Comma 5 3 4 3 7" xfId="16312" xr:uid="{00000000-0005-0000-0000-00003E180000}"/>
    <cellStyle name="Comma 5 3 4 3 7 2" xfId="41865" xr:uid="{00000000-0005-0000-0000-00003F180000}"/>
    <cellStyle name="Comma 5 3 4 3 8" xfId="26284" xr:uid="{00000000-0005-0000-0000-000040180000}"/>
    <cellStyle name="Comma 5 3 4 4" xfId="659" xr:uid="{00000000-0005-0000-0000-000041180000}"/>
    <cellStyle name="Comma 5 3 4 4 2" xfId="3145" xr:uid="{00000000-0005-0000-0000-000042180000}"/>
    <cellStyle name="Comma 5 3 4 4 2 2" xfId="12288" xr:uid="{00000000-0005-0000-0000-000043180000}"/>
    <cellStyle name="Comma 5 3 4 4 2 2 2" xfId="22506" xr:uid="{00000000-0005-0000-0000-000044180000}"/>
    <cellStyle name="Comma 5 3 4 4 2 2 2 2" xfId="48059" xr:uid="{00000000-0005-0000-0000-000045180000}"/>
    <cellStyle name="Comma 5 3 4 4 2 2 3" xfId="37843" xr:uid="{00000000-0005-0000-0000-000046180000}"/>
    <cellStyle name="Comma 5 3 4 4 2 3" xfId="8710" xr:uid="{00000000-0005-0000-0000-000047180000}"/>
    <cellStyle name="Comma 5 3 4 4 2 3 2" xfId="34267" xr:uid="{00000000-0005-0000-0000-000048180000}"/>
    <cellStyle name="Comma 5 3 4 4 2 4" xfId="17499" xr:uid="{00000000-0005-0000-0000-000049180000}"/>
    <cellStyle name="Comma 5 3 4 4 2 4 2" xfId="43052" xr:uid="{00000000-0005-0000-0000-00004A180000}"/>
    <cellStyle name="Comma 5 3 4 4 2 5" xfId="28989" xr:uid="{00000000-0005-0000-0000-00004B180000}"/>
    <cellStyle name="Comma 5 3 4 4 3" xfId="4823" xr:uid="{00000000-0005-0000-0000-00004C180000}"/>
    <cellStyle name="Comma 5 3 4 4 3 2" xfId="13660" xr:uid="{00000000-0005-0000-0000-00004D180000}"/>
    <cellStyle name="Comma 5 3 4 4 3 2 2" xfId="23911" xr:uid="{00000000-0005-0000-0000-00004E180000}"/>
    <cellStyle name="Comma 5 3 4 4 3 2 2 2" xfId="49464" xr:uid="{00000000-0005-0000-0000-00004F180000}"/>
    <cellStyle name="Comma 5 3 4 4 3 2 3" xfId="39215" xr:uid="{00000000-0005-0000-0000-000050180000}"/>
    <cellStyle name="Comma 5 3 4 4 3 3" xfId="10081" xr:uid="{00000000-0005-0000-0000-000051180000}"/>
    <cellStyle name="Comma 5 3 4 4 3 3 2" xfId="35638" xr:uid="{00000000-0005-0000-0000-000052180000}"/>
    <cellStyle name="Comma 5 3 4 4 3 4" xfId="18904" xr:uid="{00000000-0005-0000-0000-000053180000}"/>
    <cellStyle name="Comma 5 3 4 4 3 4 2" xfId="44457" xr:uid="{00000000-0005-0000-0000-000054180000}"/>
    <cellStyle name="Comma 5 3 4 4 3 5" xfId="30394" xr:uid="{00000000-0005-0000-0000-000055180000}"/>
    <cellStyle name="Comma 5 3 4 4 4" xfId="2254" xr:uid="{00000000-0005-0000-0000-000056180000}"/>
    <cellStyle name="Comma 5 3 4 4 4 2" xfId="11619" xr:uid="{00000000-0005-0000-0000-000057180000}"/>
    <cellStyle name="Comma 5 3 4 4 4 2 2" xfId="37174" xr:uid="{00000000-0005-0000-0000-000058180000}"/>
    <cellStyle name="Comma 5 3 4 4 4 3" xfId="21623" xr:uid="{00000000-0005-0000-0000-000059180000}"/>
    <cellStyle name="Comma 5 3 4 4 4 3 2" xfId="47176" xr:uid="{00000000-0005-0000-0000-00005A180000}"/>
    <cellStyle name="Comma 5 3 4 4 4 4" xfId="28106" xr:uid="{00000000-0005-0000-0000-00005B180000}"/>
    <cellStyle name="Comma 5 3 4 4 5" xfId="6278" xr:uid="{00000000-0005-0000-0000-00005C180000}"/>
    <cellStyle name="Comma 5 3 4 4 5 2" xfId="15105" xr:uid="{00000000-0005-0000-0000-00005D180000}"/>
    <cellStyle name="Comma 5 3 4 4 5 2 2" xfId="40660" xr:uid="{00000000-0005-0000-0000-00005E180000}"/>
    <cellStyle name="Comma 5 3 4 4 5 3" xfId="25356" xr:uid="{00000000-0005-0000-0000-00005F180000}"/>
    <cellStyle name="Comma 5 3 4 4 5 3 2" xfId="50909" xr:uid="{00000000-0005-0000-0000-000060180000}"/>
    <cellStyle name="Comma 5 3 4 4 5 4" xfId="31839" xr:uid="{00000000-0005-0000-0000-000061180000}"/>
    <cellStyle name="Comma 5 3 4 4 6" xfId="7724" xr:uid="{00000000-0005-0000-0000-000062180000}"/>
    <cellStyle name="Comma 5 3 4 4 6 2" xfId="20105" xr:uid="{00000000-0005-0000-0000-000063180000}"/>
    <cellStyle name="Comma 5 3 4 4 6 2 2" xfId="45658" xr:uid="{00000000-0005-0000-0000-000064180000}"/>
    <cellStyle name="Comma 5 3 4 4 6 3" xfId="33281" xr:uid="{00000000-0005-0000-0000-000065180000}"/>
    <cellStyle name="Comma 5 3 4 4 7" xfId="16616" xr:uid="{00000000-0005-0000-0000-000066180000}"/>
    <cellStyle name="Comma 5 3 4 4 7 2" xfId="42169" xr:uid="{00000000-0005-0000-0000-000067180000}"/>
    <cellStyle name="Comma 5 3 4 4 8" xfId="26588" xr:uid="{00000000-0005-0000-0000-000068180000}"/>
    <cellStyle name="Comma 5 3 4 5" xfId="1127" xr:uid="{00000000-0005-0000-0000-000069180000}"/>
    <cellStyle name="Comma 5 3 4 5 2" xfId="3556" xr:uid="{00000000-0005-0000-0000-00006A180000}"/>
    <cellStyle name="Comma 5 3 4 5 2 2" xfId="12692" xr:uid="{00000000-0005-0000-0000-00006B180000}"/>
    <cellStyle name="Comma 5 3 4 5 2 2 2" xfId="22911" xr:uid="{00000000-0005-0000-0000-00006C180000}"/>
    <cellStyle name="Comma 5 3 4 5 2 2 2 2" xfId="48464" xr:uid="{00000000-0005-0000-0000-00006D180000}"/>
    <cellStyle name="Comma 5 3 4 5 2 2 3" xfId="38247" xr:uid="{00000000-0005-0000-0000-00006E180000}"/>
    <cellStyle name="Comma 5 3 4 5 2 3" xfId="9113" xr:uid="{00000000-0005-0000-0000-00006F180000}"/>
    <cellStyle name="Comma 5 3 4 5 2 3 2" xfId="34670" xr:uid="{00000000-0005-0000-0000-000070180000}"/>
    <cellStyle name="Comma 5 3 4 5 2 4" xfId="17904" xr:uid="{00000000-0005-0000-0000-000071180000}"/>
    <cellStyle name="Comma 5 3 4 5 2 4 2" xfId="43457" xr:uid="{00000000-0005-0000-0000-000072180000}"/>
    <cellStyle name="Comma 5 3 4 5 2 5" xfId="29394" xr:uid="{00000000-0005-0000-0000-000073180000}"/>
    <cellStyle name="Comma 5 3 4 5 3" xfId="5219" xr:uid="{00000000-0005-0000-0000-000074180000}"/>
    <cellStyle name="Comma 5 3 4 5 3 2" xfId="14056" xr:uid="{00000000-0005-0000-0000-000075180000}"/>
    <cellStyle name="Comma 5 3 4 5 3 2 2" xfId="24307" xr:uid="{00000000-0005-0000-0000-000076180000}"/>
    <cellStyle name="Comma 5 3 4 5 3 2 2 2" xfId="49860" xr:uid="{00000000-0005-0000-0000-000077180000}"/>
    <cellStyle name="Comma 5 3 4 5 3 2 3" xfId="39611" xr:uid="{00000000-0005-0000-0000-000078180000}"/>
    <cellStyle name="Comma 5 3 4 5 3 3" xfId="10477" xr:uid="{00000000-0005-0000-0000-000079180000}"/>
    <cellStyle name="Comma 5 3 4 5 3 3 2" xfId="36034" xr:uid="{00000000-0005-0000-0000-00007A180000}"/>
    <cellStyle name="Comma 5 3 4 5 3 4" xfId="19300" xr:uid="{00000000-0005-0000-0000-00007B180000}"/>
    <cellStyle name="Comma 5 3 4 5 3 4 2" xfId="44853" xr:uid="{00000000-0005-0000-0000-00007C180000}"/>
    <cellStyle name="Comma 5 3 4 5 3 5" xfId="30790" xr:uid="{00000000-0005-0000-0000-00007D180000}"/>
    <cellStyle name="Comma 5 3 4 5 4" xfId="1835" xr:uid="{00000000-0005-0000-0000-00007E180000}"/>
    <cellStyle name="Comma 5 3 4 5 4 2" xfId="11203" xr:uid="{00000000-0005-0000-0000-00007F180000}"/>
    <cellStyle name="Comma 5 3 4 5 4 2 2" xfId="36758" xr:uid="{00000000-0005-0000-0000-000080180000}"/>
    <cellStyle name="Comma 5 3 4 5 4 3" xfId="21207" xr:uid="{00000000-0005-0000-0000-000081180000}"/>
    <cellStyle name="Comma 5 3 4 5 4 3 2" xfId="46760" xr:uid="{00000000-0005-0000-0000-000082180000}"/>
    <cellStyle name="Comma 5 3 4 5 4 4" xfId="27690" xr:uid="{00000000-0005-0000-0000-000083180000}"/>
    <cellStyle name="Comma 5 3 4 5 5" xfId="6674" xr:uid="{00000000-0005-0000-0000-000084180000}"/>
    <cellStyle name="Comma 5 3 4 5 5 2" xfId="15501" xr:uid="{00000000-0005-0000-0000-000085180000}"/>
    <cellStyle name="Comma 5 3 4 5 5 2 2" xfId="41056" xr:uid="{00000000-0005-0000-0000-000086180000}"/>
    <cellStyle name="Comma 5 3 4 5 5 3" xfId="25752" xr:uid="{00000000-0005-0000-0000-000087180000}"/>
    <cellStyle name="Comma 5 3 4 5 5 3 2" xfId="51305" xr:uid="{00000000-0005-0000-0000-000088180000}"/>
    <cellStyle name="Comma 5 3 4 5 5 4" xfId="32235" xr:uid="{00000000-0005-0000-0000-000089180000}"/>
    <cellStyle name="Comma 5 3 4 5 6" xfId="8120" xr:uid="{00000000-0005-0000-0000-00008A180000}"/>
    <cellStyle name="Comma 5 3 4 5 6 2" xfId="20510" xr:uid="{00000000-0005-0000-0000-00008B180000}"/>
    <cellStyle name="Comma 5 3 4 5 6 2 2" xfId="46063" xr:uid="{00000000-0005-0000-0000-00008C180000}"/>
    <cellStyle name="Comma 5 3 4 5 6 3" xfId="33677" xr:uid="{00000000-0005-0000-0000-00008D180000}"/>
    <cellStyle name="Comma 5 3 4 5 7" xfId="16200" xr:uid="{00000000-0005-0000-0000-00008E180000}"/>
    <cellStyle name="Comma 5 3 4 5 7 2" xfId="41753" xr:uid="{00000000-0005-0000-0000-00008F180000}"/>
    <cellStyle name="Comma 5 3 4 5 8" xfId="26993" xr:uid="{00000000-0005-0000-0000-000090180000}"/>
    <cellStyle name="Comma 5 3 4 6" xfId="2729" xr:uid="{00000000-0005-0000-0000-000091180000}"/>
    <cellStyle name="Comma 5 3 4 6 2" xfId="12046" xr:uid="{00000000-0005-0000-0000-000092180000}"/>
    <cellStyle name="Comma 5 3 4 6 2 2" xfId="22090" xr:uid="{00000000-0005-0000-0000-000093180000}"/>
    <cellStyle name="Comma 5 3 4 6 2 2 2" xfId="47643" xr:uid="{00000000-0005-0000-0000-000094180000}"/>
    <cellStyle name="Comma 5 3 4 6 2 3" xfId="37601" xr:uid="{00000000-0005-0000-0000-000095180000}"/>
    <cellStyle name="Comma 5 3 4 6 3" xfId="8623" xr:uid="{00000000-0005-0000-0000-000096180000}"/>
    <cellStyle name="Comma 5 3 4 6 3 2" xfId="34180" xr:uid="{00000000-0005-0000-0000-000097180000}"/>
    <cellStyle name="Comma 5 3 4 6 4" xfId="17083" xr:uid="{00000000-0005-0000-0000-000098180000}"/>
    <cellStyle name="Comma 5 3 4 6 4 2" xfId="42636" xr:uid="{00000000-0005-0000-0000-000099180000}"/>
    <cellStyle name="Comma 5 3 4 6 5" xfId="28573" xr:uid="{00000000-0005-0000-0000-00009A180000}"/>
    <cellStyle name="Comma 5 3 4 7" xfId="4175" xr:uid="{00000000-0005-0000-0000-00009B180000}"/>
    <cellStyle name="Comma 5 3 4 7 2" xfId="13013" xr:uid="{00000000-0005-0000-0000-00009C180000}"/>
    <cellStyle name="Comma 5 3 4 7 2 2" xfId="23264" xr:uid="{00000000-0005-0000-0000-00009D180000}"/>
    <cellStyle name="Comma 5 3 4 7 2 2 2" xfId="48817" xr:uid="{00000000-0005-0000-0000-00009E180000}"/>
    <cellStyle name="Comma 5 3 4 7 2 3" xfId="38568" xr:uid="{00000000-0005-0000-0000-00009F180000}"/>
    <cellStyle name="Comma 5 3 4 7 3" xfId="9434" xr:uid="{00000000-0005-0000-0000-0000A0180000}"/>
    <cellStyle name="Comma 5 3 4 7 3 2" xfId="34991" xr:uid="{00000000-0005-0000-0000-0000A1180000}"/>
    <cellStyle name="Comma 5 3 4 7 4" xfId="18257" xr:uid="{00000000-0005-0000-0000-0000A2180000}"/>
    <cellStyle name="Comma 5 3 4 7 4 2" xfId="43810" xr:uid="{00000000-0005-0000-0000-0000A3180000}"/>
    <cellStyle name="Comma 5 3 4 7 5" xfId="29747" xr:uid="{00000000-0005-0000-0000-0000A4180000}"/>
    <cellStyle name="Comma 5 3 4 8" xfId="1447" xr:uid="{00000000-0005-0000-0000-0000A5180000}"/>
    <cellStyle name="Comma 5 3 4 8 2" xfId="10824" xr:uid="{00000000-0005-0000-0000-0000A6180000}"/>
    <cellStyle name="Comma 5 3 4 8 2 2" xfId="36379" xr:uid="{00000000-0005-0000-0000-0000A7180000}"/>
    <cellStyle name="Comma 5 3 4 8 3" xfId="20828" xr:uid="{00000000-0005-0000-0000-0000A8180000}"/>
    <cellStyle name="Comma 5 3 4 8 3 2" xfId="46381" xr:uid="{00000000-0005-0000-0000-0000A9180000}"/>
    <cellStyle name="Comma 5 3 4 8 4" xfId="27311" xr:uid="{00000000-0005-0000-0000-0000AA180000}"/>
    <cellStyle name="Comma 5 3 4 9" xfId="5631" xr:uid="{00000000-0005-0000-0000-0000AB180000}"/>
    <cellStyle name="Comma 5 3 4 9 2" xfId="14458" xr:uid="{00000000-0005-0000-0000-0000AC180000}"/>
    <cellStyle name="Comma 5 3 4 9 2 2" xfId="40013" xr:uid="{00000000-0005-0000-0000-0000AD180000}"/>
    <cellStyle name="Comma 5 3 4 9 3" xfId="24709" xr:uid="{00000000-0005-0000-0000-0000AE180000}"/>
    <cellStyle name="Comma 5 3 4 9 3 2" xfId="50262" xr:uid="{00000000-0005-0000-0000-0000AF180000}"/>
    <cellStyle name="Comma 5 3 4 9 4" xfId="31192" xr:uid="{00000000-0005-0000-0000-0000B0180000}"/>
    <cellStyle name="Comma 5 3 5" xfId="455" xr:uid="{00000000-0005-0000-0000-0000B1180000}"/>
    <cellStyle name="Comma 5 3 5 10" xfId="26384" xr:uid="{00000000-0005-0000-0000-0000B2180000}"/>
    <cellStyle name="Comma 5 3 5 2" xfId="661" xr:uid="{00000000-0005-0000-0000-0000B3180000}"/>
    <cellStyle name="Comma 5 3 5 2 2" xfId="3147" xr:uid="{00000000-0005-0000-0000-0000B4180000}"/>
    <cellStyle name="Comma 5 3 5 2 2 2" xfId="12290" xr:uid="{00000000-0005-0000-0000-0000B5180000}"/>
    <cellStyle name="Comma 5 3 5 2 2 2 2" xfId="22508" xr:uid="{00000000-0005-0000-0000-0000B6180000}"/>
    <cellStyle name="Comma 5 3 5 2 2 2 2 2" xfId="48061" xr:uid="{00000000-0005-0000-0000-0000B7180000}"/>
    <cellStyle name="Comma 5 3 5 2 2 2 3" xfId="37845" xr:uid="{00000000-0005-0000-0000-0000B8180000}"/>
    <cellStyle name="Comma 5 3 5 2 2 3" xfId="8712" xr:uid="{00000000-0005-0000-0000-0000B9180000}"/>
    <cellStyle name="Comma 5 3 5 2 2 3 2" xfId="34269" xr:uid="{00000000-0005-0000-0000-0000BA180000}"/>
    <cellStyle name="Comma 5 3 5 2 2 4" xfId="17501" xr:uid="{00000000-0005-0000-0000-0000BB180000}"/>
    <cellStyle name="Comma 5 3 5 2 2 4 2" xfId="43054" xr:uid="{00000000-0005-0000-0000-0000BC180000}"/>
    <cellStyle name="Comma 5 3 5 2 2 5" xfId="28991" xr:uid="{00000000-0005-0000-0000-0000BD180000}"/>
    <cellStyle name="Comma 5 3 5 2 3" xfId="4476" xr:uid="{00000000-0005-0000-0000-0000BE180000}"/>
    <cellStyle name="Comma 5 3 5 2 3 2" xfId="13314" xr:uid="{00000000-0005-0000-0000-0000BF180000}"/>
    <cellStyle name="Comma 5 3 5 2 3 2 2" xfId="23565" xr:uid="{00000000-0005-0000-0000-0000C0180000}"/>
    <cellStyle name="Comma 5 3 5 2 3 2 2 2" xfId="49118" xr:uid="{00000000-0005-0000-0000-0000C1180000}"/>
    <cellStyle name="Comma 5 3 5 2 3 2 3" xfId="38869" xr:uid="{00000000-0005-0000-0000-0000C2180000}"/>
    <cellStyle name="Comma 5 3 5 2 3 3" xfId="9735" xr:uid="{00000000-0005-0000-0000-0000C3180000}"/>
    <cellStyle name="Comma 5 3 5 2 3 3 2" xfId="35292" xr:uid="{00000000-0005-0000-0000-0000C4180000}"/>
    <cellStyle name="Comma 5 3 5 2 3 4" xfId="18558" xr:uid="{00000000-0005-0000-0000-0000C5180000}"/>
    <cellStyle name="Comma 5 3 5 2 3 4 2" xfId="44111" xr:uid="{00000000-0005-0000-0000-0000C6180000}"/>
    <cellStyle name="Comma 5 3 5 2 3 5" xfId="30048" xr:uid="{00000000-0005-0000-0000-0000C7180000}"/>
    <cellStyle name="Comma 5 3 5 2 4" xfId="2256" xr:uid="{00000000-0005-0000-0000-0000C8180000}"/>
    <cellStyle name="Comma 5 3 5 2 4 2" xfId="11621" xr:uid="{00000000-0005-0000-0000-0000C9180000}"/>
    <cellStyle name="Comma 5 3 5 2 4 2 2" xfId="37176" xr:uid="{00000000-0005-0000-0000-0000CA180000}"/>
    <cellStyle name="Comma 5 3 5 2 4 3" xfId="21625" xr:uid="{00000000-0005-0000-0000-0000CB180000}"/>
    <cellStyle name="Comma 5 3 5 2 4 3 2" xfId="47178" xr:uid="{00000000-0005-0000-0000-0000CC180000}"/>
    <cellStyle name="Comma 5 3 5 2 4 4" xfId="28108" xr:uid="{00000000-0005-0000-0000-0000CD180000}"/>
    <cellStyle name="Comma 5 3 5 2 5" xfId="5932" xr:uid="{00000000-0005-0000-0000-0000CE180000}"/>
    <cellStyle name="Comma 5 3 5 2 5 2" xfId="14759" xr:uid="{00000000-0005-0000-0000-0000CF180000}"/>
    <cellStyle name="Comma 5 3 5 2 5 2 2" xfId="40314" xr:uid="{00000000-0005-0000-0000-0000D0180000}"/>
    <cellStyle name="Comma 5 3 5 2 5 3" xfId="25010" xr:uid="{00000000-0005-0000-0000-0000D1180000}"/>
    <cellStyle name="Comma 5 3 5 2 5 3 2" xfId="50563" xr:uid="{00000000-0005-0000-0000-0000D2180000}"/>
    <cellStyle name="Comma 5 3 5 2 5 4" xfId="31493" xr:uid="{00000000-0005-0000-0000-0000D3180000}"/>
    <cellStyle name="Comma 5 3 5 2 6" xfId="7376" xr:uid="{00000000-0005-0000-0000-0000D4180000}"/>
    <cellStyle name="Comma 5 3 5 2 6 2" xfId="20107" xr:uid="{00000000-0005-0000-0000-0000D5180000}"/>
    <cellStyle name="Comma 5 3 5 2 6 2 2" xfId="45660" xr:uid="{00000000-0005-0000-0000-0000D6180000}"/>
    <cellStyle name="Comma 5 3 5 2 6 3" xfId="32933" xr:uid="{00000000-0005-0000-0000-0000D7180000}"/>
    <cellStyle name="Comma 5 3 5 2 7" xfId="16618" xr:uid="{00000000-0005-0000-0000-0000D8180000}"/>
    <cellStyle name="Comma 5 3 5 2 7 2" xfId="42171" xr:uid="{00000000-0005-0000-0000-0000D9180000}"/>
    <cellStyle name="Comma 5 3 5 2 8" xfId="26590" xr:uid="{00000000-0005-0000-0000-0000DA180000}"/>
    <cellStyle name="Comma 5 3 5 3" xfId="1227" xr:uid="{00000000-0005-0000-0000-0000DB180000}"/>
    <cellStyle name="Comma 5 3 5 3 2" xfId="3656" xr:uid="{00000000-0005-0000-0000-0000DC180000}"/>
    <cellStyle name="Comma 5 3 5 3 2 2" xfId="12792" xr:uid="{00000000-0005-0000-0000-0000DD180000}"/>
    <cellStyle name="Comma 5 3 5 3 2 2 2" xfId="23011" xr:uid="{00000000-0005-0000-0000-0000DE180000}"/>
    <cellStyle name="Comma 5 3 5 3 2 2 2 2" xfId="48564" xr:uid="{00000000-0005-0000-0000-0000DF180000}"/>
    <cellStyle name="Comma 5 3 5 3 2 2 3" xfId="38347" xr:uid="{00000000-0005-0000-0000-0000E0180000}"/>
    <cellStyle name="Comma 5 3 5 3 2 3" xfId="9213" xr:uid="{00000000-0005-0000-0000-0000E1180000}"/>
    <cellStyle name="Comma 5 3 5 3 2 3 2" xfId="34770" xr:uid="{00000000-0005-0000-0000-0000E2180000}"/>
    <cellStyle name="Comma 5 3 5 3 2 4" xfId="18004" xr:uid="{00000000-0005-0000-0000-0000E3180000}"/>
    <cellStyle name="Comma 5 3 5 3 2 4 2" xfId="43557" xr:uid="{00000000-0005-0000-0000-0000E4180000}"/>
    <cellStyle name="Comma 5 3 5 3 2 5" xfId="29494" xr:uid="{00000000-0005-0000-0000-0000E5180000}"/>
    <cellStyle name="Comma 5 3 5 3 3" xfId="4825" xr:uid="{00000000-0005-0000-0000-0000E6180000}"/>
    <cellStyle name="Comma 5 3 5 3 3 2" xfId="13662" xr:uid="{00000000-0005-0000-0000-0000E7180000}"/>
    <cellStyle name="Comma 5 3 5 3 3 2 2" xfId="23913" xr:uid="{00000000-0005-0000-0000-0000E8180000}"/>
    <cellStyle name="Comma 5 3 5 3 3 2 2 2" xfId="49466" xr:uid="{00000000-0005-0000-0000-0000E9180000}"/>
    <cellStyle name="Comma 5 3 5 3 3 2 3" xfId="39217" xr:uid="{00000000-0005-0000-0000-0000EA180000}"/>
    <cellStyle name="Comma 5 3 5 3 3 3" xfId="10083" xr:uid="{00000000-0005-0000-0000-0000EB180000}"/>
    <cellStyle name="Comma 5 3 5 3 3 3 2" xfId="35640" xr:uid="{00000000-0005-0000-0000-0000EC180000}"/>
    <cellStyle name="Comma 5 3 5 3 3 4" xfId="18906" xr:uid="{00000000-0005-0000-0000-0000ED180000}"/>
    <cellStyle name="Comma 5 3 5 3 3 4 2" xfId="44459" xr:uid="{00000000-0005-0000-0000-0000EE180000}"/>
    <cellStyle name="Comma 5 3 5 3 3 5" xfId="30396" xr:uid="{00000000-0005-0000-0000-0000EF180000}"/>
    <cellStyle name="Comma 5 3 5 3 4" xfId="2050" xr:uid="{00000000-0005-0000-0000-0000F0180000}"/>
    <cellStyle name="Comma 5 3 5 3 4 2" xfId="11415" xr:uid="{00000000-0005-0000-0000-0000F1180000}"/>
    <cellStyle name="Comma 5 3 5 3 4 2 2" xfId="36970" xr:uid="{00000000-0005-0000-0000-0000F2180000}"/>
    <cellStyle name="Comma 5 3 5 3 4 3" xfId="21419" xr:uid="{00000000-0005-0000-0000-0000F3180000}"/>
    <cellStyle name="Comma 5 3 5 3 4 3 2" xfId="46972" xr:uid="{00000000-0005-0000-0000-0000F4180000}"/>
    <cellStyle name="Comma 5 3 5 3 4 4" xfId="27902" xr:uid="{00000000-0005-0000-0000-0000F5180000}"/>
    <cellStyle name="Comma 5 3 5 3 5" xfId="6280" xr:uid="{00000000-0005-0000-0000-0000F6180000}"/>
    <cellStyle name="Comma 5 3 5 3 5 2" xfId="15107" xr:uid="{00000000-0005-0000-0000-0000F7180000}"/>
    <cellStyle name="Comma 5 3 5 3 5 2 2" xfId="40662" xr:uid="{00000000-0005-0000-0000-0000F8180000}"/>
    <cellStyle name="Comma 5 3 5 3 5 3" xfId="25358" xr:uid="{00000000-0005-0000-0000-0000F9180000}"/>
    <cellStyle name="Comma 5 3 5 3 5 3 2" xfId="50911" xr:uid="{00000000-0005-0000-0000-0000FA180000}"/>
    <cellStyle name="Comma 5 3 5 3 5 4" xfId="31841" xr:uid="{00000000-0005-0000-0000-0000FB180000}"/>
    <cellStyle name="Comma 5 3 5 3 6" xfId="7726" xr:uid="{00000000-0005-0000-0000-0000FC180000}"/>
    <cellStyle name="Comma 5 3 5 3 6 2" xfId="20610" xr:uid="{00000000-0005-0000-0000-0000FD180000}"/>
    <cellStyle name="Comma 5 3 5 3 6 2 2" xfId="46163" xr:uid="{00000000-0005-0000-0000-0000FE180000}"/>
    <cellStyle name="Comma 5 3 5 3 6 3" xfId="33283" xr:uid="{00000000-0005-0000-0000-0000FF180000}"/>
    <cellStyle name="Comma 5 3 5 3 7" xfId="16412" xr:uid="{00000000-0005-0000-0000-000000190000}"/>
    <cellStyle name="Comma 5 3 5 3 7 2" xfId="41965" xr:uid="{00000000-0005-0000-0000-000001190000}"/>
    <cellStyle name="Comma 5 3 5 3 8" xfId="27093" xr:uid="{00000000-0005-0000-0000-000002190000}"/>
    <cellStyle name="Comma 5 3 5 4" xfId="2941" xr:uid="{00000000-0005-0000-0000-000003190000}"/>
    <cellStyle name="Comma 5 3 5 4 2" xfId="5319" xr:uid="{00000000-0005-0000-0000-000004190000}"/>
    <cellStyle name="Comma 5 3 5 4 2 2" xfId="14156" xr:uid="{00000000-0005-0000-0000-000005190000}"/>
    <cellStyle name="Comma 5 3 5 4 2 2 2" xfId="24407" xr:uid="{00000000-0005-0000-0000-000006190000}"/>
    <cellStyle name="Comma 5 3 5 4 2 2 2 2" xfId="49960" xr:uid="{00000000-0005-0000-0000-000007190000}"/>
    <cellStyle name="Comma 5 3 5 4 2 2 3" xfId="39711" xr:uid="{00000000-0005-0000-0000-000008190000}"/>
    <cellStyle name="Comma 5 3 5 4 2 3" xfId="10577" xr:uid="{00000000-0005-0000-0000-000009190000}"/>
    <cellStyle name="Comma 5 3 5 4 2 3 2" xfId="36134" xr:uid="{00000000-0005-0000-0000-00000A190000}"/>
    <cellStyle name="Comma 5 3 5 4 2 4" xfId="19400" xr:uid="{00000000-0005-0000-0000-00000B190000}"/>
    <cellStyle name="Comma 5 3 5 4 2 4 2" xfId="44953" xr:uid="{00000000-0005-0000-0000-00000C190000}"/>
    <cellStyle name="Comma 5 3 5 4 2 5" xfId="30890" xr:uid="{00000000-0005-0000-0000-00000D190000}"/>
    <cellStyle name="Comma 5 3 5 4 3" xfId="6774" xr:uid="{00000000-0005-0000-0000-00000E190000}"/>
    <cellStyle name="Comma 5 3 5 4 3 2" xfId="15601" xr:uid="{00000000-0005-0000-0000-00000F190000}"/>
    <cellStyle name="Comma 5 3 5 4 3 2 2" xfId="41156" xr:uid="{00000000-0005-0000-0000-000010190000}"/>
    <cellStyle name="Comma 5 3 5 4 3 3" xfId="25852" xr:uid="{00000000-0005-0000-0000-000011190000}"/>
    <cellStyle name="Comma 5 3 5 4 3 3 2" xfId="51405" xr:uid="{00000000-0005-0000-0000-000012190000}"/>
    <cellStyle name="Comma 5 3 5 4 3 4" xfId="32335" xr:uid="{00000000-0005-0000-0000-000013190000}"/>
    <cellStyle name="Comma 5 3 5 4 4" xfId="8220" xr:uid="{00000000-0005-0000-0000-000014190000}"/>
    <cellStyle name="Comma 5 3 5 4 4 2" xfId="22302" xr:uid="{00000000-0005-0000-0000-000015190000}"/>
    <cellStyle name="Comma 5 3 5 4 4 2 2" xfId="47855" xr:uid="{00000000-0005-0000-0000-000016190000}"/>
    <cellStyle name="Comma 5 3 5 4 4 3" xfId="33777" xr:uid="{00000000-0005-0000-0000-000017190000}"/>
    <cellStyle name="Comma 5 3 5 4 5" xfId="17295" xr:uid="{00000000-0005-0000-0000-000018190000}"/>
    <cellStyle name="Comma 5 3 5 4 5 2" xfId="42848" xr:uid="{00000000-0005-0000-0000-000019190000}"/>
    <cellStyle name="Comma 5 3 5 4 6" xfId="28785" xr:uid="{00000000-0005-0000-0000-00001A190000}"/>
    <cellStyle name="Comma 5 3 5 5" xfId="4275" xr:uid="{00000000-0005-0000-0000-00001B190000}"/>
    <cellStyle name="Comma 5 3 5 5 2" xfId="13113" xr:uid="{00000000-0005-0000-0000-00001C190000}"/>
    <cellStyle name="Comma 5 3 5 5 2 2" xfId="23364" xr:uid="{00000000-0005-0000-0000-00001D190000}"/>
    <cellStyle name="Comma 5 3 5 5 2 2 2" xfId="48917" xr:uid="{00000000-0005-0000-0000-00001E190000}"/>
    <cellStyle name="Comma 5 3 5 5 2 3" xfId="38668" xr:uid="{00000000-0005-0000-0000-00001F190000}"/>
    <cellStyle name="Comma 5 3 5 5 3" xfId="9534" xr:uid="{00000000-0005-0000-0000-000020190000}"/>
    <cellStyle name="Comma 5 3 5 5 3 2" xfId="35091" xr:uid="{00000000-0005-0000-0000-000021190000}"/>
    <cellStyle name="Comma 5 3 5 5 4" xfId="18357" xr:uid="{00000000-0005-0000-0000-000022190000}"/>
    <cellStyle name="Comma 5 3 5 5 4 2" xfId="43910" xr:uid="{00000000-0005-0000-0000-000023190000}"/>
    <cellStyle name="Comma 5 3 5 5 5" xfId="29847" xr:uid="{00000000-0005-0000-0000-000024190000}"/>
    <cellStyle name="Comma 5 3 5 6" xfId="1547" xr:uid="{00000000-0005-0000-0000-000025190000}"/>
    <cellStyle name="Comma 5 3 5 6 2" xfId="10924" xr:uid="{00000000-0005-0000-0000-000026190000}"/>
    <cellStyle name="Comma 5 3 5 6 2 2" xfId="36479" xr:uid="{00000000-0005-0000-0000-000027190000}"/>
    <cellStyle name="Comma 5 3 5 6 3" xfId="20928" xr:uid="{00000000-0005-0000-0000-000028190000}"/>
    <cellStyle name="Comma 5 3 5 6 3 2" xfId="46481" xr:uid="{00000000-0005-0000-0000-000029190000}"/>
    <cellStyle name="Comma 5 3 5 6 4" xfId="27411" xr:uid="{00000000-0005-0000-0000-00002A190000}"/>
    <cellStyle name="Comma 5 3 5 7" xfId="5731" xr:uid="{00000000-0005-0000-0000-00002B190000}"/>
    <cellStyle name="Comma 5 3 5 7 2" xfId="14558" xr:uid="{00000000-0005-0000-0000-00002C190000}"/>
    <cellStyle name="Comma 5 3 5 7 2 2" xfId="40113" xr:uid="{00000000-0005-0000-0000-00002D190000}"/>
    <cellStyle name="Comma 5 3 5 7 3" xfId="24809" xr:uid="{00000000-0005-0000-0000-00002E190000}"/>
    <cellStyle name="Comma 5 3 5 7 3 2" xfId="50362" xr:uid="{00000000-0005-0000-0000-00002F190000}"/>
    <cellStyle name="Comma 5 3 5 7 4" xfId="31292" xr:uid="{00000000-0005-0000-0000-000030190000}"/>
    <cellStyle name="Comma 5 3 5 8" xfId="7175" xr:uid="{00000000-0005-0000-0000-000031190000}"/>
    <cellStyle name="Comma 5 3 5 8 2" xfId="19901" xr:uid="{00000000-0005-0000-0000-000032190000}"/>
    <cellStyle name="Comma 5 3 5 8 2 2" xfId="45454" xr:uid="{00000000-0005-0000-0000-000033190000}"/>
    <cellStyle name="Comma 5 3 5 8 3" xfId="32732" xr:uid="{00000000-0005-0000-0000-000034190000}"/>
    <cellStyle name="Comma 5 3 5 9" xfId="15921" xr:uid="{00000000-0005-0000-0000-000035190000}"/>
    <cellStyle name="Comma 5 3 5 9 2" xfId="41474" xr:uid="{00000000-0005-0000-0000-000036190000}"/>
    <cellStyle name="Comma 5 3 6" xfId="328" xr:uid="{00000000-0005-0000-0000-000037190000}"/>
    <cellStyle name="Comma 5 3 6 10" xfId="26257" xr:uid="{00000000-0005-0000-0000-000038190000}"/>
    <cellStyle name="Comma 5 3 6 2" xfId="662" xr:uid="{00000000-0005-0000-0000-000039190000}"/>
    <cellStyle name="Comma 5 3 6 2 2" xfId="3148" xr:uid="{00000000-0005-0000-0000-00003A190000}"/>
    <cellStyle name="Comma 5 3 6 2 2 2" xfId="12291" xr:uid="{00000000-0005-0000-0000-00003B190000}"/>
    <cellStyle name="Comma 5 3 6 2 2 2 2" xfId="22509" xr:uid="{00000000-0005-0000-0000-00003C190000}"/>
    <cellStyle name="Comma 5 3 6 2 2 2 2 2" xfId="48062" xr:uid="{00000000-0005-0000-0000-00003D190000}"/>
    <cellStyle name="Comma 5 3 6 2 2 2 3" xfId="37846" xr:uid="{00000000-0005-0000-0000-00003E190000}"/>
    <cellStyle name="Comma 5 3 6 2 2 3" xfId="8713" xr:uid="{00000000-0005-0000-0000-00003F190000}"/>
    <cellStyle name="Comma 5 3 6 2 2 3 2" xfId="34270" xr:uid="{00000000-0005-0000-0000-000040190000}"/>
    <cellStyle name="Comma 5 3 6 2 2 4" xfId="17502" xr:uid="{00000000-0005-0000-0000-000041190000}"/>
    <cellStyle name="Comma 5 3 6 2 2 4 2" xfId="43055" xr:uid="{00000000-0005-0000-0000-000042190000}"/>
    <cellStyle name="Comma 5 3 6 2 2 5" xfId="28992" xr:uid="{00000000-0005-0000-0000-000043190000}"/>
    <cellStyle name="Comma 5 3 6 2 3" xfId="4477" xr:uid="{00000000-0005-0000-0000-000044190000}"/>
    <cellStyle name="Comma 5 3 6 2 3 2" xfId="13315" xr:uid="{00000000-0005-0000-0000-000045190000}"/>
    <cellStyle name="Comma 5 3 6 2 3 2 2" xfId="23566" xr:uid="{00000000-0005-0000-0000-000046190000}"/>
    <cellStyle name="Comma 5 3 6 2 3 2 2 2" xfId="49119" xr:uid="{00000000-0005-0000-0000-000047190000}"/>
    <cellStyle name="Comma 5 3 6 2 3 2 3" xfId="38870" xr:uid="{00000000-0005-0000-0000-000048190000}"/>
    <cellStyle name="Comma 5 3 6 2 3 3" xfId="9736" xr:uid="{00000000-0005-0000-0000-000049190000}"/>
    <cellStyle name="Comma 5 3 6 2 3 3 2" xfId="35293" xr:uid="{00000000-0005-0000-0000-00004A190000}"/>
    <cellStyle name="Comma 5 3 6 2 3 4" xfId="18559" xr:uid="{00000000-0005-0000-0000-00004B190000}"/>
    <cellStyle name="Comma 5 3 6 2 3 4 2" xfId="44112" xr:uid="{00000000-0005-0000-0000-00004C190000}"/>
    <cellStyle name="Comma 5 3 6 2 3 5" xfId="30049" xr:uid="{00000000-0005-0000-0000-00004D190000}"/>
    <cellStyle name="Comma 5 3 6 2 4" xfId="2257" xr:uid="{00000000-0005-0000-0000-00004E190000}"/>
    <cellStyle name="Comma 5 3 6 2 4 2" xfId="11622" xr:uid="{00000000-0005-0000-0000-00004F190000}"/>
    <cellStyle name="Comma 5 3 6 2 4 2 2" xfId="37177" xr:uid="{00000000-0005-0000-0000-000050190000}"/>
    <cellStyle name="Comma 5 3 6 2 4 3" xfId="21626" xr:uid="{00000000-0005-0000-0000-000051190000}"/>
    <cellStyle name="Comma 5 3 6 2 4 3 2" xfId="47179" xr:uid="{00000000-0005-0000-0000-000052190000}"/>
    <cellStyle name="Comma 5 3 6 2 4 4" xfId="28109" xr:uid="{00000000-0005-0000-0000-000053190000}"/>
    <cellStyle name="Comma 5 3 6 2 5" xfId="5933" xr:uid="{00000000-0005-0000-0000-000054190000}"/>
    <cellStyle name="Comma 5 3 6 2 5 2" xfId="14760" xr:uid="{00000000-0005-0000-0000-000055190000}"/>
    <cellStyle name="Comma 5 3 6 2 5 2 2" xfId="40315" xr:uid="{00000000-0005-0000-0000-000056190000}"/>
    <cellStyle name="Comma 5 3 6 2 5 3" xfId="25011" xr:uid="{00000000-0005-0000-0000-000057190000}"/>
    <cellStyle name="Comma 5 3 6 2 5 3 2" xfId="50564" xr:uid="{00000000-0005-0000-0000-000058190000}"/>
    <cellStyle name="Comma 5 3 6 2 5 4" xfId="31494" xr:uid="{00000000-0005-0000-0000-000059190000}"/>
    <cellStyle name="Comma 5 3 6 2 6" xfId="7377" xr:uid="{00000000-0005-0000-0000-00005A190000}"/>
    <cellStyle name="Comma 5 3 6 2 6 2" xfId="20108" xr:uid="{00000000-0005-0000-0000-00005B190000}"/>
    <cellStyle name="Comma 5 3 6 2 6 2 2" xfId="45661" xr:uid="{00000000-0005-0000-0000-00005C190000}"/>
    <cellStyle name="Comma 5 3 6 2 6 3" xfId="32934" xr:uid="{00000000-0005-0000-0000-00005D190000}"/>
    <cellStyle name="Comma 5 3 6 2 7" xfId="16619" xr:uid="{00000000-0005-0000-0000-00005E190000}"/>
    <cellStyle name="Comma 5 3 6 2 7 2" xfId="42172" xr:uid="{00000000-0005-0000-0000-00005F190000}"/>
    <cellStyle name="Comma 5 3 6 2 8" xfId="26591" xr:uid="{00000000-0005-0000-0000-000060190000}"/>
    <cellStyle name="Comma 5 3 6 3" xfId="1100" xr:uid="{00000000-0005-0000-0000-000061190000}"/>
    <cellStyle name="Comma 5 3 6 3 2" xfId="3529" xr:uid="{00000000-0005-0000-0000-000062190000}"/>
    <cellStyle name="Comma 5 3 6 3 2 2" xfId="12665" xr:uid="{00000000-0005-0000-0000-000063190000}"/>
    <cellStyle name="Comma 5 3 6 3 2 2 2" xfId="22884" xr:uid="{00000000-0005-0000-0000-000064190000}"/>
    <cellStyle name="Comma 5 3 6 3 2 2 2 2" xfId="48437" xr:uid="{00000000-0005-0000-0000-000065190000}"/>
    <cellStyle name="Comma 5 3 6 3 2 2 3" xfId="38220" xr:uid="{00000000-0005-0000-0000-000066190000}"/>
    <cellStyle name="Comma 5 3 6 3 2 3" xfId="9086" xr:uid="{00000000-0005-0000-0000-000067190000}"/>
    <cellStyle name="Comma 5 3 6 3 2 3 2" xfId="34643" xr:uid="{00000000-0005-0000-0000-000068190000}"/>
    <cellStyle name="Comma 5 3 6 3 2 4" xfId="17877" xr:uid="{00000000-0005-0000-0000-000069190000}"/>
    <cellStyle name="Comma 5 3 6 3 2 4 2" xfId="43430" xr:uid="{00000000-0005-0000-0000-00006A190000}"/>
    <cellStyle name="Comma 5 3 6 3 2 5" xfId="29367" xr:uid="{00000000-0005-0000-0000-00006B190000}"/>
    <cellStyle name="Comma 5 3 6 3 3" xfId="4826" xr:uid="{00000000-0005-0000-0000-00006C190000}"/>
    <cellStyle name="Comma 5 3 6 3 3 2" xfId="13663" xr:uid="{00000000-0005-0000-0000-00006D190000}"/>
    <cellStyle name="Comma 5 3 6 3 3 2 2" xfId="23914" xr:uid="{00000000-0005-0000-0000-00006E190000}"/>
    <cellStyle name="Comma 5 3 6 3 3 2 2 2" xfId="49467" xr:uid="{00000000-0005-0000-0000-00006F190000}"/>
    <cellStyle name="Comma 5 3 6 3 3 2 3" xfId="39218" xr:uid="{00000000-0005-0000-0000-000070190000}"/>
    <cellStyle name="Comma 5 3 6 3 3 3" xfId="10084" xr:uid="{00000000-0005-0000-0000-000071190000}"/>
    <cellStyle name="Comma 5 3 6 3 3 3 2" xfId="35641" xr:uid="{00000000-0005-0000-0000-000072190000}"/>
    <cellStyle name="Comma 5 3 6 3 3 4" xfId="18907" xr:uid="{00000000-0005-0000-0000-000073190000}"/>
    <cellStyle name="Comma 5 3 6 3 3 4 2" xfId="44460" xr:uid="{00000000-0005-0000-0000-000074190000}"/>
    <cellStyle name="Comma 5 3 6 3 3 5" xfId="30397" xr:uid="{00000000-0005-0000-0000-000075190000}"/>
    <cellStyle name="Comma 5 3 6 3 4" xfId="2587" xr:uid="{00000000-0005-0000-0000-000076190000}"/>
    <cellStyle name="Comma 5 3 6 3 4 2" xfId="11951" xr:uid="{00000000-0005-0000-0000-000077190000}"/>
    <cellStyle name="Comma 5 3 6 3 4 2 2" xfId="37506" xr:uid="{00000000-0005-0000-0000-000078190000}"/>
    <cellStyle name="Comma 5 3 6 3 4 3" xfId="21955" xr:uid="{00000000-0005-0000-0000-000079190000}"/>
    <cellStyle name="Comma 5 3 6 3 4 3 2" xfId="47508" xr:uid="{00000000-0005-0000-0000-00007A190000}"/>
    <cellStyle name="Comma 5 3 6 3 4 4" xfId="28438" xr:uid="{00000000-0005-0000-0000-00007B190000}"/>
    <cellStyle name="Comma 5 3 6 3 5" xfId="6281" xr:uid="{00000000-0005-0000-0000-00007C190000}"/>
    <cellStyle name="Comma 5 3 6 3 5 2" xfId="15108" xr:uid="{00000000-0005-0000-0000-00007D190000}"/>
    <cellStyle name="Comma 5 3 6 3 5 2 2" xfId="40663" xr:uid="{00000000-0005-0000-0000-00007E190000}"/>
    <cellStyle name="Comma 5 3 6 3 5 3" xfId="25359" xr:uid="{00000000-0005-0000-0000-00007F190000}"/>
    <cellStyle name="Comma 5 3 6 3 5 3 2" xfId="50912" xr:uid="{00000000-0005-0000-0000-000080190000}"/>
    <cellStyle name="Comma 5 3 6 3 5 4" xfId="31842" xr:uid="{00000000-0005-0000-0000-000081190000}"/>
    <cellStyle name="Comma 5 3 6 3 6" xfId="7727" xr:uid="{00000000-0005-0000-0000-000082190000}"/>
    <cellStyle name="Comma 5 3 6 3 6 2" xfId="20483" xr:uid="{00000000-0005-0000-0000-000083190000}"/>
    <cellStyle name="Comma 5 3 6 3 6 2 2" xfId="46036" xr:uid="{00000000-0005-0000-0000-000084190000}"/>
    <cellStyle name="Comma 5 3 6 3 6 3" xfId="33284" xr:uid="{00000000-0005-0000-0000-000085190000}"/>
    <cellStyle name="Comma 5 3 6 3 7" xfId="16948" xr:uid="{00000000-0005-0000-0000-000086190000}"/>
    <cellStyle name="Comma 5 3 6 3 7 2" xfId="42501" xr:uid="{00000000-0005-0000-0000-000087190000}"/>
    <cellStyle name="Comma 5 3 6 3 8" xfId="26966" xr:uid="{00000000-0005-0000-0000-000088190000}"/>
    <cellStyle name="Comma 5 3 6 4" xfId="2814" xr:uid="{00000000-0005-0000-0000-000089190000}"/>
    <cellStyle name="Comma 5 3 6 4 2" xfId="5192" xr:uid="{00000000-0005-0000-0000-00008A190000}"/>
    <cellStyle name="Comma 5 3 6 4 2 2" xfId="14029" xr:uid="{00000000-0005-0000-0000-00008B190000}"/>
    <cellStyle name="Comma 5 3 6 4 2 2 2" xfId="24280" xr:uid="{00000000-0005-0000-0000-00008C190000}"/>
    <cellStyle name="Comma 5 3 6 4 2 2 2 2" xfId="49833" xr:uid="{00000000-0005-0000-0000-00008D190000}"/>
    <cellStyle name="Comma 5 3 6 4 2 2 3" xfId="39584" xr:uid="{00000000-0005-0000-0000-00008E190000}"/>
    <cellStyle name="Comma 5 3 6 4 2 3" xfId="10450" xr:uid="{00000000-0005-0000-0000-00008F190000}"/>
    <cellStyle name="Comma 5 3 6 4 2 3 2" xfId="36007" xr:uid="{00000000-0005-0000-0000-000090190000}"/>
    <cellStyle name="Comma 5 3 6 4 2 4" xfId="19273" xr:uid="{00000000-0005-0000-0000-000091190000}"/>
    <cellStyle name="Comma 5 3 6 4 2 4 2" xfId="44826" xr:uid="{00000000-0005-0000-0000-000092190000}"/>
    <cellStyle name="Comma 5 3 6 4 2 5" xfId="30763" xr:uid="{00000000-0005-0000-0000-000093190000}"/>
    <cellStyle name="Comma 5 3 6 4 3" xfId="6647" xr:uid="{00000000-0005-0000-0000-000094190000}"/>
    <cellStyle name="Comma 5 3 6 4 3 2" xfId="15474" xr:uid="{00000000-0005-0000-0000-000095190000}"/>
    <cellStyle name="Comma 5 3 6 4 3 2 2" xfId="41029" xr:uid="{00000000-0005-0000-0000-000096190000}"/>
    <cellStyle name="Comma 5 3 6 4 3 3" xfId="25725" xr:uid="{00000000-0005-0000-0000-000097190000}"/>
    <cellStyle name="Comma 5 3 6 4 3 3 2" xfId="51278" xr:uid="{00000000-0005-0000-0000-000098190000}"/>
    <cellStyle name="Comma 5 3 6 4 3 4" xfId="32208" xr:uid="{00000000-0005-0000-0000-000099190000}"/>
    <cellStyle name="Comma 5 3 6 4 4" xfId="8093" xr:uid="{00000000-0005-0000-0000-00009A190000}"/>
    <cellStyle name="Comma 5 3 6 4 4 2" xfId="22175" xr:uid="{00000000-0005-0000-0000-00009B190000}"/>
    <cellStyle name="Comma 5 3 6 4 4 2 2" xfId="47728" xr:uid="{00000000-0005-0000-0000-00009C190000}"/>
    <cellStyle name="Comma 5 3 6 4 4 3" xfId="33650" xr:uid="{00000000-0005-0000-0000-00009D190000}"/>
    <cellStyle name="Comma 5 3 6 4 5" xfId="17168" xr:uid="{00000000-0005-0000-0000-00009E190000}"/>
    <cellStyle name="Comma 5 3 6 4 5 2" xfId="42721" xr:uid="{00000000-0005-0000-0000-00009F190000}"/>
    <cellStyle name="Comma 5 3 6 4 6" xfId="28658" xr:uid="{00000000-0005-0000-0000-0000A0190000}"/>
    <cellStyle name="Comma 5 3 6 5" xfId="4146" xr:uid="{00000000-0005-0000-0000-0000A1190000}"/>
    <cellStyle name="Comma 5 3 6 5 2" xfId="12984" xr:uid="{00000000-0005-0000-0000-0000A2190000}"/>
    <cellStyle name="Comma 5 3 6 5 2 2" xfId="23235" xr:uid="{00000000-0005-0000-0000-0000A3190000}"/>
    <cellStyle name="Comma 5 3 6 5 2 2 2" xfId="48788" xr:uid="{00000000-0005-0000-0000-0000A4190000}"/>
    <cellStyle name="Comma 5 3 6 5 2 3" xfId="38539" xr:uid="{00000000-0005-0000-0000-0000A5190000}"/>
    <cellStyle name="Comma 5 3 6 5 3" xfId="9405" xr:uid="{00000000-0005-0000-0000-0000A6190000}"/>
    <cellStyle name="Comma 5 3 6 5 3 2" xfId="34962" xr:uid="{00000000-0005-0000-0000-0000A7190000}"/>
    <cellStyle name="Comma 5 3 6 5 4" xfId="18228" xr:uid="{00000000-0005-0000-0000-0000A8190000}"/>
    <cellStyle name="Comma 5 3 6 5 4 2" xfId="43781" xr:uid="{00000000-0005-0000-0000-0000A9190000}"/>
    <cellStyle name="Comma 5 3 6 5 5" xfId="29718" xr:uid="{00000000-0005-0000-0000-0000AA190000}"/>
    <cellStyle name="Comma 5 3 6 6" xfId="1923" xr:uid="{00000000-0005-0000-0000-0000AB190000}"/>
    <cellStyle name="Comma 5 3 6 6 2" xfId="11288" xr:uid="{00000000-0005-0000-0000-0000AC190000}"/>
    <cellStyle name="Comma 5 3 6 6 2 2" xfId="36843" xr:uid="{00000000-0005-0000-0000-0000AD190000}"/>
    <cellStyle name="Comma 5 3 6 6 3" xfId="21292" xr:uid="{00000000-0005-0000-0000-0000AE190000}"/>
    <cellStyle name="Comma 5 3 6 6 3 2" xfId="46845" xr:uid="{00000000-0005-0000-0000-0000AF190000}"/>
    <cellStyle name="Comma 5 3 6 6 4" xfId="27775" xr:uid="{00000000-0005-0000-0000-0000B0190000}"/>
    <cellStyle name="Comma 5 3 6 7" xfId="5604" xr:uid="{00000000-0005-0000-0000-0000B1190000}"/>
    <cellStyle name="Comma 5 3 6 7 2" xfId="14431" xr:uid="{00000000-0005-0000-0000-0000B2190000}"/>
    <cellStyle name="Comma 5 3 6 7 2 2" xfId="39986" xr:uid="{00000000-0005-0000-0000-0000B3190000}"/>
    <cellStyle name="Comma 5 3 6 7 3" xfId="24682" xr:uid="{00000000-0005-0000-0000-0000B4190000}"/>
    <cellStyle name="Comma 5 3 6 7 3 2" xfId="50235" xr:uid="{00000000-0005-0000-0000-0000B5190000}"/>
    <cellStyle name="Comma 5 3 6 7 4" xfId="31165" xr:uid="{00000000-0005-0000-0000-0000B6190000}"/>
    <cellStyle name="Comma 5 3 6 8" xfId="7048" xr:uid="{00000000-0005-0000-0000-0000B7190000}"/>
    <cellStyle name="Comma 5 3 6 8 2" xfId="19774" xr:uid="{00000000-0005-0000-0000-0000B8190000}"/>
    <cellStyle name="Comma 5 3 6 8 2 2" xfId="45327" xr:uid="{00000000-0005-0000-0000-0000B9190000}"/>
    <cellStyle name="Comma 5 3 6 8 3" xfId="32605" xr:uid="{00000000-0005-0000-0000-0000BA190000}"/>
    <cellStyle name="Comma 5 3 6 9" xfId="16285" xr:uid="{00000000-0005-0000-0000-0000BB190000}"/>
    <cellStyle name="Comma 5 3 6 9 2" xfId="41838" xr:uid="{00000000-0005-0000-0000-0000BC190000}"/>
    <cellStyle name="Comma 5 3 7" xfId="653" xr:uid="{00000000-0005-0000-0000-0000BD190000}"/>
    <cellStyle name="Comma 5 3 7 2" xfId="3139" xr:uid="{00000000-0005-0000-0000-0000BE190000}"/>
    <cellStyle name="Comma 5 3 7 2 2" xfId="12282" xr:uid="{00000000-0005-0000-0000-0000BF190000}"/>
    <cellStyle name="Comma 5 3 7 2 2 2" xfId="22500" xr:uid="{00000000-0005-0000-0000-0000C0190000}"/>
    <cellStyle name="Comma 5 3 7 2 2 2 2" xfId="48053" xr:uid="{00000000-0005-0000-0000-0000C1190000}"/>
    <cellStyle name="Comma 5 3 7 2 2 3" xfId="37837" xr:uid="{00000000-0005-0000-0000-0000C2190000}"/>
    <cellStyle name="Comma 5 3 7 2 3" xfId="8704" xr:uid="{00000000-0005-0000-0000-0000C3190000}"/>
    <cellStyle name="Comma 5 3 7 2 3 2" xfId="34261" xr:uid="{00000000-0005-0000-0000-0000C4190000}"/>
    <cellStyle name="Comma 5 3 7 2 4" xfId="17493" xr:uid="{00000000-0005-0000-0000-0000C5190000}"/>
    <cellStyle name="Comma 5 3 7 2 4 2" xfId="43046" xr:uid="{00000000-0005-0000-0000-0000C6190000}"/>
    <cellStyle name="Comma 5 3 7 2 5" xfId="28983" xr:uid="{00000000-0005-0000-0000-0000C7190000}"/>
    <cellStyle name="Comma 5 3 7 3" xfId="4468" xr:uid="{00000000-0005-0000-0000-0000C8190000}"/>
    <cellStyle name="Comma 5 3 7 3 2" xfId="13306" xr:uid="{00000000-0005-0000-0000-0000C9190000}"/>
    <cellStyle name="Comma 5 3 7 3 2 2" xfId="23557" xr:uid="{00000000-0005-0000-0000-0000CA190000}"/>
    <cellStyle name="Comma 5 3 7 3 2 2 2" xfId="49110" xr:uid="{00000000-0005-0000-0000-0000CB190000}"/>
    <cellStyle name="Comma 5 3 7 3 2 3" xfId="38861" xr:uid="{00000000-0005-0000-0000-0000CC190000}"/>
    <cellStyle name="Comma 5 3 7 3 3" xfId="9727" xr:uid="{00000000-0005-0000-0000-0000CD190000}"/>
    <cellStyle name="Comma 5 3 7 3 3 2" xfId="35284" xr:uid="{00000000-0005-0000-0000-0000CE190000}"/>
    <cellStyle name="Comma 5 3 7 3 4" xfId="18550" xr:uid="{00000000-0005-0000-0000-0000CF190000}"/>
    <cellStyle name="Comma 5 3 7 3 4 2" xfId="44103" xr:uid="{00000000-0005-0000-0000-0000D0190000}"/>
    <cellStyle name="Comma 5 3 7 3 5" xfId="30040" xr:uid="{00000000-0005-0000-0000-0000D1190000}"/>
    <cellStyle name="Comma 5 3 7 4" xfId="2248" xr:uid="{00000000-0005-0000-0000-0000D2190000}"/>
    <cellStyle name="Comma 5 3 7 4 2" xfId="11613" xr:uid="{00000000-0005-0000-0000-0000D3190000}"/>
    <cellStyle name="Comma 5 3 7 4 2 2" xfId="37168" xr:uid="{00000000-0005-0000-0000-0000D4190000}"/>
    <cellStyle name="Comma 5 3 7 4 3" xfId="21617" xr:uid="{00000000-0005-0000-0000-0000D5190000}"/>
    <cellStyle name="Comma 5 3 7 4 3 2" xfId="47170" xr:uid="{00000000-0005-0000-0000-0000D6190000}"/>
    <cellStyle name="Comma 5 3 7 4 4" xfId="28100" xr:uid="{00000000-0005-0000-0000-0000D7190000}"/>
    <cellStyle name="Comma 5 3 7 5" xfId="5924" xr:uid="{00000000-0005-0000-0000-0000D8190000}"/>
    <cellStyle name="Comma 5 3 7 5 2" xfId="14751" xr:uid="{00000000-0005-0000-0000-0000D9190000}"/>
    <cellStyle name="Comma 5 3 7 5 2 2" xfId="40306" xr:uid="{00000000-0005-0000-0000-0000DA190000}"/>
    <cellStyle name="Comma 5 3 7 5 3" xfId="25002" xr:uid="{00000000-0005-0000-0000-0000DB190000}"/>
    <cellStyle name="Comma 5 3 7 5 3 2" xfId="50555" xr:uid="{00000000-0005-0000-0000-0000DC190000}"/>
    <cellStyle name="Comma 5 3 7 5 4" xfId="31485" xr:uid="{00000000-0005-0000-0000-0000DD190000}"/>
    <cellStyle name="Comma 5 3 7 6" xfId="7368" xr:uid="{00000000-0005-0000-0000-0000DE190000}"/>
    <cellStyle name="Comma 5 3 7 6 2" xfId="20099" xr:uid="{00000000-0005-0000-0000-0000DF190000}"/>
    <cellStyle name="Comma 5 3 7 6 2 2" xfId="45652" xr:uid="{00000000-0005-0000-0000-0000E0190000}"/>
    <cellStyle name="Comma 5 3 7 6 3" xfId="32925" xr:uid="{00000000-0005-0000-0000-0000E1190000}"/>
    <cellStyle name="Comma 5 3 7 7" xfId="16610" xr:uid="{00000000-0005-0000-0000-0000E2190000}"/>
    <cellStyle name="Comma 5 3 7 7 2" xfId="42163" xr:uid="{00000000-0005-0000-0000-0000E3190000}"/>
    <cellStyle name="Comma 5 3 7 8" xfId="26582" xr:uid="{00000000-0005-0000-0000-0000E4190000}"/>
    <cellStyle name="Comma 5 3 8" xfId="1055" xr:uid="{00000000-0005-0000-0000-0000E5190000}"/>
    <cellStyle name="Comma 5 3 8 2" xfId="3484" xr:uid="{00000000-0005-0000-0000-0000E6190000}"/>
    <cellStyle name="Comma 5 3 8 2 2" xfId="12620" xr:uid="{00000000-0005-0000-0000-0000E7190000}"/>
    <cellStyle name="Comma 5 3 8 2 2 2" xfId="22839" xr:uid="{00000000-0005-0000-0000-0000E8190000}"/>
    <cellStyle name="Comma 5 3 8 2 2 2 2" xfId="48392" xr:uid="{00000000-0005-0000-0000-0000E9190000}"/>
    <cellStyle name="Comma 5 3 8 2 2 3" xfId="38175" xr:uid="{00000000-0005-0000-0000-0000EA190000}"/>
    <cellStyle name="Comma 5 3 8 2 3" xfId="9042" xr:uid="{00000000-0005-0000-0000-0000EB190000}"/>
    <cellStyle name="Comma 5 3 8 2 3 2" xfId="34599" xr:uid="{00000000-0005-0000-0000-0000EC190000}"/>
    <cellStyle name="Comma 5 3 8 2 4" xfId="17832" xr:uid="{00000000-0005-0000-0000-0000ED190000}"/>
    <cellStyle name="Comma 5 3 8 2 4 2" xfId="43385" xr:uid="{00000000-0005-0000-0000-0000EE190000}"/>
    <cellStyle name="Comma 5 3 8 2 5" xfId="29322" xr:uid="{00000000-0005-0000-0000-0000EF190000}"/>
    <cellStyle name="Comma 5 3 8 3" xfId="4817" xr:uid="{00000000-0005-0000-0000-0000F0190000}"/>
    <cellStyle name="Comma 5 3 8 3 2" xfId="13654" xr:uid="{00000000-0005-0000-0000-0000F1190000}"/>
    <cellStyle name="Comma 5 3 8 3 2 2" xfId="23905" xr:uid="{00000000-0005-0000-0000-0000F2190000}"/>
    <cellStyle name="Comma 5 3 8 3 2 2 2" xfId="49458" xr:uid="{00000000-0005-0000-0000-0000F3190000}"/>
    <cellStyle name="Comma 5 3 8 3 2 3" xfId="39209" xr:uid="{00000000-0005-0000-0000-0000F4190000}"/>
    <cellStyle name="Comma 5 3 8 3 3" xfId="10075" xr:uid="{00000000-0005-0000-0000-0000F5190000}"/>
    <cellStyle name="Comma 5 3 8 3 3 2" xfId="35632" xr:uid="{00000000-0005-0000-0000-0000F6190000}"/>
    <cellStyle name="Comma 5 3 8 3 4" xfId="18898" xr:uid="{00000000-0005-0000-0000-0000F7190000}"/>
    <cellStyle name="Comma 5 3 8 3 4 2" xfId="44451" xr:uid="{00000000-0005-0000-0000-0000F8190000}"/>
    <cellStyle name="Comma 5 3 8 3 5" xfId="30388" xr:uid="{00000000-0005-0000-0000-0000F9190000}"/>
    <cellStyle name="Comma 5 3 8 4" xfId="1723" xr:uid="{00000000-0005-0000-0000-0000FA190000}"/>
    <cellStyle name="Comma 5 3 8 4 2" xfId="11097" xr:uid="{00000000-0005-0000-0000-0000FB190000}"/>
    <cellStyle name="Comma 5 3 8 4 2 2" xfId="36652" xr:uid="{00000000-0005-0000-0000-0000FC190000}"/>
    <cellStyle name="Comma 5 3 8 4 3" xfId="21101" xr:uid="{00000000-0005-0000-0000-0000FD190000}"/>
    <cellStyle name="Comma 5 3 8 4 3 2" xfId="46654" xr:uid="{00000000-0005-0000-0000-0000FE190000}"/>
    <cellStyle name="Comma 5 3 8 4 4" xfId="27584" xr:uid="{00000000-0005-0000-0000-0000FF190000}"/>
    <cellStyle name="Comma 5 3 8 5" xfId="6272" xr:uid="{00000000-0005-0000-0000-0000001A0000}"/>
    <cellStyle name="Comma 5 3 8 5 2" xfId="15099" xr:uid="{00000000-0005-0000-0000-0000011A0000}"/>
    <cellStyle name="Comma 5 3 8 5 2 2" xfId="40654" xr:uid="{00000000-0005-0000-0000-0000021A0000}"/>
    <cellStyle name="Comma 5 3 8 5 3" xfId="25350" xr:uid="{00000000-0005-0000-0000-0000031A0000}"/>
    <cellStyle name="Comma 5 3 8 5 3 2" xfId="50903" xr:uid="{00000000-0005-0000-0000-0000041A0000}"/>
    <cellStyle name="Comma 5 3 8 5 4" xfId="31833" xr:uid="{00000000-0005-0000-0000-0000051A0000}"/>
    <cellStyle name="Comma 5 3 8 6" xfId="7718" xr:uid="{00000000-0005-0000-0000-0000061A0000}"/>
    <cellStyle name="Comma 5 3 8 6 2" xfId="20438" xr:uid="{00000000-0005-0000-0000-0000071A0000}"/>
    <cellStyle name="Comma 5 3 8 6 2 2" xfId="45991" xr:uid="{00000000-0005-0000-0000-0000081A0000}"/>
    <cellStyle name="Comma 5 3 8 6 3" xfId="33275" xr:uid="{00000000-0005-0000-0000-0000091A0000}"/>
    <cellStyle name="Comma 5 3 8 7" xfId="16094" xr:uid="{00000000-0005-0000-0000-00000A1A0000}"/>
    <cellStyle name="Comma 5 3 8 7 2" xfId="41647" xr:uid="{00000000-0005-0000-0000-00000B1A0000}"/>
    <cellStyle name="Comma 5 3 8 8" xfId="26921" xr:uid="{00000000-0005-0000-0000-00000C1A0000}"/>
    <cellStyle name="Comma 5 3 9" xfId="2621" xr:uid="{00000000-0005-0000-0000-00000D1A0000}"/>
    <cellStyle name="Comma 5 3 9 2" xfId="5147" xr:uid="{00000000-0005-0000-0000-00000E1A0000}"/>
    <cellStyle name="Comma 5 3 9 2 2" xfId="13984" xr:uid="{00000000-0005-0000-0000-00000F1A0000}"/>
    <cellStyle name="Comma 5 3 9 2 2 2" xfId="24235" xr:uid="{00000000-0005-0000-0000-0000101A0000}"/>
    <cellStyle name="Comma 5 3 9 2 2 2 2" xfId="49788" xr:uid="{00000000-0005-0000-0000-0000111A0000}"/>
    <cellStyle name="Comma 5 3 9 2 2 3" xfId="39539" xr:uid="{00000000-0005-0000-0000-0000121A0000}"/>
    <cellStyle name="Comma 5 3 9 2 3" xfId="10405" xr:uid="{00000000-0005-0000-0000-0000131A0000}"/>
    <cellStyle name="Comma 5 3 9 2 3 2" xfId="35962" xr:uid="{00000000-0005-0000-0000-0000141A0000}"/>
    <cellStyle name="Comma 5 3 9 2 4" xfId="19228" xr:uid="{00000000-0005-0000-0000-0000151A0000}"/>
    <cellStyle name="Comma 5 3 9 2 4 2" xfId="44781" xr:uid="{00000000-0005-0000-0000-0000161A0000}"/>
    <cellStyle name="Comma 5 3 9 2 5" xfId="30718" xr:uid="{00000000-0005-0000-0000-0000171A0000}"/>
    <cellStyle name="Comma 5 3 9 3" xfId="6602" xr:uid="{00000000-0005-0000-0000-0000181A0000}"/>
    <cellStyle name="Comma 5 3 9 3 2" xfId="15429" xr:uid="{00000000-0005-0000-0000-0000191A0000}"/>
    <cellStyle name="Comma 5 3 9 3 2 2" xfId="40984" xr:uid="{00000000-0005-0000-0000-00001A1A0000}"/>
    <cellStyle name="Comma 5 3 9 3 3" xfId="25680" xr:uid="{00000000-0005-0000-0000-00001B1A0000}"/>
    <cellStyle name="Comma 5 3 9 3 3 2" xfId="51233" xr:uid="{00000000-0005-0000-0000-00001C1A0000}"/>
    <cellStyle name="Comma 5 3 9 3 4" xfId="32163" xr:uid="{00000000-0005-0000-0000-00001D1A0000}"/>
    <cellStyle name="Comma 5 3 9 4" xfId="8048" xr:uid="{00000000-0005-0000-0000-00001E1A0000}"/>
    <cellStyle name="Comma 5 3 9 4 2" xfId="21984" xr:uid="{00000000-0005-0000-0000-00001F1A0000}"/>
    <cellStyle name="Comma 5 3 9 4 2 2" xfId="47537" xr:uid="{00000000-0005-0000-0000-0000201A0000}"/>
    <cellStyle name="Comma 5 3 9 4 3" xfId="33605" xr:uid="{00000000-0005-0000-0000-0000211A0000}"/>
    <cellStyle name="Comma 5 3 9 5" xfId="16977" xr:uid="{00000000-0005-0000-0000-0000221A0000}"/>
    <cellStyle name="Comma 5 3 9 5 2" xfId="42530" xr:uid="{00000000-0005-0000-0000-0000231A0000}"/>
    <cellStyle name="Comma 5 3 9 6" xfId="28467" xr:uid="{00000000-0005-0000-0000-0000241A0000}"/>
    <cellStyle name="Comma 5 4" xfId="123" xr:uid="{00000000-0005-0000-0000-0000251A0000}"/>
    <cellStyle name="Comma 5 4 10" xfId="4109" xr:uid="{00000000-0005-0000-0000-0000261A0000}"/>
    <cellStyle name="Comma 5 4 10 2" xfId="5567" xr:uid="{00000000-0005-0000-0000-0000271A0000}"/>
    <cellStyle name="Comma 5 4 10 2 2" xfId="14394" xr:uid="{00000000-0005-0000-0000-0000281A0000}"/>
    <cellStyle name="Comma 5 4 10 2 2 2" xfId="39949" xr:uid="{00000000-0005-0000-0000-0000291A0000}"/>
    <cellStyle name="Comma 5 4 10 2 3" xfId="24645" xr:uid="{00000000-0005-0000-0000-00002A1A0000}"/>
    <cellStyle name="Comma 5 4 10 2 3 2" xfId="50198" xr:uid="{00000000-0005-0000-0000-00002B1A0000}"/>
    <cellStyle name="Comma 5 4 10 2 4" xfId="31128" xr:uid="{00000000-0005-0000-0000-00002C1A0000}"/>
    <cellStyle name="Comma 5 4 10 3" xfId="7011" xr:uid="{00000000-0005-0000-0000-00002D1A0000}"/>
    <cellStyle name="Comma 5 4 10 3 2" xfId="23198" xr:uid="{00000000-0005-0000-0000-00002E1A0000}"/>
    <cellStyle name="Comma 5 4 10 3 2 2" xfId="48751" xr:uid="{00000000-0005-0000-0000-00002F1A0000}"/>
    <cellStyle name="Comma 5 4 10 3 3" xfId="32568" xr:uid="{00000000-0005-0000-0000-0000301A0000}"/>
    <cellStyle name="Comma 5 4 10 4" xfId="18191" xr:uid="{00000000-0005-0000-0000-0000311A0000}"/>
    <cellStyle name="Comma 5 4 10 4 2" xfId="43744" xr:uid="{00000000-0005-0000-0000-0000321A0000}"/>
    <cellStyle name="Comma 5 4 10 5" xfId="29681" xr:uid="{00000000-0005-0000-0000-0000331A0000}"/>
    <cellStyle name="Comma 5 4 11" xfId="1428" xr:uid="{00000000-0005-0000-0000-0000341A0000}"/>
    <cellStyle name="Comma 5 4 11 2" xfId="10805" xr:uid="{00000000-0005-0000-0000-0000351A0000}"/>
    <cellStyle name="Comma 5 4 11 2 2" xfId="36360" xr:uid="{00000000-0005-0000-0000-0000361A0000}"/>
    <cellStyle name="Comma 5 4 11 3" xfId="20809" xr:uid="{00000000-0005-0000-0000-0000371A0000}"/>
    <cellStyle name="Comma 5 4 11 3 2" xfId="46362" xr:uid="{00000000-0005-0000-0000-0000381A0000}"/>
    <cellStyle name="Comma 5 4 11 4" xfId="27292" xr:uid="{00000000-0005-0000-0000-0000391A0000}"/>
    <cellStyle name="Comma 5 4 12" xfId="5537" xr:uid="{00000000-0005-0000-0000-00003A1A0000}"/>
    <cellStyle name="Comma 5 4 12 2" xfId="14364" xr:uid="{00000000-0005-0000-0000-00003B1A0000}"/>
    <cellStyle name="Comma 5 4 12 2 2" xfId="39919" xr:uid="{00000000-0005-0000-0000-00003C1A0000}"/>
    <cellStyle name="Comma 5 4 12 3" xfId="24615" xr:uid="{00000000-0005-0000-0000-00003D1A0000}"/>
    <cellStyle name="Comma 5 4 12 3 2" xfId="50168" xr:uid="{00000000-0005-0000-0000-00003E1A0000}"/>
    <cellStyle name="Comma 5 4 12 4" xfId="31098" xr:uid="{00000000-0005-0000-0000-00003F1A0000}"/>
    <cellStyle name="Comma 5 4 13" xfId="6981" xr:uid="{00000000-0005-0000-0000-0000401A0000}"/>
    <cellStyle name="Comma 5 4 13 2" xfId="19590" xr:uid="{00000000-0005-0000-0000-0000411A0000}"/>
    <cellStyle name="Comma 5 4 13 2 2" xfId="45143" xr:uid="{00000000-0005-0000-0000-0000421A0000}"/>
    <cellStyle name="Comma 5 4 13 3" xfId="32538" xr:uid="{00000000-0005-0000-0000-0000431A0000}"/>
    <cellStyle name="Comma 5 4 14" xfId="15802" xr:uid="{00000000-0005-0000-0000-0000441A0000}"/>
    <cellStyle name="Comma 5 4 14 2" xfId="41355" xr:uid="{00000000-0005-0000-0000-0000451A0000}"/>
    <cellStyle name="Comma 5 4 15" xfId="26073" xr:uid="{00000000-0005-0000-0000-0000461A0000}"/>
    <cellStyle name="Comma 5 4 2" xfId="163" xr:uid="{00000000-0005-0000-0000-0000471A0000}"/>
    <cellStyle name="Comma 5 4 2 10" xfId="5669" xr:uid="{00000000-0005-0000-0000-0000481A0000}"/>
    <cellStyle name="Comma 5 4 2 10 2" xfId="14496" xr:uid="{00000000-0005-0000-0000-0000491A0000}"/>
    <cellStyle name="Comma 5 4 2 10 2 2" xfId="40051" xr:uid="{00000000-0005-0000-0000-00004A1A0000}"/>
    <cellStyle name="Comma 5 4 2 10 3" xfId="24747" xr:uid="{00000000-0005-0000-0000-00004B1A0000}"/>
    <cellStyle name="Comma 5 4 2 10 3 2" xfId="50300" xr:uid="{00000000-0005-0000-0000-00004C1A0000}"/>
    <cellStyle name="Comma 5 4 2 10 4" xfId="31230" xr:uid="{00000000-0005-0000-0000-00004D1A0000}"/>
    <cellStyle name="Comma 5 4 2 11" xfId="7113" xr:uid="{00000000-0005-0000-0000-00004E1A0000}"/>
    <cellStyle name="Comma 5 4 2 11 2" xfId="19622" xr:uid="{00000000-0005-0000-0000-00004F1A0000}"/>
    <cellStyle name="Comma 5 4 2 11 2 2" xfId="45175" xr:uid="{00000000-0005-0000-0000-0000501A0000}"/>
    <cellStyle name="Comma 5 4 2 11 3" xfId="32670" xr:uid="{00000000-0005-0000-0000-0000511A0000}"/>
    <cellStyle name="Comma 5 4 2 12" xfId="15859" xr:uid="{00000000-0005-0000-0000-0000521A0000}"/>
    <cellStyle name="Comma 5 4 2 12 2" xfId="41412" xr:uid="{00000000-0005-0000-0000-0000531A0000}"/>
    <cellStyle name="Comma 5 4 2 13" xfId="26105" xr:uid="{00000000-0005-0000-0000-0000541A0000}"/>
    <cellStyle name="Comma 5 4 2 2" xfId="275" xr:uid="{00000000-0005-0000-0000-0000551A0000}"/>
    <cellStyle name="Comma 5 4 2 2 10" xfId="16063" xr:uid="{00000000-0005-0000-0000-0000561A0000}"/>
    <cellStyle name="Comma 5 4 2 2 10 2" xfId="41616" xr:uid="{00000000-0005-0000-0000-0000571A0000}"/>
    <cellStyle name="Comma 5 4 2 2 11" xfId="26209" xr:uid="{00000000-0005-0000-0000-0000581A0000}"/>
    <cellStyle name="Comma 5 4 2 2 2" xfId="597" xr:uid="{00000000-0005-0000-0000-0000591A0000}"/>
    <cellStyle name="Comma 5 4 2 2 2 2" xfId="3083" xr:uid="{00000000-0005-0000-0000-00005A1A0000}"/>
    <cellStyle name="Comma 5 4 2 2 2 2 2" xfId="12226" xr:uid="{00000000-0005-0000-0000-00005B1A0000}"/>
    <cellStyle name="Comma 5 4 2 2 2 2 2 2" xfId="22444" xr:uid="{00000000-0005-0000-0000-00005C1A0000}"/>
    <cellStyle name="Comma 5 4 2 2 2 2 2 2 2" xfId="47997" xr:uid="{00000000-0005-0000-0000-00005D1A0000}"/>
    <cellStyle name="Comma 5 4 2 2 2 2 2 3" xfId="37781" xr:uid="{00000000-0005-0000-0000-00005E1A0000}"/>
    <cellStyle name="Comma 5 4 2 2 2 2 3" xfId="8648" xr:uid="{00000000-0005-0000-0000-00005F1A0000}"/>
    <cellStyle name="Comma 5 4 2 2 2 2 3 2" xfId="34205" xr:uid="{00000000-0005-0000-0000-0000601A0000}"/>
    <cellStyle name="Comma 5 4 2 2 2 2 4" xfId="17437" xr:uid="{00000000-0005-0000-0000-0000611A0000}"/>
    <cellStyle name="Comma 5 4 2 2 2 2 4 2" xfId="42990" xr:uid="{00000000-0005-0000-0000-0000621A0000}"/>
    <cellStyle name="Comma 5 4 2 2 2 2 5" xfId="28927" xr:uid="{00000000-0005-0000-0000-0000631A0000}"/>
    <cellStyle name="Comma 5 4 2 2 2 3" xfId="4480" xr:uid="{00000000-0005-0000-0000-0000641A0000}"/>
    <cellStyle name="Comma 5 4 2 2 2 3 2" xfId="13318" xr:uid="{00000000-0005-0000-0000-0000651A0000}"/>
    <cellStyle name="Comma 5 4 2 2 2 3 2 2" xfId="23569" xr:uid="{00000000-0005-0000-0000-0000661A0000}"/>
    <cellStyle name="Comma 5 4 2 2 2 3 2 2 2" xfId="49122" xr:uid="{00000000-0005-0000-0000-0000671A0000}"/>
    <cellStyle name="Comma 5 4 2 2 2 3 2 3" xfId="38873" xr:uid="{00000000-0005-0000-0000-0000681A0000}"/>
    <cellStyle name="Comma 5 4 2 2 2 3 3" xfId="9739" xr:uid="{00000000-0005-0000-0000-0000691A0000}"/>
    <cellStyle name="Comma 5 4 2 2 2 3 3 2" xfId="35296" xr:uid="{00000000-0005-0000-0000-00006A1A0000}"/>
    <cellStyle name="Comma 5 4 2 2 2 3 4" xfId="18562" xr:uid="{00000000-0005-0000-0000-00006B1A0000}"/>
    <cellStyle name="Comma 5 4 2 2 2 3 4 2" xfId="44115" xr:uid="{00000000-0005-0000-0000-00006C1A0000}"/>
    <cellStyle name="Comma 5 4 2 2 2 3 5" xfId="30052" xr:uid="{00000000-0005-0000-0000-00006D1A0000}"/>
    <cellStyle name="Comma 5 4 2 2 2 4" xfId="2192" xr:uid="{00000000-0005-0000-0000-00006E1A0000}"/>
    <cellStyle name="Comma 5 4 2 2 2 4 2" xfId="11557" xr:uid="{00000000-0005-0000-0000-00006F1A0000}"/>
    <cellStyle name="Comma 5 4 2 2 2 4 2 2" xfId="37112" xr:uid="{00000000-0005-0000-0000-0000701A0000}"/>
    <cellStyle name="Comma 5 4 2 2 2 4 3" xfId="21561" xr:uid="{00000000-0005-0000-0000-0000711A0000}"/>
    <cellStyle name="Comma 5 4 2 2 2 4 3 2" xfId="47114" xr:uid="{00000000-0005-0000-0000-0000721A0000}"/>
    <cellStyle name="Comma 5 4 2 2 2 4 4" xfId="28044" xr:uid="{00000000-0005-0000-0000-0000731A0000}"/>
    <cellStyle name="Comma 5 4 2 2 2 5" xfId="5936" xr:uid="{00000000-0005-0000-0000-0000741A0000}"/>
    <cellStyle name="Comma 5 4 2 2 2 5 2" xfId="14763" xr:uid="{00000000-0005-0000-0000-0000751A0000}"/>
    <cellStyle name="Comma 5 4 2 2 2 5 2 2" xfId="40318" xr:uid="{00000000-0005-0000-0000-0000761A0000}"/>
    <cellStyle name="Comma 5 4 2 2 2 5 3" xfId="25014" xr:uid="{00000000-0005-0000-0000-0000771A0000}"/>
    <cellStyle name="Comma 5 4 2 2 2 5 3 2" xfId="50567" xr:uid="{00000000-0005-0000-0000-0000781A0000}"/>
    <cellStyle name="Comma 5 4 2 2 2 5 4" xfId="31497" xr:uid="{00000000-0005-0000-0000-0000791A0000}"/>
    <cellStyle name="Comma 5 4 2 2 2 6" xfId="7380" xr:uid="{00000000-0005-0000-0000-00007A1A0000}"/>
    <cellStyle name="Comma 5 4 2 2 2 6 2" xfId="20043" xr:uid="{00000000-0005-0000-0000-00007B1A0000}"/>
    <cellStyle name="Comma 5 4 2 2 2 6 2 2" xfId="45596" xr:uid="{00000000-0005-0000-0000-00007C1A0000}"/>
    <cellStyle name="Comma 5 4 2 2 2 6 3" xfId="32937" xr:uid="{00000000-0005-0000-0000-00007D1A0000}"/>
    <cellStyle name="Comma 5 4 2 2 2 7" xfId="16554" xr:uid="{00000000-0005-0000-0000-00007E1A0000}"/>
    <cellStyle name="Comma 5 4 2 2 2 7 2" xfId="42107" xr:uid="{00000000-0005-0000-0000-00007F1A0000}"/>
    <cellStyle name="Comma 5 4 2 2 2 8" xfId="26526" xr:uid="{00000000-0005-0000-0000-0000801A0000}"/>
    <cellStyle name="Comma 5 4 2 2 3" xfId="665" xr:uid="{00000000-0005-0000-0000-0000811A0000}"/>
    <cellStyle name="Comma 5 4 2 2 3 2" xfId="3151" xr:uid="{00000000-0005-0000-0000-0000821A0000}"/>
    <cellStyle name="Comma 5 4 2 2 3 2 2" xfId="12294" xr:uid="{00000000-0005-0000-0000-0000831A0000}"/>
    <cellStyle name="Comma 5 4 2 2 3 2 2 2" xfId="22512" xr:uid="{00000000-0005-0000-0000-0000841A0000}"/>
    <cellStyle name="Comma 5 4 2 2 3 2 2 2 2" xfId="48065" xr:uid="{00000000-0005-0000-0000-0000851A0000}"/>
    <cellStyle name="Comma 5 4 2 2 3 2 2 3" xfId="37849" xr:uid="{00000000-0005-0000-0000-0000861A0000}"/>
    <cellStyle name="Comma 5 4 2 2 3 2 3" xfId="8716" xr:uid="{00000000-0005-0000-0000-0000871A0000}"/>
    <cellStyle name="Comma 5 4 2 2 3 2 3 2" xfId="34273" xr:uid="{00000000-0005-0000-0000-0000881A0000}"/>
    <cellStyle name="Comma 5 4 2 2 3 2 4" xfId="17505" xr:uid="{00000000-0005-0000-0000-0000891A0000}"/>
    <cellStyle name="Comma 5 4 2 2 3 2 4 2" xfId="43058" xr:uid="{00000000-0005-0000-0000-00008A1A0000}"/>
    <cellStyle name="Comma 5 4 2 2 3 2 5" xfId="28995" xr:uid="{00000000-0005-0000-0000-00008B1A0000}"/>
    <cellStyle name="Comma 5 4 2 2 3 3" xfId="4829" xr:uid="{00000000-0005-0000-0000-00008C1A0000}"/>
    <cellStyle name="Comma 5 4 2 2 3 3 2" xfId="13666" xr:uid="{00000000-0005-0000-0000-00008D1A0000}"/>
    <cellStyle name="Comma 5 4 2 2 3 3 2 2" xfId="23917" xr:uid="{00000000-0005-0000-0000-00008E1A0000}"/>
    <cellStyle name="Comma 5 4 2 2 3 3 2 2 2" xfId="49470" xr:uid="{00000000-0005-0000-0000-00008F1A0000}"/>
    <cellStyle name="Comma 5 4 2 2 3 3 2 3" xfId="39221" xr:uid="{00000000-0005-0000-0000-0000901A0000}"/>
    <cellStyle name="Comma 5 4 2 2 3 3 3" xfId="10087" xr:uid="{00000000-0005-0000-0000-0000911A0000}"/>
    <cellStyle name="Comma 5 4 2 2 3 3 3 2" xfId="35644" xr:uid="{00000000-0005-0000-0000-0000921A0000}"/>
    <cellStyle name="Comma 5 4 2 2 3 3 4" xfId="18910" xr:uid="{00000000-0005-0000-0000-0000931A0000}"/>
    <cellStyle name="Comma 5 4 2 2 3 3 4 2" xfId="44463" xr:uid="{00000000-0005-0000-0000-0000941A0000}"/>
    <cellStyle name="Comma 5 4 2 2 3 3 5" xfId="30400" xr:uid="{00000000-0005-0000-0000-0000951A0000}"/>
    <cellStyle name="Comma 5 4 2 2 3 4" xfId="2260" xr:uid="{00000000-0005-0000-0000-0000961A0000}"/>
    <cellStyle name="Comma 5 4 2 2 3 4 2" xfId="11625" xr:uid="{00000000-0005-0000-0000-0000971A0000}"/>
    <cellStyle name="Comma 5 4 2 2 3 4 2 2" xfId="37180" xr:uid="{00000000-0005-0000-0000-0000981A0000}"/>
    <cellStyle name="Comma 5 4 2 2 3 4 3" xfId="21629" xr:uid="{00000000-0005-0000-0000-0000991A0000}"/>
    <cellStyle name="Comma 5 4 2 2 3 4 3 2" xfId="47182" xr:uid="{00000000-0005-0000-0000-00009A1A0000}"/>
    <cellStyle name="Comma 5 4 2 2 3 4 4" xfId="28112" xr:uid="{00000000-0005-0000-0000-00009B1A0000}"/>
    <cellStyle name="Comma 5 4 2 2 3 5" xfId="6284" xr:uid="{00000000-0005-0000-0000-00009C1A0000}"/>
    <cellStyle name="Comma 5 4 2 2 3 5 2" xfId="15111" xr:uid="{00000000-0005-0000-0000-00009D1A0000}"/>
    <cellStyle name="Comma 5 4 2 2 3 5 2 2" xfId="40666" xr:uid="{00000000-0005-0000-0000-00009E1A0000}"/>
    <cellStyle name="Comma 5 4 2 2 3 5 3" xfId="25362" xr:uid="{00000000-0005-0000-0000-00009F1A0000}"/>
    <cellStyle name="Comma 5 4 2 2 3 5 3 2" xfId="50915" xr:uid="{00000000-0005-0000-0000-0000A01A0000}"/>
    <cellStyle name="Comma 5 4 2 2 3 5 4" xfId="31845" xr:uid="{00000000-0005-0000-0000-0000A11A0000}"/>
    <cellStyle name="Comma 5 4 2 2 3 6" xfId="7730" xr:uid="{00000000-0005-0000-0000-0000A21A0000}"/>
    <cellStyle name="Comma 5 4 2 2 3 6 2" xfId="20111" xr:uid="{00000000-0005-0000-0000-0000A31A0000}"/>
    <cellStyle name="Comma 5 4 2 2 3 6 2 2" xfId="45664" xr:uid="{00000000-0005-0000-0000-0000A41A0000}"/>
    <cellStyle name="Comma 5 4 2 2 3 6 3" xfId="33287" xr:uid="{00000000-0005-0000-0000-0000A51A0000}"/>
    <cellStyle name="Comma 5 4 2 2 3 7" xfId="16622" xr:uid="{00000000-0005-0000-0000-0000A61A0000}"/>
    <cellStyle name="Comma 5 4 2 2 3 7 2" xfId="42175" xr:uid="{00000000-0005-0000-0000-0000A71A0000}"/>
    <cellStyle name="Comma 5 4 2 2 3 8" xfId="26594" xr:uid="{00000000-0005-0000-0000-0000A81A0000}"/>
    <cellStyle name="Comma 5 4 2 2 4" xfId="1369" xr:uid="{00000000-0005-0000-0000-0000A91A0000}"/>
    <cellStyle name="Comma 5 4 2 2 4 2" xfId="3798" xr:uid="{00000000-0005-0000-0000-0000AA1A0000}"/>
    <cellStyle name="Comma 5 4 2 2 4 2 2" xfId="12934" xr:uid="{00000000-0005-0000-0000-0000AB1A0000}"/>
    <cellStyle name="Comma 5 4 2 2 4 2 2 2" xfId="23153" xr:uid="{00000000-0005-0000-0000-0000AC1A0000}"/>
    <cellStyle name="Comma 5 4 2 2 4 2 2 2 2" xfId="48706" xr:uid="{00000000-0005-0000-0000-0000AD1A0000}"/>
    <cellStyle name="Comma 5 4 2 2 4 2 2 3" xfId="38489" xr:uid="{00000000-0005-0000-0000-0000AE1A0000}"/>
    <cellStyle name="Comma 5 4 2 2 4 2 3" xfId="9355" xr:uid="{00000000-0005-0000-0000-0000AF1A0000}"/>
    <cellStyle name="Comma 5 4 2 2 4 2 3 2" xfId="34912" xr:uid="{00000000-0005-0000-0000-0000B01A0000}"/>
    <cellStyle name="Comma 5 4 2 2 4 2 4" xfId="18146" xr:uid="{00000000-0005-0000-0000-0000B11A0000}"/>
    <cellStyle name="Comma 5 4 2 2 4 2 4 2" xfId="43699" xr:uid="{00000000-0005-0000-0000-0000B21A0000}"/>
    <cellStyle name="Comma 5 4 2 2 4 2 5" xfId="29636" xr:uid="{00000000-0005-0000-0000-0000B31A0000}"/>
    <cellStyle name="Comma 5 4 2 2 4 3" xfId="5461" xr:uid="{00000000-0005-0000-0000-0000B41A0000}"/>
    <cellStyle name="Comma 5 4 2 2 4 3 2" xfId="14298" xr:uid="{00000000-0005-0000-0000-0000B51A0000}"/>
    <cellStyle name="Comma 5 4 2 2 4 3 2 2" xfId="24549" xr:uid="{00000000-0005-0000-0000-0000B61A0000}"/>
    <cellStyle name="Comma 5 4 2 2 4 3 2 2 2" xfId="50102" xr:uid="{00000000-0005-0000-0000-0000B71A0000}"/>
    <cellStyle name="Comma 5 4 2 2 4 3 2 3" xfId="39853" xr:uid="{00000000-0005-0000-0000-0000B81A0000}"/>
    <cellStyle name="Comma 5 4 2 2 4 3 3" xfId="10719" xr:uid="{00000000-0005-0000-0000-0000B91A0000}"/>
    <cellStyle name="Comma 5 4 2 2 4 3 3 2" xfId="36276" xr:uid="{00000000-0005-0000-0000-0000BA1A0000}"/>
    <cellStyle name="Comma 5 4 2 2 4 3 4" xfId="19542" xr:uid="{00000000-0005-0000-0000-0000BB1A0000}"/>
    <cellStyle name="Comma 5 4 2 2 4 3 4 2" xfId="45095" xr:uid="{00000000-0005-0000-0000-0000BC1A0000}"/>
    <cellStyle name="Comma 5 4 2 2 4 3 5" xfId="31032" xr:uid="{00000000-0005-0000-0000-0000BD1A0000}"/>
    <cellStyle name="Comma 5 4 2 2 4 4" xfId="1872" xr:uid="{00000000-0005-0000-0000-0000BE1A0000}"/>
    <cellStyle name="Comma 5 4 2 2 4 4 2" xfId="11240" xr:uid="{00000000-0005-0000-0000-0000BF1A0000}"/>
    <cellStyle name="Comma 5 4 2 2 4 4 2 2" xfId="36795" xr:uid="{00000000-0005-0000-0000-0000C01A0000}"/>
    <cellStyle name="Comma 5 4 2 2 4 4 3" xfId="21244" xr:uid="{00000000-0005-0000-0000-0000C11A0000}"/>
    <cellStyle name="Comma 5 4 2 2 4 4 3 2" xfId="46797" xr:uid="{00000000-0005-0000-0000-0000C21A0000}"/>
    <cellStyle name="Comma 5 4 2 2 4 4 4" xfId="27727" xr:uid="{00000000-0005-0000-0000-0000C31A0000}"/>
    <cellStyle name="Comma 5 4 2 2 4 5" xfId="6916" xr:uid="{00000000-0005-0000-0000-0000C41A0000}"/>
    <cellStyle name="Comma 5 4 2 2 4 5 2" xfId="15743" xr:uid="{00000000-0005-0000-0000-0000C51A0000}"/>
    <cellStyle name="Comma 5 4 2 2 4 5 2 2" xfId="41298" xr:uid="{00000000-0005-0000-0000-0000C61A0000}"/>
    <cellStyle name="Comma 5 4 2 2 4 5 3" xfId="25994" xr:uid="{00000000-0005-0000-0000-0000C71A0000}"/>
    <cellStyle name="Comma 5 4 2 2 4 5 3 2" xfId="51547" xr:uid="{00000000-0005-0000-0000-0000C81A0000}"/>
    <cellStyle name="Comma 5 4 2 2 4 5 4" xfId="32477" xr:uid="{00000000-0005-0000-0000-0000C91A0000}"/>
    <cellStyle name="Comma 5 4 2 2 4 6" xfId="8362" xr:uid="{00000000-0005-0000-0000-0000CA1A0000}"/>
    <cellStyle name="Comma 5 4 2 2 4 6 2" xfId="20752" xr:uid="{00000000-0005-0000-0000-0000CB1A0000}"/>
    <cellStyle name="Comma 5 4 2 2 4 6 2 2" xfId="46305" xr:uid="{00000000-0005-0000-0000-0000CC1A0000}"/>
    <cellStyle name="Comma 5 4 2 2 4 6 3" xfId="33919" xr:uid="{00000000-0005-0000-0000-0000CD1A0000}"/>
    <cellStyle name="Comma 5 4 2 2 4 7" xfId="16237" xr:uid="{00000000-0005-0000-0000-0000CE1A0000}"/>
    <cellStyle name="Comma 5 4 2 2 4 7 2" xfId="41790" xr:uid="{00000000-0005-0000-0000-0000CF1A0000}"/>
    <cellStyle name="Comma 5 4 2 2 4 8" xfId="27235" xr:uid="{00000000-0005-0000-0000-0000D01A0000}"/>
    <cellStyle name="Comma 5 4 2 2 5" xfId="2766" xr:uid="{00000000-0005-0000-0000-0000D11A0000}"/>
    <cellStyle name="Comma 5 4 2 2 5 2" xfId="12083" xr:uid="{00000000-0005-0000-0000-0000D21A0000}"/>
    <cellStyle name="Comma 5 4 2 2 5 2 2" xfId="22127" xr:uid="{00000000-0005-0000-0000-0000D31A0000}"/>
    <cellStyle name="Comma 5 4 2 2 5 2 2 2" xfId="47680" xr:uid="{00000000-0005-0000-0000-0000D41A0000}"/>
    <cellStyle name="Comma 5 4 2 2 5 2 3" xfId="37638" xr:uid="{00000000-0005-0000-0000-0000D51A0000}"/>
    <cellStyle name="Comma 5 4 2 2 5 3" xfId="8475" xr:uid="{00000000-0005-0000-0000-0000D61A0000}"/>
    <cellStyle name="Comma 5 4 2 2 5 3 2" xfId="34032" xr:uid="{00000000-0005-0000-0000-0000D71A0000}"/>
    <cellStyle name="Comma 5 4 2 2 5 4" xfId="17120" xr:uid="{00000000-0005-0000-0000-0000D81A0000}"/>
    <cellStyle name="Comma 5 4 2 2 5 4 2" xfId="42673" xr:uid="{00000000-0005-0000-0000-0000D91A0000}"/>
    <cellStyle name="Comma 5 4 2 2 5 5" xfId="28610" xr:uid="{00000000-0005-0000-0000-0000DA1A0000}"/>
    <cellStyle name="Comma 5 4 2 2 6" xfId="4417" xr:uid="{00000000-0005-0000-0000-0000DB1A0000}"/>
    <cellStyle name="Comma 5 4 2 2 6 2" xfId="13255" xr:uid="{00000000-0005-0000-0000-0000DC1A0000}"/>
    <cellStyle name="Comma 5 4 2 2 6 2 2" xfId="23506" xr:uid="{00000000-0005-0000-0000-0000DD1A0000}"/>
    <cellStyle name="Comma 5 4 2 2 6 2 2 2" xfId="49059" xr:uid="{00000000-0005-0000-0000-0000DE1A0000}"/>
    <cellStyle name="Comma 5 4 2 2 6 2 3" xfId="38810" xr:uid="{00000000-0005-0000-0000-0000DF1A0000}"/>
    <cellStyle name="Comma 5 4 2 2 6 3" xfId="9676" xr:uid="{00000000-0005-0000-0000-0000E01A0000}"/>
    <cellStyle name="Comma 5 4 2 2 6 3 2" xfId="35233" xr:uid="{00000000-0005-0000-0000-0000E11A0000}"/>
    <cellStyle name="Comma 5 4 2 2 6 4" xfId="18499" xr:uid="{00000000-0005-0000-0000-0000E21A0000}"/>
    <cellStyle name="Comma 5 4 2 2 6 4 2" xfId="44052" xr:uid="{00000000-0005-0000-0000-0000E31A0000}"/>
    <cellStyle name="Comma 5 4 2 2 6 5" xfId="29989" xr:uid="{00000000-0005-0000-0000-0000E41A0000}"/>
    <cellStyle name="Comma 5 4 2 2 7" xfId="1689" xr:uid="{00000000-0005-0000-0000-0000E51A0000}"/>
    <cellStyle name="Comma 5 4 2 2 7 2" xfId="11066" xr:uid="{00000000-0005-0000-0000-0000E61A0000}"/>
    <cellStyle name="Comma 5 4 2 2 7 2 2" xfId="36621" xr:uid="{00000000-0005-0000-0000-0000E71A0000}"/>
    <cellStyle name="Comma 5 4 2 2 7 3" xfId="21070" xr:uid="{00000000-0005-0000-0000-0000E81A0000}"/>
    <cellStyle name="Comma 5 4 2 2 7 3 2" xfId="46623" xr:uid="{00000000-0005-0000-0000-0000E91A0000}"/>
    <cellStyle name="Comma 5 4 2 2 7 4" xfId="27553" xr:uid="{00000000-0005-0000-0000-0000EA1A0000}"/>
    <cellStyle name="Comma 5 4 2 2 8" xfId="5873" xr:uid="{00000000-0005-0000-0000-0000EB1A0000}"/>
    <cellStyle name="Comma 5 4 2 2 8 2" xfId="14700" xr:uid="{00000000-0005-0000-0000-0000EC1A0000}"/>
    <cellStyle name="Comma 5 4 2 2 8 2 2" xfId="40255" xr:uid="{00000000-0005-0000-0000-0000ED1A0000}"/>
    <cellStyle name="Comma 5 4 2 2 8 3" xfId="24951" xr:uid="{00000000-0005-0000-0000-0000EE1A0000}"/>
    <cellStyle name="Comma 5 4 2 2 8 3 2" xfId="50504" xr:uid="{00000000-0005-0000-0000-0000EF1A0000}"/>
    <cellStyle name="Comma 5 4 2 2 8 4" xfId="31434" xr:uid="{00000000-0005-0000-0000-0000F01A0000}"/>
    <cellStyle name="Comma 5 4 2 2 9" xfId="7317" xr:uid="{00000000-0005-0000-0000-0000F11A0000}"/>
    <cellStyle name="Comma 5 4 2 2 9 2" xfId="19726" xr:uid="{00000000-0005-0000-0000-0000F21A0000}"/>
    <cellStyle name="Comma 5 4 2 2 9 2 2" xfId="45279" xr:uid="{00000000-0005-0000-0000-0000F31A0000}"/>
    <cellStyle name="Comma 5 4 2 2 9 3" xfId="32874" xr:uid="{00000000-0005-0000-0000-0000F41A0000}"/>
    <cellStyle name="Comma 5 4 2 3" xfId="493" xr:uid="{00000000-0005-0000-0000-0000F51A0000}"/>
    <cellStyle name="Comma 5 4 2 3 10" xfId="26422" xr:uid="{00000000-0005-0000-0000-0000F61A0000}"/>
    <cellStyle name="Comma 5 4 2 3 2" xfId="666" xr:uid="{00000000-0005-0000-0000-0000F71A0000}"/>
    <cellStyle name="Comma 5 4 2 3 2 2" xfId="3152" xr:uid="{00000000-0005-0000-0000-0000F81A0000}"/>
    <cellStyle name="Comma 5 4 2 3 2 2 2" xfId="12295" xr:uid="{00000000-0005-0000-0000-0000F91A0000}"/>
    <cellStyle name="Comma 5 4 2 3 2 2 2 2" xfId="22513" xr:uid="{00000000-0005-0000-0000-0000FA1A0000}"/>
    <cellStyle name="Comma 5 4 2 3 2 2 2 2 2" xfId="48066" xr:uid="{00000000-0005-0000-0000-0000FB1A0000}"/>
    <cellStyle name="Comma 5 4 2 3 2 2 2 3" xfId="37850" xr:uid="{00000000-0005-0000-0000-0000FC1A0000}"/>
    <cellStyle name="Comma 5 4 2 3 2 2 3" xfId="8717" xr:uid="{00000000-0005-0000-0000-0000FD1A0000}"/>
    <cellStyle name="Comma 5 4 2 3 2 2 3 2" xfId="34274" xr:uid="{00000000-0005-0000-0000-0000FE1A0000}"/>
    <cellStyle name="Comma 5 4 2 3 2 2 4" xfId="17506" xr:uid="{00000000-0005-0000-0000-0000FF1A0000}"/>
    <cellStyle name="Comma 5 4 2 3 2 2 4 2" xfId="43059" xr:uid="{00000000-0005-0000-0000-0000001B0000}"/>
    <cellStyle name="Comma 5 4 2 3 2 2 5" xfId="28996" xr:uid="{00000000-0005-0000-0000-0000011B0000}"/>
    <cellStyle name="Comma 5 4 2 3 2 3" xfId="4481" xr:uid="{00000000-0005-0000-0000-0000021B0000}"/>
    <cellStyle name="Comma 5 4 2 3 2 3 2" xfId="13319" xr:uid="{00000000-0005-0000-0000-0000031B0000}"/>
    <cellStyle name="Comma 5 4 2 3 2 3 2 2" xfId="23570" xr:uid="{00000000-0005-0000-0000-0000041B0000}"/>
    <cellStyle name="Comma 5 4 2 3 2 3 2 2 2" xfId="49123" xr:uid="{00000000-0005-0000-0000-0000051B0000}"/>
    <cellStyle name="Comma 5 4 2 3 2 3 2 3" xfId="38874" xr:uid="{00000000-0005-0000-0000-0000061B0000}"/>
    <cellStyle name="Comma 5 4 2 3 2 3 3" xfId="9740" xr:uid="{00000000-0005-0000-0000-0000071B0000}"/>
    <cellStyle name="Comma 5 4 2 3 2 3 3 2" xfId="35297" xr:uid="{00000000-0005-0000-0000-0000081B0000}"/>
    <cellStyle name="Comma 5 4 2 3 2 3 4" xfId="18563" xr:uid="{00000000-0005-0000-0000-0000091B0000}"/>
    <cellStyle name="Comma 5 4 2 3 2 3 4 2" xfId="44116" xr:uid="{00000000-0005-0000-0000-00000A1B0000}"/>
    <cellStyle name="Comma 5 4 2 3 2 3 5" xfId="30053" xr:uid="{00000000-0005-0000-0000-00000B1B0000}"/>
    <cellStyle name="Comma 5 4 2 3 2 4" xfId="2261" xr:uid="{00000000-0005-0000-0000-00000C1B0000}"/>
    <cellStyle name="Comma 5 4 2 3 2 4 2" xfId="11626" xr:uid="{00000000-0005-0000-0000-00000D1B0000}"/>
    <cellStyle name="Comma 5 4 2 3 2 4 2 2" xfId="37181" xr:uid="{00000000-0005-0000-0000-00000E1B0000}"/>
    <cellStyle name="Comma 5 4 2 3 2 4 3" xfId="21630" xr:uid="{00000000-0005-0000-0000-00000F1B0000}"/>
    <cellStyle name="Comma 5 4 2 3 2 4 3 2" xfId="47183" xr:uid="{00000000-0005-0000-0000-0000101B0000}"/>
    <cellStyle name="Comma 5 4 2 3 2 4 4" xfId="28113" xr:uid="{00000000-0005-0000-0000-0000111B0000}"/>
    <cellStyle name="Comma 5 4 2 3 2 5" xfId="5937" xr:uid="{00000000-0005-0000-0000-0000121B0000}"/>
    <cellStyle name="Comma 5 4 2 3 2 5 2" xfId="14764" xr:uid="{00000000-0005-0000-0000-0000131B0000}"/>
    <cellStyle name="Comma 5 4 2 3 2 5 2 2" xfId="40319" xr:uid="{00000000-0005-0000-0000-0000141B0000}"/>
    <cellStyle name="Comma 5 4 2 3 2 5 3" xfId="25015" xr:uid="{00000000-0005-0000-0000-0000151B0000}"/>
    <cellStyle name="Comma 5 4 2 3 2 5 3 2" xfId="50568" xr:uid="{00000000-0005-0000-0000-0000161B0000}"/>
    <cellStyle name="Comma 5 4 2 3 2 5 4" xfId="31498" xr:uid="{00000000-0005-0000-0000-0000171B0000}"/>
    <cellStyle name="Comma 5 4 2 3 2 6" xfId="7381" xr:uid="{00000000-0005-0000-0000-0000181B0000}"/>
    <cellStyle name="Comma 5 4 2 3 2 6 2" xfId="20112" xr:uid="{00000000-0005-0000-0000-0000191B0000}"/>
    <cellStyle name="Comma 5 4 2 3 2 6 2 2" xfId="45665" xr:uid="{00000000-0005-0000-0000-00001A1B0000}"/>
    <cellStyle name="Comma 5 4 2 3 2 6 3" xfId="32938" xr:uid="{00000000-0005-0000-0000-00001B1B0000}"/>
    <cellStyle name="Comma 5 4 2 3 2 7" xfId="16623" xr:uid="{00000000-0005-0000-0000-00001C1B0000}"/>
    <cellStyle name="Comma 5 4 2 3 2 7 2" xfId="42176" xr:uid="{00000000-0005-0000-0000-00001D1B0000}"/>
    <cellStyle name="Comma 5 4 2 3 2 8" xfId="26595" xr:uid="{00000000-0005-0000-0000-00001E1B0000}"/>
    <cellStyle name="Comma 5 4 2 3 3" xfId="1265" xr:uid="{00000000-0005-0000-0000-00001F1B0000}"/>
    <cellStyle name="Comma 5 4 2 3 3 2" xfId="3694" xr:uid="{00000000-0005-0000-0000-0000201B0000}"/>
    <cellStyle name="Comma 5 4 2 3 3 2 2" xfId="12830" xr:uid="{00000000-0005-0000-0000-0000211B0000}"/>
    <cellStyle name="Comma 5 4 2 3 3 2 2 2" xfId="23049" xr:uid="{00000000-0005-0000-0000-0000221B0000}"/>
    <cellStyle name="Comma 5 4 2 3 3 2 2 2 2" xfId="48602" xr:uid="{00000000-0005-0000-0000-0000231B0000}"/>
    <cellStyle name="Comma 5 4 2 3 3 2 2 3" xfId="38385" xr:uid="{00000000-0005-0000-0000-0000241B0000}"/>
    <cellStyle name="Comma 5 4 2 3 3 2 3" xfId="9251" xr:uid="{00000000-0005-0000-0000-0000251B0000}"/>
    <cellStyle name="Comma 5 4 2 3 3 2 3 2" xfId="34808" xr:uid="{00000000-0005-0000-0000-0000261B0000}"/>
    <cellStyle name="Comma 5 4 2 3 3 2 4" xfId="18042" xr:uid="{00000000-0005-0000-0000-0000271B0000}"/>
    <cellStyle name="Comma 5 4 2 3 3 2 4 2" xfId="43595" xr:uid="{00000000-0005-0000-0000-0000281B0000}"/>
    <cellStyle name="Comma 5 4 2 3 3 2 5" xfId="29532" xr:uid="{00000000-0005-0000-0000-0000291B0000}"/>
    <cellStyle name="Comma 5 4 2 3 3 3" xfId="4830" xr:uid="{00000000-0005-0000-0000-00002A1B0000}"/>
    <cellStyle name="Comma 5 4 2 3 3 3 2" xfId="13667" xr:uid="{00000000-0005-0000-0000-00002B1B0000}"/>
    <cellStyle name="Comma 5 4 2 3 3 3 2 2" xfId="23918" xr:uid="{00000000-0005-0000-0000-00002C1B0000}"/>
    <cellStyle name="Comma 5 4 2 3 3 3 2 2 2" xfId="49471" xr:uid="{00000000-0005-0000-0000-00002D1B0000}"/>
    <cellStyle name="Comma 5 4 2 3 3 3 2 3" xfId="39222" xr:uid="{00000000-0005-0000-0000-00002E1B0000}"/>
    <cellStyle name="Comma 5 4 2 3 3 3 3" xfId="10088" xr:uid="{00000000-0005-0000-0000-00002F1B0000}"/>
    <cellStyle name="Comma 5 4 2 3 3 3 3 2" xfId="35645" xr:uid="{00000000-0005-0000-0000-0000301B0000}"/>
    <cellStyle name="Comma 5 4 2 3 3 3 4" xfId="18911" xr:uid="{00000000-0005-0000-0000-0000311B0000}"/>
    <cellStyle name="Comma 5 4 2 3 3 3 4 2" xfId="44464" xr:uid="{00000000-0005-0000-0000-0000321B0000}"/>
    <cellStyle name="Comma 5 4 2 3 3 3 5" xfId="30401" xr:uid="{00000000-0005-0000-0000-0000331B0000}"/>
    <cellStyle name="Comma 5 4 2 3 3 4" xfId="2088" xr:uid="{00000000-0005-0000-0000-0000341B0000}"/>
    <cellStyle name="Comma 5 4 2 3 3 4 2" xfId="11453" xr:uid="{00000000-0005-0000-0000-0000351B0000}"/>
    <cellStyle name="Comma 5 4 2 3 3 4 2 2" xfId="37008" xr:uid="{00000000-0005-0000-0000-0000361B0000}"/>
    <cellStyle name="Comma 5 4 2 3 3 4 3" xfId="21457" xr:uid="{00000000-0005-0000-0000-0000371B0000}"/>
    <cellStyle name="Comma 5 4 2 3 3 4 3 2" xfId="47010" xr:uid="{00000000-0005-0000-0000-0000381B0000}"/>
    <cellStyle name="Comma 5 4 2 3 3 4 4" xfId="27940" xr:uid="{00000000-0005-0000-0000-0000391B0000}"/>
    <cellStyle name="Comma 5 4 2 3 3 5" xfId="6285" xr:uid="{00000000-0005-0000-0000-00003A1B0000}"/>
    <cellStyle name="Comma 5 4 2 3 3 5 2" xfId="15112" xr:uid="{00000000-0005-0000-0000-00003B1B0000}"/>
    <cellStyle name="Comma 5 4 2 3 3 5 2 2" xfId="40667" xr:uid="{00000000-0005-0000-0000-00003C1B0000}"/>
    <cellStyle name="Comma 5 4 2 3 3 5 3" xfId="25363" xr:uid="{00000000-0005-0000-0000-00003D1B0000}"/>
    <cellStyle name="Comma 5 4 2 3 3 5 3 2" xfId="50916" xr:uid="{00000000-0005-0000-0000-00003E1B0000}"/>
    <cellStyle name="Comma 5 4 2 3 3 5 4" xfId="31846" xr:uid="{00000000-0005-0000-0000-00003F1B0000}"/>
    <cellStyle name="Comma 5 4 2 3 3 6" xfId="7731" xr:uid="{00000000-0005-0000-0000-0000401B0000}"/>
    <cellStyle name="Comma 5 4 2 3 3 6 2" xfId="20648" xr:uid="{00000000-0005-0000-0000-0000411B0000}"/>
    <cellStyle name="Comma 5 4 2 3 3 6 2 2" xfId="46201" xr:uid="{00000000-0005-0000-0000-0000421B0000}"/>
    <cellStyle name="Comma 5 4 2 3 3 6 3" xfId="33288" xr:uid="{00000000-0005-0000-0000-0000431B0000}"/>
    <cellStyle name="Comma 5 4 2 3 3 7" xfId="16450" xr:uid="{00000000-0005-0000-0000-0000441B0000}"/>
    <cellStyle name="Comma 5 4 2 3 3 7 2" xfId="42003" xr:uid="{00000000-0005-0000-0000-0000451B0000}"/>
    <cellStyle name="Comma 5 4 2 3 3 8" xfId="27131" xr:uid="{00000000-0005-0000-0000-0000461B0000}"/>
    <cellStyle name="Comma 5 4 2 3 4" xfId="2979" xr:uid="{00000000-0005-0000-0000-0000471B0000}"/>
    <cellStyle name="Comma 5 4 2 3 4 2" xfId="5357" xr:uid="{00000000-0005-0000-0000-0000481B0000}"/>
    <cellStyle name="Comma 5 4 2 3 4 2 2" xfId="14194" xr:uid="{00000000-0005-0000-0000-0000491B0000}"/>
    <cellStyle name="Comma 5 4 2 3 4 2 2 2" xfId="24445" xr:uid="{00000000-0005-0000-0000-00004A1B0000}"/>
    <cellStyle name="Comma 5 4 2 3 4 2 2 2 2" xfId="49998" xr:uid="{00000000-0005-0000-0000-00004B1B0000}"/>
    <cellStyle name="Comma 5 4 2 3 4 2 2 3" xfId="39749" xr:uid="{00000000-0005-0000-0000-00004C1B0000}"/>
    <cellStyle name="Comma 5 4 2 3 4 2 3" xfId="10615" xr:uid="{00000000-0005-0000-0000-00004D1B0000}"/>
    <cellStyle name="Comma 5 4 2 3 4 2 3 2" xfId="36172" xr:uid="{00000000-0005-0000-0000-00004E1B0000}"/>
    <cellStyle name="Comma 5 4 2 3 4 2 4" xfId="19438" xr:uid="{00000000-0005-0000-0000-00004F1B0000}"/>
    <cellStyle name="Comma 5 4 2 3 4 2 4 2" xfId="44991" xr:uid="{00000000-0005-0000-0000-0000501B0000}"/>
    <cellStyle name="Comma 5 4 2 3 4 2 5" xfId="30928" xr:uid="{00000000-0005-0000-0000-0000511B0000}"/>
    <cellStyle name="Comma 5 4 2 3 4 3" xfId="6812" xr:uid="{00000000-0005-0000-0000-0000521B0000}"/>
    <cellStyle name="Comma 5 4 2 3 4 3 2" xfId="15639" xr:uid="{00000000-0005-0000-0000-0000531B0000}"/>
    <cellStyle name="Comma 5 4 2 3 4 3 2 2" xfId="41194" xr:uid="{00000000-0005-0000-0000-0000541B0000}"/>
    <cellStyle name="Comma 5 4 2 3 4 3 3" xfId="25890" xr:uid="{00000000-0005-0000-0000-0000551B0000}"/>
    <cellStyle name="Comma 5 4 2 3 4 3 3 2" xfId="51443" xr:uid="{00000000-0005-0000-0000-0000561B0000}"/>
    <cellStyle name="Comma 5 4 2 3 4 3 4" xfId="32373" xr:uid="{00000000-0005-0000-0000-0000571B0000}"/>
    <cellStyle name="Comma 5 4 2 3 4 4" xfId="8258" xr:uid="{00000000-0005-0000-0000-0000581B0000}"/>
    <cellStyle name="Comma 5 4 2 3 4 4 2" xfId="22340" xr:uid="{00000000-0005-0000-0000-0000591B0000}"/>
    <cellStyle name="Comma 5 4 2 3 4 4 2 2" xfId="47893" xr:uid="{00000000-0005-0000-0000-00005A1B0000}"/>
    <cellStyle name="Comma 5 4 2 3 4 4 3" xfId="33815" xr:uid="{00000000-0005-0000-0000-00005B1B0000}"/>
    <cellStyle name="Comma 5 4 2 3 4 5" xfId="17333" xr:uid="{00000000-0005-0000-0000-00005C1B0000}"/>
    <cellStyle name="Comma 5 4 2 3 4 5 2" xfId="42886" xr:uid="{00000000-0005-0000-0000-00005D1B0000}"/>
    <cellStyle name="Comma 5 4 2 3 4 6" xfId="28823" xr:uid="{00000000-0005-0000-0000-00005E1B0000}"/>
    <cellStyle name="Comma 5 4 2 3 5" xfId="4313" xr:uid="{00000000-0005-0000-0000-00005F1B0000}"/>
    <cellStyle name="Comma 5 4 2 3 5 2" xfId="13151" xr:uid="{00000000-0005-0000-0000-0000601B0000}"/>
    <cellStyle name="Comma 5 4 2 3 5 2 2" xfId="23402" xr:uid="{00000000-0005-0000-0000-0000611B0000}"/>
    <cellStyle name="Comma 5 4 2 3 5 2 2 2" xfId="48955" xr:uid="{00000000-0005-0000-0000-0000621B0000}"/>
    <cellStyle name="Comma 5 4 2 3 5 2 3" xfId="38706" xr:uid="{00000000-0005-0000-0000-0000631B0000}"/>
    <cellStyle name="Comma 5 4 2 3 5 3" xfId="9572" xr:uid="{00000000-0005-0000-0000-0000641B0000}"/>
    <cellStyle name="Comma 5 4 2 3 5 3 2" xfId="35129" xr:uid="{00000000-0005-0000-0000-0000651B0000}"/>
    <cellStyle name="Comma 5 4 2 3 5 4" xfId="18395" xr:uid="{00000000-0005-0000-0000-0000661B0000}"/>
    <cellStyle name="Comma 5 4 2 3 5 4 2" xfId="43948" xr:uid="{00000000-0005-0000-0000-0000671B0000}"/>
    <cellStyle name="Comma 5 4 2 3 5 5" xfId="29885" xr:uid="{00000000-0005-0000-0000-0000681B0000}"/>
    <cellStyle name="Comma 5 4 2 3 6" xfId="1585" xr:uid="{00000000-0005-0000-0000-0000691B0000}"/>
    <cellStyle name="Comma 5 4 2 3 6 2" xfId="10962" xr:uid="{00000000-0005-0000-0000-00006A1B0000}"/>
    <cellStyle name="Comma 5 4 2 3 6 2 2" xfId="36517" xr:uid="{00000000-0005-0000-0000-00006B1B0000}"/>
    <cellStyle name="Comma 5 4 2 3 6 3" xfId="20966" xr:uid="{00000000-0005-0000-0000-00006C1B0000}"/>
    <cellStyle name="Comma 5 4 2 3 6 3 2" xfId="46519" xr:uid="{00000000-0005-0000-0000-00006D1B0000}"/>
    <cellStyle name="Comma 5 4 2 3 6 4" xfId="27449" xr:uid="{00000000-0005-0000-0000-00006E1B0000}"/>
    <cellStyle name="Comma 5 4 2 3 7" xfId="5769" xr:uid="{00000000-0005-0000-0000-00006F1B0000}"/>
    <cellStyle name="Comma 5 4 2 3 7 2" xfId="14596" xr:uid="{00000000-0005-0000-0000-0000701B0000}"/>
    <cellStyle name="Comma 5 4 2 3 7 2 2" xfId="40151" xr:uid="{00000000-0005-0000-0000-0000711B0000}"/>
    <cellStyle name="Comma 5 4 2 3 7 3" xfId="24847" xr:uid="{00000000-0005-0000-0000-0000721B0000}"/>
    <cellStyle name="Comma 5 4 2 3 7 3 2" xfId="50400" xr:uid="{00000000-0005-0000-0000-0000731B0000}"/>
    <cellStyle name="Comma 5 4 2 3 7 4" xfId="31330" xr:uid="{00000000-0005-0000-0000-0000741B0000}"/>
    <cellStyle name="Comma 5 4 2 3 8" xfId="7213" xr:uid="{00000000-0005-0000-0000-0000751B0000}"/>
    <cellStyle name="Comma 5 4 2 3 8 2" xfId="19939" xr:uid="{00000000-0005-0000-0000-0000761B0000}"/>
    <cellStyle name="Comma 5 4 2 3 8 2 2" xfId="45492" xr:uid="{00000000-0005-0000-0000-0000771B0000}"/>
    <cellStyle name="Comma 5 4 2 3 8 3" xfId="32770" xr:uid="{00000000-0005-0000-0000-0000781B0000}"/>
    <cellStyle name="Comma 5 4 2 3 9" xfId="15959" xr:uid="{00000000-0005-0000-0000-0000791B0000}"/>
    <cellStyle name="Comma 5 4 2 3 9 2" xfId="41512" xr:uid="{00000000-0005-0000-0000-00007A1B0000}"/>
    <cellStyle name="Comma 5 4 2 4" xfId="393" xr:uid="{00000000-0005-0000-0000-00007B1B0000}"/>
    <cellStyle name="Comma 5 4 2 4 2" xfId="2879" xr:uid="{00000000-0005-0000-0000-00007C1B0000}"/>
    <cellStyle name="Comma 5 4 2 4 2 2" xfId="12167" xr:uid="{00000000-0005-0000-0000-00007D1B0000}"/>
    <cellStyle name="Comma 5 4 2 4 2 2 2" xfId="22240" xr:uid="{00000000-0005-0000-0000-00007E1B0000}"/>
    <cellStyle name="Comma 5 4 2 4 2 2 2 2" xfId="47793" xr:uid="{00000000-0005-0000-0000-00007F1B0000}"/>
    <cellStyle name="Comma 5 4 2 4 2 2 3" xfId="37722" xr:uid="{00000000-0005-0000-0000-0000801B0000}"/>
    <cellStyle name="Comma 5 4 2 4 2 3" xfId="8417" xr:uid="{00000000-0005-0000-0000-0000811B0000}"/>
    <cellStyle name="Comma 5 4 2 4 2 3 2" xfId="33974" xr:uid="{00000000-0005-0000-0000-0000821B0000}"/>
    <cellStyle name="Comma 5 4 2 4 2 4" xfId="17233" xr:uid="{00000000-0005-0000-0000-0000831B0000}"/>
    <cellStyle name="Comma 5 4 2 4 2 4 2" xfId="42786" xr:uid="{00000000-0005-0000-0000-0000841B0000}"/>
    <cellStyle name="Comma 5 4 2 4 2 5" xfId="28723" xr:uid="{00000000-0005-0000-0000-0000851B0000}"/>
    <cellStyle name="Comma 5 4 2 4 3" xfId="4479" xr:uid="{00000000-0005-0000-0000-0000861B0000}"/>
    <cellStyle name="Comma 5 4 2 4 3 2" xfId="13317" xr:uid="{00000000-0005-0000-0000-0000871B0000}"/>
    <cellStyle name="Comma 5 4 2 4 3 2 2" xfId="23568" xr:uid="{00000000-0005-0000-0000-0000881B0000}"/>
    <cellStyle name="Comma 5 4 2 4 3 2 2 2" xfId="49121" xr:uid="{00000000-0005-0000-0000-0000891B0000}"/>
    <cellStyle name="Comma 5 4 2 4 3 2 3" xfId="38872" xr:uid="{00000000-0005-0000-0000-00008A1B0000}"/>
    <cellStyle name="Comma 5 4 2 4 3 3" xfId="9738" xr:uid="{00000000-0005-0000-0000-00008B1B0000}"/>
    <cellStyle name="Comma 5 4 2 4 3 3 2" xfId="35295" xr:uid="{00000000-0005-0000-0000-00008C1B0000}"/>
    <cellStyle name="Comma 5 4 2 4 3 4" xfId="18561" xr:uid="{00000000-0005-0000-0000-00008D1B0000}"/>
    <cellStyle name="Comma 5 4 2 4 3 4 2" xfId="44114" xr:uid="{00000000-0005-0000-0000-00008E1B0000}"/>
    <cellStyle name="Comma 5 4 2 4 3 5" xfId="30051" xr:uid="{00000000-0005-0000-0000-00008F1B0000}"/>
    <cellStyle name="Comma 5 4 2 4 4" xfId="1988" xr:uid="{00000000-0005-0000-0000-0000901B0000}"/>
    <cellStyle name="Comma 5 4 2 4 4 2" xfId="11353" xr:uid="{00000000-0005-0000-0000-0000911B0000}"/>
    <cellStyle name="Comma 5 4 2 4 4 2 2" xfId="36908" xr:uid="{00000000-0005-0000-0000-0000921B0000}"/>
    <cellStyle name="Comma 5 4 2 4 4 3" xfId="21357" xr:uid="{00000000-0005-0000-0000-0000931B0000}"/>
    <cellStyle name="Comma 5 4 2 4 4 3 2" xfId="46910" xr:uid="{00000000-0005-0000-0000-0000941B0000}"/>
    <cellStyle name="Comma 5 4 2 4 4 4" xfId="27840" xr:uid="{00000000-0005-0000-0000-0000951B0000}"/>
    <cellStyle name="Comma 5 4 2 4 5" xfId="5935" xr:uid="{00000000-0005-0000-0000-0000961B0000}"/>
    <cellStyle name="Comma 5 4 2 4 5 2" xfId="14762" xr:uid="{00000000-0005-0000-0000-0000971B0000}"/>
    <cellStyle name="Comma 5 4 2 4 5 2 2" xfId="40317" xr:uid="{00000000-0005-0000-0000-0000981B0000}"/>
    <cellStyle name="Comma 5 4 2 4 5 3" xfId="25013" xr:uid="{00000000-0005-0000-0000-0000991B0000}"/>
    <cellStyle name="Comma 5 4 2 4 5 3 2" xfId="50566" xr:uid="{00000000-0005-0000-0000-00009A1B0000}"/>
    <cellStyle name="Comma 5 4 2 4 5 4" xfId="31496" xr:uid="{00000000-0005-0000-0000-00009B1B0000}"/>
    <cellStyle name="Comma 5 4 2 4 6" xfId="7379" xr:uid="{00000000-0005-0000-0000-00009C1B0000}"/>
    <cellStyle name="Comma 5 4 2 4 6 2" xfId="19839" xr:uid="{00000000-0005-0000-0000-00009D1B0000}"/>
    <cellStyle name="Comma 5 4 2 4 6 2 2" xfId="45392" xr:uid="{00000000-0005-0000-0000-00009E1B0000}"/>
    <cellStyle name="Comma 5 4 2 4 6 3" xfId="32936" xr:uid="{00000000-0005-0000-0000-00009F1B0000}"/>
    <cellStyle name="Comma 5 4 2 4 7" xfId="16350" xr:uid="{00000000-0005-0000-0000-0000A01B0000}"/>
    <cellStyle name="Comma 5 4 2 4 7 2" xfId="41903" xr:uid="{00000000-0005-0000-0000-0000A11B0000}"/>
    <cellStyle name="Comma 5 4 2 4 8" xfId="26322" xr:uid="{00000000-0005-0000-0000-0000A21B0000}"/>
    <cellStyle name="Comma 5 4 2 5" xfId="664" xr:uid="{00000000-0005-0000-0000-0000A31B0000}"/>
    <cellStyle name="Comma 5 4 2 5 2" xfId="3150" xr:uid="{00000000-0005-0000-0000-0000A41B0000}"/>
    <cellStyle name="Comma 5 4 2 5 2 2" xfId="12293" xr:uid="{00000000-0005-0000-0000-0000A51B0000}"/>
    <cellStyle name="Comma 5 4 2 5 2 2 2" xfId="22511" xr:uid="{00000000-0005-0000-0000-0000A61B0000}"/>
    <cellStyle name="Comma 5 4 2 5 2 2 2 2" xfId="48064" xr:uid="{00000000-0005-0000-0000-0000A71B0000}"/>
    <cellStyle name="Comma 5 4 2 5 2 2 3" xfId="37848" xr:uid="{00000000-0005-0000-0000-0000A81B0000}"/>
    <cellStyle name="Comma 5 4 2 5 2 3" xfId="8715" xr:uid="{00000000-0005-0000-0000-0000A91B0000}"/>
    <cellStyle name="Comma 5 4 2 5 2 3 2" xfId="34272" xr:uid="{00000000-0005-0000-0000-0000AA1B0000}"/>
    <cellStyle name="Comma 5 4 2 5 2 4" xfId="17504" xr:uid="{00000000-0005-0000-0000-0000AB1B0000}"/>
    <cellStyle name="Comma 5 4 2 5 2 4 2" xfId="43057" xr:uid="{00000000-0005-0000-0000-0000AC1B0000}"/>
    <cellStyle name="Comma 5 4 2 5 2 5" xfId="28994" xr:uid="{00000000-0005-0000-0000-0000AD1B0000}"/>
    <cellStyle name="Comma 5 4 2 5 3" xfId="4828" xr:uid="{00000000-0005-0000-0000-0000AE1B0000}"/>
    <cellStyle name="Comma 5 4 2 5 3 2" xfId="13665" xr:uid="{00000000-0005-0000-0000-0000AF1B0000}"/>
    <cellStyle name="Comma 5 4 2 5 3 2 2" xfId="23916" xr:uid="{00000000-0005-0000-0000-0000B01B0000}"/>
    <cellStyle name="Comma 5 4 2 5 3 2 2 2" xfId="49469" xr:uid="{00000000-0005-0000-0000-0000B11B0000}"/>
    <cellStyle name="Comma 5 4 2 5 3 2 3" xfId="39220" xr:uid="{00000000-0005-0000-0000-0000B21B0000}"/>
    <cellStyle name="Comma 5 4 2 5 3 3" xfId="10086" xr:uid="{00000000-0005-0000-0000-0000B31B0000}"/>
    <cellStyle name="Comma 5 4 2 5 3 3 2" xfId="35643" xr:uid="{00000000-0005-0000-0000-0000B41B0000}"/>
    <cellStyle name="Comma 5 4 2 5 3 4" xfId="18909" xr:uid="{00000000-0005-0000-0000-0000B51B0000}"/>
    <cellStyle name="Comma 5 4 2 5 3 4 2" xfId="44462" xr:uid="{00000000-0005-0000-0000-0000B61B0000}"/>
    <cellStyle name="Comma 5 4 2 5 3 5" xfId="30399" xr:uid="{00000000-0005-0000-0000-0000B71B0000}"/>
    <cellStyle name="Comma 5 4 2 5 4" xfId="2259" xr:uid="{00000000-0005-0000-0000-0000B81B0000}"/>
    <cellStyle name="Comma 5 4 2 5 4 2" xfId="11624" xr:uid="{00000000-0005-0000-0000-0000B91B0000}"/>
    <cellStyle name="Comma 5 4 2 5 4 2 2" xfId="37179" xr:uid="{00000000-0005-0000-0000-0000BA1B0000}"/>
    <cellStyle name="Comma 5 4 2 5 4 3" xfId="21628" xr:uid="{00000000-0005-0000-0000-0000BB1B0000}"/>
    <cellStyle name="Comma 5 4 2 5 4 3 2" xfId="47181" xr:uid="{00000000-0005-0000-0000-0000BC1B0000}"/>
    <cellStyle name="Comma 5 4 2 5 4 4" xfId="28111" xr:uid="{00000000-0005-0000-0000-0000BD1B0000}"/>
    <cellStyle name="Comma 5 4 2 5 5" xfId="6283" xr:uid="{00000000-0005-0000-0000-0000BE1B0000}"/>
    <cellStyle name="Comma 5 4 2 5 5 2" xfId="15110" xr:uid="{00000000-0005-0000-0000-0000BF1B0000}"/>
    <cellStyle name="Comma 5 4 2 5 5 2 2" xfId="40665" xr:uid="{00000000-0005-0000-0000-0000C01B0000}"/>
    <cellStyle name="Comma 5 4 2 5 5 3" xfId="25361" xr:uid="{00000000-0005-0000-0000-0000C11B0000}"/>
    <cellStyle name="Comma 5 4 2 5 5 3 2" xfId="50914" xr:uid="{00000000-0005-0000-0000-0000C21B0000}"/>
    <cellStyle name="Comma 5 4 2 5 5 4" xfId="31844" xr:uid="{00000000-0005-0000-0000-0000C31B0000}"/>
    <cellStyle name="Comma 5 4 2 5 6" xfId="7729" xr:uid="{00000000-0005-0000-0000-0000C41B0000}"/>
    <cellStyle name="Comma 5 4 2 5 6 2" xfId="20110" xr:uid="{00000000-0005-0000-0000-0000C51B0000}"/>
    <cellStyle name="Comma 5 4 2 5 6 2 2" xfId="45663" xr:uid="{00000000-0005-0000-0000-0000C61B0000}"/>
    <cellStyle name="Comma 5 4 2 5 6 3" xfId="33286" xr:uid="{00000000-0005-0000-0000-0000C71B0000}"/>
    <cellStyle name="Comma 5 4 2 5 7" xfId="16621" xr:uid="{00000000-0005-0000-0000-0000C81B0000}"/>
    <cellStyle name="Comma 5 4 2 5 7 2" xfId="42174" xr:uid="{00000000-0005-0000-0000-0000C91B0000}"/>
    <cellStyle name="Comma 5 4 2 5 8" xfId="26593" xr:uid="{00000000-0005-0000-0000-0000CA1B0000}"/>
    <cellStyle name="Comma 5 4 2 6" xfId="1165" xr:uid="{00000000-0005-0000-0000-0000CB1B0000}"/>
    <cellStyle name="Comma 5 4 2 6 2" xfId="3594" xr:uid="{00000000-0005-0000-0000-0000CC1B0000}"/>
    <cellStyle name="Comma 5 4 2 6 2 2" xfId="12730" xr:uid="{00000000-0005-0000-0000-0000CD1B0000}"/>
    <cellStyle name="Comma 5 4 2 6 2 2 2" xfId="22949" xr:uid="{00000000-0005-0000-0000-0000CE1B0000}"/>
    <cellStyle name="Comma 5 4 2 6 2 2 2 2" xfId="48502" xr:uid="{00000000-0005-0000-0000-0000CF1B0000}"/>
    <cellStyle name="Comma 5 4 2 6 2 2 3" xfId="38285" xr:uid="{00000000-0005-0000-0000-0000D01B0000}"/>
    <cellStyle name="Comma 5 4 2 6 2 3" xfId="9151" xr:uid="{00000000-0005-0000-0000-0000D11B0000}"/>
    <cellStyle name="Comma 5 4 2 6 2 3 2" xfId="34708" xr:uid="{00000000-0005-0000-0000-0000D21B0000}"/>
    <cellStyle name="Comma 5 4 2 6 2 4" xfId="17942" xr:uid="{00000000-0005-0000-0000-0000D31B0000}"/>
    <cellStyle name="Comma 5 4 2 6 2 4 2" xfId="43495" xr:uid="{00000000-0005-0000-0000-0000D41B0000}"/>
    <cellStyle name="Comma 5 4 2 6 2 5" xfId="29432" xr:uid="{00000000-0005-0000-0000-0000D51B0000}"/>
    <cellStyle name="Comma 5 4 2 6 3" xfId="5257" xr:uid="{00000000-0005-0000-0000-0000D61B0000}"/>
    <cellStyle name="Comma 5 4 2 6 3 2" xfId="14094" xr:uid="{00000000-0005-0000-0000-0000D71B0000}"/>
    <cellStyle name="Comma 5 4 2 6 3 2 2" xfId="24345" xr:uid="{00000000-0005-0000-0000-0000D81B0000}"/>
    <cellStyle name="Comma 5 4 2 6 3 2 2 2" xfId="49898" xr:uid="{00000000-0005-0000-0000-0000D91B0000}"/>
    <cellStyle name="Comma 5 4 2 6 3 2 3" xfId="39649" xr:uid="{00000000-0005-0000-0000-0000DA1B0000}"/>
    <cellStyle name="Comma 5 4 2 6 3 3" xfId="10515" xr:uid="{00000000-0005-0000-0000-0000DB1B0000}"/>
    <cellStyle name="Comma 5 4 2 6 3 3 2" xfId="36072" xr:uid="{00000000-0005-0000-0000-0000DC1B0000}"/>
    <cellStyle name="Comma 5 4 2 6 3 4" xfId="19338" xr:uid="{00000000-0005-0000-0000-0000DD1B0000}"/>
    <cellStyle name="Comma 5 4 2 6 3 4 2" xfId="44891" xr:uid="{00000000-0005-0000-0000-0000DE1B0000}"/>
    <cellStyle name="Comma 5 4 2 6 3 5" xfId="30828" xr:uid="{00000000-0005-0000-0000-0000DF1B0000}"/>
    <cellStyle name="Comma 5 4 2 6 4" xfId="1765" xr:uid="{00000000-0005-0000-0000-0000E01B0000}"/>
    <cellStyle name="Comma 5 4 2 6 4 2" xfId="11136" xr:uid="{00000000-0005-0000-0000-0000E11B0000}"/>
    <cellStyle name="Comma 5 4 2 6 4 2 2" xfId="36691" xr:uid="{00000000-0005-0000-0000-0000E21B0000}"/>
    <cellStyle name="Comma 5 4 2 6 4 3" xfId="21140" xr:uid="{00000000-0005-0000-0000-0000E31B0000}"/>
    <cellStyle name="Comma 5 4 2 6 4 3 2" xfId="46693" xr:uid="{00000000-0005-0000-0000-0000E41B0000}"/>
    <cellStyle name="Comma 5 4 2 6 4 4" xfId="27623" xr:uid="{00000000-0005-0000-0000-0000E51B0000}"/>
    <cellStyle name="Comma 5 4 2 6 5" xfId="6712" xr:uid="{00000000-0005-0000-0000-0000E61B0000}"/>
    <cellStyle name="Comma 5 4 2 6 5 2" xfId="15539" xr:uid="{00000000-0005-0000-0000-0000E71B0000}"/>
    <cellStyle name="Comma 5 4 2 6 5 2 2" xfId="41094" xr:uid="{00000000-0005-0000-0000-0000E81B0000}"/>
    <cellStyle name="Comma 5 4 2 6 5 3" xfId="25790" xr:uid="{00000000-0005-0000-0000-0000E91B0000}"/>
    <cellStyle name="Comma 5 4 2 6 5 3 2" xfId="51343" xr:uid="{00000000-0005-0000-0000-0000EA1B0000}"/>
    <cellStyle name="Comma 5 4 2 6 5 4" xfId="32273" xr:uid="{00000000-0005-0000-0000-0000EB1B0000}"/>
    <cellStyle name="Comma 5 4 2 6 6" xfId="8158" xr:uid="{00000000-0005-0000-0000-0000EC1B0000}"/>
    <cellStyle name="Comma 5 4 2 6 6 2" xfId="20548" xr:uid="{00000000-0005-0000-0000-0000ED1B0000}"/>
    <cellStyle name="Comma 5 4 2 6 6 2 2" xfId="46101" xr:uid="{00000000-0005-0000-0000-0000EE1B0000}"/>
    <cellStyle name="Comma 5 4 2 6 6 3" xfId="33715" xr:uid="{00000000-0005-0000-0000-0000EF1B0000}"/>
    <cellStyle name="Comma 5 4 2 6 7" xfId="16133" xr:uid="{00000000-0005-0000-0000-0000F01B0000}"/>
    <cellStyle name="Comma 5 4 2 6 7 2" xfId="41686" xr:uid="{00000000-0005-0000-0000-0000F11B0000}"/>
    <cellStyle name="Comma 5 4 2 6 8" xfId="27031" xr:uid="{00000000-0005-0000-0000-0000F21B0000}"/>
    <cellStyle name="Comma 5 4 2 7" xfId="2662" xr:uid="{00000000-0005-0000-0000-0000F31B0000}"/>
    <cellStyle name="Comma 5 4 2 7 2" xfId="11979" xr:uid="{00000000-0005-0000-0000-0000F41B0000}"/>
    <cellStyle name="Comma 5 4 2 7 2 2" xfId="22023" xr:uid="{00000000-0005-0000-0000-0000F51B0000}"/>
    <cellStyle name="Comma 5 4 2 7 2 2 2" xfId="47576" xr:uid="{00000000-0005-0000-0000-0000F61B0000}"/>
    <cellStyle name="Comma 5 4 2 7 2 3" xfId="37534" xr:uid="{00000000-0005-0000-0000-0000F71B0000}"/>
    <cellStyle name="Comma 5 4 2 7 3" xfId="8576" xr:uid="{00000000-0005-0000-0000-0000F81B0000}"/>
    <cellStyle name="Comma 5 4 2 7 3 2" xfId="34133" xr:uid="{00000000-0005-0000-0000-0000F91B0000}"/>
    <cellStyle name="Comma 5 4 2 7 4" xfId="17016" xr:uid="{00000000-0005-0000-0000-0000FA1B0000}"/>
    <cellStyle name="Comma 5 4 2 7 4 2" xfId="42569" xr:uid="{00000000-0005-0000-0000-0000FB1B0000}"/>
    <cellStyle name="Comma 5 4 2 7 5" xfId="28506" xr:uid="{00000000-0005-0000-0000-0000FC1B0000}"/>
    <cellStyle name="Comma 5 4 2 8" xfId="4213" xr:uid="{00000000-0005-0000-0000-0000FD1B0000}"/>
    <cellStyle name="Comma 5 4 2 8 2" xfId="13051" xr:uid="{00000000-0005-0000-0000-0000FE1B0000}"/>
    <cellStyle name="Comma 5 4 2 8 2 2" xfId="23302" xr:uid="{00000000-0005-0000-0000-0000FF1B0000}"/>
    <cellStyle name="Comma 5 4 2 8 2 2 2" xfId="48855" xr:uid="{00000000-0005-0000-0000-0000001C0000}"/>
    <cellStyle name="Comma 5 4 2 8 2 3" xfId="38606" xr:uid="{00000000-0005-0000-0000-0000011C0000}"/>
    <cellStyle name="Comma 5 4 2 8 3" xfId="9472" xr:uid="{00000000-0005-0000-0000-0000021C0000}"/>
    <cellStyle name="Comma 5 4 2 8 3 2" xfId="35029" xr:uid="{00000000-0005-0000-0000-0000031C0000}"/>
    <cellStyle name="Comma 5 4 2 8 4" xfId="18295" xr:uid="{00000000-0005-0000-0000-0000041C0000}"/>
    <cellStyle name="Comma 5 4 2 8 4 2" xfId="43848" xr:uid="{00000000-0005-0000-0000-0000051C0000}"/>
    <cellStyle name="Comma 5 4 2 8 5" xfId="29785" xr:uid="{00000000-0005-0000-0000-0000061C0000}"/>
    <cellStyle name="Comma 5 4 2 9" xfId="1485" xr:uid="{00000000-0005-0000-0000-0000071C0000}"/>
    <cellStyle name="Comma 5 4 2 9 2" xfId="10862" xr:uid="{00000000-0005-0000-0000-0000081C0000}"/>
    <cellStyle name="Comma 5 4 2 9 2 2" xfId="36417" xr:uid="{00000000-0005-0000-0000-0000091C0000}"/>
    <cellStyle name="Comma 5 4 2 9 3" xfId="20866" xr:uid="{00000000-0005-0000-0000-00000A1C0000}"/>
    <cellStyle name="Comma 5 4 2 9 3 2" xfId="46419" xr:uid="{00000000-0005-0000-0000-00000B1C0000}"/>
    <cellStyle name="Comma 5 4 2 9 4" xfId="27349" xr:uid="{00000000-0005-0000-0000-00000C1C0000}"/>
    <cellStyle name="Comma 5 4 3" xfId="210" xr:uid="{00000000-0005-0000-0000-00000D1C0000}"/>
    <cellStyle name="Comma 5 4 3 10" xfId="7156" xr:uid="{00000000-0005-0000-0000-00000E1C0000}"/>
    <cellStyle name="Comma 5 4 3 10 2" xfId="19665" xr:uid="{00000000-0005-0000-0000-00000F1C0000}"/>
    <cellStyle name="Comma 5 4 3 10 2 2" xfId="45218" xr:uid="{00000000-0005-0000-0000-0000101C0000}"/>
    <cellStyle name="Comma 5 4 3 10 3" xfId="32713" xr:uid="{00000000-0005-0000-0000-0000111C0000}"/>
    <cellStyle name="Comma 5 4 3 11" xfId="15902" xr:uid="{00000000-0005-0000-0000-0000121C0000}"/>
    <cellStyle name="Comma 5 4 3 11 2" xfId="41455" xr:uid="{00000000-0005-0000-0000-0000131C0000}"/>
    <cellStyle name="Comma 5 4 3 12" xfId="26148" xr:uid="{00000000-0005-0000-0000-0000141C0000}"/>
    <cellStyle name="Comma 5 4 3 2" xfId="536" xr:uid="{00000000-0005-0000-0000-0000151C0000}"/>
    <cellStyle name="Comma 5 4 3 2 10" xfId="26465" xr:uid="{00000000-0005-0000-0000-0000161C0000}"/>
    <cellStyle name="Comma 5 4 3 2 2" xfId="668" xr:uid="{00000000-0005-0000-0000-0000171C0000}"/>
    <cellStyle name="Comma 5 4 3 2 2 2" xfId="3154" xr:uid="{00000000-0005-0000-0000-0000181C0000}"/>
    <cellStyle name="Comma 5 4 3 2 2 2 2" xfId="12297" xr:uid="{00000000-0005-0000-0000-0000191C0000}"/>
    <cellStyle name="Comma 5 4 3 2 2 2 2 2" xfId="22515" xr:uid="{00000000-0005-0000-0000-00001A1C0000}"/>
    <cellStyle name="Comma 5 4 3 2 2 2 2 2 2" xfId="48068" xr:uid="{00000000-0005-0000-0000-00001B1C0000}"/>
    <cellStyle name="Comma 5 4 3 2 2 2 2 3" xfId="37852" xr:uid="{00000000-0005-0000-0000-00001C1C0000}"/>
    <cellStyle name="Comma 5 4 3 2 2 2 3" xfId="8719" xr:uid="{00000000-0005-0000-0000-00001D1C0000}"/>
    <cellStyle name="Comma 5 4 3 2 2 2 3 2" xfId="34276" xr:uid="{00000000-0005-0000-0000-00001E1C0000}"/>
    <cellStyle name="Comma 5 4 3 2 2 2 4" xfId="17508" xr:uid="{00000000-0005-0000-0000-00001F1C0000}"/>
    <cellStyle name="Comma 5 4 3 2 2 2 4 2" xfId="43061" xr:uid="{00000000-0005-0000-0000-0000201C0000}"/>
    <cellStyle name="Comma 5 4 3 2 2 2 5" xfId="28998" xr:uid="{00000000-0005-0000-0000-0000211C0000}"/>
    <cellStyle name="Comma 5 4 3 2 2 3" xfId="4483" xr:uid="{00000000-0005-0000-0000-0000221C0000}"/>
    <cellStyle name="Comma 5 4 3 2 2 3 2" xfId="13321" xr:uid="{00000000-0005-0000-0000-0000231C0000}"/>
    <cellStyle name="Comma 5 4 3 2 2 3 2 2" xfId="23572" xr:uid="{00000000-0005-0000-0000-0000241C0000}"/>
    <cellStyle name="Comma 5 4 3 2 2 3 2 2 2" xfId="49125" xr:uid="{00000000-0005-0000-0000-0000251C0000}"/>
    <cellStyle name="Comma 5 4 3 2 2 3 2 3" xfId="38876" xr:uid="{00000000-0005-0000-0000-0000261C0000}"/>
    <cellStyle name="Comma 5 4 3 2 2 3 3" xfId="9742" xr:uid="{00000000-0005-0000-0000-0000271C0000}"/>
    <cellStyle name="Comma 5 4 3 2 2 3 3 2" xfId="35299" xr:uid="{00000000-0005-0000-0000-0000281C0000}"/>
    <cellStyle name="Comma 5 4 3 2 2 3 4" xfId="18565" xr:uid="{00000000-0005-0000-0000-0000291C0000}"/>
    <cellStyle name="Comma 5 4 3 2 2 3 4 2" xfId="44118" xr:uid="{00000000-0005-0000-0000-00002A1C0000}"/>
    <cellStyle name="Comma 5 4 3 2 2 3 5" xfId="30055" xr:uid="{00000000-0005-0000-0000-00002B1C0000}"/>
    <cellStyle name="Comma 5 4 3 2 2 4" xfId="2263" xr:uid="{00000000-0005-0000-0000-00002C1C0000}"/>
    <cellStyle name="Comma 5 4 3 2 2 4 2" xfId="11628" xr:uid="{00000000-0005-0000-0000-00002D1C0000}"/>
    <cellStyle name="Comma 5 4 3 2 2 4 2 2" xfId="37183" xr:uid="{00000000-0005-0000-0000-00002E1C0000}"/>
    <cellStyle name="Comma 5 4 3 2 2 4 3" xfId="21632" xr:uid="{00000000-0005-0000-0000-00002F1C0000}"/>
    <cellStyle name="Comma 5 4 3 2 2 4 3 2" xfId="47185" xr:uid="{00000000-0005-0000-0000-0000301C0000}"/>
    <cellStyle name="Comma 5 4 3 2 2 4 4" xfId="28115" xr:uid="{00000000-0005-0000-0000-0000311C0000}"/>
    <cellStyle name="Comma 5 4 3 2 2 5" xfId="5939" xr:uid="{00000000-0005-0000-0000-0000321C0000}"/>
    <cellStyle name="Comma 5 4 3 2 2 5 2" xfId="14766" xr:uid="{00000000-0005-0000-0000-0000331C0000}"/>
    <cellStyle name="Comma 5 4 3 2 2 5 2 2" xfId="40321" xr:uid="{00000000-0005-0000-0000-0000341C0000}"/>
    <cellStyle name="Comma 5 4 3 2 2 5 3" xfId="25017" xr:uid="{00000000-0005-0000-0000-0000351C0000}"/>
    <cellStyle name="Comma 5 4 3 2 2 5 3 2" xfId="50570" xr:uid="{00000000-0005-0000-0000-0000361C0000}"/>
    <cellStyle name="Comma 5 4 3 2 2 5 4" xfId="31500" xr:uid="{00000000-0005-0000-0000-0000371C0000}"/>
    <cellStyle name="Comma 5 4 3 2 2 6" xfId="7383" xr:uid="{00000000-0005-0000-0000-0000381C0000}"/>
    <cellStyle name="Comma 5 4 3 2 2 6 2" xfId="20114" xr:uid="{00000000-0005-0000-0000-0000391C0000}"/>
    <cellStyle name="Comma 5 4 3 2 2 6 2 2" xfId="45667" xr:uid="{00000000-0005-0000-0000-00003A1C0000}"/>
    <cellStyle name="Comma 5 4 3 2 2 6 3" xfId="32940" xr:uid="{00000000-0005-0000-0000-00003B1C0000}"/>
    <cellStyle name="Comma 5 4 3 2 2 7" xfId="16625" xr:uid="{00000000-0005-0000-0000-00003C1C0000}"/>
    <cellStyle name="Comma 5 4 3 2 2 7 2" xfId="42178" xr:uid="{00000000-0005-0000-0000-00003D1C0000}"/>
    <cellStyle name="Comma 5 4 3 2 2 8" xfId="26597" xr:uid="{00000000-0005-0000-0000-00003E1C0000}"/>
    <cellStyle name="Comma 5 4 3 2 3" xfId="1308" xr:uid="{00000000-0005-0000-0000-00003F1C0000}"/>
    <cellStyle name="Comma 5 4 3 2 3 2" xfId="3737" xr:uid="{00000000-0005-0000-0000-0000401C0000}"/>
    <cellStyle name="Comma 5 4 3 2 3 2 2" xfId="12873" xr:uid="{00000000-0005-0000-0000-0000411C0000}"/>
    <cellStyle name="Comma 5 4 3 2 3 2 2 2" xfId="23092" xr:uid="{00000000-0005-0000-0000-0000421C0000}"/>
    <cellStyle name="Comma 5 4 3 2 3 2 2 2 2" xfId="48645" xr:uid="{00000000-0005-0000-0000-0000431C0000}"/>
    <cellStyle name="Comma 5 4 3 2 3 2 2 3" xfId="38428" xr:uid="{00000000-0005-0000-0000-0000441C0000}"/>
    <cellStyle name="Comma 5 4 3 2 3 2 3" xfId="9294" xr:uid="{00000000-0005-0000-0000-0000451C0000}"/>
    <cellStyle name="Comma 5 4 3 2 3 2 3 2" xfId="34851" xr:uid="{00000000-0005-0000-0000-0000461C0000}"/>
    <cellStyle name="Comma 5 4 3 2 3 2 4" xfId="18085" xr:uid="{00000000-0005-0000-0000-0000471C0000}"/>
    <cellStyle name="Comma 5 4 3 2 3 2 4 2" xfId="43638" xr:uid="{00000000-0005-0000-0000-0000481C0000}"/>
    <cellStyle name="Comma 5 4 3 2 3 2 5" xfId="29575" xr:uid="{00000000-0005-0000-0000-0000491C0000}"/>
    <cellStyle name="Comma 5 4 3 2 3 3" xfId="4832" xr:uid="{00000000-0005-0000-0000-00004A1C0000}"/>
    <cellStyle name="Comma 5 4 3 2 3 3 2" xfId="13669" xr:uid="{00000000-0005-0000-0000-00004B1C0000}"/>
    <cellStyle name="Comma 5 4 3 2 3 3 2 2" xfId="23920" xr:uid="{00000000-0005-0000-0000-00004C1C0000}"/>
    <cellStyle name="Comma 5 4 3 2 3 3 2 2 2" xfId="49473" xr:uid="{00000000-0005-0000-0000-00004D1C0000}"/>
    <cellStyle name="Comma 5 4 3 2 3 3 2 3" xfId="39224" xr:uid="{00000000-0005-0000-0000-00004E1C0000}"/>
    <cellStyle name="Comma 5 4 3 2 3 3 3" xfId="10090" xr:uid="{00000000-0005-0000-0000-00004F1C0000}"/>
    <cellStyle name="Comma 5 4 3 2 3 3 3 2" xfId="35647" xr:uid="{00000000-0005-0000-0000-0000501C0000}"/>
    <cellStyle name="Comma 5 4 3 2 3 3 4" xfId="18913" xr:uid="{00000000-0005-0000-0000-0000511C0000}"/>
    <cellStyle name="Comma 5 4 3 2 3 3 4 2" xfId="44466" xr:uid="{00000000-0005-0000-0000-0000521C0000}"/>
    <cellStyle name="Comma 5 4 3 2 3 3 5" xfId="30403" xr:uid="{00000000-0005-0000-0000-0000531C0000}"/>
    <cellStyle name="Comma 5 4 3 2 3 4" xfId="2131" xr:uid="{00000000-0005-0000-0000-0000541C0000}"/>
    <cellStyle name="Comma 5 4 3 2 3 4 2" xfId="11496" xr:uid="{00000000-0005-0000-0000-0000551C0000}"/>
    <cellStyle name="Comma 5 4 3 2 3 4 2 2" xfId="37051" xr:uid="{00000000-0005-0000-0000-0000561C0000}"/>
    <cellStyle name="Comma 5 4 3 2 3 4 3" xfId="21500" xr:uid="{00000000-0005-0000-0000-0000571C0000}"/>
    <cellStyle name="Comma 5 4 3 2 3 4 3 2" xfId="47053" xr:uid="{00000000-0005-0000-0000-0000581C0000}"/>
    <cellStyle name="Comma 5 4 3 2 3 4 4" xfId="27983" xr:uid="{00000000-0005-0000-0000-0000591C0000}"/>
    <cellStyle name="Comma 5 4 3 2 3 5" xfId="6287" xr:uid="{00000000-0005-0000-0000-00005A1C0000}"/>
    <cellStyle name="Comma 5 4 3 2 3 5 2" xfId="15114" xr:uid="{00000000-0005-0000-0000-00005B1C0000}"/>
    <cellStyle name="Comma 5 4 3 2 3 5 2 2" xfId="40669" xr:uid="{00000000-0005-0000-0000-00005C1C0000}"/>
    <cellStyle name="Comma 5 4 3 2 3 5 3" xfId="25365" xr:uid="{00000000-0005-0000-0000-00005D1C0000}"/>
    <cellStyle name="Comma 5 4 3 2 3 5 3 2" xfId="50918" xr:uid="{00000000-0005-0000-0000-00005E1C0000}"/>
    <cellStyle name="Comma 5 4 3 2 3 5 4" xfId="31848" xr:uid="{00000000-0005-0000-0000-00005F1C0000}"/>
    <cellStyle name="Comma 5 4 3 2 3 6" xfId="7733" xr:uid="{00000000-0005-0000-0000-0000601C0000}"/>
    <cellStyle name="Comma 5 4 3 2 3 6 2" xfId="20691" xr:uid="{00000000-0005-0000-0000-0000611C0000}"/>
    <cellStyle name="Comma 5 4 3 2 3 6 2 2" xfId="46244" xr:uid="{00000000-0005-0000-0000-0000621C0000}"/>
    <cellStyle name="Comma 5 4 3 2 3 6 3" xfId="33290" xr:uid="{00000000-0005-0000-0000-0000631C0000}"/>
    <cellStyle name="Comma 5 4 3 2 3 7" xfId="16493" xr:uid="{00000000-0005-0000-0000-0000641C0000}"/>
    <cellStyle name="Comma 5 4 3 2 3 7 2" xfId="42046" xr:uid="{00000000-0005-0000-0000-0000651C0000}"/>
    <cellStyle name="Comma 5 4 3 2 3 8" xfId="27174" xr:uid="{00000000-0005-0000-0000-0000661C0000}"/>
    <cellStyle name="Comma 5 4 3 2 4" xfId="3022" xr:uid="{00000000-0005-0000-0000-0000671C0000}"/>
    <cellStyle name="Comma 5 4 3 2 4 2" xfId="5400" xr:uid="{00000000-0005-0000-0000-0000681C0000}"/>
    <cellStyle name="Comma 5 4 3 2 4 2 2" xfId="14237" xr:uid="{00000000-0005-0000-0000-0000691C0000}"/>
    <cellStyle name="Comma 5 4 3 2 4 2 2 2" xfId="24488" xr:uid="{00000000-0005-0000-0000-00006A1C0000}"/>
    <cellStyle name="Comma 5 4 3 2 4 2 2 2 2" xfId="50041" xr:uid="{00000000-0005-0000-0000-00006B1C0000}"/>
    <cellStyle name="Comma 5 4 3 2 4 2 2 3" xfId="39792" xr:uid="{00000000-0005-0000-0000-00006C1C0000}"/>
    <cellStyle name="Comma 5 4 3 2 4 2 3" xfId="10658" xr:uid="{00000000-0005-0000-0000-00006D1C0000}"/>
    <cellStyle name="Comma 5 4 3 2 4 2 3 2" xfId="36215" xr:uid="{00000000-0005-0000-0000-00006E1C0000}"/>
    <cellStyle name="Comma 5 4 3 2 4 2 4" xfId="19481" xr:uid="{00000000-0005-0000-0000-00006F1C0000}"/>
    <cellStyle name="Comma 5 4 3 2 4 2 4 2" xfId="45034" xr:uid="{00000000-0005-0000-0000-0000701C0000}"/>
    <cellStyle name="Comma 5 4 3 2 4 2 5" xfId="30971" xr:uid="{00000000-0005-0000-0000-0000711C0000}"/>
    <cellStyle name="Comma 5 4 3 2 4 3" xfId="6855" xr:uid="{00000000-0005-0000-0000-0000721C0000}"/>
    <cellStyle name="Comma 5 4 3 2 4 3 2" xfId="15682" xr:uid="{00000000-0005-0000-0000-0000731C0000}"/>
    <cellStyle name="Comma 5 4 3 2 4 3 2 2" xfId="41237" xr:uid="{00000000-0005-0000-0000-0000741C0000}"/>
    <cellStyle name="Comma 5 4 3 2 4 3 3" xfId="25933" xr:uid="{00000000-0005-0000-0000-0000751C0000}"/>
    <cellStyle name="Comma 5 4 3 2 4 3 3 2" xfId="51486" xr:uid="{00000000-0005-0000-0000-0000761C0000}"/>
    <cellStyle name="Comma 5 4 3 2 4 3 4" xfId="32416" xr:uid="{00000000-0005-0000-0000-0000771C0000}"/>
    <cellStyle name="Comma 5 4 3 2 4 4" xfId="8301" xr:uid="{00000000-0005-0000-0000-0000781C0000}"/>
    <cellStyle name="Comma 5 4 3 2 4 4 2" xfId="22383" xr:uid="{00000000-0005-0000-0000-0000791C0000}"/>
    <cellStyle name="Comma 5 4 3 2 4 4 2 2" xfId="47936" xr:uid="{00000000-0005-0000-0000-00007A1C0000}"/>
    <cellStyle name="Comma 5 4 3 2 4 4 3" xfId="33858" xr:uid="{00000000-0005-0000-0000-00007B1C0000}"/>
    <cellStyle name="Comma 5 4 3 2 4 5" xfId="17376" xr:uid="{00000000-0005-0000-0000-00007C1C0000}"/>
    <cellStyle name="Comma 5 4 3 2 4 5 2" xfId="42929" xr:uid="{00000000-0005-0000-0000-00007D1C0000}"/>
    <cellStyle name="Comma 5 4 3 2 4 6" xfId="28866" xr:uid="{00000000-0005-0000-0000-00007E1C0000}"/>
    <cellStyle name="Comma 5 4 3 2 5" xfId="4356" xr:uid="{00000000-0005-0000-0000-00007F1C0000}"/>
    <cellStyle name="Comma 5 4 3 2 5 2" xfId="13194" xr:uid="{00000000-0005-0000-0000-0000801C0000}"/>
    <cellStyle name="Comma 5 4 3 2 5 2 2" xfId="23445" xr:uid="{00000000-0005-0000-0000-0000811C0000}"/>
    <cellStyle name="Comma 5 4 3 2 5 2 2 2" xfId="48998" xr:uid="{00000000-0005-0000-0000-0000821C0000}"/>
    <cellStyle name="Comma 5 4 3 2 5 2 3" xfId="38749" xr:uid="{00000000-0005-0000-0000-0000831C0000}"/>
    <cellStyle name="Comma 5 4 3 2 5 3" xfId="9615" xr:uid="{00000000-0005-0000-0000-0000841C0000}"/>
    <cellStyle name="Comma 5 4 3 2 5 3 2" xfId="35172" xr:uid="{00000000-0005-0000-0000-0000851C0000}"/>
    <cellStyle name="Comma 5 4 3 2 5 4" xfId="18438" xr:uid="{00000000-0005-0000-0000-0000861C0000}"/>
    <cellStyle name="Comma 5 4 3 2 5 4 2" xfId="43991" xr:uid="{00000000-0005-0000-0000-0000871C0000}"/>
    <cellStyle name="Comma 5 4 3 2 5 5" xfId="29928" xr:uid="{00000000-0005-0000-0000-0000881C0000}"/>
    <cellStyle name="Comma 5 4 3 2 6" xfId="1628" xr:uid="{00000000-0005-0000-0000-0000891C0000}"/>
    <cellStyle name="Comma 5 4 3 2 6 2" xfId="11005" xr:uid="{00000000-0005-0000-0000-00008A1C0000}"/>
    <cellStyle name="Comma 5 4 3 2 6 2 2" xfId="36560" xr:uid="{00000000-0005-0000-0000-00008B1C0000}"/>
    <cellStyle name="Comma 5 4 3 2 6 3" xfId="21009" xr:uid="{00000000-0005-0000-0000-00008C1C0000}"/>
    <cellStyle name="Comma 5 4 3 2 6 3 2" xfId="46562" xr:uid="{00000000-0005-0000-0000-00008D1C0000}"/>
    <cellStyle name="Comma 5 4 3 2 6 4" xfId="27492" xr:uid="{00000000-0005-0000-0000-00008E1C0000}"/>
    <cellStyle name="Comma 5 4 3 2 7" xfId="5812" xr:uid="{00000000-0005-0000-0000-00008F1C0000}"/>
    <cellStyle name="Comma 5 4 3 2 7 2" xfId="14639" xr:uid="{00000000-0005-0000-0000-0000901C0000}"/>
    <cellStyle name="Comma 5 4 3 2 7 2 2" xfId="40194" xr:uid="{00000000-0005-0000-0000-0000911C0000}"/>
    <cellStyle name="Comma 5 4 3 2 7 3" xfId="24890" xr:uid="{00000000-0005-0000-0000-0000921C0000}"/>
    <cellStyle name="Comma 5 4 3 2 7 3 2" xfId="50443" xr:uid="{00000000-0005-0000-0000-0000931C0000}"/>
    <cellStyle name="Comma 5 4 3 2 7 4" xfId="31373" xr:uid="{00000000-0005-0000-0000-0000941C0000}"/>
    <cellStyle name="Comma 5 4 3 2 8" xfId="7256" xr:uid="{00000000-0005-0000-0000-0000951C0000}"/>
    <cellStyle name="Comma 5 4 3 2 8 2" xfId="19982" xr:uid="{00000000-0005-0000-0000-0000961C0000}"/>
    <cellStyle name="Comma 5 4 3 2 8 2 2" xfId="45535" xr:uid="{00000000-0005-0000-0000-0000971C0000}"/>
    <cellStyle name="Comma 5 4 3 2 8 3" xfId="32813" xr:uid="{00000000-0005-0000-0000-0000981C0000}"/>
    <cellStyle name="Comma 5 4 3 2 9" xfId="16002" xr:uid="{00000000-0005-0000-0000-0000991C0000}"/>
    <cellStyle name="Comma 5 4 3 2 9 2" xfId="41555" xr:uid="{00000000-0005-0000-0000-00009A1C0000}"/>
    <cellStyle name="Comma 5 4 3 3" xfId="436" xr:uid="{00000000-0005-0000-0000-00009B1C0000}"/>
    <cellStyle name="Comma 5 4 3 3 2" xfId="2922" xr:uid="{00000000-0005-0000-0000-00009C1C0000}"/>
    <cellStyle name="Comma 5 4 3 3 2 2" xfId="12210" xr:uid="{00000000-0005-0000-0000-00009D1C0000}"/>
    <cellStyle name="Comma 5 4 3 3 2 2 2" xfId="22283" xr:uid="{00000000-0005-0000-0000-00009E1C0000}"/>
    <cellStyle name="Comma 5 4 3 3 2 2 2 2" xfId="47836" xr:uid="{00000000-0005-0000-0000-00009F1C0000}"/>
    <cellStyle name="Comma 5 4 3 3 2 2 3" xfId="37765" xr:uid="{00000000-0005-0000-0000-0000A01C0000}"/>
    <cellStyle name="Comma 5 4 3 3 2 3" xfId="8415" xr:uid="{00000000-0005-0000-0000-0000A11C0000}"/>
    <cellStyle name="Comma 5 4 3 3 2 3 2" xfId="33972" xr:uid="{00000000-0005-0000-0000-0000A21C0000}"/>
    <cellStyle name="Comma 5 4 3 3 2 4" xfId="17276" xr:uid="{00000000-0005-0000-0000-0000A31C0000}"/>
    <cellStyle name="Comma 5 4 3 3 2 4 2" xfId="42829" xr:uid="{00000000-0005-0000-0000-0000A41C0000}"/>
    <cellStyle name="Comma 5 4 3 3 2 5" xfId="28766" xr:uid="{00000000-0005-0000-0000-0000A51C0000}"/>
    <cellStyle name="Comma 5 4 3 3 3" xfId="4482" xr:uid="{00000000-0005-0000-0000-0000A61C0000}"/>
    <cellStyle name="Comma 5 4 3 3 3 2" xfId="13320" xr:uid="{00000000-0005-0000-0000-0000A71C0000}"/>
    <cellStyle name="Comma 5 4 3 3 3 2 2" xfId="23571" xr:uid="{00000000-0005-0000-0000-0000A81C0000}"/>
    <cellStyle name="Comma 5 4 3 3 3 2 2 2" xfId="49124" xr:uid="{00000000-0005-0000-0000-0000A91C0000}"/>
    <cellStyle name="Comma 5 4 3 3 3 2 3" xfId="38875" xr:uid="{00000000-0005-0000-0000-0000AA1C0000}"/>
    <cellStyle name="Comma 5 4 3 3 3 3" xfId="9741" xr:uid="{00000000-0005-0000-0000-0000AB1C0000}"/>
    <cellStyle name="Comma 5 4 3 3 3 3 2" xfId="35298" xr:uid="{00000000-0005-0000-0000-0000AC1C0000}"/>
    <cellStyle name="Comma 5 4 3 3 3 4" xfId="18564" xr:uid="{00000000-0005-0000-0000-0000AD1C0000}"/>
    <cellStyle name="Comma 5 4 3 3 3 4 2" xfId="44117" xr:uid="{00000000-0005-0000-0000-0000AE1C0000}"/>
    <cellStyle name="Comma 5 4 3 3 3 5" xfId="30054" xr:uid="{00000000-0005-0000-0000-0000AF1C0000}"/>
    <cellStyle name="Comma 5 4 3 3 4" xfId="2031" xr:uid="{00000000-0005-0000-0000-0000B01C0000}"/>
    <cellStyle name="Comma 5 4 3 3 4 2" xfId="11396" xr:uid="{00000000-0005-0000-0000-0000B11C0000}"/>
    <cellStyle name="Comma 5 4 3 3 4 2 2" xfId="36951" xr:uid="{00000000-0005-0000-0000-0000B21C0000}"/>
    <cellStyle name="Comma 5 4 3 3 4 3" xfId="21400" xr:uid="{00000000-0005-0000-0000-0000B31C0000}"/>
    <cellStyle name="Comma 5 4 3 3 4 3 2" xfId="46953" xr:uid="{00000000-0005-0000-0000-0000B41C0000}"/>
    <cellStyle name="Comma 5 4 3 3 4 4" xfId="27883" xr:uid="{00000000-0005-0000-0000-0000B51C0000}"/>
    <cellStyle name="Comma 5 4 3 3 5" xfId="5938" xr:uid="{00000000-0005-0000-0000-0000B61C0000}"/>
    <cellStyle name="Comma 5 4 3 3 5 2" xfId="14765" xr:uid="{00000000-0005-0000-0000-0000B71C0000}"/>
    <cellStyle name="Comma 5 4 3 3 5 2 2" xfId="40320" xr:uid="{00000000-0005-0000-0000-0000B81C0000}"/>
    <cellStyle name="Comma 5 4 3 3 5 3" xfId="25016" xr:uid="{00000000-0005-0000-0000-0000B91C0000}"/>
    <cellStyle name="Comma 5 4 3 3 5 3 2" xfId="50569" xr:uid="{00000000-0005-0000-0000-0000BA1C0000}"/>
    <cellStyle name="Comma 5 4 3 3 5 4" xfId="31499" xr:uid="{00000000-0005-0000-0000-0000BB1C0000}"/>
    <cellStyle name="Comma 5 4 3 3 6" xfId="7382" xr:uid="{00000000-0005-0000-0000-0000BC1C0000}"/>
    <cellStyle name="Comma 5 4 3 3 6 2" xfId="19882" xr:uid="{00000000-0005-0000-0000-0000BD1C0000}"/>
    <cellStyle name="Comma 5 4 3 3 6 2 2" xfId="45435" xr:uid="{00000000-0005-0000-0000-0000BE1C0000}"/>
    <cellStyle name="Comma 5 4 3 3 6 3" xfId="32939" xr:uid="{00000000-0005-0000-0000-0000BF1C0000}"/>
    <cellStyle name="Comma 5 4 3 3 7" xfId="16393" xr:uid="{00000000-0005-0000-0000-0000C01C0000}"/>
    <cellStyle name="Comma 5 4 3 3 7 2" xfId="41946" xr:uid="{00000000-0005-0000-0000-0000C11C0000}"/>
    <cellStyle name="Comma 5 4 3 3 8" xfId="26365" xr:uid="{00000000-0005-0000-0000-0000C21C0000}"/>
    <cellStyle name="Comma 5 4 3 4" xfId="667" xr:uid="{00000000-0005-0000-0000-0000C31C0000}"/>
    <cellStyle name="Comma 5 4 3 4 2" xfId="3153" xr:uid="{00000000-0005-0000-0000-0000C41C0000}"/>
    <cellStyle name="Comma 5 4 3 4 2 2" xfId="12296" xr:uid="{00000000-0005-0000-0000-0000C51C0000}"/>
    <cellStyle name="Comma 5 4 3 4 2 2 2" xfId="22514" xr:uid="{00000000-0005-0000-0000-0000C61C0000}"/>
    <cellStyle name="Comma 5 4 3 4 2 2 2 2" xfId="48067" xr:uid="{00000000-0005-0000-0000-0000C71C0000}"/>
    <cellStyle name="Comma 5 4 3 4 2 2 3" xfId="37851" xr:uid="{00000000-0005-0000-0000-0000C81C0000}"/>
    <cellStyle name="Comma 5 4 3 4 2 3" xfId="8718" xr:uid="{00000000-0005-0000-0000-0000C91C0000}"/>
    <cellStyle name="Comma 5 4 3 4 2 3 2" xfId="34275" xr:uid="{00000000-0005-0000-0000-0000CA1C0000}"/>
    <cellStyle name="Comma 5 4 3 4 2 4" xfId="17507" xr:uid="{00000000-0005-0000-0000-0000CB1C0000}"/>
    <cellStyle name="Comma 5 4 3 4 2 4 2" xfId="43060" xr:uid="{00000000-0005-0000-0000-0000CC1C0000}"/>
    <cellStyle name="Comma 5 4 3 4 2 5" xfId="28997" xr:uid="{00000000-0005-0000-0000-0000CD1C0000}"/>
    <cellStyle name="Comma 5 4 3 4 3" xfId="4831" xr:uid="{00000000-0005-0000-0000-0000CE1C0000}"/>
    <cellStyle name="Comma 5 4 3 4 3 2" xfId="13668" xr:uid="{00000000-0005-0000-0000-0000CF1C0000}"/>
    <cellStyle name="Comma 5 4 3 4 3 2 2" xfId="23919" xr:uid="{00000000-0005-0000-0000-0000D01C0000}"/>
    <cellStyle name="Comma 5 4 3 4 3 2 2 2" xfId="49472" xr:uid="{00000000-0005-0000-0000-0000D11C0000}"/>
    <cellStyle name="Comma 5 4 3 4 3 2 3" xfId="39223" xr:uid="{00000000-0005-0000-0000-0000D21C0000}"/>
    <cellStyle name="Comma 5 4 3 4 3 3" xfId="10089" xr:uid="{00000000-0005-0000-0000-0000D31C0000}"/>
    <cellStyle name="Comma 5 4 3 4 3 3 2" xfId="35646" xr:uid="{00000000-0005-0000-0000-0000D41C0000}"/>
    <cellStyle name="Comma 5 4 3 4 3 4" xfId="18912" xr:uid="{00000000-0005-0000-0000-0000D51C0000}"/>
    <cellStyle name="Comma 5 4 3 4 3 4 2" xfId="44465" xr:uid="{00000000-0005-0000-0000-0000D61C0000}"/>
    <cellStyle name="Comma 5 4 3 4 3 5" xfId="30402" xr:uid="{00000000-0005-0000-0000-0000D71C0000}"/>
    <cellStyle name="Comma 5 4 3 4 4" xfId="2262" xr:uid="{00000000-0005-0000-0000-0000D81C0000}"/>
    <cellStyle name="Comma 5 4 3 4 4 2" xfId="11627" xr:uid="{00000000-0005-0000-0000-0000D91C0000}"/>
    <cellStyle name="Comma 5 4 3 4 4 2 2" xfId="37182" xr:uid="{00000000-0005-0000-0000-0000DA1C0000}"/>
    <cellStyle name="Comma 5 4 3 4 4 3" xfId="21631" xr:uid="{00000000-0005-0000-0000-0000DB1C0000}"/>
    <cellStyle name="Comma 5 4 3 4 4 3 2" xfId="47184" xr:uid="{00000000-0005-0000-0000-0000DC1C0000}"/>
    <cellStyle name="Comma 5 4 3 4 4 4" xfId="28114" xr:uid="{00000000-0005-0000-0000-0000DD1C0000}"/>
    <cellStyle name="Comma 5 4 3 4 5" xfId="6286" xr:uid="{00000000-0005-0000-0000-0000DE1C0000}"/>
    <cellStyle name="Comma 5 4 3 4 5 2" xfId="15113" xr:uid="{00000000-0005-0000-0000-0000DF1C0000}"/>
    <cellStyle name="Comma 5 4 3 4 5 2 2" xfId="40668" xr:uid="{00000000-0005-0000-0000-0000E01C0000}"/>
    <cellStyle name="Comma 5 4 3 4 5 3" xfId="25364" xr:uid="{00000000-0005-0000-0000-0000E11C0000}"/>
    <cellStyle name="Comma 5 4 3 4 5 3 2" xfId="50917" xr:uid="{00000000-0005-0000-0000-0000E21C0000}"/>
    <cellStyle name="Comma 5 4 3 4 5 4" xfId="31847" xr:uid="{00000000-0005-0000-0000-0000E31C0000}"/>
    <cellStyle name="Comma 5 4 3 4 6" xfId="7732" xr:uid="{00000000-0005-0000-0000-0000E41C0000}"/>
    <cellStyle name="Comma 5 4 3 4 6 2" xfId="20113" xr:uid="{00000000-0005-0000-0000-0000E51C0000}"/>
    <cellStyle name="Comma 5 4 3 4 6 2 2" xfId="45666" xr:uid="{00000000-0005-0000-0000-0000E61C0000}"/>
    <cellStyle name="Comma 5 4 3 4 6 3" xfId="33289" xr:uid="{00000000-0005-0000-0000-0000E71C0000}"/>
    <cellStyle name="Comma 5 4 3 4 7" xfId="16624" xr:uid="{00000000-0005-0000-0000-0000E81C0000}"/>
    <cellStyle name="Comma 5 4 3 4 7 2" xfId="42177" xr:uid="{00000000-0005-0000-0000-0000E91C0000}"/>
    <cellStyle name="Comma 5 4 3 4 8" xfId="26596" xr:uid="{00000000-0005-0000-0000-0000EA1C0000}"/>
    <cellStyle name="Comma 5 4 3 5" xfId="1208" xr:uid="{00000000-0005-0000-0000-0000EB1C0000}"/>
    <cellStyle name="Comma 5 4 3 5 2" xfId="3637" xr:uid="{00000000-0005-0000-0000-0000EC1C0000}"/>
    <cellStyle name="Comma 5 4 3 5 2 2" xfId="12773" xr:uid="{00000000-0005-0000-0000-0000ED1C0000}"/>
    <cellStyle name="Comma 5 4 3 5 2 2 2" xfId="22992" xr:uid="{00000000-0005-0000-0000-0000EE1C0000}"/>
    <cellStyle name="Comma 5 4 3 5 2 2 2 2" xfId="48545" xr:uid="{00000000-0005-0000-0000-0000EF1C0000}"/>
    <cellStyle name="Comma 5 4 3 5 2 2 3" xfId="38328" xr:uid="{00000000-0005-0000-0000-0000F01C0000}"/>
    <cellStyle name="Comma 5 4 3 5 2 3" xfId="9194" xr:uid="{00000000-0005-0000-0000-0000F11C0000}"/>
    <cellStyle name="Comma 5 4 3 5 2 3 2" xfId="34751" xr:uid="{00000000-0005-0000-0000-0000F21C0000}"/>
    <cellStyle name="Comma 5 4 3 5 2 4" xfId="17985" xr:uid="{00000000-0005-0000-0000-0000F31C0000}"/>
    <cellStyle name="Comma 5 4 3 5 2 4 2" xfId="43538" xr:uid="{00000000-0005-0000-0000-0000F41C0000}"/>
    <cellStyle name="Comma 5 4 3 5 2 5" xfId="29475" xr:uid="{00000000-0005-0000-0000-0000F51C0000}"/>
    <cellStyle name="Comma 5 4 3 5 3" xfId="5300" xr:uid="{00000000-0005-0000-0000-0000F61C0000}"/>
    <cellStyle name="Comma 5 4 3 5 3 2" xfId="14137" xr:uid="{00000000-0005-0000-0000-0000F71C0000}"/>
    <cellStyle name="Comma 5 4 3 5 3 2 2" xfId="24388" xr:uid="{00000000-0005-0000-0000-0000F81C0000}"/>
    <cellStyle name="Comma 5 4 3 5 3 2 2 2" xfId="49941" xr:uid="{00000000-0005-0000-0000-0000F91C0000}"/>
    <cellStyle name="Comma 5 4 3 5 3 2 3" xfId="39692" xr:uid="{00000000-0005-0000-0000-0000FA1C0000}"/>
    <cellStyle name="Comma 5 4 3 5 3 3" xfId="10558" xr:uid="{00000000-0005-0000-0000-0000FB1C0000}"/>
    <cellStyle name="Comma 5 4 3 5 3 3 2" xfId="36115" xr:uid="{00000000-0005-0000-0000-0000FC1C0000}"/>
    <cellStyle name="Comma 5 4 3 5 3 4" xfId="19381" xr:uid="{00000000-0005-0000-0000-0000FD1C0000}"/>
    <cellStyle name="Comma 5 4 3 5 3 4 2" xfId="44934" xr:uid="{00000000-0005-0000-0000-0000FE1C0000}"/>
    <cellStyle name="Comma 5 4 3 5 3 5" xfId="30871" xr:uid="{00000000-0005-0000-0000-0000FF1C0000}"/>
    <cellStyle name="Comma 5 4 3 5 4" xfId="1811" xr:uid="{00000000-0005-0000-0000-0000001D0000}"/>
    <cellStyle name="Comma 5 4 3 5 4 2" xfId="11179" xr:uid="{00000000-0005-0000-0000-0000011D0000}"/>
    <cellStyle name="Comma 5 4 3 5 4 2 2" xfId="36734" xr:uid="{00000000-0005-0000-0000-0000021D0000}"/>
    <cellStyle name="Comma 5 4 3 5 4 3" xfId="21183" xr:uid="{00000000-0005-0000-0000-0000031D0000}"/>
    <cellStyle name="Comma 5 4 3 5 4 3 2" xfId="46736" xr:uid="{00000000-0005-0000-0000-0000041D0000}"/>
    <cellStyle name="Comma 5 4 3 5 4 4" xfId="27666" xr:uid="{00000000-0005-0000-0000-0000051D0000}"/>
    <cellStyle name="Comma 5 4 3 5 5" xfId="6755" xr:uid="{00000000-0005-0000-0000-0000061D0000}"/>
    <cellStyle name="Comma 5 4 3 5 5 2" xfId="15582" xr:uid="{00000000-0005-0000-0000-0000071D0000}"/>
    <cellStyle name="Comma 5 4 3 5 5 2 2" xfId="41137" xr:uid="{00000000-0005-0000-0000-0000081D0000}"/>
    <cellStyle name="Comma 5 4 3 5 5 3" xfId="25833" xr:uid="{00000000-0005-0000-0000-0000091D0000}"/>
    <cellStyle name="Comma 5 4 3 5 5 3 2" xfId="51386" xr:uid="{00000000-0005-0000-0000-00000A1D0000}"/>
    <cellStyle name="Comma 5 4 3 5 5 4" xfId="32316" xr:uid="{00000000-0005-0000-0000-00000B1D0000}"/>
    <cellStyle name="Comma 5 4 3 5 6" xfId="8201" xr:uid="{00000000-0005-0000-0000-00000C1D0000}"/>
    <cellStyle name="Comma 5 4 3 5 6 2" xfId="20591" xr:uid="{00000000-0005-0000-0000-00000D1D0000}"/>
    <cellStyle name="Comma 5 4 3 5 6 2 2" xfId="46144" xr:uid="{00000000-0005-0000-0000-00000E1D0000}"/>
    <cellStyle name="Comma 5 4 3 5 6 3" xfId="33758" xr:uid="{00000000-0005-0000-0000-00000F1D0000}"/>
    <cellStyle name="Comma 5 4 3 5 7" xfId="16176" xr:uid="{00000000-0005-0000-0000-0000101D0000}"/>
    <cellStyle name="Comma 5 4 3 5 7 2" xfId="41729" xr:uid="{00000000-0005-0000-0000-0000111D0000}"/>
    <cellStyle name="Comma 5 4 3 5 8" xfId="27074" xr:uid="{00000000-0005-0000-0000-0000121D0000}"/>
    <cellStyle name="Comma 5 4 3 6" xfId="2705" xr:uid="{00000000-0005-0000-0000-0000131D0000}"/>
    <cellStyle name="Comma 5 4 3 6 2" xfId="12022" xr:uid="{00000000-0005-0000-0000-0000141D0000}"/>
    <cellStyle name="Comma 5 4 3 6 2 2" xfId="22066" xr:uid="{00000000-0005-0000-0000-0000151D0000}"/>
    <cellStyle name="Comma 5 4 3 6 2 2 2" xfId="47619" xr:uid="{00000000-0005-0000-0000-0000161D0000}"/>
    <cellStyle name="Comma 5 4 3 6 2 3" xfId="37577" xr:uid="{00000000-0005-0000-0000-0000171D0000}"/>
    <cellStyle name="Comma 5 4 3 6 3" xfId="7641" xr:uid="{00000000-0005-0000-0000-0000181D0000}"/>
    <cellStyle name="Comma 5 4 3 6 3 2" xfId="33198" xr:uid="{00000000-0005-0000-0000-0000191D0000}"/>
    <cellStyle name="Comma 5 4 3 6 4" xfId="17059" xr:uid="{00000000-0005-0000-0000-00001A1D0000}"/>
    <cellStyle name="Comma 5 4 3 6 4 2" xfId="42612" xr:uid="{00000000-0005-0000-0000-00001B1D0000}"/>
    <cellStyle name="Comma 5 4 3 6 5" xfId="28549" xr:uid="{00000000-0005-0000-0000-00001C1D0000}"/>
    <cellStyle name="Comma 5 4 3 7" xfId="4256" xr:uid="{00000000-0005-0000-0000-00001D1D0000}"/>
    <cellStyle name="Comma 5 4 3 7 2" xfId="13094" xr:uid="{00000000-0005-0000-0000-00001E1D0000}"/>
    <cellStyle name="Comma 5 4 3 7 2 2" xfId="23345" xr:uid="{00000000-0005-0000-0000-00001F1D0000}"/>
    <cellStyle name="Comma 5 4 3 7 2 2 2" xfId="48898" xr:uid="{00000000-0005-0000-0000-0000201D0000}"/>
    <cellStyle name="Comma 5 4 3 7 2 3" xfId="38649" xr:uid="{00000000-0005-0000-0000-0000211D0000}"/>
    <cellStyle name="Comma 5 4 3 7 3" xfId="9515" xr:uid="{00000000-0005-0000-0000-0000221D0000}"/>
    <cellStyle name="Comma 5 4 3 7 3 2" xfId="35072" xr:uid="{00000000-0005-0000-0000-0000231D0000}"/>
    <cellStyle name="Comma 5 4 3 7 4" xfId="18338" xr:uid="{00000000-0005-0000-0000-0000241D0000}"/>
    <cellStyle name="Comma 5 4 3 7 4 2" xfId="43891" xr:uid="{00000000-0005-0000-0000-0000251D0000}"/>
    <cellStyle name="Comma 5 4 3 7 5" xfId="29828" xr:uid="{00000000-0005-0000-0000-0000261D0000}"/>
    <cellStyle name="Comma 5 4 3 8" xfId="1528" xr:uid="{00000000-0005-0000-0000-0000271D0000}"/>
    <cellStyle name="Comma 5 4 3 8 2" xfId="10905" xr:uid="{00000000-0005-0000-0000-0000281D0000}"/>
    <cellStyle name="Comma 5 4 3 8 2 2" xfId="36460" xr:uid="{00000000-0005-0000-0000-0000291D0000}"/>
    <cellStyle name="Comma 5 4 3 8 3" xfId="20909" xr:uid="{00000000-0005-0000-0000-00002A1D0000}"/>
    <cellStyle name="Comma 5 4 3 8 3 2" xfId="46462" xr:uid="{00000000-0005-0000-0000-00002B1D0000}"/>
    <cellStyle name="Comma 5 4 3 8 4" xfId="27392" xr:uid="{00000000-0005-0000-0000-00002C1D0000}"/>
    <cellStyle name="Comma 5 4 3 9" xfId="5712" xr:uid="{00000000-0005-0000-0000-00002D1D0000}"/>
    <cellStyle name="Comma 5 4 3 9 2" xfId="14539" xr:uid="{00000000-0005-0000-0000-00002E1D0000}"/>
    <cellStyle name="Comma 5 4 3 9 2 2" xfId="40094" xr:uid="{00000000-0005-0000-0000-00002F1D0000}"/>
    <cellStyle name="Comma 5 4 3 9 3" xfId="24790" xr:uid="{00000000-0005-0000-0000-0000301D0000}"/>
    <cellStyle name="Comma 5 4 3 9 3 2" xfId="50343" xr:uid="{00000000-0005-0000-0000-0000311D0000}"/>
    <cellStyle name="Comma 5 4 3 9 4" xfId="31273" xr:uid="{00000000-0005-0000-0000-0000321D0000}"/>
    <cellStyle name="Comma 5 4 4" xfId="243" xr:uid="{00000000-0005-0000-0000-0000331D0000}"/>
    <cellStyle name="Comma 5 4 4 10" xfId="7081" xr:uid="{00000000-0005-0000-0000-0000341D0000}"/>
    <cellStyle name="Comma 5 4 4 10 2" xfId="19695" xr:uid="{00000000-0005-0000-0000-0000351D0000}"/>
    <cellStyle name="Comma 5 4 4 10 2 2" xfId="45248" xr:uid="{00000000-0005-0000-0000-0000361D0000}"/>
    <cellStyle name="Comma 5 4 4 10 3" xfId="32638" xr:uid="{00000000-0005-0000-0000-0000371D0000}"/>
    <cellStyle name="Comma 5 4 4 11" xfId="15827" xr:uid="{00000000-0005-0000-0000-0000381D0000}"/>
    <cellStyle name="Comma 5 4 4 11 2" xfId="41380" xr:uid="{00000000-0005-0000-0000-0000391D0000}"/>
    <cellStyle name="Comma 5 4 4 12" xfId="26178" xr:uid="{00000000-0005-0000-0000-00003A1D0000}"/>
    <cellStyle name="Comma 5 4 4 2" xfId="566" xr:uid="{00000000-0005-0000-0000-00003B1D0000}"/>
    <cellStyle name="Comma 5 4 4 2 10" xfId="26495" xr:uid="{00000000-0005-0000-0000-00003C1D0000}"/>
    <cellStyle name="Comma 5 4 4 2 2" xfId="670" xr:uid="{00000000-0005-0000-0000-00003D1D0000}"/>
    <cellStyle name="Comma 5 4 4 2 2 2" xfId="3156" xr:uid="{00000000-0005-0000-0000-00003E1D0000}"/>
    <cellStyle name="Comma 5 4 4 2 2 2 2" xfId="12299" xr:uid="{00000000-0005-0000-0000-00003F1D0000}"/>
    <cellStyle name="Comma 5 4 4 2 2 2 2 2" xfId="22517" xr:uid="{00000000-0005-0000-0000-0000401D0000}"/>
    <cellStyle name="Comma 5 4 4 2 2 2 2 2 2" xfId="48070" xr:uid="{00000000-0005-0000-0000-0000411D0000}"/>
    <cellStyle name="Comma 5 4 4 2 2 2 2 3" xfId="37854" xr:uid="{00000000-0005-0000-0000-0000421D0000}"/>
    <cellStyle name="Comma 5 4 4 2 2 2 3" xfId="8721" xr:uid="{00000000-0005-0000-0000-0000431D0000}"/>
    <cellStyle name="Comma 5 4 4 2 2 2 3 2" xfId="34278" xr:uid="{00000000-0005-0000-0000-0000441D0000}"/>
    <cellStyle name="Comma 5 4 4 2 2 2 4" xfId="17510" xr:uid="{00000000-0005-0000-0000-0000451D0000}"/>
    <cellStyle name="Comma 5 4 4 2 2 2 4 2" xfId="43063" xr:uid="{00000000-0005-0000-0000-0000461D0000}"/>
    <cellStyle name="Comma 5 4 4 2 2 2 5" xfId="29000" xr:uid="{00000000-0005-0000-0000-0000471D0000}"/>
    <cellStyle name="Comma 5 4 4 2 2 3" xfId="4485" xr:uid="{00000000-0005-0000-0000-0000481D0000}"/>
    <cellStyle name="Comma 5 4 4 2 2 3 2" xfId="13323" xr:uid="{00000000-0005-0000-0000-0000491D0000}"/>
    <cellStyle name="Comma 5 4 4 2 2 3 2 2" xfId="23574" xr:uid="{00000000-0005-0000-0000-00004A1D0000}"/>
    <cellStyle name="Comma 5 4 4 2 2 3 2 2 2" xfId="49127" xr:uid="{00000000-0005-0000-0000-00004B1D0000}"/>
    <cellStyle name="Comma 5 4 4 2 2 3 2 3" xfId="38878" xr:uid="{00000000-0005-0000-0000-00004C1D0000}"/>
    <cellStyle name="Comma 5 4 4 2 2 3 3" xfId="9744" xr:uid="{00000000-0005-0000-0000-00004D1D0000}"/>
    <cellStyle name="Comma 5 4 4 2 2 3 3 2" xfId="35301" xr:uid="{00000000-0005-0000-0000-00004E1D0000}"/>
    <cellStyle name="Comma 5 4 4 2 2 3 4" xfId="18567" xr:uid="{00000000-0005-0000-0000-00004F1D0000}"/>
    <cellStyle name="Comma 5 4 4 2 2 3 4 2" xfId="44120" xr:uid="{00000000-0005-0000-0000-0000501D0000}"/>
    <cellStyle name="Comma 5 4 4 2 2 3 5" xfId="30057" xr:uid="{00000000-0005-0000-0000-0000511D0000}"/>
    <cellStyle name="Comma 5 4 4 2 2 4" xfId="2265" xr:uid="{00000000-0005-0000-0000-0000521D0000}"/>
    <cellStyle name="Comma 5 4 4 2 2 4 2" xfId="11630" xr:uid="{00000000-0005-0000-0000-0000531D0000}"/>
    <cellStyle name="Comma 5 4 4 2 2 4 2 2" xfId="37185" xr:uid="{00000000-0005-0000-0000-0000541D0000}"/>
    <cellStyle name="Comma 5 4 4 2 2 4 3" xfId="21634" xr:uid="{00000000-0005-0000-0000-0000551D0000}"/>
    <cellStyle name="Comma 5 4 4 2 2 4 3 2" xfId="47187" xr:uid="{00000000-0005-0000-0000-0000561D0000}"/>
    <cellStyle name="Comma 5 4 4 2 2 4 4" xfId="28117" xr:uid="{00000000-0005-0000-0000-0000571D0000}"/>
    <cellStyle name="Comma 5 4 4 2 2 5" xfId="5941" xr:uid="{00000000-0005-0000-0000-0000581D0000}"/>
    <cellStyle name="Comma 5 4 4 2 2 5 2" xfId="14768" xr:uid="{00000000-0005-0000-0000-0000591D0000}"/>
    <cellStyle name="Comma 5 4 4 2 2 5 2 2" xfId="40323" xr:uid="{00000000-0005-0000-0000-00005A1D0000}"/>
    <cellStyle name="Comma 5 4 4 2 2 5 3" xfId="25019" xr:uid="{00000000-0005-0000-0000-00005B1D0000}"/>
    <cellStyle name="Comma 5 4 4 2 2 5 3 2" xfId="50572" xr:uid="{00000000-0005-0000-0000-00005C1D0000}"/>
    <cellStyle name="Comma 5 4 4 2 2 5 4" xfId="31502" xr:uid="{00000000-0005-0000-0000-00005D1D0000}"/>
    <cellStyle name="Comma 5 4 4 2 2 6" xfId="7385" xr:uid="{00000000-0005-0000-0000-00005E1D0000}"/>
    <cellStyle name="Comma 5 4 4 2 2 6 2" xfId="20116" xr:uid="{00000000-0005-0000-0000-00005F1D0000}"/>
    <cellStyle name="Comma 5 4 4 2 2 6 2 2" xfId="45669" xr:uid="{00000000-0005-0000-0000-0000601D0000}"/>
    <cellStyle name="Comma 5 4 4 2 2 6 3" xfId="32942" xr:uid="{00000000-0005-0000-0000-0000611D0000}"/>
    <cellStyle name="Comma 5 4 4 2 2 7" xfId="16627" xr:uid="{00000000-0005-0000-0000-0000621D0000}"/>
    <cellStyle name="Comma 5 4 4 2 2 7 2" xfId="42180" xr:uid="{00000000-0005-0000-0000-0000631D0000}"/>
    <cellStyle name="Comma 5 4 4 2 2 8" xfId="26599" xr:uid="{00000000-0005-0000-0000-0000641D0000}"/>
    <cellStyle name="Comma 5 4 4 2 3" xfId="1338" xr:uid="{00000000-0005-0000-0000-0000651D0000}"/>
    <cellStyle name="Comma 5 4 4 2 3 2" xfId="3767" xr:uid="{00000000-0005-0000-0000-0000661D0000}"/>
    <cellStyle name="Comma 5 4 4 2 3 2 2" xfId="12903" xr:uid="{00000000-0005-0000-0000-0000671D0000}"/>
    <cellStyle name="Comma 5 4 4 2 3 2 2 2" xfId="23122" xr:uid="{00000000-0005-0000-0000-0000681D0000}"/>
    <cellStyle name="Comma 5 4 4 2 3 2 2 2 2" xfId="48675" xr:uid="{00000000-0005-0000-0000-0000691D0000}"/>
    <cellStyle name="Comma 5 4 4 2 3 2 2 3" xfId="38458" xr:uid="{00000000-0005-0000-0000-00006A1D0000}"/>
    <cellStyle name="Comma 5 4 4 2 3 2 3" xfId="9324" xr:uid="{00000000-0005-0000-0000-00006B1D0000}"/>
    <cellStyle name="Comma 5 4 4 2 3 2 3 2" xfId="34881" xr:uid="{00000000-0005-0000-0000-00006C1D0000}"/>
    <cellStyle name="Comma 5 4 4 2 3 2 4" xfId="18115" xr:uid="{00000000-0005-0000-0000-00006D1D0000}"/>
    <cellStyle name="Comma 5 4 4 2 3 2 4 2" xfId="43668" xr:uid="{00000000-0005-0000-0000-00006E1D0000}"/>
    <cellStyle name="Comma 5 4 4 2 3 2 5" xfId="29605" xr:uid="{00000000-0005-0000-0000-00006F1D0000}"/>
    <cellStyle name="Comma 5 4 4 2 3 3" xfId="4834" xr:uid="{00000000-0005-0000-0000-0000701D0000}"/>
    <cellStyle name="Comma 5 4 4 2 3 3 2" xfId="13671" xr:uid="{00000000-0005-0000-0000-0000711D0000}"/>
    <cellStyle name="Comma 5 4 4 2 3 3 2 2" xfId="23922" xr:uid="{00000000-0005-0000-0000-0000721D0000}"/>
    <cellStyle name="Comma 5 4 4 2 3 3 2 2 2" xfId="49475" xr:uid="{00000000-0005-0000-0000-0000731D0000}"/>
    <cellStyle name="Comma 5 4 4 2 3 3 2 3" xfId="39226" xr:uid="{00000000-0005-0000-0000-0000741D0000}"/>
    <cellStyle name="Comma 5 4 4 2 3 3 3" xfId="10092" xr:uid="{00000000-0005-0000-0000-0000751D0000}"/>
    <cellStyle name="Comma 5 4 4 2 3 3 3 2" xfId="35649" xr:uid="{00000000-0005-0000-0000-0000761D0000}"/>
    <cellStyle name="Comma 5 4 4 2 3 3 4" xfId="18915" xr:uid="{00000000-0005-0000-0000-0000771D0000}"/>
    <cellStyle name="Comma 5 4 4 2 3 3 4 2" xfId="44468" xr:uid="{00000000-0005-0000-0000-0000781D0000}"/>
    <cellStyle name="Comma 5 4 4 2 3 3 5" xfId="30405" xr:uid="{00000000-0005-0000-0000-0000791D0000}"/>
    <cellStyle name="Comma 5 4 4 2 3 4" xfId="2161" xr:uid="{00000000-0005-0000-0000-00007A1D0000}"/>
    <cellStyle name="Comma 5 4 4 2 3 4 2" xfId="11526" xr:uid="{00000000-0005-0000-0000-00007B1D0000}"/>
    <cellStyle name="Comma 5 4 4 2 3 4 2 2" xfId="37081" xr:uid="{00000000-0005-0000-0000-00007C1D0000}"/>
    <cellStyle name="Comma 5 4 4 2 3 4 3" xfId="21530" xr:uid="{00000000-0005-0000-0000-00007D1D0000}"/>
    <cellStyle name="Comma 5 4 4 2 3 4 3 2" xfId="47083" xr:uid="{00000000-0005-0000-0000-00007E1D0000}"/>
    <cellStyle name="Comma 5 4 4 2 3 4 4" xfId="28013" xr:uid="{00000000-0005-0000-0000-00007F1D0000}"/>
    <cellStyle name="Comma 5 4 4 2 3 5" xfId="6289" xr:uid="{00000000-0005-0000-0000-0000801D0000}"/>
    <cellStyle name="Comma 5 4 4 2 3 5 2" xfId="15116" xr:uid="{00000000-0005-0000-0000-0000811D0000}"/>
    <cellStyle name="Comma 5 4 4 2 3 5 2 2" xfId="40671" xr:uid="{00000000-0005-0000-0000-0000821D0000}"/>
    <cellStyle name="Comma 5 4 4 2 3 5 3" xfId="25367" xr:uid="{00000000-0005-0000-0000-0000831D0000}"/>
    <cellStyle name="Comma 5 4 4 2 3 5 3 2" xfId="50920" xr:uid="{00000000-0005-0000-0000-0000841D0000}"/>
    <cellStyle name="Comma 5 4 4 2 3 5 4" xfId="31850" xr:uid="{00000000-0005-0000-0000-0000851D0000}"/>
    <cellStyle name="Comma 5 4 4 2 3 6" xfId="7735" xr:uid="{00000000-0005-0000-0000-0000861D0000}"/>
    <cellStyle name="Comma 5 4 4 2 3 6 2" xfId="20721" xr:uid="{00000000-0005-0000-0000-0000871D0000}"/>
    <cellStyle name="Comma 5 4 4 2 3 6 2 2" xfId="46274" xr:uid="{00000000-0005-0000-0000-0000881D0000}"/>
    <cellStyle name="Comma 5 4 4 2 3 6 3" xfId="33292" xr:uid="{00000000-0005-0000-0000-0000891D0000}"/>
    <cellStyle name="Comma 5 4 4 2 3 7" xfId="16523" xr:uid="{00000000-0005-0000-0000-00008A1D0000}"/>
    <cellStyle name="Comma 5 4 4 2 3 7 2" xfId="42076" xr:uid="{00000000-0005-0000-0000-00008B1D0000}"/>
    <cellStyle name="Comma 5 4 4 2 3 8" xfId="27204" xr:uid="{00000000-0005-0000-0000-00008C1D0000}"/>
    <cellStyle name="Comma 5 4 4 2 4" xfId="3052" xr:uid="{00000000-0005-0000-0000-00008D1D0000}"/>
    <cellStyle name="Comma 5 4 4 2 4 2" xfId="5430" xr:uid="{00000000-0005-0000-0000-00008E1D0000}"/>
    <cellStyle name="Comma 5 4 4 2 4 2 2" xfId="14267" xr:uid="{00000000-0005-0000-0000-00008F1D0000}"/>
    <cellStyle name="Comma 5 4 4 2 4 2 2 2" xfId="24518" xr:uid="{00000000-0005-0000-0000-0000901D0000}"/>
    <cellStyle name="Comma 5 4 4 2 4 2 2 2 2" xfId="50071" xr:uid="{00000000-0005-0000-0000-0000911D0000}"/>
    <cellStyle name="Comma 5 4 4 2 4 2 2 3" xfId="39822" xr:uid="{00000000-0005-0000-0000-0000921D0000}"/>
    <cellStyle name="Comma 5 4 4 2 4 2 3" xfId="10688" xr:uid="{00000000-0005-0000-0000-0000931D0000}"/>
    <cellStyle name="Comma 5 4 4 2 4 2 3 2" xfId="36245" xr:uid="{00000000-0005-0000-0000-0000941D0000}"/>
    <cellStyle name="Comma 5 4 4 2 4 2 4" xfId="19511" xr:uid="{00000000-0005-0000-0000-0000951D0000}"/>
    <cellStyle name="Comma 5 4 4 2 4 2 4 2" xfId="45064" xr:uid="{00000000-0005-0000-0000-0000961D0000}"/>
    <cellStyle name="Comma 5 4 4 2 4 2 5" xfId="31001" xr:uid="{00000000-0005-0000-0000-0000971D0000}"/>
    <cellStyle name="Comma 5 4 4 2 4 3" xfId="6885" xr:uid="{00000000-0005-0000-0000-0000981D0000}"/>
    <cellStyle name="Comma 5 4 4 2 4 3 2" xfId="15712" xr:uid="{00000000-0005-0000-0000-0000991D0000}"/>
    <cellStyle name="Comma 5 4 4 2 4 3 2 2" xfId="41267" xr:uid="{00000000-0005-0000-0000-00009A1D0000}"/>
    <cellStyle name="Comma 5 4 4 2 4 3 3" xfId="25963" xr:uid="{00000000-0005-0000-0000-00009B1D0000}"/>
    <cellStyle name="Comma 5 4 4 2 4 3 3 2" xfId="51516" xr:uid="{00000000-0005-0000-0000-00009C1D0000}"/>
    <cellStyle name="Comma 5 4 4 2 4 3 4" xfId="32446" xr:uid="{00000000-0005-0000-0000-00009D1D0000}"/>
    <cellStyle name="Comma 5 4 4 2 4 4" xfId="8331" xr:uid="{00000000-0005-0000-0000-00009E1D0000}"/>
    <cellStyle name="Comma 5 4 4 2 4 4 2" xfId="22413" xr:uid="{00000000-0005-0000-0000-00009F1D0000}"/>
    <cellStyle name="Comma 5 4 4 2 4 4 2 2" xfId="47966" xr:uid="{00000000-0005-0000-0000-0000A01D0000}"/>
    <cellStyle name="Comma 5 4 4 2 4 4 3" xfId="33888" xr:uid="{00000000-0005-0000-0000-0000A11D0000}"/>
    <cellStyle name="Comma 5 4 4 2 4 5" xfId="17406" xr:uid="{00000000-0005-0000-0000-0000A21D0000}"/>
    <cellStyle name="Comma 5 4 4 2 4 5 2" xfId="42959" xr:uid="{00000000-0005-0000-0000-0000A31D0000}"/>
    <cellStyle name="Comma 5 4 4 2 4 6" xfId="28896" xr:uid="{00000000-0005-0000-0000-0000A41D0000}"/>
    <cellStyle name="Comma 5 4 4 2 5" xfId="4386" xr:uid="{00000000-0005-0000-0000-0000A51D0000}"/>
    <cellStyle name="Comma 5 4 4 2 5 2" xfId="13224" xr:uid="{00000000-0005-0000-0000-0000A61D0000}"/>
    <cellStyle name="Comma 5 4 4 2 5 2 2" xfId="23475" xr:uid="{00000000-0005-0000-0000-0000A71D0000}"/>
    <cellStyle name="Comma 5 4 4 2 5 2 2 2" xfId="49028" xr:uid="{00000000-0005-0000-0000-0000A81D0000}"/>
    <cellStyle name="Comma 5 4 4 2 5 2 3" xfId="38779" xr:uid="{00000000-0005-0000-0000-0000A91D0000}"/>
    <cellStyle name="Comma 5 4 4 2 5 3" xfId="9645" xr:uid="{00000000-0005-0000-0000-0000AA1D0000}"/>
    <cellStyle name="Comma 5 4 4 2 5 3 2" xfId="35202" xr:uid="{00000000-0005-0000-0000-0000AB1D0000}"/>
    <cellStyle name="Comma 5 4 4 2 5 4" xfId="18468" xr:uid="{00000000-0005-0000-0000-0000AC1D0000}"/>
    <cellStyle name="Comma 5 4 4 2 5 4 2" xfId="44021" xr:uid="{00000000-0005-0000-0000-0000AD1D0000}"/>
    <cellStyle name="Comma 5 4 4 2 5 5" xfId="29958" xr:uid="{00000000-0005-0000-0000-0000AE1D0000}"/>
    <cellStyle name="Comma 5 4 4 2 6" xfId="1658" xr:uid="{00000000-0005-0000-0000-0000AF1D0000}"/>
    <cellStyle name="Comma 5 4 4 2 6 2" xfId="11035" xr:uid="{00000000-0005-0000-0000-0000B01D0000}"/>
    <cellStyle name="Comma 5 4 4 2 6 2 2" xfId="36590" xr:uid="{00000000-0005-0000-0000-0000B11D0000}"/>
    <cellStyle name="Comma 5 4 4 2 6 3" xfId="21039" xr:uid="{00000000-0005-0000-0000-0000B21D0000}"/>
    <cellStyle name="Comma 5 4 4 2 6 3 2" xfId="46592" xr:uid="{00000000-0005-0000-0000-0000B31D0000}"/>
    <cellStyle name="Comma 5 4 4 2 6 4" xfId="27522" xr:uid="{00000000-0005-0000-0000-0000B41D0000}"/>
    <cellStyle name="Comma 5 4 4 2 7" xfId="5842" xr:uid="{00000000-0005-0000-0000-0000B51D0000}"/>
    <cellStyle name="Comma 5 4 4 2 7 2" xfId="14669" xr:uid="{00000000-0005-0000-0000-0000B61D0000}"/>
    <cellStyle name="Comma 5 4 4 2 7 2 2" xfId="40224" xr:uid="{00000000-0005-0000-0000-0000B71D0000}"/>
    <cellStyle name="Comma 5 4 4 2 7 3" xfId="24920" xr:uid="{00000000-0005-0000-0000-0000B81D0000}"/>
    <cellStyle name="Comma 5 4 4 2 7 3 2" xfId="50473" xr:uid="{00000000-0005-0000-0000-0000B91D0000}"/>
    <cellStyle name="Comma 5 4 4 2 7 4" xfId="31403" xr:uid="{00000000-0005-0000-0000-0000BA1D0000}"/>
    <cellStyle name="Comma 5 4 4 2 8" xfId="7286" xr:uid="{00000000-0005-0000-0000-0000BB1D0000}"/>
    <cellStyle name="Comma 5 4 4 2 8 2" xfId="20012" xr:uid="{00000000-0005-0000-0000-0000BC1D0000}"/>
    <cellStyle name="Comma 5 4 4 2 8 2 2" xfId="45565" xr:uid="{00000000-0005-0000-0000-0000BD1D0000}"/>
    <cellStyle name="Comma 5 4 4 2 8 3" xfId="32843" xr:uid="{00000000-0005-0000-0000-0000BE1D0000}"/>
    <cellStyle name="Comma 5 4 4 2 9" xfId="16032" xr:uid="{00000000-0005-0000-0000-0000BF1D0000}"/>
    <cellStyle name="Comma 5 4 4 2 9 2" xfId="41585" xr:uid="{00000000-0005-0000-0000-0000C01D0000}"/>
    <cellStyle name="Comma 5 4 4 3" xfId="361" xr:uid="{00000000-0005-0000-0000-0000C11D0000}"/>
    <cellStyle name="Comma 5 4 4 3 2" xfId="2847" xr:uid="{00000000-0005-0000-0000-0000C21D0000}"/>
    <cellStyle name="Comma 5 4 4 3 2 2" xfId="12135" xr:uid="{00000000-0005-0000-0000-0000C31D0000}"/>
    <cellStyle name="Comma 5 4 4 3 2 2 2" xfId="22208" xr:uid="{00000000-0005-0000-0000-0000C41D0000}"/>
    <cellStyle name="Comma 5 4 4 3 2 2 2 2" xfId="47761" xr:uid="{00000000-0005-0000-0000-0000C51D0000}"/>
    <cellStyle name="Comma 5 4 4 3 2 2 3" xfId="37690" xr:uid="{00000000-0005-0000-0000-0000C61D0000}"/>
    <cellStyle name="Comma 5 4 4 3 2 3" xfId="8516" xr:uid="{00000000-0005-0000-0000-0000C71D0000}"/>
    <cellStyle name="Comma 5 4 4 3 2 3 2" xfId="34073" xr:uid="{00000000-0005-0000-0000-0000C81D0000}"/>
    <cellStyle name="Comma 5 4 4 3 2 4" xfId="17201" xr:uid="{00000000-0005-0000-0000-0000C91D0000}"/>
    <cellStyle name="Comma 5 4 4 3 2 4 2" xfId="42754" xr:uid="{00000000-0005-0000-0000-0000CA1D0000}"/>
    <cellStyle name="Comma 5 4 4 3 2 5" xfId="28691" xr:uid="{00000000-0005-0000-0000-0000CB1D0000}"/>
    <cellStyle name="Comma 5 4 4 3 3" xfId="4484" xr:uid="{00000000-0005-0000-0000-0000CC1D0000}"/>
    <cellStyle name="Comma 5 4 4 3 3 2" xfId="13322" xr:uid="{00000000-0005-0000-0000-0000CD1D0000}"/>
    <cellStyle name="Comma 5 4 4 3 3 2 2" xfId="23573" xr:uid="{00000000-0005-0000-0000-0000CE1D0000}"/>
    <cellStyle name="Comma 5 4 4 3 3 2 2 2" xfId="49126" xr:uid="{00000000-0005-0000-0000-0000CF1D0000}"/>
    <cellStyle name="Comma 5 4 4 3 3 2 3" xfId="38877" xr:uid="{00000000-0005-0000-0000-0000D01D0000}"/>
    <cellStyle name="Comma 5 4 4 3 3 3" xfId="9743" xr:uid="{00000000-0005-0000-0000-0000D11D0000}"/>
    <cellStyle name="Comma 5 4 4 3 3 3 2" xfId="35300" xr:uid="{00000000-0005-0000-0000-0000D21D0000}"/>
    <cellStyle name="Comma 5 4 4 3 3 4" xfId="18566" xr:uid="{00000000-0005-0000-0000-0000D31D0000}"/>
    <cellStyle name="Comma 5 4 4 3 3 4 2" xfId="44119" xr:uid="{00000000-0005-0000-0000-0000D41D0000}"/>
    <cellStyle name="Comma 5 4 4 3 3 5" xfId="30056" xr:uid="{00000000-0005-0000-0000-0000D51D0000}"/>
    <cellStyle name="Comma 5 4 4 3 4" xfId="1956" xr:uid="{00000000-0005-0000-0000-0000D61D0000}"/>
    <cellStyle name="Comma 5 4 4 3 4 2" xfId="11321" xr:uid="{00000000-0005-0000-0000-0000D71D0000}"/>
    <cellStyle name="Comma 5 4 4 3 4 2 2" xfId="36876" xr:uid="{00000000-0005-0000-0000-0000D81D0000}"/>
    <cellStyle name="Comma 5 4 4 3 4 3" xfId="21325" xr:uid="{00000000-0005-0000-0000-0000D91D0000}"/>
    <cellStyle name="Comma 5 4 4 3 4 3 2" xfId="46878" xr:uid="{00000000-0005-0000-0000-0000DA1D0000}"/>
    <cellStyle name="Comma 5 4 4 3 4 4" xfId="27808" xr:uid="{00000000-0005-0000-0000-0000DB1D0000}"/>
    <cellStyle name="Comma 5 4 4 3 5" xfId="5940" xr:uid="{00000000-0005-0000-0000-0000DC1D0000}"/>
    <cellStyle name="Comma 5 4 4 3 5 2" xfId="14767" xr:uid="{00000000-0005-0000-0000-0000DD1D0000}"/>
    <cellStyle name="Comma 5 4 4 3 5 2 2" xfId="40322" xr:uid="{00000000-0005-0000-0000-0000DE1D0000}"/>
    <cellStyle name="Comma 5 4 4 3 5 3" xfId="25018" xr:uid="{00000000-0005-0000-0000-0000DF1D0000}"/>
    <cellStyle name="Comma 5 4 4 3 5 3 2" xfId="50571" xr:uid="{00000000-0005-0000-0000-0000E01D0000}"/>
    <cellStyle name="Comma 5 4 4 3 5 4" xfId="31501" xr:uid="{00000000-0005-0000-0000-0000E11D0000}"/>
    <cellStyle name="Comma 5 4 4 3 6" xfId="7384" xr:uid="{00000000-0005-0000-0000-0000E21D0000}"/>
    <cellStyle name="Comma 5 4 4 3 6 2" xfId="19807" xr:uid="{00000000-0005-0000-0000-0000E31D0000}"/>
    <cellStyle name="Comma 5 4 4 3 6 2 2" xfId="45360" xr:uid="{00000000-0005-0000-0000-0000E41D0000}"/>
    <cellStyle name="Comma 5 4 4 3 6 3" xfId="32941" xr:uid="{00000000-0005-0000-0000-0000E51D0000}"/>
    <cellStyle name="Comma 5 4 4 3 7" xfId="16318" xr:uid="{00000000-0005-0000-0000-0000E61D0000}"/>
    <cellStyle name="Comma 5 4 4 3 7 2" xfId="41871" xr:uid="{00000000-0005-0000-0000-0000E71D0000}"/>
    <cellStyle name="Comma 5 4 4 3 8" xfId="26290" xr:uid="{00000000-0005-0000-0000-0000E81D0000}"/>
    <cellStyle name="Comma 5 4 4 4" xfId="669" xr:uid="{00000000-0005-0000-0000-0000E91D0000}"/>
    <cellStyle name="Comma 5 4 4 4 2" xfId="3155" xr:uid="{00000000-0005-0000-0000-0000EA1D0000}"/>
    <cellStyle name="Comma 5 4 4 4 2 2" xfId="12298" xr:uid="{00000000-0005-0000-0000-0000EB1D0000}"/>
    <cellStyle name="Comma 5 4 4 4 2 2 2" xfId="22516" xr:uid="{00000000-0005-0000-0000-0000EC1D0000}"/>
    <cellStyle name="Comma 5 4 4 4 2 2 2 2" xfId="48069" xr:uid="{00000000-0005-0000-0000-0000ED1D0000}"/>
    <cellStyle name="Comma 5 4 4 4 2 2 3" xfId="37853" xr:uid="{00000000-0005-0000-0000-0000EE1D0000}"/>
    <cellStyle name="Comma 5 4 4 4 2 3" xfId="8720" xr:uid="{00000000-0005-0000-0000-0000EF1D0000}"/>
    <cellStyle name="Comma 5 4 4 4 2 3 2" xfId="34277" xr:uid="{00000000-0005-0000-0000-0000F01D0000}"/>
    <cellStyle name="Comma 5 4 4 4 2 4" xfId="17509" xr:uid="{00000000-0005-0000-0000-0000F11D0000}"/>
    <cellStyle name="Comma 5 4 4 4 2 4 2" xfId="43062" xr:uid="{00000000-0005-0000-0000-0000F21D0000}"/>
    <cellStyle name="Comma 5 4 4 4 2 5" xfId="28999" xr:uid="{00000000-0005-0000-0000-0000F31D0000}"/>
    <cellStyle name="Comma 5 4 4 4 3" xfId="4833" xr:uid="{00000000-0005-0000-0000-0000F41D0000}"/>
    <cellStyle name="Comma 5 4 4 4 3 2" xfId="13670" xr:uid="{00000000-0005-0000-0000-0000F51D0000}"/>
    <cellStyle name="Comma 5 4 4 4 3 2 2" xfId="23921" xr:uid="{00000000-0005-0000-0000-0000F61D0000}"/>
    <cellStyle name="Comma 5 4 4 4 3 2 2 2" xfId="49474" xr:uid="{00000000-0005-0000-0000-0000F71D0000}"/>
    <cellStyle name="Comma 5 4 4 4 3 2 3" xfId="39225" xr:uid="{00000000-0005-0000-0000-0000F81D0000}"/>
    <cellStyle name="Comma 5 4 4 4 3 3" xfId="10091" xr:uid="{00000000-0005-0000-0000-0000F91D0000}"/>
    <cellStyle name="Comma 5 4 4 4 3 3 2" xfId="35648" xr:uid="{00000000-0005-0000-0000-0000FA1D0000}"/>
    <cellStyle name="Comma 5 4 4 4 3 4" xfId="18914" xr:uid="{00000000-0005-0000-0000-0000FB1D0000}"/>
    <cellStyle name="Comma 5 4 4 4 3 4 2" xfId="44467" xr:uid="{00000000-0005-0000-0000-0000FC1D0000}"/>
    <cellStyle name="Comma 5 4 4 4 3 5" xfId="30404" xr:uid="{00000000-0005-0000-0000-0000FD1D0000}"/>
    <cellStyle name="Comma 5 4 4 4 4" xfId="2264" xr:uid="{00000000-0005-0000-0000-0000FE1D0000}"/>
    <cellStyle name="Comma 5 4 4 4 4 2" xfId="11629" xr:uid="{00000000-0005-0000-0000-0000FF1D0000}"/>
    <cellStyle name="Comma 5 4 4 4 4 2 2" xfId="37184" xr:uid="{00000000-0005-0000-0000-0000001E0000}"/>
    <cellStyle name="Comma 5 4 4 4 4 3" xfId="21633" xr:uid="{00000000-0005-0000-0000-0000011E0000}"/>
    <cellStyle name="Comma 5 4 4 4 4 3 2" xfId="47186" xr:uid="{00000000-0005-0000-0000-0000021E0000}"/>
    <cellStyle name="Comma 5 4 4 4 4 4" xfId="28116" xr:uid="{00000000-0005-0000-0000-0000031E0000}"/>
    <cellStyle name="Comma 5 4 4 4 5" xfId="6288" xr:uid="{00000000-0005-0000-0000-0000041E0000}"/>
    <cellStyle name="Comma 5 4 4 4 5 2" xfId="15115" xr:uid="{00000000-0005-0000-0000-0000051E0000}"/>
    <cellStyle name="Comma 5 4 4 4 5 2 2" xfId="40670" xr:uid="{00000000-0005-0000-0000-0000061E0000}"/>
    <cellStyle name="Comma 5 4 4 4 5 3" xfId="25366" xr:uid="{00000000-0005-0000-0000-0000071E0000}"/>
    <cellStyle name="Comma 5 4 4 4 5 3 2" xfId="50919" xr:uid="{00000000-0005-0000-0000-0000081E0000}"/>
    <cellStyle name="Comma 5 4 4 4 5 4" xfId="31849" xr:uid="{00000000-0005-0000-0000-0000091E0000}"/>
    <cellStyle name="Comma 5 4 4 4 6" xfId="7734" xr:uid="{00000000-0005-0000-0000-00000A1E0000}"/>
    <cellStyle name="Comma 5 4 4 4 6 2" xfId="20115" xr:uid="{00000000-0005-0000-0000-00000B1E0000}"/>
    <cellStyle name="Comma 5 4 4 4 6 2 2" xfId="45668" xr:uid="{00000000-0005-0000-0000-00000C1E0000}"/>
    <cellStyle name="Comma 5 4 4 4 6 3" xfId="33291" xr:uid="{00000000-0005-0000-0000-00000D1E0000}"/>
    <cellStyle name="Comma 5 4 4 4 7" xfId="16626" xr:uid="{00000000-0005-0000-0000-00000E1E0000}"/>
    <cellStyle name="Comma 5 4 4 4 7 2" xfId="42179" xr:uid="{00000000-0005-0000-0000-00000F1E0000}"/>
    <cellStyle name="Comma 5 4 4 4 8" xfId="26598" xr:uid="{00000000-0005-0000-0000-0000101E0000}"/>
    <cellStyle name="Comma 5 4 4 5" xfId="1133" xr:uid="{00000000-0005-0000-0000-0000111E0000}"/>
    <cellStyle name="Comma 5 4 4 5 2" xfId="3562" xr:uid="{00000000-0005-0000-0000-0000121E0000}"/>
    <cellStyle name="Comma 5 4 4 5 2 2" xfId="12698" xr:uid="{00000000-0005-0000-0000-0000131E0000}"/>
    <cellStyle name="Comma 5 4 4 5 2 2 2" xfId="22917" xr:uid="{00000000-0005-0000-0000-0000141E0000}"/>
    <cellStyle name="Comma 5 4 4 5 2 2 2 2" xfId="48470" xr:uid="{00000000-0005-0000-0000-0000151E0000}"/>
    <cellStyle name="Comma 5 4 4 5 2 2 3" xfId="38253" xr:uid="{00000000-0005-0000-0000-0000161E0000}"/>
    <cellStyle name="Comma 5 4 4 5 2 3" xfId="9119" xr:uid="{00000000-0005-0000-0000-0000171E0000}"/>
    <cellStyle name="Comma 5 4 4 5 2 3 2" xfId="34676" xr:uid="{00000000-0005-0000-0000-0000181E0000}"/>
    <cellStyle name="Comma 5 4 4 5 2 4" xfId="17910" xr:uid="{00000000-0005-0000-0000-0000191E0000}"/>
    <cellStyle name="Comma 5 4 4 5 2 4 2" xfId="43463" xr:uid="{00000000-0005-0000-0000-00001A1E0000}"/>
    <cellStyle name="Comma 5 4 4 5 2 5" xfId="29400" xr:uid="{00000000-0005-0000-0000-00001B1E0000}"/>
    <cellStyle name="Comma 5 4 4 5 3" xfId="5225" xr:uid="{00000000-0005-0000-0000-00001C1E0000}"/>
    <cellStyle name="Comma 5 4 4 5 3 2" xfId="14062" xr:uid="{00000000-0005-0000-0000-00001D1E0000}"/>
    <cellStyle name="Comma 5 4 4 5 3 2 2" xfId="24313" xr:uid="{00000000-0005-0000-0000-00001E1E0000}"/>
    <cellStyle name="Comma 5 4 4 5 3 2 2 2" xfId="49866" xr:uid="{00000000-0005-0000-0000-00001F1E0000}"/>
    <cellStyle name="Comma 5 4 4 5 3 2 3" xfId="39617" xr:uid="{00000000-0005-0000-0000-0000201E0000}"/>
    <cellStyle name="Comma 5 4 4 5 3 3" xfId="10483" xr:uid="{00000000-0005-0000-0000-0000211E0000}"/>
    <cellStyle name="Comma 5 4 4 5 3 3 2" xfId="36040" xr:uid="{00000000-0005-0000-0000-0000221E0000}"/>
    <cellStyle name="Comma 5 4 4 5 3 4" xfId="19306" xr:uid="{00000000-0005-0000-0000-0000231E0000}"/>
    <cellStyle name="Comma 5 4 4 5 3 4 2" xfId="44859" xr:uid="{00000000-0005-0000-0000-0000241E0000}"/>
    <cellStyle name="Comma 5 4 4 5 3 5" xfId="30796" xr:uid="{00000000-0005-0000-0000-0000251E0000}"/>
    <cellStyle name="Comma 5 4 4 5 4" xfId="1841" xr:uid="{00000000-0005-0000-0000-0000261E0000}"/>
    <cellStyle name="Comma 5 4 4 5 4 2" xfId="11209" xr:uid="{00000000-0005-0000-0000-0000271E0000}"/>
    <cellStyle name="Comma 5 4 4 5 4 2 2" xfId="36764" xr:uid="{00000000-0005-0000-0000-0000281E0000}"/>
    <cellStyle name="Comma 5 4 4 5 4 3" xfId="21213" xr:uid="{00000000-0005-0000-0000-0000291E0000}"/>
    <cellStyle name="Comma 5 4 4 5 4 3 2" xfId="46766" xr:uid="{00000000-0005-0000-0000-00002A1E0000}"/>
    <cellStyle name="Comma 5 4 4 5 4 4" xfId="27696" xr:uid="{00000000-0005-0000-0000-00002B1E0000}"/>
    <cellStyle name="Comma 5 4 4 5 5" xfId="6680" xr:uid="{00000000-0005-0000-0000-00002C1E0000}"/>
    <cellStyle name="Comma 5 4 4 5 5 2" xfId="15507" xr:uid="{00000000-0005-0000-0000-00002D1E0000}"/>
    <cellStyle name="Comma 5 4 4 5 5 2 2" xfId="41062" xr:uid="{00000000-0005-0000-0000-00002E1E0000}"/>
    <cellStyle name="Comma 5 4 4 5 5 3" xfId="25758" xr:uid="{00000000-0005-0000-0000-00002F1E0000}"/>
    <cellStyle name="Comma 5 4 4 5 5 3 2" xfId="51311" xr:uid="{00000000-0005-0000-0000-0000301E0000}"/>
    <cellStyle name="Comma 5 4 4 5 5 4" xfId="32241" xr:uid="{00000000-0005-0000-0000-0000311E0000}"/>
    <cellStyle name="Comma 5 4 4 5 6" xfId="8126" xr:uid="{00000000-0005-0000-0000-0000321E0000}"/>
    <cellStyle name="Comma 5 4 4 5 6 2" xfId="20516" xr:uid="{00000000-0005-0000-0000-0000331E0000}"/>
    <cellStyle name="Comma 5 4 4 5 6 2 2" xfId="46069" xr:uid="{00000000-0005-0000-0000-0000341E0000}"/>
    <cellStyle name="Comma 5 4 4 5 6 3" xfId="33683" xr:uid="{00000000-0005-0000-0000-0000351E0000}"/>
    <cellStyle name="Comma 5 4 4 5 7" xfId="16206" xr:uid="{00000000-0005-0000-0000-0000361E0000}"/>
    <cellStyle name="Comma 5 4 4 5 7 2" xfId="41759" xr:uid="{00000000-0005-0000-0000-0000371E0000}"/>
    <cellStyle name="Comma 5 4 4 5 8" xfId="26999" xr:uid="{00000000-0005-0000-0000-0000381E0000}"/>
    <cellStyle name="Comma 5 4 4 6" xfId="2735" xr:uid="{00000000-0005-0000-0000-0000391E0000}"/>
    <cellStyle name="Comma 5 4 4 6 2" xfId="12052" xr:uid="{00000000-0005-0000-0000-00003A1E0000}"/>
    <cellStyle name="Comma 5 4 4 6 2 2" xfId="22096" xr:uid="{00000000-0005-0000-0000-00003B1E0000}"/>
    <cellStyle name="Comma 5 4 4 6 2 2 2" xfId="47649" xr:uid="{00000000-0005-0000-0000-00003C1E0000}"/>
    <cellStyle name="Comma 5 4 4 6 2 3" xfId="37607" xr:uid="{00000000-0005-0000-0000-00003D1E0000}"/>
    <cellStyle name="Comma 5 4 4 6 3" xfId="8541" xr:uid="{00000000-0005-0000-0000-00003E1E0000}"/>
    <cellStyle name="Comma 5 4 4 6 3 2" xfId="34098" xr:uid="{00000000-0005-0000-0000-00003F1E0000}"/>
    <cellStyle name="Comma 5 4 4 6 4" xfId="17089" xr:uid="{00000000-0005-0000-0000-0000401E0000}"/>
    <cellStyle name="Comma 5 4 4 6 4 2" xfId="42642" xr:uid="{00000000-0005-0000-0000-0000411E0000}"/>
    <cellStyle name="Comma 5 4 4 6 5" xfId="28579" xr:uid="{00000000-0005-0000-0000-0000421E0000}"/>
    <cellStyle name="Comma 5 4 4 7" xfId="4181" xr:uid="{00000000-0005-0000-0000-0000431E0000}"/>
    <cellStyle name="Comma 5 4 4 7 2" xfId="13019" xr:uid="{00000000-0005-0000-0000-0000441E0000}"/>
    <cellStyle name="Comma 5 4 4 7 2 2" xfId="23270" xr:uid="{00000000-0005-0000-0000-0000451E0000}"/>
    <cellStyle name="Comma 5 4 4 7 2 2 2" xfId="48823" xr:uid="{00000000-0005-0000-0000-0000461E0000}"/>
    <cellStyle name="Comma 5 4 4 7 2 3" xfId="38574" xr:uid="{00000000-0005-0000-0000-0000471E0000}"/>
    <cellStyle name="Comma 5 4 4 7 3" xfId="9440" xr:uid="{00000000-0005-0000-0000-0000481E0000}"/>
    <cellStyle name="Comma 5 4 4 7 3 2" xfId="34997" xr:uid="{00000000-0005-0000-0000-0000491E0000}"/>
    <cellStyle name="Comma 5 4 4 7 4" xfId="18263" xr:uid="{00000000-0005-0000-0000-00004A1E0000}"/>
    <cellStyle name="Comma 5 4 4 7 4 2" xfId="43816" xr:uid="{00000000-0005-0000-0000-00004B1E0000}"/>
    <cellStyle name="Comma 5 4 4 7 5" xfId="29753" xr:uid="{00000000-0005-0000-0000-00004C1E0000}"/>
    <cellStyle name="Comma 5 4 4 8" xfId="1453" xr:uid="{00000000-0005-0000-0000-00004D1E0000}"/>
    <cellStyle name="Comma 5 4 4 8 2" xfId="10830" xr:uid="{00000000-0005-0000-0000-00004E1E0000}"/>
    <cellStyle name="Comma 5 4 4 8 2 2" xfId="36385" xr:uid="{00000000-0005-0000-0000-00004F1E0000}"/>
    <cellStyle name="Comma 5 4 4 8 3" xfId="20834" xr:uid="{00000000-0005-0000-0000-0000501E0000}"/>
    <cellStyle name="Comma 5 4 4 8 3 2" xfId="46387" xr:uid="{00000000-0005-0000-0000-0000511E0000}"/>
    <cellStyle name="Comma 5 4 4 8 4" xfId="27317" xr:uid="{00000000-0005-0000-0000-0000521E0000}"/>
    <cellStyle name="Comma 5 4 4 9" xfId="5637" xr:uid="{00000000-0005-0000-0000-0000531E0000}"/>
    <cellStyle name="Comma 5 4 4 9 2" xfId="14464" xr:uid="{00000000-0005-0000-0000-0000541E0000}"/>
    <cellStyle name="Comma 5 4 4 9 2 2" xfId="40019" xr:uid="{00000000-0005-0000-0000-0000551E0000}"/>
    <cellStyle name="Comma 5 4 4 9 3" xfId="24715" xr:uid="{00000000-0005-0000-0000-0000561E0000}"/>
    <cellStyle name="Comma 5 4 4 9 3 2" xfId="50268" xr:uid="{00000000-0005-0000-0000-0000571E0000}"/>
    <cellStyle name="Comma 5 4 4 9 4" xfId="31198" xr:uid="{00000000-0005-0000-0000-0000581E0000}"/>
    <cellStyle name="Comma 5 4 5" xfId="461" xr:uid="{00000000-0005-0000-0000-0000591E0000}"/>
    <cellStyle name="Comma 5 4 5 10" xfId="26390" xr:uid="{00000000-0005-0000-0000-00005A1E0000}"/>
    <cellStyle name="Comma 5 4 5 2" xfId="671" xr:uid="{00000000-0005-0000-0000-00005B1E0000}"/>
    <cellStyle name="Comma 5 4 5 2 2" xfId="3157" xr:uid="{00000000-0005-0000-0000-00005C1E0000}"/>
    <cellStyle name="Comma 5 4 5 2 2 2" xfId="12300" xr:uid="{00000000-0005-0000-0000-00005D1E0000}"/>
    <cellStyle name="Comma 5 4 5 2 2 2 2" xfId="22518" xr:uid="{00000000-0005-0000-0000-00005E1E0000}"/>
    <cellStyle name="Comma 5 4 5 2 2 2 2 2" xfId="48071" xr:uid="{00000000-0005-0000-0000-00005F1E0000}"/>
    <cellStyle name="Comma 5 4 5 2 2 2 3" xfId="37855" xr:uid="{00000000-0005-0000-0000-0000601E0000}"/>
    <cellStyle name="Comma 5 4 5 2 2 3" xfId="8722" xr:uid="{00000000-0005-0000-0000-0000611E0000}"/>
    <cellStyle name="Comma 5 4 5 2 2 3 2" xfId="34279" xr:uid="{00000000-0005-0000-0000-0000621E0000}"/>
    <cellStyle name="Comma 5 4 5 2 2 4" xfId="17511" xr:uid="{00000000-0005-0000-0000-0000631E0000}"/>
    <cellStyle name="Comma 5 4 5 2 2 4 2" xfId="43064" xr:uid="{00000000-0005-0000-0000-0000641E0000}"/>
    <cellStyle name="Comma 5 4 5 2 2 5" xfId="29001" xr:uid="{00000000-0005-0000-0000-0000651E0000}"/>
    <cellStyle name="Comma 5 4 5 2 3" xfId="4486" xr:uid="{00000000-0005-0000-0000-0000661E0000}"/>
    <cellStyle name="Comma 5 4 5 2 3 2" xfId="13324" xr:uid="{00000000-0005-0000-0000-0000671E0000}"/>
    <cellStyle name="Comma 5 4 5 2 3 2 2" xfId="23575" xr:uid="{00000000-0005-0000-0000-0000681E0000}"/>
    <cellStyle name="Comma 5 4 5 2 3 2 2 2" xfId="49128" xr:uid="{00000000-0005-0000-0000-0000691E0000}"/>
    <cellStyle name="Comma 5 4 5 2 3 2 3" xfId="38879" xr:uid="{00000000-0005-0000-0000-00006A1E0000}"/>
    <cellStyle name="Comma 5 4 5 2 3 3" xfId="9745" xr:uid="{00000000-0005-0000-0000-00006B1E0000}"/>
    <cellStyle name="Comma 5 4 5 2 3 3 2" xfId="35302" xr:uid="{00000000-0005-0000-0000-00006C1E0000}"/>
    <cellStyle name="Comma 5 4 5 2 3 4" xfId="18568" xr:uid="{00000000-0005-0000-0000-00006D1E0000}"/>
    <cellStyle name="Comma 5 4 5 2 3 4 2" xfId="44121" xr:uid="{00000000-0005-0000-0000-00006E1E0000}"/>
    <cellStyle name="Comma 5 4 5 2 3 5" xfId="30058" xr:uid="{00000000-0005-0000-0000-00006F1E0000}"/>
    <cellStyle name="Comma 5 4 5 2 4" xfId="2266" xr:uid="{00000000-0005-0000-0000-0000701E0000}"/>
    <cellStyle name="Comma 5 4 5 2 4 2" xfId="11631" xr:uid="{00000000-0005-0000-0000-0000711E0000}"/>
    <cellStyle name="Comma 5 4 5 2 4 2 2" xfId="37186" xr:uid="{00000000-0005-0000-0000-0000721E0000}"/>
    <cellStyle name="Comma 5 4 5 2 4 3" xfId="21635" xr:uid="{00000000-0005-0000-0000-0000731E0000}"/>
    <cellStyle name="Comma 5 4 5 2 4 3 2" xfId="47188" xr:uid="{00000000-0005-0000-0000-0000741E0000}"/>
    <cellStyle name="Comma 5 4 5 2 4 4" xfId="28118" xr:uid="{00000000-0005-0000-0000-0000751E0000}"/>
    <cellStyle name="Comma 5 4 5 2 5" xfId="5942" xr:uid="{00000000-0005-0000-0000-0000761E0000}"/>
    <cellStyle name="Comma 5 4 5 2 5 2" xfId="14769" xr:uid="{00000000-0005-0000-0000-0000771E0000}"/>
    <cellStyle name="Comma 5 4 5 2 5 2 2" xfId="40324" xr:uid="{00000000-0005-0000-0000-0000781E0000}"/>
    <cellStyle name="Comma 5 4 5 2 5 3" xfId="25020" xr:uid="{00000000-0005-0000-0000-0000791E0000}"/>
    <cellStyle name="Comma 5 4 5 2 5 3 2" xfId="50573" xr:uid="{00000000-0005-0000-0000-00007A1E0000}"/>
    <cellStyle name="Comma 5 4 5 2 5 4" xfId="31503" xr:uid="{00000000-0005-0000-0000-00007B1E0000}"/>
    <cellStyle name="Comma 5 4 5 2 6" xfId="7386" xr:uid="{00000000-0005-0000-0000-00007C1E0000}"/>
    <cellStyle name="Comma 5 4 5 2 6 2" xfId="20117" xr:uid="{00000000-0005-0000-0000-00007D1E0000}"/>
    <cellStyle name="Comma 5 4 5 2 6 2 2" xfId="45670" xr:uid="{00000000-0005-0000-0000-00007E1E0000}"/>
    <cellStyle name="Comma 5 4 5 2 6 3" xfId="32943" xr:uid="{00000000-0005-0000-0000-00007F1E0000}"/>
    <cellStyle name="Comma 5 4 5 2 7" xfId="16628" xr:uid="{00000000-0005-0000-0000-0000801E0000}"/>
    <cellStyle name="Comma 5 4 5 2 7 2" xfId="42181" xr:uid="{00000000-0005-0000-0000-0000811E0000}"/>
    <cellStyle name="Comma 5 4 5 2 8" xfId="26600" xr:uid="{00000000-0005-0000-0000-0000821E0000}"/>
    <cellStyle name="Comma 5 4 5 3" xfId="1233" xr:uid="{00000000-0005-0000-0000-0000831E0000}"/>
    <cellStyle name="Comma 5 4 5 3 2" xfId="3662" xr:uid="{00000000-0005-0000-0000-0000841E0000}"/>
    <cellStyle name="Comma 5 4 5 3 2 2" xfId="12798" xr:uid="{00000000-0005-0000-0000-0000851E0000}"/>
    <cellStyle name="Comma 5 4 5 3 2 2 2" xfId="23017" xr:uid="{00000000-0005-0000-0000-0000861E0000}"/>
    <cellStyle name="Comma 5 4 5 3 2 2 2 2" xfId="48570" xr:uid="{00000000-0005-0000-0000-0000871E0000}"/>
    <cellStyle name="Comma 5 4 5 3 2 2 3" xfId="38353" xr:uid="{00000000-0005-0000-0000-0000881E0000}"/>
    <cellStyle name="Comma 5 4 5 3 2 3" xfId="9219" xr:uid="{00000000-0005-0000-0000-0000891E0000}"/>
    <cellStyle name="Comma 5 4 5 3 2 3 2" xfId="34776" xr:uid="{00000000-0005-0000-0000-00008A1E0000}"/>
    <cellStyle name="Comma 5 4 5 3 2 4" xfId="18010" xr:uid="{00000000-0005-0000-0000-00008B1E0000}"/>
    <cellStyle name="Comma 5 4 5 3 2 4 2" xfId="43563" xr:uid="{00000000-0005-0000-0000-00008C1E0000}"/>
    <cellStyle name="Comma 5 4 5 3 2 5" xfId="29500" xr:uid="{00000000-0005-0000-0000-00008D1E0000}"/>
    <cellStyle name="Comma 5 4 5 3 3" xfId="4835" xr:uid="{00000000-0005-0000-0000-00008E1E0000}"/>
    <cellStyle name="Comma 5 4 5 3 3 2" xfId="13672" xr:uid="{00000000-0005-0000-0000-00008F1E0000}"/>
    <cellStyle name="Comma 5 4 5 3 3 2 2" xfId="23923" xr:uid="{00000000-0005-0000-0000-0000901E0000}"/>
    <cellStyle name="Comma 5 4 5 3 3 2 2 2" xfId="49476" xr:uid="{00000000-0005-0000-0000-0000911E0000}"/>
    <cellStyle name="Comma 5 4 5 3 3 2 3" xfId="39227" xr:uid="{00000000-0005-0000-0000-0000921E0000}"/>
    <cellStyle name="Comma 5 4 5 3 3 3" xfId="10093" xr:uid="{00000000-0005-0000-0000-0000931E0000}"/>
    <cellStyle name="Comma 5 4 5 3 3 3 2" xfId="35650" xr:uid="{00000000-0005-0000-0000-0000941E0000}"/>
    <cellStyle name="Comma 5 4 5 3 3 4" xfId="18916" xr:uid="{00000000-0005-0000-0000-0000951E0000}"/>
    <cellStyle name="Comma 5 4 5 3 3 4 2" xfId="44469" xr:uid="{00000000-0005-0000-0000-0000961E0000}"/>
    <cellStyle name="Comma 5 4 5 3 3 5" xfId="30406" xr:uid="{00000000-0005-0000-0000-0000971E0000}"/>
    <cellStyle name="Comma 5 4 5 3 4" xfId="2056" xr:uid="{00000000-0005-0000-0000-0000981E0000}"/>
    <cellStyle name="Comma 5 4 5 3 4 2" xfId="11421" xr:uid="{00000000-0005-0000-0000-0000991E0000}"/>
    <cellStyle name="Comma 5 4 5 3 4 2 2" xfId="36976" xr:uid="{00000000-0005-0000-0000-00009A1E0000}"/>
    <cellStyle name="Comma 5 4 5 3 4 3" xfId="21425" xr:uid="{00000000-0005-0000-0000-00009B1E0000}"/>
    <cellStyle name="Comma 5 4 5 3 4 3 2" xfId="46978" xr:uid="{00000000-0005-0000-0000-00009C1E0000}"/>
    <cellStyle name="Comma 5 4 5 3 4 4" xfId="27908" xr:uid="{00000000-0005-0000-0000-00009D1E0000}"/>
    <cellStyle name="Comma 5 4 5 3 5" xfId="6290" xr:uid="{00000000-0005-0000-0000-00009E1E0000}"/>
    <cellStyle name="Comma 5 4 5 3 5 2" xfId="15117" xr:uid="{00000000-0005-0000-0000-00009F1E0000}"/>
    <cellStyle name="Comma 5 4 5 3 5 2 2" xfId="40672" xr:uid="{00000000-0005-0000-0000-0000A01E0000}"/>
    <cellStyle name="Comma 5 4 5 3 5 3" xfId="25368" xr:uid="{00000000-0005-0000-0000-0000A11E0000}"/>
    <cellStyle name="Comma 5 4 5 3 5 3 2" xfId="50921" xr:uid="{00000000-0005-0000-0000-0000A21E0000}"/>
    <cellStyle name="Comma 5 4 5 3 5 4" xfId="31851" xr:uid="{00000000-0005-0000-0000-0000A31E0000}"/>
    <cellStyle name="Comma 5 4 5 3 6" xfId="7736" xr:uid="{00000000-0005-0000-0000-0000A41E0000}"/>
    <cellStyle name="Comma 5 4 5 3 6 2" xfId="20616" xr:uid="{00000000-0005-0000-0000-0000A51E0000}"/>
    <cellStyle name="Comma 5 4 5 3 6 2 2" xfId="46169" xr:uid="{00000000-0005-0000-0000-0000A61E0000}"/>
    <cellStyle name="Comma 5 4 5 3 6 3" xfId="33293" xr:uid="{00000000-0005-0000-0000-0000A71E0000}"/>
    <cellStyle name="Comma 5 4 5 3 7" xfId="16418" xr:uid="{00000000-0005-0000-0000-0000A81E0000}"/>
    <cellStyle name="Comma 5 4 5 3 7 2" xfId="41971" xr:uid="{00000000-0005-0000-0000-0000A91E0000}"/>
    <cellStyle name="Comma 5 4 5 3 8" xfId="27099" xr:uid="{00000000-0005-0000-0000-0000AA1E0000}"/>
    <cellStyle name="Comma 5 4 5 4" xfId="2947" xr:uid="{00000000-0005-0000-0000-0000AB1E0000}"/>
    <cellStyle name="Comma 5 4 5 4 2" xfId="5325" xr:uid="{00000000-0005-0000-0000-0000AC1E0000}"/>
    <cellStyle name="Comma 5 4 5 4 2 2" xfId="14162" xr:uid="{00000000-0005-0000-0000-0000AD1E0000}"/>
    <cellStyle name="Comma 5 4 5 4 2 2 2" xfId="24413" xr:uid="{00000000-0005-0000-0000-0000AE1E0000}"/>
    <cellStyle name="Comma 5 4 5 4 2 2 2 2" xfId="49966" xr:uid="{00000000-0005-0000-0000-0000AF1E0000}"/>
    <cellStyle name="Comma 5 4 5 4 2 2 3" xfId="39717" xr:uid="{00000000-0005-0000-0000-0000B01E0000}"/>
    <cellStyle name="Comma 5 4 5 4 2 3" xfId="10583" xr:uid="{00000000-0005-0000-0000-0000B11E0000}"/>
    <cellStyle name="Comma 5 4 5 4 2 3 2" xfId="36140" xr:uid="{00000000-0005-0000-0000-0000B21E0000}"/>
    <cellStyle name="Comma 5 4 5 4 2 4" xfId="19406" xr:uid="{00000000-0005-0000-0000-0000B31E0000}"/>
    <cellStyle name="Comma 5 4 5 4 2 4 2" xfId="44959" xr:uid="{00000000-0005-0000-0000-0000B41E0000}"/>
    <cellStyle name="Comma 5 4 5 4 2 5" xfId="30896" xr:uid="{00000000-0005-0000-0000-0000B51E0000}"/>
    <cellStyle name="Comma 5 4 5 4 3" xfId="6780" xr:uid="{00000000-0005-0000-0000-0000B61E0000}"/>
    <cellStyle name="Comma 5 4 5 4 3 2" xfId="15607" xr:uid="{00000000-0005-0000-0000-0000B71E0000}"/>
    <cellStyle name="Comma 5 4 5 4 3 2 2" xfId="41162" xr:uid="{00000000-0005-0000-0000-0000B81E0000}"/>
    <cellStyle name="Comma 5 4 5 4 3 3" xfId="25858" xr:uid="{00000000-0005-0000-0000-0000B91E0000}"/>
    <cellStyle name="Comma 5 4 5 4 3 3 2" xfId="51411" xr:uid="{00000000-0005-0000-0000-0000BA1E0000}"/>
    <cellStyle name="Comma 5 4 5 4 3 4" xfId="32341" xr:uid="{00000000-0005-0000-0000-0000BB1E0000}"/>
    <cellStyle name="Comma 5 4 5 4 4" xfId="8226" xr:uid="{00000000-0005-0000-0000-0000BC1E0000}"/>
    <cellStyle name="Comma 5 4 5 4 4 2" xfId="22308" xr:uid="{00000000-0005-0000-0000-0000BD1E0000}"/>
    <cellStyle name="Comma 5 4 5 4 4 2 2" xfId="47861" xr:uid="{00000000-0005-0000-0000-0000BE1E0000}"/>
    <cellStyle name="Comma 5 4 5 4 4 3" xfId="33783" xr:uid="{00000000-0005-0000-0000-0000BF1E0000}"/>
    <cellStyle name="Comma 5 4 5 4 5" xfId="17301" xr:uid="{00000000-0005-0000-0000-0000C01E0000}"/>
    <cellStyle name="Comma 5 4 5 4 5 2" xfId="42854" xr:uid="{00000000-0005-0000-0000-0000C11E0000}"/>
    <cellStyle name="Comma 5 4 5 4 6" xfId="28791" xr:uid="{00000000-0005-0000-0000-0000C21E0000}"/>
    <cellStyle name="Comma 5 4 5 5" xfId="4281" xr:uid="{00000000-0005-0000-0000-0000C31E0000}"/>
    <cellStyle name="Comma 5 4 5 5 2" xfId="13119" xr:uid="{00000000-0005-0000-0000-0000C41E0000}"/>
    <cellStyle name="Comma 5 4 5 5 2 2" xfId="23370" xr:uid="{00000000-0005-0000-0000-0000C51E0000}"/>
    <cellStyle name="Comma 5 4 5 5 2 2 2" xfId="48923" xr:uid="{00000000-0005-0000-0000-0000C61E0000}"/>
    <cellStyle name="Comma 5 4 5 5 2 3" xfId="38674" xr:uid="{00000000-0005-0000-0000-0000C71E0000}"/>
    <cellStyle name="Comma 5 4 5 5 3" xfId="9540" xr:uid="{00000000-0005-0000-0000-0000C81E0000}"/>
    <cellStyle name="Comma 5 4 5 5 3 2" xfId="35097" xr:uid="{00000000-0005-0000-0000-0000C91E0000}"/>
    <cellStyle name="Comma 5 4 5 5 4" xfId="18363" xr:uid="{00000000-0005-0000-0000-0000CA1E0000}"/>
    <cellStyle name="Comma 5 4 5 5 4 2" xfId="43916" xr:uid="{00000000-0005-0000-0000-0000CB1E0000}"/>
    <cellStyle name="Comma 5 4 5 5 5" xfId="29853" xr:uid="{00000000-0005-0000-0000-0000CC1E0000}"/>
    <cellStyle name="Comma 5 4 5 6" xfId="1553" xr:uid="{00000000-0005-0000-0000-0000CD1E0000}"/>
    <cellStyle name="Comma 5 4 5 6 2" xfId="10930" xr:uid="{00000000-0005-0000-0000-0000CE1E0000}"/>
    <cellStyle name="Comma 5 4 5 6 2 2" xfId="36485" xr:uid="{00000000-0005-0000-0000-0000CF1E0000}"/>
    <cellStyle name="Comma 5 4 5 6 3" xfId="20934" xr:uid="{00000000-0005-0000-0000-0000D01E0000}"/>
    <cellStyle name="Comma 5 4 5 6 3 2" xfId="46487" xr:uid="{00000000-0005-0000-0000-0000D11E0000}"/>
    <cellStyle name="Comma 5 4 5 6 4" xfId="27417" xr:uid="{00000000-0005-0000-0000-0000D21E0000}"/>
    <cellStyle name="Comma 5 4 5 7" xfId="5737" xr:uid="{00000000-0005-0000-0000-0000D31E0000}"/>
    <cellStyle name="Comma 5 4 5 7 2" xfId="14564" xr:uid="{00000000-0005-0000-0000-0000D41E0000}"/>
    <cellStyle name="Comma 5 4 5 7 2 2" xfId="40119" xr:uid="{00000000-0005-0000-0000-0000D51E0000}"/>
    <cellStyle name="Comma 5 4 5 7 3" xfId="24815" xr:uid="{00000000-0005-0000-0000-0000D61E0000}"/>
    <cellStyle name="Comma 5 4 5 7 3 2" xfId="50368" xr:uid="{00000000-0005-0000-0000-0000D71E0000}"/>
    <cellStyle name="Comma 5 4 5 7 4" xfId="31298" xr:uid="{00000000-0005-0000-0000-0000D81E0000}"/>
    <cellStyle name="Comma 5 4 5 8" xfId="7181" xr:uid="{00000000-0005-0000-0000-0000D91E0000}"/>
    <cellStyle name="Comma 5 4 5 8 2" xfId="19907" xr:uid="{00000000-0005-0000-0000-0000DA1E0000}"/>
    <cellStyle name="Comma 5 4 5 8 2 2" xfId="45460" xr:uid="{00000000-0005-0000-0000-0000DB1E0000}"/>
    <cellStyle name="Comma 5 4 5 8 3" xfId="32738" xr:uid="{00000000-0005-0000-0000-0000DC1E0000}"/>
    <cellStyle name="Comma 5 4 5 9" xfId="15927" xr:uid="{00000000-0005-0000-0000-0000DD1E0000}"/>
    <cellStyle name="Comma 5 4 5 9 2" xfId="41480" xr:uid="{00000000-0005-0000-0000-0000DE1E0000}"/>
    <cellStyle name="Comma 5 4 6" xfId="336" xr:uid="{00000000-0005-0000-0000-0000DF1E0000}"/>
    <cellStyle name="Comma 5 4 6 10" xfId="26265" xr:uid="{00000000-0005-0000-0000-0000E01E0000}"/>
    <cellStyle name="Comma 5 4 6 2" xfId="672" xr:uid="{00000000-0005-0000-0000-0000E11E0000}"/>
    <cellStyle name="Comma 5 4 6 2 2" xfId="3158" xr:uid="{00000000-0005-0000-0000-0000E21E0000}"/>
    <cellStyle name="Comma 5 4 6 2 2 2" xfId="12301" xr:uid="{00000000-0005-0000-0000-0000E31E0000}"/>
    <cellStyle name="Comma 5 4 6 2 2 2 2" xfId="22519" xr:uid="{00000000-0005-0000-0000-0000E41E0000}"/>
    <cellStyle name="Comma 5 4 6 2 2 2 2 2" xfId="48072" xr:uid="{00000000-0005-0000-0000-0000E51E0000}"/>
    <cellStyle name="Comma 5 4 6 2 2 2 3" xfId="37856" xr:uid="{00000000-0005-0000-0000-0000E61E0000}"/>
    <cellStyle name="Comma 5 4 6 2 2 3" xfId="8723" xr:uid="{00000000-0005-0000-0000-0000E71E0000}"/>
    <cellStyle name="Comma 5 4 6 2 2 3 2" xfId="34280" xr:uid="{00000000-0005-0000-0000-0000E81E0000}"/>
    <cellStyle name="Comma 5 4 6 2 2 4" xfId="17512" xr:uid="{00000000-0005-0000-0000-0000E91E0000}"/>
    <cellStyle name="Comma 5 4 6 2 2 4 2" xfId="43065" xr:uid="{00000000-0005-0000-0000-0000EA1E0000}"/>
    <cellStyle name="Comma 5 4 6 2 2 5" xfId="29002" xr:uid="{00000000-0005-0000-0000-0000EB1E0000}"/>
    <cellStyle name="Comma 5 4 6 2 3" xfId="4487" xr:uid="{00000000-0005-0000-0000-0000EC1E0000}"/>
    <cellStyle name="Comma 5 4 6 2 3 2" xfId="13325" xr:uid="{00000000-0005-0000-0000-0000ED1E0000}"/>
    <cellStyle name="Comma 5 4 6 2 3 2 2" xfId="23576" xr:uid="{00000000-0005-0000-0000-0000EE1E0000}"/>
    <cellStyle name="Comma 5 4 6 2 3 2 2 2" xfId="49129" xr:uid="{00000000-0005-0000-0000-0000EF1E0000}"/>
    <cellStyle name="Comma 5 4 6 2 3 2 3" xfId="38880" xr:uid="{00000000-0005-0000-0000-0000F01E0000}"/>
    <cellStyle name="Comma 5 4 6 2 3 3" xfId="9746" xr:uid="{00000000-0005-0000-0000-0000F11E0000}"/>
    <cellStyle name="Comma 5 4 6 2 3 3 2" xfId="35303" xr:uid="{00000000-0005-0000-0000-0000F21E0000}"/>
    <cellStyle name="Comma 5 4 6 2 3 4" xfId="18569" xr:uid="{00000000-0005-0000-0000-0000F31E0000}"/>
    <cellStyle name="Comma 5 4 6 2 3 4 2" xfId="44122" xr:uid="{00000000-0005-0000-0000-0000F41E0000}"/>
    <cellStyle name="Comma 5 4 6 2 3 5" xfId="30059" xr:uid="{00000000-0005-0000-0000-0000F51E0000}"/>
    <cellStyle name="Comma 5 4 6 2 4" xfId="2267" xr:uid="{00000000-0005-0000-0000-0000F61E0000}"/>
    <cellStyle name="Comma 5 4 6 2 4 2" xfId="11632" xr:uid="{00000000-0005-0000-0000-0000F71E0000}"/>
    <cellStyle name="Comma 5 4 6 2 4 2 2" xfId="37187" xr:uid="{00000000-0005-0000-0000-0000F81E0000}"/>
    <cellStyle name="Comma 5 4 6 2 4 3" xfId="21636" xr:uid="{00000000-0005-0000-0000-0000F91E0000}"/>
    <cellStyle name="Comma 5 4 6 2 4 3 2" xfId="47189" xr:uid="{00000000-0005-0000-0000-0000FA1E0000}"/>
    <cellStyle name="Comma 5 4 6 2 4 4" xfId="28119" xr:uid="{00000000-0005-0000-0000-0000FB1E0000}"/>
    <cellStyle name="Comma 5 4 6 2 5" xfId="5943" xr:uid="{00000000-0005-0000-0000-0000FC1E0000}"/>
    <cellStyle name="Comma 5 4 6 2 5 2" xfId="14770" xr:uid="{00000000-0005-0000-0000-0000FD1E0000}"/>
    <cellStyle name="Comma 5 4 6 2 5 2 2" xfId="40325" xr:uid="{00000000-0005-0000-0000-0000FE1E0000}"/>
    <cellStyle name="Comma 5 4 6 2 5 3" xfId="25021" xr:uid="{00000000-0005-0000-0000-0000FF1E0000}"/>
    <cellStyle name="Comma 5 4 6 2 5 3 2" xfId="50574" xr:uid="{00000000-0005-0000-0000-0000001F0000}"/>
    <cellStyle name="Comma 5 4 6 2 5 4" xfId="31504" xr:uid="{00000000-0005-0000-0000-0000011F0000}"/>
    <cellStyle name="Comma 5 4 6 2 6" xfId="7387" xr:uid="{00000000-0005-0000-0000-0000021F0000}"/>
    <cellStyle name="Comma 5 4 6 2 6 2" xfId="20118" xr:uid="{00000000-0005-0000-0000-0000031F0000}"/>
    <cellStyle name="Comma 5 4 6 2 6 2 2" xfId="45671" xr:uid="{00000000-0005-0000-0000-0000041F0000}"/>
    <cellStyle name="Comma 5 4 6 2 6 3" xfId="32944" xr:uid="{00000000-0005-0000-0000-0000051F0000}"/>
    <cellStyle name="Comma 5 4 6 2 7" xfId="16629" xr:uid="{00000000-0005-0000-0000-0000061F0000}"/>
    <cellStyle name="Comma 5 4 6 2 7 2" xfId="42182" xr:uid="{00000000-0005-0000-0000-0000071F0000}"/>
    <cellStyle name="Comma 5 4 6 2 8" xfId="26601" xr:uid="{00000000-0005-0000-0000-0000081F0000}"/>
    <cellStyle name="Comma 5 4 6 3" xfId="1108" xr:uid="{00000000-0005-0000-0000-0000091F0000}"/>
    <cellStyle name="Comma 5 4 6 3 2" xfId="3537" xr:uid="{00000000-0005-0000-0000-00000A1F0000}"/>
    <cellStyle name="Comma 5 4 6 3 2 2" xfId="12673" xr:uid="{00000000-0005-0000-0000-00000B1F0000}"/>
    <cellStyle name="Comma 5 4 6 3 2 2 2" xfId="22892" xr:uid="{00000000-0005-0000-0000-00000C1F0000}"/>
    <cellStyle name="Comma 5 4 6 3 2 2 2 2" xfId="48445" xr:uid="{00000000-0005-0000-0000-00000D1F0000}"/>
    <cellStyle name="Comma 5 4 6 3 2 2 3" xfId="38228" xr:uid="{00000000-0005-0000-0000-00000E1F0000}"/>
    <cellStyle name="Comma 5 4 6 3 2 3" xfId="9094" xr:uid="{00000000-0005-0000-0000-00000F1F0000}"/>
    <cellStyle name="Comma 5 4 6 3 2 3 2" xfId="34651" xr:uid="{00000000-0005-0000-0000-0000101F0000}"/>
    <cellStyle name="Comma 5 4 6 3 2 4" xfId="17885" xr:uid="{00000000-0005-0000-0000-0000111F0000}"/>
    <cellStyle name="Comma 5 4 6 3 2 4 2" xfId="43438" xr:uid="{00000000-0005-0000-0000-0000121F0000}"/>
    <cellStyle name="Comma 5 4 6 3 2 5" xfId="29375" xr:uid="{00000000-0005-0000-0000-0000131F0000}"/>
    <cellStyle name="Comma 5 4 6 3 3" xfId="4836" xr:uid="{00000000-0005-0000-0000-0000141F0000}"/>
    <cellStyle name="Comma 5 4 6 3 3 2" xfId="13673" xr:uid="{00000000-0005-0000-0000-0000151F0000}"/>
    <cellStyle name="Comma 5 4 6 3 3 2 2" xfId="23924" xr:uid="{00000000-0005-0000-0000-0000161F0000}"/>
    <cellStyle name="Comma 5 4 6 3 3 2 2 2" xfId="49477" xr:uid="{00000000-0005-0000-0000-0000171F0000}"/>
    <cellStyle name="Comma 5 4 6 3 3 2 3" xfId="39228" xr:uid="{00000000-0005-0000-0000-0000181F0000}"/>
    <cellStyle name="Comma 5 4 6 3 3 3" xfId="10094" xr:uid="{00000000-0005-0000-0000-0000191F0000}"/>
    <cellStyle name="Comma 5 4 6 3 3 3 2" xfId="35651" xr:uid="{00000000-0005-0000-0000-00001A1F0000}"/>
    <cellStyle name="Comma 5 4 6 3 3 4" xfId="18917" xr:uid="{00000000-0005-0000-0000-00001B1F0000}"/>
    <cellStyle name="Comma 5 4 6 3 3 4 2" xfId="44470" xr:uid="{00000000-0005-0000-0000-00001C1F0000}"/>
    <cellStyle name="Comma 5 4 6 3 3 5" xfId="30407" xr:uid="{00000000-0005-0000-0000-00001D1F0000}"/>
    <cellStyle name="Comma 5 4 6 3 4" xfId="2571" xr:uid="{00000000-0005-0000-0000-00001E1F0000}"/>
    <cellStyle name="Comma 5 4 6 3 4 2" xfId="11935" xr:uid="{00000000-0005-0000-0000-00001F1F0000}"/>
    <cellStyle name="Comma 5 4 6 3 4 2 2" xfId="37490" xr:uid="{00000000-0005-0000-0000-0000201F0000}"/>
    <cellStyle name="Comma 5 4 6 3 4 3" xfId="21939" xr:uid="{00000000-0005-0000-0000-0000211F0000}"/>
    <cellStyle name="Comma 5 4 6 3 4 3 2" xfId="47492" xr:uid="{00000000-0005-0000-0000-0000221F0000}"/>
    <cellStyle name="Comma 5 4 6 3 4 4" xfId="28422" xr:uid="{00000000-0005-0000-0000-0000231F0000}"/>
    <cellStyle name="Comma 5 4 6 3 5" xfId="6291" xr:uid="{00000000-0005-0000-0000-0000241F0000}"/>
    <cellStyle name="Comma 5 4 6 3 5 2" xfId="15118" xr:uid="{00000000-0005-0000-0000-0000251F0000}"/>
    <cellStyle name="Comma 5 4 6 3 5 2 2" xfId="40673" xr:uid="{00000000-0005-0000-0000-0000261F0000}"/>
    <cellStyle name="Comma 5 4 6 3 5 3" xfId="25369" xr:uid="{00000000-0005-0000-0000-0000271F0000}"/>
    <cellStyle name="Comma 5 4 6 3 5 3 2" xfId="50922" xr:uid="{00000000-0005-0000-0000-0000281F0000}"/>
    <cellStyle name="Comma 5 4 6 3 5 4" xfId="31852" xr:uid="{00000000-0005-0000-0000-0000291F0000}"/>
    <cellStyle name="Comma 5 4 6 3 6" xfId="7737" xr:uid="{00000000-0005-0000-0000-00002A1F0000}"/>
    <cellStyle name="Comma 5 4 6 3 6 2" xfId="20491" xr:uid="{00000000-0005-0000-0000-00002B1F0000}"/>
    <cellStyle name="Comma 5 4 6 3 6 2 2" xfId="46044" xr:uid="{00000000-0005-0000-0000-00002C1F0000}"/>
    <cellStyle name="Comma 5 4 6 3 6 3" xfId="33294" xr:uid="{00000000-0005-0000-0000-00002D1F0000}"/>
    <cellStyle name="Comma 5 4 6 3 7" xfId="16932" xr:uid="{00000000-0005-0000-0000-00002E1F0000}"/>
    <cellStyle name="Comma 5 4 6 3 7 2" xfId="42485" xr:uid="{00000000-0005-0000-0000-00002F1F0000}"/>
    <cellStyle name="Comma 5 4 6 3 8" xfId="26974" xr:uid="{00000000-0005-0000-0000-0000301F0000}"/>
    <cellStyle name="Comma 5 4 6 4" xfId="2822" xr:uid="{00000000-0005-0000-0000-0000311F0000}"/>
    <cellStyle name="Comma 5 4 6 4 2" xfId="5200" xr:uid="{00000000-0005-0000-0000-0000321F0000}"/>
    <cellStyle name="Comma 5 4 6 4 2 2" xfId="14037" xr:uid="{00000000-0005-0000-0000-0000331F0000}"/>
    <cellStyle name="Comma 5 4 6 4 2 2 2" xfId="24288" xr:uid="{00000000-0005-0000-0000-0000341F0000}"/>
    <cellStyle name="Comma 5 4 6 4 2 2 2 2" xfId="49841" xr:uid="{00000000-0005-0000-0000-0000351F0000}"/>
    <cellStyle name="Comma 5 4 6 4 2 2 3" xfId="39592" xr:uid="{00000000-0005-0000-0000-0000361F0000}"/>
    <cellStyle name="Comma 5 4 6 4 2 3" xfId="10458" xr:uid="{00000000-0005-0000-0000-0000371F0000}"/>
    <cellStyle name="Comma 5 4 6 4 2 3 2" xfId="36015" xr:uid="{00000000-0005-0000-0000-0000381F0000}"/>
    <cellStyle name="Comma 5 4 6 4 2 4" xfId="19281" xr:uid="{00000000-0005-0000-0000-0000391F0000}"/>
    <cellStyle name="Comma 5 4 6 4 2 4 2" xfId="44834" xr:uid="{00000000-0005-0000-0000-00003A1F0000}"/>
    <cellStyle name="Comma 5 4 6 4 2 5" xfId="30771" xr:uid="{00000000-0005-0000-0000-00003B1F0000}"/>
    <cellStyle name="Comma 5 4 6 4 3" xfId="6655" xr:uid="{00000000-0005-0000-0000-00003C1F0000}"/>
    <cellStyle name="Comma 5 4 6 4 3 2" xfId="15482" xr:uid="{00000000-0005-0000-0000-00003D1F0000}"/>
    <cellStyle name="Comma 5 4 6 4 3 2 2" xfId="41037" xr:uid="{00000000-0005-0000-0000-00003E1F0000}"/>
    <cellStyle name="Comma 5 4 6 4 3 3" xfId="25733" xr:uid="{00000000-0005-0000-0000-00003F1F0000}"/>
    <cellStyle name="Comma 5 4 6 4 3 3 2" xfId="51286" xr:uid="{00000000-0005-0000-0000-0000401F0000}"/>
    <cellStyle name="Comma 5 4 6 4 3 4" xfId="32216" xr:uid="{00000000-0005-0000-0000-0000411F0000}"/>
    <cellStyle name="Comma 5 4 6 4 4" xfId="8101" xr:uid="{00000000-0005-0000-0000-0000421F0000}"/>
    <cellStyle name="Comma 5 4 6 4 4 2" xfId="22183" xr:uid="{00000000-0005-0000-0000-0000431F0000}"/>
    <cellStyle name="Comma 5 4 6 4 4 2 2" xfId="47736" xr:uid="{00000000-0005-0000-0000-0000441F0000}"/>
    <cellStyle name="Comma 5 4 6 4 4 3" xfId="33658" xr:uid="{00000000-0005-0000-0000-0000451F0000}"/>
    <cellStyle name="Comma 5 4 6 4 5" xfId="17176" xr:uid="{00000000-0005-0000-0000-0000461F0000}"/>
    <cellStyle name="Comma 5 4 6 4 5 2" xfId="42729" xr:uid="{00000000-0005-0000-0000-0000471F0000}"/>
    <cellStyle name="Comma 5 4 6 4 6" xfId="28666" xr:uid="{00000000-0005-0000-0000-0000481F0000}"/>
    <cellStyle name="Comma 5 4 6 5" xfId="4154" xr:uid="{00000000-0005-0000-0000-0000491F0000}"/>
    <cellStyle name="Comma 5 4 6 5 2" xfId="12992" xr:uid="{00000000-0005-0000-0000-00004A1F0000}"/>
    <cellStyle name="Comma 5 4 6 5 2 2" xfId="23243" xr:uid="{00000000-0005-0000-0000-00004B1F0000}"/>
    <cellStyle name="Comma 5 4 6 5 2 2 2" xfId="48796" xr:uid="{00000000-0005-0000-0000-00004C1F0000}"/>
    <cellStyle name="Comma 5 4 6 5 2 3" xfId="38547" xr:uid="{00000000-0005-0000-0000-00004D1F0000}"/>
    <cellStyle name="Comma 5 4 6 5 3" xfId="9413" xr:uid="{00000000-0005-0000-0000-00004E1F0000}"/>
    <cellStyle name="Comma 5 4 6 5 3 2" xfId="34970" xr:uid="{00000000-0005-0000-0000-00004F1F0000}"/>
    <cellStyle name="Comma 5 4 6 5 4" xfId="18236" xr:uid="{00000000-0005-0000-0000-0000501F0000}"/>
    <cellStyle name="Comma 5 4 6 5 4 2" xfId="43789" xr:uid="{00000000-0005-0000-0000-0000511F0000}"/>
    <cellStyle name="Comma 5 4 6 5 5" xfId="29726" xr:uid="{00000000-0005-0000-0000-0000521F0000}"/>
    <cellStyle name="Comma 5 4 6 6" xfId="1931" xr:uid="{00000000-0005-0000-0000-0000531F0000}"/>
    <cellStyle name="Comma 5 4 6 6 2" xfId="11296" xr:uid="{00000000-0005-0000-0000-0000541F0000}"/>
    <cellStyle name="Comma 5 4 6 6 2 2" xfId="36851" xr:uid="{00000000-0005-0000-0000-0000551F0000}"/>
    <cellStyle name="Comma 5 4 6 6 3" xfId="21300" xr:uid="{00000000-0005-0000-0000-0000561F0000}"/>
    <cellStyle name="Comma 5 4 6 6 3 2" xfId="46853" xr:uid="{00000000-0005-0000-0000-0000571F0000}"/>
    <cellStyle name="Comma 5 4 6 6 4" xfId="27783" xr:uid="{00000000-0005-0000-0000-0000581F0000}"/>
    <cellStyle name="Comma 5 4 6 7" xfId="5612" xr:uid="{00000000-0005-0000-0000-0000591F0000}"/>
    <cellStyle name="Comma 5 4 6 7 2" xfId="14439" xr:uid="{00000000-0005-0000-0000-00005A1F0000}"/>
    <cellStyle name="Comma 5 4 6 7 2 2" xfId="39994" xr:uid="{00000000-0005-0000-0000-00005B1F0000}"/>
    <cellStyle name="Comma 5 4 6 7 3" xfId="24690" xr:uid="{00000000-0005-0000-0000-00005C1F0000}"/>
    <cellStyle name="Comma 5 4 6 7 3 2" xfId="50243" xr:uid="{00000000-0005-0000-0000-00005D1F0000}"/>
    <cellStyle name="Comma 5 4 6 7 4" xfId="31173" xr:uid="{00000000-0005-0000-0000-00005E1F0000}"/>
    <cellStyle name="Comma 5 4 6 8" xfId="7056" xr:uid="{00000000-0005-0000-0000-00005F1F0000}"/>
    <cellStyle name="Comma 5 4 6 8 2" xfId="19782" xr:uid="{00000000-0005-0000-0000-0000601F0000}"/>
    <cellStyle name="Comma 5 4 6 8 2 2" xfId="45335" xr:uid="{00000000-0005-0000-0000-0000611F0000}"/>
    <cellStyle name="Comma 5 4 6 8 3" xfId="32613" xr:uid="{00000000-0005-0000-0000-0000621F0000}"/>
    <cellStyle name="Comma 5 4 6 9" xfId="16293" xr:uid="{00000000-0005-0000-0000-0000631F0000}"/>
    <cellStyle name="Comma 5 4 6 9 2" xfId="41846" xr:uid="{00000000-0005-0000-0000-0000641F0000}"/>
    <cellStyle name="Comma 5 4 7" xfId="663" xr:uid="{00000000-0005-0000-0000-0000651F0000}"/>
    <cellStyle name="Comma 5 4 7 2" xfId="3149" xr:uid="{00000000-0005-0000-0000-0000661F0000}"/>
    <cellStyle name="Comma 5 4 7 2 2" xfId="12292" xr:uid="{00000000-0005-0000-0000-0000671F0000}"/>
    <cellStyle name="Comma 5 4 7 2 2 2" xfId="22510" xr:uid="{00000000-0005-0000-0000-0000681F0000}"/>
    <cellStyle name="Comma 5 4 7 2 2 2 2" xfId="48063" xr:uid="{00000000-0005-0000-0000-0000691F0000}"/>
    <cellStyle name="Comma 5 4 7 2 2 3" xfId="37847" xr:uid="{00000000-0005-0000-0000-00006A1F0000}"/>
    <cellStyle name="Comma 5 4 7 2 3" xfId="8714" xr:uid="{00000000-0005-0000-0000-00006B1F0000}"/>
    <cellStyle name="Comma 5 4 7 2 3 2" xfId="34271" xr:uid="{00000000-0005-0000-0000-00006C1F0000}"/>
    <cellStyle name="Comma 5 4 7 2 4" xfId="17503" xr:uid="{00000000-0005-0000-0000-00006D1F0000}"/>
    <cellStyle name="Comma 5 4 7 2 4 2" xfId="43056" xr:uid="{00000000-0005-0000-0000-00006E1F0000}"/>
    <cellStyle name="Comma 5 4 7 2 5" xfId="28993" xr:uid="{00000000-0005-0000-0000-00006F1F0000}"/>
    <cellStyle name="Comma 5 4 7 3" xfId="4478" xr:uid="{00000000-0005-0000-0000-0000701F0000}"/>
    <cellStyle name="Comma 5 4 7 3 2" xfId="13316" xr:uid="{00000000-0005-0000-0000-0000711F0000}"/>
    <cellStyle name="Comma 5 4 7 3 2 2" xfId="23567" xr:uid="{00000000-0005-0000-0000-0000721F0000}"/>
    <cellStyle name="Comma 5 4 7 3 2 2 2" xfId="49120" xr:uid="{00000000-0005-0000-0000-0000731F0000}"/>
    <cellStyle name="Comma 5 4 7 3 2 3" xfId="38871" xr:uid="{00000000-0005-0000-0000-0000741F0000}"/>
    <cellStyle name="Comma 5 4 7 3 3" xfId="9737" xr:uid="{00000000-0005-0000-0000-0000751F0000}"/>
    <cellStyle name="Comma 5 4 7 3 3 2" xfId="35294" xr:uid="{00000000-0005-0000-0000-0000761F0000}"/>
    <cellStyle name="Comma 5 4 7 3 4" xfId="18560" xr:uid="{00000000-0005-0000-0000-0000771F0000}"/>
    <cellStyle name="Comma 5 4 7 3 4 2" xfId="44113" xr:uid="{00000000-0005-0000-0000-0000781F0000}"/>
    <cellStyle name="Comma 5 4 7 3 5" xfId="30050" xr:uid="{00000000-0005-0000-0000-0000791F0000}"/>
    <cellStyle name="Comma 5 4 7 4" xfId="2258" xr:uid="{00000000-0005-0000-0000-00007A1F0000}"/>
    <cellStyle name="Comma 5 4 7 4 2" xfId="11623" xr:uid="{00000000-0005-0000-0000-00007B1F0000}"/>
    <cellStyle name="Comma 5 4 7 4 2 2" xfId="37178" xr:uid="{00000000-0005-0000-0000-00007C1F0000}"/>
    <cellStyle name="Comma 5 4 7 4 3" xfId="21627" xr:uid="{00000000-0005-0000-0000-00007D1F0000}"/>
    <cellStyle name="Comma 5 4 7 4 3 2" xfId="47180" xr:uid="{00000000-0005-0000-0000-00007E1F0000}"/>
    <cellStyle name="Comma 5 4 7 4 4" xfId="28110" xr:uid="{00000000-0005-0000-0000-00007F1F0000}"/>
    <cellStyle name="Comma 5 4 7 5" xfId="5934" xr:uid="{00000000-0005-0000-0000-0000801F0000}"/>
    <cellStyle name="Comma 5 4 7 5 2" xfId="14761" xr:uid="{00000000-0005-0000-0000-0000811F0000}"/>
    <cellStyle name="Comma 5 4 7 5 2 2" xfId="40316" xr:uid="{00000000-0005-0000-0000-0000821F0000}"/>
    <cellStyle name="Comma 5 4 7 5 3" xfId="25012" xr:uid="{00000000-0005-0000-0000-0000831F0000}"/>
    <cellStyle name="Comma 5 4 7 5 3 2" xfId="50565" xr:uid="{00000000-0005-0000-0000-0000841F0000}"/>
    <cellStyle name="Comma 5 4 7 5 4" xfId="31495" xr:uid="{00000000-0005-0000-0000-0000851F0000}"/>
    <cellStyle name="Comma 5 4 7 6" xfId="7378" xr:uid="{00000000-0005-0000-0000-0000861F0000}"/>
    <cellStyle name="Comma 5 4 7 6 2" xfId="20109" xr:uid="{00000000-0005-0000-0000-0000871F0000}"/>
    <cellStyle name="Comma 5 4 7 6 2 2" xfId="45662" xr:uid="{00000000-0005-0000-0000-0000881F0000}"/>
    <cellStyle name="Comma 5 4 7 6 3" xfId="32935" xr:uid="{00000000-0005-0000-0000-0000891F0000}"/>
    <cellStyle name="Comma 5 4 7 7" xfId="16620" xr:uid="{00000000-0005-0000-0000-00008A1F0000}"/>
    <cellStyle name="Comma 5 4 7 7 2" xfId="42173" xr:uid="{00000000-0005-0000-0000-00008B1F0000}"/>
    <cellStyle name="Comma 5 4 7 8" xfId="26592" xr:uid="{00000000-0005-0000-0000-00008C1F0000}"/>
    <cellStyle name="Comma 5 4 8" xfId="1063" xr:uid="{00000000-0005-0000-0000-00008D1F0000}"/>
    <cellStyle name="Comma 5 4 8 2" xfId="3492" xr:uid="{00000000-0005-0000-0000-00008E1F0000}"/>
    <cellStyle name="Comma 5 4 8 2 2" xfId="12628" xr:uid="{00000000-0005-0000-0000-00008F1F0000}"/>
    <cellStyle name="Comma 5 4 8 2 2 2" xfId="22847" xr:uid="{00000000-0005-0000-0000-0000901F0000}"/>
    <cellStyle name="Comma 5 4 8 2 2 2 2" xfId="48400" xr:uid="{00000000-0005-0000-0000-0000911F0000}"/>
    <cellStyle name="Comma 5 4 8 2 2 3" xfId="38183" xr:uid="{00000000-0005-0000-0000-0000921F0000}"/>
    <cellStyle name="Comma 5 4 8 2 3" xfId="9050" xr:uid="{00000000-0005-0000-0000-0000931F0000}"/>
    <cellStyle name="Comma 5 4 8 2 3 2" xfId="34607" xr:uid="{00000000-0005-0000-0000-0000941F0000}"/>
    <cellStyle name="Comma 5 4 8 2 4" xfId="17840" xr:uid="{00000000-0005-0000-0000-0000951F0000}"/>
    <cellStyle name="Comma 5 4 8 2 4 2" xfId="43393" xr:uid="{00000000-0005-0000-0000-0000961F0000}"/>
    <cellStyle name="Comma 5 4 8 2 5" xfId="29330" xr:uid="{00000000-0005-0000-0000-0000971F0000}"/>
    <cellStyle name="Comma 5 4 8 3" xfId="4827" xr:uid="{00000000-0005-0000-0000-0000981F0000}"/>
    <cellStyle name="Comma 5 4 8 3 2" xfId="13664" xr:uid="{00000000-0005-0000-0000-0000991F0000}"/>
    <cellStyle name="Comma 5 4 8 3 2 2" xfId="23915" xr:uid="{00000000-0005-0000-0000-00009A1F0000}"/>
    <cellStyle name="Comma 5 4 8 3 2 2 2" xfId="49468" xr:uid="{00000000-0005-0000-0000-00009B1F0000}"/>
    <cellStyle name="Comma 5 4 8 3 2 3" xfId="39219" xr:uid="{00000000-0005-0000-0000-00009C1F0000}"/>
    <cellStyle name="Comma 5 4 8 3 3" xfId="10085" xr:uid="{00000000-0005-0000-0000-00009D1F0000}"/>
    <cellStyle name="Comma 5 4 8 3 3 2" xfId="35642" xr:uid="{00000000-0005-0000-0000-00009E1F0000}"/>
    <cellStyle name="Comma 5 4 8 3 4" xfId="18908" xr:uid="{00000000-0005-0000-0000-00009F1F0000}"/>
    <cellStyle name="Comma 5 4 8 3 4 2" xfId="44461" xr:uid="{00000000-0005-0000-0000-0000A01F0000}"/>
    <cellStyle name="Comma 5 4 8 3 5" xfId="30398" xr:uid="{00000000-0005-0000-0000-0000A11F0000}"/>
    <cellStyle name="Comma 5 4 8 4" xfId="1729" xr:uid="{00000000-0005-0000-0000-0000A21F0000}"/>
    <cellStyle name="Comma 5 4 8 4 2" xfId="11103" xr:uid="{00000000-0005-0000-0000-0000A31F0000}"/>
    <cellStyle name="Comma 5 4 8 4 2 2" xfId="36658" xr:uid="{00000000-0005-0000-0000-0000A41F0000}"/>
    <cellStyle name="Comma 5 4 8 4 3" xfId="21107" xr:uid="{00000000-0005-0000-0000-0000A51F0000}"/>
    <cellStyle name="Comma 5 4 8 4 3 2" xfId="46660" xr:uid="{00000000-0005-0000-0000-0000A61F0000}"/>
    <cellStyle name="Comma 5 4 8 4 4" xfId="27590" xr:uid="{00000000-0005-0000-0000-0000A71F0000}"/>
    <cellStyle name="Comma 5 4 8 5" xfId="6282" xr:uid="{00000000-0005-0000-0000-0000A81F0000}"/>
    <cellStyle name="Comma 5 4 8 5 2" xfId="15109" xr:uid="{00000000-0005-0000-0000-0000A91F0000}"/>
    <cellStyle name="Comma 5 4 8 5 2 2" xfId="40664" xr:uid="{00000000-0005-0000-0000-0000AA1F0000}"/>
    <cellStyle name="Comma 5 4 8 5 3" xfId="25360" xr:uid="{00000000-0005-0000-0000-0000AB1F0000}"/>
    <cellStyle name="Comma 5 4 8 5 3 2" xfId="50913" xr:uid="{00000000-0005-0000-0000-0000AC1F0000}"/>
    <cellStyle name="Comma 5 4 8 5 4" xfId="31843" xr:uid="{00000000-0005-0000-0000-0000AD1F0000}"/>
    <cellStyle name="Comma 5 4 8 6" xfId="7728" xr:uid="{00000000-0005-0000-0000-0000AE1F0000}"/>
    <cellStyle name="Comma 5 4 8 6 2" xfId="20446" xr:uid="{00000000-0005-0000-0000-0000AF1F0000}"/>
    <cellStyle name="Comma 5 4 8 6 2 2" xfId="45999" xr:uid="{00000000-0005-0000-0000-0000B01F0000}"/>
    <cellStyle name="Comma 5 4 8 6 3" xfId="33285" xr:uid="{00000000-0005-0000-0000-0000B11F0000}"/>
    <cellStyle name="Comma 5 4 8 7" xfId="16100" xr:uid="{00000000-0005-0000-0000-0000B21F0000}"/>
    <cellStyle name="Comma 5 4 8 7 2" xfId="41653" xr:uid="{00000000-0005-0000-0000-0000B31F0000}"/>
    <cellStyle name="Comma 5 4 8 8" xfId="26929" xr:uid="{00000000-0005-0000-0000-0000B41F0000}"/>
    <cellStyle name="Comma 5 4 9" xfId="2629" xr:uid="{00000000-0005-0000-0000-0000B51F0000}"/>
    <cellStyle name="Comma 5 4 9 2" xfId="5155" xr:uid="{00000000-0005-0000-0000-0000B61F0000}"/>
    <cellStyle name="Comma 5 4 9 2 2" xfId="13992" xr:uid="{00000000-0005-0000-0000-0000B71F0000}"/>
    <cellStyle name="Comma 5 4 9 2 2 2" xfId="24243" xr:uid="{00000000-0005-0000-0000-0000B81F0000}"/>
    <cellStyle name="Comma 5 4 9 2 2 2 2" xfId="49796" xr:uid="{00000000-0005-0000-0000-0000B91F0000}"/>
    <cellStyle name="Comma 5 4 9 2 2 3" xfId="39547" xr:uid="{00000000-0005-0000-0000-0000BA1F0000}"/>
    <cellStyle name="Comma 5 4 9 2 3" xfId="10413" xr:uid="{00000000-0005-0000-0000-0000BB1F0000}"/>
    <cellStyle name="Comma 5 4 9 2 3 2" xfId="35970" xr:uid="{00000000-0005-0000-0000-0000BC1F0000}"/>
    <cellStyle name="Comma 5 4 9 2 4" xfId="19236" xr:uid="{00000000-0005-0000-0000-0000BD1F0000}"/>
    <cellStyle name="Comma 5 4 9 2 4 2" xfId="44789" xr:uid="{00000000-0005-0000-0000-0000BE1F0000}"/>
    <cellStyle name="Comma 5 4 9 2 5" xfId="30726" xr:uid="{00000000-0005-0000-0000-0000BF1F0000}"/>
    <cellStyle name="Comma 5 4 9 3" xfId="6610" xr:uid="{00000000-0005-0000-0000-0000C01F0000}"/>
    <cellStyle name="Comma 5 4 9 3 2" xfId="15437" xr:uid="{00000000-0005-0000-0000-0000C11F0000}"/>
    <cellStyle name="Comma 5 4 9 3 2 2" xfId="40992" xr:uid="{00000000-0005-0000-0000-0000C21F0000}"/>
    <cellStyle name="Comma 5 4 9 3 3" xfId="25688" xr:uid="{00000000-0005-0000-0000-0000C31F0000}"/>
    <cellStyle name="Comma 5 4 9 3 3 2" xfId="51241" xr:uid="{00000000-0005-0000-0000-0000C41F0000}"/>
    <cellStyle name="Comma 5 4 9 3 4" xfId="32171" xr:uid="{00000000-0005-0000-0000-0000C51F0000}"/>
    <cellStyle name="Comma 5 4 9 4" xfId="8056" xr:uid="{00000000-0005-0000-0000-0000C61F0000}"/>
    <cellStyle name="Comma 5 4 9 4 2" xfId="21991" xr:uid="{00000000-0005-0000-0000-0000C71F0000}"/>
    <cellStyle name="Comma 5 4 9 4 2 2" xfId="47544" xr:uid="{00000000-0005-0000-0000-0000C81F0000}"/>
    <cellStyle name="Comma 5 4 9 4 3" xfId="33613" xr:uid="{00000000-0005-0000-0000-0000C91F0000}"/>
    <cellStyle name="Comma 5 4 9 5" xfId="16984" xr:uid="{00000000-0005-0000-0000-0000CA1F0000}"/>
    <cellStyle name="Comma 5 4 9 5 2" xfId="42537" xr:uid="{00000000-0005-0000-0000-0000CB1F0000}"/>
    <cellStyle name="Comma 5 4 9 6" xfId="28474" xr:uid="{00000000-0005-0000-0000-0000CC1F0000}"/>
    <cellStyle name="Comma 5 5" xfId="138" xr:uid="{00000000-0005-0000-0000-0000CD1F0000}"/>
    <cellStyle name="Comma 5 5 10" xfId="1406" xr:uid="{00000000-0005-0000-0000-0000CE1F0000}"/>
    <cellStyle name="Comma 5 5 10 2" xfId="10783" xr:uid="{00000000-0005-0000-0000-0000CF1F0000}"/>
    <cellStyle name="Comma 5 5 10 2 2" xfId="36338" xr:uid="{00000000-0005-0000-0000-0000D01F0000}"/>
    <cellStyle name="Comma 5 5 10 3" xfId="20787" xr:uid="{00000000-0005-0000-0000-0000D11F0000}"/>
    <cellStyle name="Comma 5 5 10 3 2" xfId="46340" xr:uid="{00000000-0005-0000-0000-0000D21F0000}"/>
    <cellStyle name="Comma 5 5 10 4" xfId="27270" xr:uid="{00000000-0005-0000-0000-0000D31F0000}"/>
    <cellStyle name="Comma 5 5 11" xfId="5517" xr:uid="{00000000-0005-0000-0000-0000D41F0000}"/>
    <cellStyle name="Comma 5 5 11 2" xfId="14344" xr:uid="{00000000-0005-0000-0000-0000D51F0000}"/>
    <cellStyle name="Comma 5 5 11 2 2" xfId="39899" xr:uid="{00000000-0005-0000-0000-0000D61F0000}"/>
    <cellStyle name="Comma 5 5 11 3" xfId="24595" xr:uid="{00000000-0005-0000-0000-0000D71F0000}"/>
    <cellStyle name="Comma 5 5 11 3 2" xfId="50148" xr:uid="{00000000-0005-0000-0000-0000D81F0000}"/>
    <cellStyle name="Comma 5 5 11 4" xfId="31078" xr:uid="{00000000-0005-0000-0000-0000D91F0000}"/>
    <cellStyle name="Comma 5 5 12" xfId="6957" xr:uid="{00000000-0005-0000-0000-0000DA1F0000}"/>
    <cellStyle name="Comma 5 5 12 2" xfId="19602" xr:uid="{00000000-0005-0000-0000-0000DB1F0000}"/>
    <cellStyle name="Comma 5 5 12 2 2" xfId="45155" xr:uid="{00000000-0005-0000-0000-0000DC1F0000}"/>
    <cellStyle name="Comma 5 5 12 3" xfId="32515" xr:uid="{00000000-0005-0000-0000-0000DD1F0000}"/>
    <cellStyle name="Comma 5 5 13" xfId="15780" xr:uid="{00000000-0005-0000-0000-0000DE1F0000}"/>
    <cellStyle name="Comma 5 5 13 2" xfId="41333" xr:uid="{00000000-0005-0000-0000-0000DF1F0000}"/>
    <cellStyle name="Comma 5 5 14" xfId="26085" xr:uid="{00000000-0005-0000-0000-0000E01F0000}"/>
    <cellStyle name="Comma 5 5 2" xfId="188" xr:uid="{00000000-0005-0000-0000-0000E11F0000}"/>
    <cellStyle name="Comma 5 5 2 10" xfId="7136" xr:uid="{00000000-0005-0000-0000-0000E21F0000}"/>
    <cellStyle name="Comma 5 5 2 10 2" xfId="19645" xr:uid="{00000000-0005-0000-0000-0000E31F0000}"/>
    <cellStyle name="Comma 5 5 2 10 2 2" xfId="45198" xr:uid="{00000000-0005-0000-0000-0000E41F0000}"/>
    <cellStyle name="Comma 5 5 2 10 3" xfId="32693" xr:uid="{00000000-0005-0000-0000-0000E51F0000}"/>
    <cellStyle name="Comma 5 5 2 11" xfId="15882" xr:uid="{00000000-0005-0000-0000-0000E61F0000}"/>
    <cellStyle name="Comma 5 5 2 11 2" xfId="41435" xr:uid="{00000000-0005-0000-0000-0000E71F0000}"/>
    <cellStyle name="Comma 5 5 2 12" xfId="26128" xr:uid="{00000000-0005-0000-0000-0000E81F0000}"/>
    <cellStyle name="Comma 5 5 2 2" xfId="516" xr:uid="{00000000-0005-0000-0000-0000E91F0000}"/>
    <cellStyle name="Comma 5 5 2 2 10" xfId="26445" xr:uid="{00000000-0005-0000-0000-0000EA1F0000}"/>
    <cellStyle name="Comma 5 5 2 2 2" xfId="675" xr:uid="{00000000-0005-0000-0000-0000EB1F0000}"/>
    <cellStyle name="Comma 5 5 2 2 2 2" xfId="3161" xr:uid="{00000000-0005-0000-0000-0000EC1F0000}"/>
    <cellStyle name="Comma 5 5 2 2 2 2 2" xfId="12304" xr:uid="{00000000-0005-0000-0000-0000ED1F0000}"/>
    <cellStyle name="Comma 5 5 2 2 2 2 2 2" xfId="22522" xr:uid="{00000000-0005-0000-0000-0000EE1F0000}"/>
    <cellStyle name="Comma 5 5 2 2 2 2 2 2 2" xfId="48075" xr:uid="{00000000-0005-0000-0000-0000EF1F0000}"/>
    <cellStyle name="Comma 5 5 2 2 2 2 2 3" xfId="37859" xr:uid="{00000000-0005-0000-0000-0000F01F0000}"/>
    <cellStyle name="Comma 5 5 2 2 2 2 3" xfId="8726" xr:uid="{00000000-0005-0000-0000-0000F11F0000}"/>
    <cellStyle name="Comma 5 5 2 2 2 2 3 2" xfId="34283" xr:uid="{00000000-0005-0000-0000-0000F21F0000}"/>
    <cellStyle name="Comma 5 5 2 2 2 2 4" xfId="17515" xr:uid="{00000000-0005-0000-0000-0000F31F0000}"/>
    <cellStyle name="Comma 5 5 2 2 2 2 4 2" xfId="43068" xr:uid="{00000000-0005-0000-0000-0000F41F0000}"/>
    <cellStyle name="Comma 5 5 2 2 2 2 5" xfId="29005" xr:uid="{00000000-0005-0000-0000-0000F51F0000}"/>
    <cellStyle name="Comma 5 5 2 2 2 3" xfId="4490" xr:uid="{00000000-0005-0000-0000-0000F61F0000}"/>
    <cellStyle name="Comma 5 5 2 2 2 3 2" xfId="13328" xr:uid="{00000000-0005-0000-0000-0000F71F0000}"/>
    <cellStyle name="Comma 5 5 2 2 2 3 2 2" xfId="23579" xr:uid="{00000000-0005-0000-0000-0000F81F0000}"/>
    <cellStyle name="Comma 5 5 2 2 2 3 2 2 2" xfId="49132" xr:uid="{00000000-0005-0000-0000-0000F91F0000}"/>
    <cellStyle name="Comma 5 5 2 2 2 3 2 3" xfId="38883" xr:uid="{00000000-0005-0000-0000-0000FA1F0000}"/>
    <cellStyle name="Comma 5 5 2 2 2 3 3" xfId="9749" xr:uid="{00000000-0005-0000-0000-0000FB1F0000}"/>
    <cellStyle name="Comma 5 5 2 2 2 3 3 2" xfId="35306" xr:uid="{00000000-0005-0000-0000-0000FC1F0000}"/>
    <cellStyle name="Comma 5 5 2 2 2 3 4" xfId="18572" xr:uid="{00000000-0005-0000-0000-0000FD1F0000}"/>
    <cellStyle name="Comma 5 5 2 2 2 3 4 2" xfId="44125" xr:uid="{00000000-0005-0000-0000-0000FE1F0000}"/>
    <cellStyle name="Comma 5 5 2 2 2 3 5" xfId="30062" xr:uid="{00000000-0005-0000-0000-0000FF1F0000}"/>
    <cellStyle name="Comma 5 5 2 2 2 4" xfId="2270" xr:uid="{00000000-0005-0000-0000-000000200000}"/>
    <cellStyle name="Comma 5 5 2 2 2 4 2" xfId="11635" xr:uid="{00000000-0005-0000-0000-000001200000}"/>
    <cellStyle name="Comma 5 5 2 2 2 4 2 2" xfId="37190" xr:uid="{00000000-0005-0000-0000-000002200000}"/>
    <cellStyle name="Comma 5 5 2 2 2 4 3" xfId="21639" xr:uid="{00000000-0005-0000-0000-000003200000}"/>
    <cellStyle name="Comma 5 5 2 2 2 4 3 2" xfId="47192" xr:uid="{00000000-0005-0000-0000-000004200000}"/>
    <cellStyle name="Comma 5 5 2 2 2 4 4" xfId="28122" xr:uid="{00000000-0005-0000-0000-000005200000}"/>
    <cellStyle name="Comma 5 5 2 2 2 5" xfId="5946" xr:uid="{00000000-0005-0000-0000-000006200000}"/>
    <cellStyle name="Comma 5 5 2 2 2 5 2" xfId="14773" xr:uid="{00000000-0005-0000-0000-000007200000}"/>
    <cellStyle name="Comma 5 5 2 2 2 5 2 2" xfId="40328" xr:uid="{00000000-0005-0000-0000-000008200000}"/>
    <cellStyle name="Comma 5 5 2 2 2 5 3" xfId="25024" xr:uid="{00000000-0005-0000-0000-000009200000}"/>
    <cellStyle name="Comma 5 5 2 2 2 5 3 2" xfId="50577" xr:uid="{00000000-0005-0000-0000-00000A200000}"/>
    <cellStyle name="Comma 5 5 2 2 2 5 4" xfId="31507" xr:uid="{00000000-0005-0000-0000-00000B200000}"/>
    <cellStyle name="Comma 5 5 2 2 2 6" xfId="7390" xr:uid="{00000000-0005-0000-0000-00000C200000}"/>
    <cellStyle name="Comma 5 5 2 2 2 6 2" xfId="20121" xr:uid="{00000000-0005-0000-0000-00000D200000}"/>
    <cellStyle name="Comma 5 5 2 2 2 6 2 2" xfId="45674" xr:uid="{00000000-0005-0000-0000-00000E200000}"/>
    <cellStyle name="Comma 5 5 2 2 2 6 3" xfId="32947" xr:uid="{00000000-0005-0000-0000-00000F200000}"/>
    <cellStyle name="Comma 5 5 2 2 2 7" xfId="16632" xr:uid="{00000000-0005-0000-0000-000010200000}"/>
    <cellStyle name="Comma 5 5 2 2 2 7 2" xfId="42185" xr:uid="{00000000-0005-0000-0000-000011200000}"/>
    <cellStyle name="Comma 5 5 2 2 2 8" xfId="26604" xr:uid="{00000000-0005-0000-0000-000012200000}"/>
    <cellStyle name="Comma 5 5 2 2 3" xfId="1288" xr:uid="{00000000-0005-0000-0000-000013200000}"/>
    <cellStyle name="Comma 5 5 2 2 3 2" xfId="3717" xr:uid="{00000000-0005-0000-0000-000014200000}"/>
    <cellStyle name="Comma 5 5 2 2 3 2 2" xfId="12853" xr:uid="{00000000-0005-0000-0000-000015200000}"/>
    <cellStyle name="Comma 5 5 2 2 3 2 2 2" xfId="23072" xr:uid="{00000000-0005-0000-0000-000016200000}"/>
    <cellStyle name="Comma 5 5 2 2 3 2 2 2 2" xfId="48625" xr:uid="{00000000-0005-0000-0000-000017200000}"/>
    <cellStyle name="Comma 5 5 2 2 3 2 2 3" xfId="38408" xr:uid="{00000000-0005-0000-0000-000018200000}"/>
    <cellStyle name="Comma 5 5 2 2 3 2 3" xfId="9274" xr:uid="{00000000-0005-0000-0000-000019200000}"/>
    <cellStyle name="Comma 5 5 2 2 3 2 3 2" xfId="34831" xr:uid="{00000000-0005-0000-0000-00001A200000}"/>
    <cellStyle name="Comma 5 5 2 2 3 2 4" xfId="18065" xr:uid="{00000000-0005-0000-0000-00001B200000}"/>
    <cellStyle name="Comma 5 5 2 2 3 2 4 2" xfId="43618" xr:uid="{00000000-0005-0000-0000-00001C200000}"/>
    <cellStyle name="Comma 5 5 2 2 3 2 5" xfId="29555" xr:uid="{00000000-0005-0000-0000-00001D200000}"/>
    <cellStyle name="Comma 5 5 2 2 3 3" xfId="4839" xr:uid="{00000000-0005-0000-0000-00001E200000}"/>
    <cellStyle name="Comma 5 5 2 2 3 3 2" xfId="13676" xr:uid="{00000000-0005-0000-0000-00001F200000}"/>
    <cellStyle name="Comma 5 5 2 2 3 3 2 2" xfId="23927" xr:uid="{00000000-0005-0000-0000-000020200000}"/>
    <cellStyle name="Comma 5 5 2 2 3 3 2 2 2" xfId="49480" xr:uid="{00000000-0005-0000-0000-000021200000}"/>
    <cellStyle name="Comma 5 5 2 2 3 3 2 3" xfId="39231" xr:uid="{00000000-0005-0000-0000-000022200000}"/>
    <cellStyle name="Comma 5 5 2 2 3 3 3" xfId="10097" xr:uid="{00000000-0005-0000-0000-000023200000}"/>
    <cellStyle name="Comma 5 5 2 2 3 3 3 2" xfId="35654" xr:uid="{00000000-0005-0000-0000-000024200000}"/>
    <cellStyle name="Comma 5 5 2 2 3 3 4" xfId="18920" xr:uid="{00000000-0005-0000-0000-000025200000}"/>
    <cellStyle name="Comma 5 5 2 2 3 3 4 2" xfId="44473" xr:uid="{00000000-0005-0000-0000-000026200000}"/>
    <cellStyle name="Comma 5 5 2 2 3 3 5" xfId="30410" xr:uid="{00000000-0005-0000-0000-000027200000}"/>
    <cellStyle name="Comma 5 5 2 2 3 4" xfId="2111" xr:uid="{00000000-0005-0000-0000-000028200000}"/>
    <cellStyle name="Comma 5 5 2 2 3 4 2" xfId="11476" xr:uid="{00000000-0005-0000-0000-000029200000}"/>
    <cellStyle name="Comma 5 5 2 2 3 4 2 2" xfId="37031" xr:uid="{00000000-0005-0000-0000-00002A200000}"/>
    <cellStyle name="Comma 5 5 2 2 3 4 3" xfId="21480" xr:uid="{00000000-0005-0000-0000-00002B200000}"/>
    <cellStyle name="Comma 5 5 2 2 3 4 3 2" xfId="47033" xr:uid="{00000000-0005-0000-0000-00002C200000}"/>
    <cellStyle name="Comma 5 5 2 2 3 4 4" xfId="27963" xr:uid="{00000000-0005-0000-0000-00002D200000}"/>
    <cellStyle name="Comma 5 5 2 2 3 5" xfId="6294" xr:uid="{00000000-0005-0000-0000-00002E200000}"/>
    <cellStyle name="Comma 5 5 2 2 3 5 2" xfId="15121" xr:uid="{00000000-0005-0000-0000-00002F200000}"/>
    <cellStyle name="Comma 5 5 2 2 3 5 2 2" xfId="40676" xr:uid="{00000000-0005-0000-0000-000030200000}"/>
    <cellStyle name="Comma 5 5 2 2 3 5 3" xfId="25372" xr:uid="{00000000-0005-0000-0000-000031200000}"/>
    <cellStyle name="Comma 5 5 2 2 3 5 3 2" xfId="50925" xr:uid="{00000000-0005-0000-0000-000032200000}"/>
    <cellStyle name="Comma 5 5 2 2 3 5 4" xfId="31855" xr:uid="{00000000-0005-0000-0000-000033200000}"/>
    <cellStyle name="Comma 5 5 2 2 3 6" xfId="7740" xr:uid="{00000000-0005-0000-0000-000034200000}"/>
    <cellStyle name="Comma 5 5 2 2 3 6 2" xfId="20671" xr:uid="{00000000-0005-0000-0000-000035200000}"/>
    <cellStyle name="Comma 5 5 2 2 3 6 2 2" xfId="46224" xr:uid="{00000000-0005-0000-0000-000036200000}"/>
    <cellStyle name="Comma 5 5 2 2 3 6 3" xfId="33297" xr:uid="{00000000-0005-0000-0000-000037200000}"/>
    <cellStyle name="Comma 5 5 2 2 3 7" xfId="16473" xr:uid="{00000000-0005-0000-0000-000038200000}"/>
    <cellStyle name="Comma 5 5 2 2 3 7 2" xfId="42026" xr:uid="{00000000-0005-0000-0000-000039200000}"/>
    <cellStyle name="Comma 5 5 2 2 3 8" xfId="27154" xr:uid="{00000000-0005-0000-0000-00003A200000}"/>
    <cellStyle name="Comma 5 5 2 2 4" xfId="3002" xr:uid="{00000000-0005-0000-0000-00003B200000}"/>
    <cellStyle name="Comma 5 5 2 2 4 2" xfId="5380" xr:uid="{00000000-0005-0000-0000-00003C200000}"/>
    <cellStyle name="Comma 5 5 2 2 4 2 2" xfId="14217" xr:uid="{00000000-0005-0000-0000-00003D200000}"/>
    <cellStyle name="Comma 5 5 2 2 4 2 2 2" xfId="24468" xr:uid="{00000000-0005-0000-0000-00003E200000}"/>
    <cellStyle name="Comma 5 5 2 2 4 2 2 2 2" xfId="50021" xr:uid="{00000000-0005-0000-0000-00003F200000}"/>
    <cellStyle name="Comma 5 5 2 2 4 2 2 3" xfId="39772" xr:uid="{00000000-0005-0000-0000-000040200000}"/>
    <cellStyle name="Comma 5 5 2 2 4 2 3" xfId="10638" xr:uid="{00000000-0005-0000-0000-000041200000}"/>
    <cellStyle name="Comma 5 5 2 2 4 2 3 2" xfId="36195" xr:uid="{00000000-0005-0000-0000-000042200000}"/>
    <cellStyle name="Comma 5 5 2 2 4 2 4" xfId="19461" xr:uid="{00000000-0005-0000-0000-000043200000}"/>
    <cellStyle name="Comma 5 5 2 2 4 2 4 2" xfId="45014" xr:uid="{00000000-0005-0000-0000-000044200000}"/>
    <cellStyle name="Comma 5 5 2 2 4 2 5" xfId="30951" xr:uid="{00000000-0005-0000-0000-000045200000}"/>
    <cellStyle name="Comma 5 5 2 2 4 3" xfId="6835" xr:uid="{00000000-0005-0000-0000-000046200000}"/>
    <cellStyle name="Comma 5 5 2 2 4 3 2" xfId="15662" xr:uid="{00000000-0005-0000-0000-000047200000}"/>
    <cellStyle name="Comma 5 5 2 2 4 3 2 2" xfId="41217" xr:uid="{00000000-0005-0000-0000-000048200000}"/>
    <cellStyle name="Comma 5 5 2 2 4 3 3" xfId="25913" xr:uid="{00000000-0005-0000-0000-000049200000}"/>
    <cellStyle name="Comma 5 5 2 2 4 3 3 2" xfId="51466" xr:uid="{00000000-0005-0000-0000-00004A200000}"/>
    <cellStyle name="Comma 5 5 2 2 4 3 4" xfId="32396" xr:uid="{00000000-0005-0000-0000-00004B200000}"/>
    <cellStyle name="Comma 5 5 2 2 4 4" xfId="8281" xr:uid="{00000000-0005-0000-0000-00004C200000}"/>
    <cellStyle name="Comma 5 5 2 2 4 4 2" xfId="22363" xr:uid="{00000000-0005-0000-0000-00004D200000}"/>
    <cellStyle name="Comma 5 5 2 2 4 4 2 2" xfId="47916" xr:uid="{00000000-0005-0000-0000-00004E200000}"/>
    <cellStyle name="Comma 5 5 2 2 4 4 3" xfId="33838" xr:uid="{00000000-0005-0000-0000-00004F200000}"/>
    <cellStyle name="Comma 5 5 2 2 4 5" xfId="17356" xr:uid="{00000000-0005-0000-0000-000050200000}"/>
    <cellStyle name="Comma 5 5 2 2 4 5 2" xfId="42909" xr:uid="{00000000-0005-0000-0000-000051200000}"/>
    <cellStyle name="Comma 5 5 2 2 4 6" xfId="28846" xr:uid="{00000000-0005-0000-0000-000052200000}"/>
    <cellStyle name="Comma 5 5 2 2 5" xfId="4336" xr:uid="{00000000-0005-0000-0000-000053200000}"/>
    <cellStyle name="Comma 5 5 2 2 5 2" xfId="13174" xr:uid="{00000000-0005-0000-0000-000054200000}"/>
    <cellStyle name="Comma 5 5 2 2 5 2 2" xfId="23425" xr:uid="{00000000-0005-0000-0000-000055200000}"/>
    <cellStyle name="Comma 5 5 2 2 5 2 2 2" xfId="48978" xr:uid="{00000000-0005-0000-0000-000056200000}"/>
    <cellStyle name="Comma 5 5 2 2 5 2 3" xfId="38729" xr:uid="{00000000-0005-0000-0000-000057200000}"/>
    <cellStyle name="Comma 5 5 2 2 5 3" xfId="9595" xr:uid="{00000000-0005-0000-0000-000058200000}"/>
    <cellStyle name="Comma 5 5 2 2 5 3 2" xfId="35152" xr:uid="{00000000-0005-0000-0000-000059200000}"/>
    <cellStyle name="Comma 5 5 2 2 5 4" xfId="18418" xr:uid="{00000000-0005-0000-0000-00005A200000}"/>
    <cellStyle name="Comma 5 5 2 2 5 4 2" xfId="43971" xr:uid="{00000000-0005-0000-0000-00005B200000}"/>
    <cellStyle name="Comma 5 5 2 2 5 5" xfId="29908" xr:uid="{00000000-0005-0000-0000-00005C200000}"/>
    <cellStyle name="Comma 5 5 2 2 6" xfId="1608" xr:uid="{00000000-0005-0000-0000-00005D200000}"/>
    <cellStyle name="Comma 5 5 2 2 6 2" xfId="10985" xr:uid="{00000000-0005-0000-0000-00005E200000}"/>
    <cellStyle name="Comma 5 5 2 2 6 2 2" xfId="36540" xr:uid="{00000000-0005-0000-0000-00005F200000}"/>
    <cellStyle name="Comma 5 5 2 2 6 3" xfId="20989" xr:uid="{00000000-0005-0000-0000-000060200000}"/>
    <cellStyle name="Comma 5 5 2 2 6 3 2" xfId="46542" xr:uid="{00000000-0005-0000-0000-000061200000}"/>
    <cellStyle name="Comma 5 5 2 2 6 4" xfId="27472" xr:uid="{00000000-0005-0000-0000-000062200000}"/>
    <cellStyle name="Comma 5 5 2 2 7" xfId="5792" xr:uid="{00000000-0005-0000-0000-000063200000}"/>
    <cellStyle name="Comma 5 5 2 2 7 2" xfId="14619" xr:uid="{00000000-0005-0000-0000-000064200000}"/>
    <cellStyle name="Comma 5 5 2 2 7 2 2" xfId="40174" xr:uid="{00000000-0005-0000-0000-000065200000}"/>
    <cellStyle name="Comma 5 5 2 2 7 3" xfId="24870" xr:uid="{00000000-0005-0000-0000-000066200000}"/>
    <cellStyle name="Comma 5 5 2 2 7 3 2" xfId="50423" xr:uid="{00000000-0005-0000-0000-000067200000}"/>
    <cellStyle name="Comma 5 5 2 2 7 4" xfId="31353" xr:uid="{00000000-0005-0000-0000-000068200000}"/>
    <cellStyle name="Comma 5 5 2 2 8" xfId="7236" xr:uid="{00000000-0005-0000-0000-000069200000}"/>
    <cellStyle name="Comma 5 5 2 2 8 2" xfId="19962" xr:uid="{00000000-0005-0000-0000-00006A200000}"/>
    <cellStyle name="Comma 5 5 2 2 8 2 2" xfId="45515" xr:uid="{00000000-0005-0000-0000-00006B200000}"/>
    <cellStyle name="Comma 5 5 2 2 8 3" xfId="32793" xr:uid="{00000000-0005-0000-0000-00006C200000}"/>
    <cellStyle name="Comma 5 5 2 2 9" xfId="15982" xr:uid="{00000000-0005-0000-0000-00006D200000}"/>
    <cellStyle name="Comma 5 5 2 2 9 2" xfId="41535" xr:uid="{00000000-0005-0000-0000-00006E200000}"/>
    <cellStyle name="Comma 5 5 2 3" xfId="416" xr:uid="{00000000-0005-0000-0000-00006F200000}"/>
    <cellStyle name="Comma 5 5 2 3 2" xfId="2902" xr:uid="{00000000-0005-0000-0000-000070200000}"/>
    <cellStyle name="Comma 5 5 2 3 2 2" xfId="12190" xr:uid="{00000000-0005-0000-0000-000071200000}"/>
    <cellStyle name="Comma 5 5 2 3 2 2 2" xfId="22263" xr:uid="{00000000-0005-0000-0000-000072200000}"/>
    <cellStyle name="Comma 5 5 2 3 2 2 2 2" xfId="47816" xr:uid="{00000000-0005-0000-0000-000073200000}"/>
    <cellStyle name="Comma 5 5 2 3 2 2 3" xfId="37745" xr:uid="{00000000-0005-0000-0000-000074200000}"/>
    <cellStyle name="Comma 5 5 2 3 2 3" xfId="8630" xr:uid="{00000000-0005-0000-0000-000075200000}"/>
    <cellStyle name="Comma 5 5 2 3 2 3 2" xfId="34187" xr:uid="{00000000-0005-0000-0000-000076200000}"/>
    <cellStyle name="Comma 5 5 2 3 2 4" xfId="17256" xr:uid="{00000000-0005-0000-0000-000077200000}"/>
    <cellStyle name="Comma 5 5 2 3 2 4 2" xfId="42809" xr:uid="{00000000-0005-0000-0000-000078200000}"/>
    <cellStyle name="Comma 5 5 2 3 2 5" xfId="28746" xr:uid="{00000000-0005-0000-0000-000079200000}"/>
    <cellStyle name="Comma 5 5 2 3 3" xfId="4489" xr:uid="{00000000-0005-0000-0000-00007A200000}"/>
    <cellStyle name="Comma 5 5 2 3 3 2" xfId="13327" xr:uid="{00000000-0005-0000-0000-00007B200000}"/>
    <cellStyle name="Comma 5 5 2 3 3 2 2" xfId="23578" xr:uid="{00000000-0005-0000-0000-00007C200000}"/>
    <cellStyle name="Comma 5 5 2 3 3 2 2 2" xfId="49131" xr:uid="{00000000-0005-0000-0000-00007D200000}"/>
    <cellStyle name="Comma 5 5 2 3 3 2 3" xfId="38882" xr:uid="{00000000-0005-0000-0000-00007E200000}"/>
    <cellStyle name="Comma 5 5 2 3 3 3" xfId="9748" xr:uid="{00000000-0005-0000-0000-00007F200000}"/>
    <cellStyle name="Comma 5 5 2 3 3 3 2" xfId="35305" xr:uid="{00000000-0005-0000-0000-000080200000}"/>
    <cellStyle name="Comma 5 5 2 3 3 4" xfId="18571" xr:uid="{00000000-0005-0000-0000-000081200000}"/>
    <cellStyle name="Comma 5 5 2 3 3 4 2" xfId="44124" xr:uid="{00000000-0005-0000-0000-000082200000}"/>
    <cellStyle name="Comma 5 5 2 3 3 5" xfId="30061" xr:uid="{00000000-0005-0000-0000-000083200000}"/>
    <cellStyle name="Comma 5 5 2 3 4" xfId="2011" xr:uid="{00000000-0005-0000-0000-000084200000}"/>
    <cellStyle name="Comma 5 5 2 3 4 2" xfId="11376" xr:uid="{00000000-0005-0000-0000-000085200000}"/>
    <cellStyle name="Comma 5 5 2 3 4 2 2" xfId="36931" xr:uid="{00000000-0005-0000-0000-000086200000}"/>
    <cellStyle name="Comma 5 5 2 3 4 3" xfId="21380" xr:uid="{00000000-0005-0000-0000-000087200000}"/>
    <cellStyle name="Comma 5 5 2 3 4 3 2" xfId="46933" xr:uid="{00000000-0005-0000-0000-000088200000}"/>
    <cellStyle name="Comma 5 5 2 3 4 4" xfId="27863" xr:uid="{00000000-0005-0000-0000-000089200000}"/>
    <cellStyle name="Comma 5 5 2 3 5" xfId="5945" xr:uid="{00000000-0005-0000-0000-00008A200000}"/>
    <cellStyle name="Comma 5 5 2 3 5 2" xfId="14772" xr:uid="{00000000-0005-0000-0000-00008B200000}"/>
    <cellStyle name="Comma 5 5 2 3 5 2 2" xfId="40327" xr:uid="{00000000-0005-0000-0000-00008C200000}"/>
    <cellStyle name="Comma 5 5 2 3 5 3" xfId="25023" xr:uid="{00000000-0005-0000-0000-00008D200000}"/>
    <cellStyle name="Comma 5 5 2 3 5 3 2" xfId="50576" xr:uid="{00000000-0005-0000-0000-00008E200000}"/>
    <cellStyle name="Comma 5 5 2 3 5 4" xfId="31506" xr:uid="{00000000-0005-0000-0000-00008F200000}"/>
    <cellStyle name="Comma 5 5 2 3 6" xfId="7389" xr:uid="{00000000-0005-0000-0000-000090200000}"/>
    <cellStyle name="Comma 5 5 2 3 6 2" xfId="19862" xr:uid="{00000000-0005-0000-0000-000091200000}"/>
    <cellStyle name="Comma 5 5 2 3 6 2 2" xfId="45415" xr:uid="{00000000-0005-0000-0000-000092200000}"/>
    <cellStyle name="Comma 5 5 2 3 6 3" xfId="32946" xr:uid="{00000000-0005-0000-0000-000093200000}"/>
    <cellStyle name="Comma 5 5 2 3 7" xfId="16373" xr:uid="{00000000-0005-0000-0000-000094200000}"/>
    <cellStyle name="Comma 5 5 2 3 7 2" xfId="41926" xr:uid="{00000000-0005-0000-0000-000095200000}"/>
    <cellStyle name="Comma 5 5 2 3 8" xfId="26345" xr:uid="{00000000-0005-0000-0000-000096200000}"/>
    <cellStyle name="Comma 5 5 2 4" xfId="674" xr:uid="{00000000-0005-0000-0000-000097200000}"/>
    <cellStyle name="Comma 5 5 2 4 2" xfId="3160" xr:uid="{00000000-0005-0000-0000-000098200000}"/>
    <cellStyle name="Comma 5 5 2 4 2 2" xfId="12303" xr:uid="{00000000-0005-0000-0000-000099200000}"/>
    <cellStyle name="Comma 5 5 2 4 2 2 2" xfId="22521" xr:uid="{00000000-0005-0000-0000-00009A200000}"/>
    <cellStyle name="Comma 5 5 2 4 2 2 2 2" xfId="48074" xr:uid="{00000000-0005-0000-0000-00009B200000}"/>
    <cellStyle name="Comma 5 5 2 4 2 2 3" xfId="37858" xr:uid="{00000000-0005-0000-0000-00009C200000}"/>
    <cellStyle name="Comma 5 5 2 4 2 3" xfId="8725" xr:uid="{00000000-0005-0000-0000-00009D200000}"/>
    <cellStyle name="Comma 5 5 2 4 2 3 2" xfId="34282" xr:uid="{00000000-0005-0000-0000-00009E200000}"/>
    <cellStyle name="Comma 5 5 2 4 2 4" xfId="17514" xr:uid="{00000000-0005-0000-0000-00009F200000}"/>
    <cellStyle name="Comma 5 5 2 4 2 4 2" xfId="43067" xr:uid="{00000000-0005-0000-0000-0000A0200000}"/>
    <cellStyle name="Comma 5 5 2 4 2 5" xfId="29004" xr:uid="{00000000-0005-0000-0000-0000A1200000}"/>
    <cellStyle name="Comma 5 5 2 4 3" xfId="4838" xr:uid="{00000000-0005-0000-0000-0000A2200000}"/>
    <cellStyle name="Comma 5 5 2 4 3 2" xfId="13675" xr:uid="{00000000-0005-0000-0000-0000A3200000}"/>
    <cellStyle name="Comma 5 5 2 4 3 2 2" xfId="23926" xr:uid="{00000000-0005-0000-0000-0000A4200000}"/>
    <cellStyle name="Comma 5 5 2 4 3 2 2 2" xfId="49479" xr:uid="{00000000-0005-0000-0000-0000A5200000}"/>
    <cellStyle name="Comma 5 5 2 4 3 2 3" xfId="39230" xr:uid="{00000000-0005-0000-0000-0000A6200000}"/>
    <cellStyle name="Comma 5 5 2 4 3 3" xfId="10096" xr:uid="{00000000-0005-0000-0000-0000A7200000}"/>
    <cellStyle name="Comma 5 5 2 4 3 3 2" xfId="35653" xr:uid="{00000000-0005-0000-0000-0000A8200000}"/>
    <cellStyle name="Comma 5 5 2 4 3 4" xfId="18919" xr:uid="{00000000-0005-0000-0000-0000A9200000}"/>
    <cellStyle name="Comma 5 5 2 4 3 4 2" xfId="44472" xr:uid="{00000000-0005-0000-0000-0000AA200000}"/>
    <cellStyle name="Comma 5 5 2 4 3 5" xfId="30409" xr:uid="{00000000-0005-0000-0000-0000AB200000}"/>
    <cellStyle name="Comma 5 5 2 4 4" xfId="2269" xr:uid="{00000000-0005-0000-0000-0000AC200000}"/>
    <cellStyle name="Comma 5 5 2 4 4 2" xfId="11634" xr:uid="{00000000-0005-0000-0000-0000AD200000}"/>
    <cellStyle name="Comma 5 5 2 4 4 2 2" xfId="37189" xr:uid="{00000000-0005-0000-0000-0000AE200000}"/>
    <cellStyle name="Comma 5 5 2 4 4 3" xfId="21638" xr:uid="{00000000-0005-0000-0000-0000AF200000}"/>
    <cellStyle name="Comma 5 5 2 4 4 3 2" xfId="47191" xr:uid="{00000000-0005-0000-0000-0000B0200000}"/>
    <cellStyle name="Comma 5 5 2 4 4 4" xfId="28121" xr:uid="{00000000-0005-0000-0000-0000B1200000}"/>
    <cellStyle name="Comma 5 5 2 4 5" xfId="6293" xr:uid="{00000000-0005-0000-0000-0000B2200000}"/>
    <cellStyle name="Comma 5 5 2 4 5 2" xfId="15120" xr:uid="{00000000-0005-0000-0000-0000B3200000}"/>
    <cellStyle name="Comma 5 5 2 4 5 2 2" xfId="40675" xr:uid="{00000000-0005-0000-0000-0000B4200000}"/>
    <cellStyle name="Comma 5 5 2 4 5 3" xfId="25371" xr:uid="{00000000-0005-0000-0000-0000B5200000}"/>
    <cellStyle name="Comma 5 5 2 4 5 3 2" xfId="50924" xr:uid="{00000000-0005-0000-0000-0000B6200000}"/>
    <cellStyle name="Comma 5 5 2 4 5 4" xfId="31854" xr:uid="{00000000-0005-0000-0000-0000B7200000}"/>
    <cellStyle name="Comma 5 5 2 4 6" xfId="7739" xr:uid="{00000000-0005-0000-0000-0000B8200000}"/>
    <cellStyle name="Comma 5 5 2 4 6 2" xfId="20120" xr:uid="{00000000-0005-0000-0000-0000B9200000}"/>
    <cellStyle name="Comma 5 5 2 4 6 2 2" xfId="45673" xr:uid="{00000000-0005-0000-0000-0000BA200000}"/>
    <cellStyle name="Comma 5 5 2 4 6 3" xfId="33296" xr:uid="{00000000-0005-0000-0000-0000BB200000}"/>
    <cellStyle name="Comma 5 5 2 4 7" xfId="16631" xr:uid="{00000000-0005-0000-0000-0000BC200000}"/>
    <cellStyle name="Comma 5 5 2 4 7 2" xfId="42184" xr:uid="{00000000-0005-0000-0000-0000BD200000}"/>
    <cellStyle name="Comma 5 5 2 4 8" xfId="26603" xr:uid="{00000000-0005-0000-0000-0000BE200000}"/>
    <cellStyle name="Comma 5 5 2 5" xfId="1188" xr:uid="{00000000-0005-0000-0000-0000BF200000}"/>
    <cellStyle name="Comma 5 5 2 5 2" xfId="3617" xr:uid="{00000000-0005-0000-0000-0000C0200000}"/>
    <cellStyle name="Comma 5 5 2 5 2 2" xfId="12753" xr:uid="{00000000-0005-0000-0000-0000C1200000}"/>
    <cellStyle name="Comma 5 5 2 5 2 2 2" xfId="22972" xr:uid="{00000000-0005-0000-0000-0000C2200000}"/>
    <cellStyle name="Comma 5 5 2 5 2 2 2 2" xfId="48525" xr:uid="{00000000-0005-0000-0000-0000C3200000}"/>
    <cellStyle name="Comma 5 5 2 5 2 2 3" xfId="38308" xr:uid="{00000000-0005-0000-0000-0000C4200000}"/>
    <cellStyle name="Comma 5 5 2 5 2 3" xfId="9174" xr:uid="{00000000-0005-0000-0000-0000C5200000}"/>
    <cellStyle name="Comma 5 5 2 5 2 3 2" xfId="34731" xr:uid="{00000000-0005-0000-0000-0000C6200000}"/>
    <cellStyle name="Comma 5 5 2 5 2 4" xfId="17965" xr:uid="{00000000-0005-0000-0000-0000C7200000}"/>
    <cellStyle name="Comma 5 5 2 5 2 4 2" xfId="43518" xr:uid="{00000000-0005-0000-0000-0000C8200000}"/>
    <cellStyle name="Comma 5 5 2 5 2 5" xfId="29455" xr:uid="{00000000-0005-0000-0000-0000C9200000}"/>
    <cellStyle name="Comma 5 5 2 5 3" xfId="5280" xr:uid="{00000000-0005-0000-0000-0000CA200000}"/>
    <cellStyle name="Comma 5 5 2 5 3 2" xfId="14117" xr:uid="{00000000-0005-0000-0000-0000CB200000}"/>
    <cellStyle name="Comma 5 5 2 5 3 2 2" xfId="24368" xr:uid="{00000000-0005-0000-0000-0000CC200000}"/>
    <cellStyle name="Comma 5 5 2 5 3 2 2 2" xfId="49921" xr:uid="{00000000-0005-0000-0000-0000CD200000}"/>
    <cellStyle name="Comma 5 5 2 5 3 2 3" xfId="39672" xr:uid="{00000000-0005-0000-0000-0000CE200000}"/>
    <cellStyle name="Comma 5 5 2 5 3 3" xfId="10538" xr:uid="{00000000-0005-0000-0000-0000CF200000}"/>
    <cellStyle name="Comma 5 5 2 5 3 3 2" xfId="36095" xr:uid="{00000000-0005-0000-0000-0000D0200000}"/>
    <cellStyle name="Comma 5 5 2 5 3 4" xfId="19361" xr:uid="{00000000-0005-0000-0000-0000D1200000}"/>
    <cellStyle name="Comma 5 5 2 5 3 4 2" xfId="44914" xr:uid="{00000000-0005-0000-0000-0000D2200000}"/>
    <cellStyle name="Comma 5 5 2 5 3 5" xfId="30851" xr:uid="{00000000-0005-0000-0000-0000D3200000}"/>
    <cellStyle name="Comma 5 5 2 5 4" xfId="1790" xr:uid="{00000000-0005-0000-0000-0000D4200000}"/>
    <cellStyle name="Comma 5 5 2 5 4 2" xfId="11159" xr:uid="{00000000-0005-0000-0000-0000D5200000}"/>
    <cellStyle name="Comma 5 5 2 5 4 2 2" xfId="36714" xr:uid="{00000000-0005-0000-0000-0000D6200000}"/>
    <cellStyle name="Comma 5 5 2 5 4 3" xfId="21163" xr:uid="{00000000-0005-0000-0000-0000D7200000}"/>
    <cellStyle name="Comma 5 5 2 5 4 3 2" xfId="46716" xr:uid="{00000000-0005-0000-0000-0000D8200000}"/>
    <cellStyle name="Comma 5 5 2 5 4 4" xfId="27646" xr:uid="{00000000-0005-0000-0000-0000D9200000}"/>
    <cellStyle name="Comma 5 5 2 5 5" xfId="6735" xr:uid="{00000000-0005-0000-0000-0000DA200000}"/>
    <cellStyle name="Comma 5 5 2 5 5 2" xfId="15562" xr:uid="{00000000-0005-0000-0000-0000DB200000}"/>
    <cellStyle name="Comma 5 5 2 5 5 2 2" xfId="41117" xr:uid="{00000000-0005-0000-0000-0000DC200000}"/>
    <cellStyle name="Comma 5 5 2 5 5 3" xfId="25813" xr:uid="{00000000-0005-0000-0000-0000DD200000}"/>
    <cellStyle name="Comma 5 5 2 5 5 3 2" xfId="51366" xr:uid="{00000000-0005-0000-0000-0000DE200000}"/>
    <cellStyle name="Comma 5 5 2 5 5 4" xfId="32296" xr:uid="{00000000-0005-0000-0000-0000DF200000}"/>
    <cellStyle name="Comma 5 5 2 5 6" xfId="8181" xr:uid="{00000000-0005-0000-0000-0000E0200000}"/>
    <cellStyle name="Comma 5 5 2 5 6 2" xfId="20571" xr:uid="{00000000-0005-0000-0000-0000E1200000}"/>
    <cellStyle name="Comma 5 5 2 5 6 2 2" xfId="46124" xr:uid="{00000000-0005-0000-0000-0000E2200000}"/>
    <cellStyle name="Comma 5 5 2 5 6 3" xfId="33738" xr:uid="{00000000-0005-0000-0000-0000E3200000}"/>
    <cellStyle name="Comma 5 5 2 5 7" xfId="16156" xr:uid="{00000000-0005-0000-0000-0000E4200000}"/>
    <cellStyle name="Comma 5 5 2 5 7 2" xfId="41709" xr:uid="{00000000-0005-0000-0000-0000E5200000}"/>
    <cellStyle name="Comma 5 5 2 5 8" xfId="27054" xr:uid="{00000000-0005-0000-0000-0000E6200000}"/>
    <cellStyle name="Comma 5 5 2 6" xfId="2685" xr:uid="{00000000-0005-0000-0000-0000E7200000}"/>
    <cellStyle name="Comma 5 5 2 6 2" xfId="12002" xr:uid="{00000000-0005-0000-0000-0000E8200000}"/>
    <cellStyle name="Comma 5 5 2 6 2 2" xfId="22046" xr:uid="{00000000-0005-0000-0000-0000E9200000}"/>
    <cellStyle name="Comma 5 5 2 6 2 2 2" xfId="47599" xr:uid="{00000000-0005-0000-0000-0000EA200000}"/>
    <cellStyle name="Comma 5 5 2 6 2 3" xfId="37557" xr:uid="{00000000-0005-0000-0000-0000EB200000}"/>
    <cellStyle name="Comma 5 5 2 6 3" xfId="8494" xr:uid="{00000000-0005-0000-0000-0000EC200000}"/>
    <cellStyle name="Comma 5 5 2 6 3 2" xfId="34051" xr:uid="{00000000-0005-0000-0000-0000ED200000}"/>
    <cellStyle name="Comma 5 5 2 6 4" xfId="17039" xr:uid="{00000000-0005-0000-0000-0000EE200000}"/>
    <cellStyle name="Comma 5 5 2 6 4 2" xfId="42592" xr:uid="{00000000-0005-0000-0000-0000EF200000}"/>
    <cellStyle name="Comma 5 5 2 6 5" xfId="28529" xr:uid="{00000000-0005-0000-0000-0000F0200000}"/>
    <cellStyle name="Comma 5 5 2 7" xfId="4236" xr:uid="{00000000-0005-0000-0000-0000F1200000}"/>
    <cellStyle name="Comma 5 5 2 7 2" xfId="13074" xr:uid="{00000000-0005-0000-0000-0000F2200000}"/>
    <cellStyle name="Comma 5 5 2 7 2 2" xfId="23325" xr:uid="{00000000-0005-0000-0000-0000F3200000}"/>
    <cellStyle name="Comma 5 5 2 7 2 2 2" xfId="48878" xr:uid="{00000000-0005-0000-0000-0000F4200000}"/>
    <cellStyle name="Comma 5 5 2 7 2 3" xfId="38629" xr:uid="{00000000-0005-0000-0000-0000F5200000}"/>
    <cellStyle name="Comma 5 5 2 7 3" xfId="9495" xr:uid="{00000000-0005-0000-0000-0000F6200000}"/>
    <cellStyle name="Comma 5 5 2 7 3 2" xfId="35052" xr:uid="{00000000-0005-0000-0000-0000F7200000}"/>
    <cellStyle name="Comma 5 5 2 7 4" xfId="18318" xr:uid="{00000000-0005-0000-0000-0000F8200000}"/>
    <cellStyle name="Comma 5 5 2 7 4 2" xfId="43871" xr:uid="{00000000-0005-0000-0000-0000F9200000}"/>
    <cellStyle name="Comma 5 5 2 7 5" xfId="29808" xr:uid="{00000000-0005-0000-0000-0000FA200000}"/>
    <cellStyle name="Comma 5 5 2 8" xfId="1508" xr:uid="{00000000-0005-0000-0000-0000FB200000}"/>
    <cellStyle name="Comma 5 5 2 8 2" xfId="10885" xr:uid="{00000000-0005-0000-0000-0000FC200000}"/>
    <cellStyle name="Comma 5 5 2 8 2 2" xfId="36440" xr:uid="{00000000-0005-0000-0000-0000FD200000}"/>
    <cellStyle name="Comma 5 5 2 8 3" xfId="20889" xr:uid="{00000000-0005-0000-0000-0000FE200000}"/>
    <cellStyle name="Comma 5 5 2 8 3 2" xfId="46442" xr:uid="{00000000-0005-0000-0000-0000FF200000}"/>
    <cellStyle name="Comma 5 5 2 8 4" xfId="27372" xr:uid="{00000000-0005-0000-0000-000000210000}"/>
    <cellStyle name="Comma 5 5 2 9" xfId="5692" xr:uid="{00000000-0005-0000-0000-000001210000}"/>
    <cellStyle name="Comma 5 5 2 9 2" xfId="14519" xr:uid="{00000000-0005-0000-0000-000002210000}"/>
    <cellStyle name="Comma 5 5 2 9 2 2" xfId="40074" xr:uid="{00000000-0005-0000-0000-000003210000}"/>
    <cellStyle name="Comma 5 5 2 9 3" xfId="24770" xr:uid="{00000000-0005-0000-0000-000004210000}"/>
    <cellStyle name="Comma 5 5 2 9 3 2" xfId="50323" xr:uid="{00000000-0005-0000-0000-000005210000}"/>
    <cellStyle name="Comma 5 5 2 9 4" xfId="31253" xr:uid="{00000000-0005-0000-0000-000006210000}"/>
    <cellStyle name="Comma 5 5 3" xfId="255" xr:uid="{00000000-0005-0000-0000-000007210000}"/>
    <cellStyle name="Comma 5 5 3 10" xfId="7093" xr:uid="{00000000-0005-0000-0000-000008210000}"/>
    <cellStyle name="Comma 5 5 3 10 2" xfId="19707" xr:uid="{00000000-0005-0000-0000-000009210000}"/>
    <cellStyle name="Comma 5 5 3 10 2 2" xfId="45260" xr:uid="{00000000-0005-0000-0000-00000A210000}"/>
    <cellStyle name="Comma 5 5 3 10 3" xfId="32650" xr:uid="{00000000-0005-0000-0000-00000B210000}"/>
    <cellStyle name="Comma 5 5 3 11" xfId="15839" xr:uid="{00000000-0005-0000-0000-00000C210000}"/>
    <cellStyle name="Comma 5 5 3 11 2" xfId="41392" xr:uid="{00000000-0005-0000-0000-00000D210000}"/>
    <cellStyle name="Comma 5 5 3 12" xfId="26190" xr:uid="{00000000-0005-0000-0000-00000E210000}"/>
    <cellStyle name="Comma 5 5 3 2" xfId="578" xr:uid="{00000000-0005-0000-0000-00000F210000}"/>
    <cellStyle name="Comma 5 5 3 2 10" xfId="26507" xr:uid="{00000000-0005-0000-0000-000010210000}"/>
    <cellStyle name="Comma 5 5 3 2 2" xfId="677" xr:uid="{00000000-0005-0000-0000-000011210000}"/>
    <cellStyle name="Comma 5 5 3 2 2 2" xfId="3163" xr:uid="{00000000-0005-0000-0000-000012210000}"/>
    <cellStyle name="Comma 5 5 3 2 2 2 2" xfId="12306" xr:uid="{00000000-0005-0000-0000-000013210000}"/>
    <cellStyle name="Comma 5 5 3 2 2 2 2 2" xfId="22524" xr:uid="{00000000-0005-0000-0000-000014210000}"/>
    <cellStyle name="Comma 5 5 3 2 2 2 2 2 2" xfId="48077" xr:uid="{00000000-0005-0000-0000-000015210000}"/>
    <cellStyle name="Comma 5 5 3 2 2 2 2 3" xfId="37861" xr:uid="{00000000-0005-0000-0000-000016210000}"/>
    <cellStyle name="Comma 5 5 3 2 2 2 3" xfId="8728" xr:uid="{00000000-0005-0000-0000-000017210000}"/>
    <cellStyle name="Comma 5 5 3 2 2 2 3 2" xfId="34285" xr:uid="{00000000-0005-0000-0000-000018210000}"/>
    <cellStyle name="Comma 5 5 3 2 2 2 4" xfId="17517" xr:uid="{00000000-0005-0000-0000-000019210000}"/>
    <cellStyle name="Comma 5 5 3 2 2 2 4 2" xfId="43070" xr:uid="{00000000-0005-0000-0000-00001A210000}"/>
    <cellStyle name="Comma 5 5 3 2 2 2 5" xfId="29007" xr:uid="{00000000-0005-0000-0000-00001B210000}"/>
    <cellStyle name="Comma 5 5 3 2 2 3" xfId="4492" xr:uid="{00000000-0005-0000-0000-00001C210000}"/>
    <cellStyle name="Comma 5 5 3 2 2 3 2" xfId="13330" xr:uid="{00000000-0005-0000-0000-00001D210000}"/>
    <cellStyle name="Comma 5 5 3 2 2 3 2 2" xfId="23581" xr:uid="{00000000-0005-0000-0000-00001E210000}"/>
    <cellStyle name="Comma 5 5 3 2 2 3 2 2 2" xfId="49134" xr:uid="{00000000-0005-0000-0000-00001F210000}"/>
    <cellStyle name="Comma 5 5 3 2 2 3 2 3" xfId="38885" xr:uid="{00000000-0005-0000-0000-000020210000}"/>
    <cellStyle name="Comma 5 5 3 2 2 3 3" xfId="9751" xr:uid="{00000000-0005-0000-0000-000021210000}"/>
    <cellStyle name="Comma 5 5 3 2 2 3 3 2" xfId="35308" xr:uid="{00000000-0005-0000-0000-000022210000}"/>
    <cellStyle name="Comma 5 5 3 2 2 3 4" xfId="18574" xr:uid="{00000000-0005-0000-0000-000023210000}"/>
    <cellStyle name="Comma 5 5 3 2 2 3 4 2" xfId="44127" xr:uid="{00000000-0005-0000-0000-000024210000}"/>
    <cellStyle name="Comma 5 5 3 2 2 3 5" xfId="30064" xr:uid="{00000000-0005-0000-0000-000025210000}"/>
    <cellStyle name="Comma 5 5 3 2 2 4" xfId="2272" xr:uid="{00000000-0005-0000-0000-000026210000}"/>
    <cellStyle name="Comma 5 5 3 2 2 4 2" xfId="11637" xr:uid="{00000000-0005-0000-0000-000027210000}"/>
    <cellStyle name="Comma 5 5 3 2 2 4 2 2" xfId="37192" xr:uid="{00000000-0005-0000-0000-000028210000}"/>
    <cellStyle name="Comma 5 5 3 2 2 4 3" xfId="21641" xr:uid="{00000000-0005-0000-0000-000029210000}"/>
    <cellStyle name="Comma 5 5 3 2 2 4 3 2" xfId="47194" xr:uid="{00000000-0005-0000-0000-00002A210000}"/>
    <cellStyle name="Comma 5 5 3 2 2 4 4" xfId="28124" xr:uid="{00000000-0005-0000-0000-00002B210000}"/>
    <cellStyle name="Comma 5 5 3 2 2 5" xfId="5948" xr:uid="{00000000-0005-0000-0000-00002C210000}"/>
    <cellStyle name="Comma 5 5 3 2 2 5 2" xfId="14775" xr:uid="{00000000-0005-0000-0000-00002D210000}"/>
    <cellStyle name="Comma 5 5 3 2 2 5 2 2" xfId="40330" xr:uid="{00000000-0005-0000-0000-00002E210000}"/>
    <cellStyle name="Comma 5 5 3 2 2 5 3" xfId="25026" xr:uid="{00000000-0005-0000-0000-00002F210000}"/>
    <cellStyle name="Comma 5 5 3 2 2 5 3 2" xfId="50579" xr:uid="{00000000-0005-0000-0000-000030210000}"/>
    <cellStyle name="Comma 5 5 3 2 2 5 4" xfId="31509" xr:uid="{00000000-0005-0000-0000-000031210000}"/>
    <cellStyle name="Comma 5 5 3 2 2 6" xfId="7392" xr:uid="{00000000-0005-0000-0000-000032210000}"/>
    <cellStyle name="Comma 5 5 3 2 2 6 2" xfId="20123" xr:uid="{00000000-0005-0000-0000-000033210000}"/>
    <cellStyle name="Comma 5 5 3 2 2 6 2 2" xfId="45676" xr:uid="{00000000-0005-0000-0000-000034210000}"/>
    <cellStyle name="Comma 5 5 3 2 2 6 3" xfId="32949" xr:uid="{00000000-0005-0000-0000-000035210000}"/>
    <cellStyle name="Comma 5 5 3 2 2 7" xfId="16634" xr:uid="{00000000-0005-0000-0000-000036210000}"/>
    <cellStyle name="Comma 5 5 3 2 2 7 2" xfId="42187" xr:uid="{00000000-0005-0000-0000-000037210000}"/>
    <cellStyle name="Comma 5 5 3 2 2 8" xfId="26606" xr:uid="{00000000-0005-0000-0000-000038210000}"/>
    <cellStyle name="Comma 5 5 3 2 3" xfId="1350" xr:uid="{00000000-0005-0000-0000-000039210000}"/>
    <cellStyle name="Comma 5 5 3 2 3 2" xfId="3779" xr:uid="{00000000-0005-0000-0000-00003A210000}"/>
    <cellStyle name="Comma 5 5 3 2 3 2 2" xfId="12915" xr:uid="{00000000-0005-0000-0000-00003B210000}"/>
    <cellStyle name="Comma 5 5 3 2 3 2 2 2" xfId="23134" xr:uid="{00000000-0005-0000-0000-00003C210000}"/>
    <cellStyle name="Comma 5 5 3 2 3 2 2 2 2" xfId="48687" xr:uid="{00000000-0005-0000-0000-00003D210000}"/>
    <cellStyle name="Comma 5 5 3 2 3 2 2 3" xfId="38470" xr:uid="{00000000-0005-0000-0000-00003E210000}"/>
    <cellStyle name="Comma 5 5 3 2 3 2 3" xfId="9336" xr:uid="{00000000-0005-0000-0000-00003F210000}"/>
    <cellStyle name="Comma 5 5 3 2 3 2 3 2" xfId="34893" xr:uid="{00000000-0005-0000-0000-000040210000}"/>
    <cellStyle name="Comma 5 5 3 2 3 2 4" xfId="18127" xr:uid="{00000000-0005-0000-0000-000041210000}"/>
    <cellStyle name="Comma 5 5 3 2 3 2 4 2" xfId="43680" xr:uid="{00000000-0005-0000-0000-000042210000}"/>
    <cellStyle name="Comma 5 5 3 2 3 2 5" xfId="29617" xr:uid="{00000000-0005-0000-0000-000043210000}"/>
    <cellStyle name="Comma 5 5 3 2 3 3" xfId="4841" xr:uid="{00000000-0005-0000-0000-000044210000}"/>
    <cellStyle name="Comma 5 5 3 2 3 3 2" xfId="13678" xr:uid="{00000000-0005-0000-0000-000045210000}"/>
    <cellStyle name="Comma 5 5 3 2 3 3 2 2" xfId="23929" xr:uid="{00000000-0005-0000-0000-000046210000}"/>
    <cellStyle name="Comma 5 5 3 2 3 3 2 2 2" xfId="49482" xr:uid="{00000000-0005-0000-0000-000047210000}"/>
    <cellStyle name="Comma 5 5 3 2 3 3 2 3" xfId="39233" xr:uid="{00000000-0005-0000-0000-000048210000}"/>
    <cellStyle name="Comma 5 5 3 2 3 3 3" xfId="10099" xr:uid="{00000000-0005-0000-0000-000049210000}"/>
    <cellStyle name="Comma 5 5 3 2 3 3 3 2" xfId="35656" xr:uid="{00000000-0005-0000-0000-00004A210000}"/>
    <cellStyle name="Comma 5 5 3 2 3 3 4" xfId="18922" xr:uid="{00000000-0005-0000-0000-00004B210000}"/>
    <cellStyle name="Comma 5 5 3 2 3 3 4 2" xfId="44475" xr:uid="{00000000-0005-0000-0000-00004C210000}"/>
    <cellStyle name="Comma 5 5 3 2 3 3 5" xfId="30412" xr:uid="{00000000-0005-0000-0000-00004D210000}"/>
    <cellStyle name="Comma 5 5 3 2 3 4" xfId="2173" xr:uid="{00000000-0005-0000-0000-00004E210000}"/>
    <cellStyle name="Comma 5 5 3 2 3 4 2" xfId="11538" xr:uid="{00000000-0005-0000-0000-00004F210000}"/>
    <cellStyle name="Comma 5 5 3 2 3 4 2 2" xfId="37093" xr:uid="{00000000-0005-0000-0000-000050210000}"/>
    <cellStyle name="Comma 5 5 3 2 3 4 3" xfId="21542" xr:uid="{00000000-0005-0000-0000-000051210000}"/>
    <cellStyle name="Comma 5 5 3 2 3 4 3 2" xfId="47095" xr:uid="{00000000-0005-0000-0000-000052210000}"/>
    <cellStyle name="Comma 5 5 3 2 3 4 4" xfId="28025" xr:uid="{00000000-0005-0000-0000-000053210000}"/>
    <cellStyle name="Comma 5 5 3 2 3 5" xfId="6296" xr:uid="{00000000-0005-0000-0000-000054210000}"/>
    <cellStyle name="Comma 5 5 3 2 3 5 2" xfId="15123" xr:uid="{00000000-0005-0000-0000-000055210000}"/>
    <cellStyle name="Comma 5 5 3 2 3 5 2 2" xfId="40678" xr:uid="{00000000-0005-0000-0000-000056210000}"/>
    <cellStyle name="Comma 5 5 3 2 3 5 3" xfId="25374" xr:uid="{00000000-0005-0000-0000-000057210000}"/>
    <cellStyle name="Comma 5 5 3 2 3 5 3 2" xfId="50927" xr:uid="{00000000-0005-0000-0000-000058210000}"/>
    <cellStyle name="Comma 5 5 3 2 3 5 4" xfId="31857" xr:uid="{00000000-0005-0000-0000-000059210000}"/>
    <cellStyle name="Comma 5 5 3 2 3 6" xfId="7742" xr:uid="{00000000-0005-0000-0000-00005A210000}"/>
    <cellStyle name="Comma 5 5 3 2 3 6 2" xfId="20733" xr:uid="{00000000-0005-0000-0000-00005B210000}"/>
    <cellStyle name="Comma 5 5 3 2 3 6 2 2" xfId="46286" xr:uid="{00000000-0005-0000-0000-00005C210000}"/>
    <cellStyle name="Comma 5 5 3 2 3 6 3" xfId="33299" xr:uid="{00000000-0005-0000-0000-00005D210000}"/>
    <cellStyle name="Comma 5 5 3 2 3 7" xfId="16535" xr:uid="{00000000-0005-0000-0000-00005E210000}"/>
    <cellStyle name="Comma 5 5 3 2 3 7 2" xfId="42088" xr:uid="{00000000-0005-0000-0000-00005F210000}"/>
    <cellStyle name="Comma 5 5 3 2 3 8" xfId="27216" xr:uid="{00000000-0005-0000-0000-000060210000}"/>
    <cellStyle name="Comma 5 5 3 2 4" xfId="3064" xr:uid="{00000000-0005-0000-0000-000061210000}"/>
    <cellStyle name="Comma 5 5 3 2 4 2" xfId="5442" xr:uid="{00000000-0005-0000-0000-000062210000}"/>
    <cellStyle name="Comma 5 5 3 2 4 2 2" xfId="14279" xr:uid="{00000000-0005-0000-0000-000063210000}"/>
    <cellStyle name="Comma 5 5 3 2 4 2 2 2" xfId="24530" xr:uid="{00000000-0005-0000-0000-000064210000}"/>
    <cellStyle name="Comma 5 5 3 2 4 2 2 2 2" xfId="50083" xr:uid="{00000000-0005-0000-0000-000065210000}"/>
    <cellStyle name="Comma 5 5 3 2 4 2 2 3" xfId="39834" xr:uid="{00000000-0005-0000-0000-000066210000}"/>
    <cellStyle name="Comma 5 5 3 2 4 2 3" xfId="10700" xr:uid="{00000000-0005-0000-0000-000067210000}"/>
    <cellStyle name="Comma 5 5 3 2 4 2 3 2" xfId="36257" xr:uid="{00000000-0005-0000-0000-000068210000}"/>
    <cellStyle name="Comma 5 5 3 2 4 2 4" xfId="19523" xr:uid="{00000000-0005-0000-0000-000069210000}"/>
    <cellStyle name="Comma 5 5 3 2 4 2 4 2" xfId="45076" xr:uid="{00000000-0005-0000-0000-00006A210000}"/>
    <cellStyle name="Comma 5 5 3 2 4 2 5" xfId="31013" xr:uid="{00000000-0005-0000-0000-00006B210000}"/>
    <cellStyle name="Comma 5 5 3 2 4 3" xfId="6897" xr:uid="{00000000-0005-0000-0000-00006C210000}"/>
    <cellStyle name="Comma 5 5 3 2 4 3 2" xfId="15724" xr:uid="{00000000-0005-0000-0000-00006D210000}"/>
    <cellStyle name="Comma 5 5 3 2 4 3 2 2" xfId="41279" xr:uid="{00000000-0005-0000-0000-00006E210000}"/>
    <cellStyle name="Comma 5 5 3 2 4 3 3" xfId="25975" xr:uid="{00000000-0005-0000-0000-00006F210000}"/>
    <cellStyle name="Comma 5 5 3 2 4 3 3 2" xfId="51528" xr:uid="{00000000-0005-0000-0000-000070210000}"/>
    <cellStyle name="Comma 5 5 3 2 4 3 4" xfId="32458" xr:uid="{00000000-0005-0000-0000-000071210000}"/>
    <cellStyle name="Comma 5 5 3 2 4 4" xfId="8343" xr:uid="{00000000-0005-0000-0000-000072210000}"/>
    <cellStyle name="Comma 5 5 3 2 4 4 2" xfId="22425" xr:uid="{00000000-0005-0000-0000-000073210000}"/>
    <cellStyle name="Comma 5 5 3 2 4 4 2 2" xfId="47978" xr:uid="{00000000-0005-0000-0000-000074210000}"/>
    <cellStyle name="Comma 5 5 3 2 4 4 3" xfId="33900" xr:uid="{00000000-0005-0000-0000-000075210000}"/>
    <cellStyle name="Comma 5 5 3 2 4 5" xfId="17418" xr:uid="{00000000-0005-0000-0000-000076210000}"/>
    <cellStyle name="Comma 5 5 3 2 4 5 2" xfId="42971" xr:uid="{00000000-0005-0000-0000-000077210000}"/>
    <cellStyle name="Comma 5 5 3 2 4 6" xfId="28908" xr:uid="{00000000-0005-0000-0000-000078210000}"/>
    <cellStyle name="Comma 5 5 3 2 5" xfId="4398" xr:uid="{00000000-0005-0000-0000-000079210000}"/>
    <cellStyle name="Comma 5 5 3 2 5 2" xfId="13236" xr:uid="{00000000-0005-0000-0000-00007A210000}"/>
    <cellStyle name="Comma 5 5 3 2 5 2 2" xfId="23487" xr:uid="{00000000-0005-0000-0000-00007B210000}"/>
    <cellStyle name="Comma 5 5 3 2 5 2 2 2" xfId="49040" xr:uid="{00000000-0005-0000-0000-00007C210000}"/>
    <cellStyle name="Comma 5 5 3 2 5 2 3" xfId="38791" xr:uid="{00000000-0005-0000-0000-00007D210000}"/>
    <cellStyle name="Comma 5 5 3 2 5 3" xfId="9657" xr:uid="{00000000-0005-0000-0000-00007E210000}"/>
    <cellStyle name="Comma 5 5 3 2 5 3 2" xfId="35214" xr:uid="{00000000-0005-0000-0000-00007F210000}"/>
    <cellStyle name="Comma 5 5 3 2 5 4" xfId="18480" xr:uid="{00000000-0005-0000-0000-000080210000}"/>
    <cellStyle name="Comma 5 5 3 2 5 4 2" xfId="44033" xr:uid="{00000000-0005-0000-0000-000081210000}"/>
    <cellStyle name="Comma 5 5 3 2 5 5" xfId="29970" xr:uid="{00000000-0005-0000-0000-000082210000}"/>
    <cellStyle name="Comma 5 5 3 2 6" xfId="1670" xr:uid="{00000000-0005-0000-0000-000083210000}"/>
    <cellStyle name="Comma 5 5 3 2 6 2" xfId="11047" xr:uid="{00000000-0005-0000-0000-000084210000}"/>
    <cellStyle name="Comma 5 5 3 2 6 2 2" xfId="36602" xr:uid="{00000000-0005-0000-0000-000085210000}"/>
    <cellStyle name="Comma 5 5 3 2 6 3" xfId="21051" xr:uid="{00000000-0005-0000-0000-000086210000}"/>
    <cellStyle name="Comma 5 5 3 2 6 3 2" xfId="46604" xr:uid="{00000000-0005-0000-0000-000087210000}"/>
    <cellStyle name="Comma 5 5 3 2 6 4" xfId="27534" xr:uid="{00000000-0005-0000-0000-000088210000}"/>
    <cellStyle name="Comma 5 5 3 2 7" xfId="5854" xr:uid="{00000000-0005-0000-0000-000089210000}"/>
    <cellStyle name="Comma 5 5 3 2 7 2" xfId="14681" xr:uid="{00000000-0005-0000-0000-00008A210000}"/>
    <cellStyle name="Comma 5 5 3 2 7 2 2" xfId="40236" xr:uid="{00000000-0005-0000-0000-00008B210000}"/>
    <cellStyle name="Comma 5 5 3 2 7 3" xfId="24932" xr:uid="{00000000-0005-0000-0000-00008C210000}"/>
    <cellStyle name="Comma 5 5 3 2 7 3 2" xfId="50485" xr:uid="{00000000-0005-0000-0000-00008D210000}"/>
    <cellStyle name="Comma 5 5 3 2 7 4" xfId="31415" xr:uid="{00000000-0005-0000-0000-00008E210000}"/>
    <cellStyle name="Comma 5 5 3 2 8" xfId="7298" xr:uid="{00000000-0005-0000-0000-00008F210000}"/>
    <cellStyle name="Comma 5 5 3 2 8 2" xfId="20024" xr:uid="{00000000-0005-0000-0000-000090210000}"/>
    <cellStyle name="Comma 5 5 3 2 8 2 2" xfId="45577" xr:uid="{00000000-0005-0000-0000-000091210000}"/>
    <cellStyle name="Comma 5 5 3 2 8 3" xfId="32855" xr:uid="{00000000-0005-0000-0000-000092210000}"/>
    <cellStyle name="Comma 5 5 3 2 9" xfId="16044" xr:uid="{00000000-0005-0000-0000-000093210000}"/>
    <cellStyle name="Comma 5 5 3 2 9 2" xfId="41597" xr:uid="{00000000-0005-0000-0000-000094210000}"/>
    <cellStyle name="Comma 5 5 3 3" xfId="373" xr:uid="{00000000-0005-0000-0000-000095210000}"/>
    <cellStyle name="Comma 5 5 3 3 2" xfId="2859" xr:uid="{00000000-0005-0000-0000-000096210000}"/>
    <cellStyle name="Comma 5 5 3 3 2 2" xfId="12147" xr:uid="{00000000-0005-0000-0000-000097210000}"/>
    <cellStyle name="Comma 5 5 3 3 2 2 2" xfId="22220" xr:uid="{00000000-0005-0000-0000-000098210000}"/>
    <cellStyle name="Comma 5 5 3 3 2 2 2 2" xfId="47773" xr:uid="{00000000-0005-0000-0000-000099210000}"/>
    <cellStyle name="Comma 5 5 3 3 2 2 3" xfId="37702" xr:uid="{00000000-0005-0000-0000-00009A210000}"/>
    <cellStyle name="Comma 5 5 3 3 2 3" xfId="8460" xr:uid="{00000000-0005-0000-0000-00009B210000}"/>
    <cellStyle name="Comma 5 5 3 3 2 3 2" xfId="34017" xr:uid="{00000000-0005-0000-0000-00009C210000}"/>
    <cellStyle name="Comma 5 5 3 3 2 4" xfId="17213" xr:uid="{00000000-0005-0000-0000-00009D210000}"/>
    <cellStyle name="Comma 5 5 3 3 2 4 2" xfId="42766" xr:uid="{00000000-0005-0000-0000-00009E210000}"/>
    <cellStyle name="Comma 5 5 3 3 2 5" xfId="28703" xr:uid="{00000000-0005-0000-0000-00009F210000}"/>
    <cellStyle name="Comma 5 5 3 3 3" xfId="4491" xr:uid="{00000000-0005-0000-0000-0000A0210000}"/>
    <cellStyle name="Comma 5 5 3 3 3 2" xfId="13329" xr:uid="{00000000-0005-0000-0000-0000A1210000}"/>
    <cellStyle name="Comma 5 5 3 3 3 2 2" xfId="23580" xr:uid="{00000000-0005-0000-0000-0000A2210000}"/>
    <cellStyle name="Comma 5 5 3 3 3 2 2 2" xfId="49133" xr:uid="{00000000-0005-0000-0000-0000A3210000}"/>
    <cellStyle name="Comma 5 5 3 3 3 2 3" xfId="38884" xr:uid="{00000000-0005-0000-0000-0000A4210000}"/>
    <cellStyle name="Comma 5 5 3 3 3 3" xfId="9750" xr:uid="{00000000-0005-0000-0000-0000A5210000}"/>
    <cellStyle name="Comma 5 5 3 3 3 3 2" xfId="35307" xr:uid="{00000000-0005-0000-0000-0000A6210000}"/>
    <cellStyle name="Comma 5 5 3 3 3 4" xfId="18573" xr:uid="{00000000-0005-0000-0000-0000A7210000}"/>
    <cellStyle name="Comma 5 5 3 3 3 4 2" xfId="44126" xr:uid="{00000000-0005-0000-0000-0000A8210000}"/>
    <cellStyle name="Comma 5 5 3 3 3 5" xfId="30063" xr:uid="{00000000-0005-0000-0000-0000A9210000}"/>
    <cellStyle name="Comma 5 5 3 3 4" xfId="1968" xr:uid="{00000000-0005-0000-0000-0000AA210000}"/>
    <cellStyle name="Comma 5 5 3 3 4 2" xfId="11333" xr:uid="{00000000-0005-0000-0000-0000AB210000}"/>
    <cellStyle name="Comma 5 5 3 3 4 2 2" xfId="36888" xr:uid="{00000000-0005-0000-0000-0000AC210000}"/>
    <cellStyle name="Comma 5 5 3 3 4 3" xfId="21337" xr:uid="{00000000-0005-0000-0000-0000AD210000}"/>
    <cellStyle name="Comma 5 5 3 3 4 3 2" xfId="46890" xr:uid="{00000000-0005-0000-0000-0000AE210000}"/>
    <cellStyle name="Comma 5 5 3 3 4 4" xfId="27820" xr:uid="{00000000-0005-0000-0000-0000AF210000}"/>
    <cellStyle name="Comma 5 5 3 3 5" xfId="5947" xr:uid="{00000000-0005-0000-0000-0000B0210000}"/>
    <cellStyle name="Comma 5 5 3 3 5 2" xfId="14774" xr:uid="{00000000-0005-0000-0000-0000B1210000}"/>
    <cellStyle name="Comma 5 5 3 3 5 2 2" xfId="40329" xr:uid="{00000000-0005-0000-0000-0000B2210000}"/>
    <cellStyle name="Comma 5 5 3 3 5 3" xfId="25025" xr:uid="{00000000-0005-0000-0000-0000B3210000}"/>
    <cellStyle name="Comma 5 5 3 3 5 3 2" xfId="50578" xr:uid="{00000000-0005-0000-0000-0000B4210000}"/>
    <cellStyle name="Comma 5 5 3 3 5 4" xfId="31508" xr:uid="{00000000-0005-0000-0000-0000B5210000}"/>
    <cellStyle name="Comma 5 5 3 3 6" xfId="7391" xr:uid="{00000000-0005-0000-0000-0000B6210000}"/>
    <cellStyle name="Comma 5 5 3 3 6 2" xfId="19819" xr:uid="{00000000-0005-0000-0000-0000B7210000}"/>
    <cellStyle name="Comma 5 5 3 3 6 2 2" xfId="45372" xr:uid="{00000000-0005-0000-0000-0000B8210000}"/>
    <cellStyle name="Comma 5 5 3 3 6 3" xfId="32948" xr:uid="{00000000-0005-0000-0000-0000B9210000}"/>
    <cellStyle name="Comma 5 5 3 3 7" xfId="16330" xr:uid="{00000000-0005-0000-0000-0000BA210000}"/>
    <cellStyle name="Comma 5 5 3 3 7 2" xfId="41883" xr:uid="{00000000-0005-0000-0000-0000BB210000}"/>
    <cellStyle name="Comma 5 5 3 3 8" xfId="26302" xr:uid="{00000000-0005-0000-0000-0000BC210000}"/>
    <cellStyle name="Comma 5 5 3 4" xfId="676" xr:uid="{00000000-0005-0000-0000-0000BD210000}"/>
    <cellStyle name="Comma 5 5 3 4 2" xfId="3162" xr:uid="{00000000-0005-0000-0000-0000BE210000}"/>
    <cellStyle name="Comma 5 5 3 4 2 2" xfId="12305" xr:uid="{00000000-0005-0000-0000-0000BF210000}"/>
    <cellStyle name="Comma 5 5 3 4 2 2 2" xfId="22523" xr:uid="{00000000-0005-0000-0000-0000C0210000}"/>
    <cellStyle name="Comma 5 5 3 4 2 2 2 2" xfId="48076" xr:uid="{00000000-0005-0000-0000-0000C1210000}"/>
    <cellStyle name="Comma 5 5 3 4 2 2 3" xfId="37860" xr:uid="{00000000-0005-0000-0000-0000C2210000}"/>
    <cellStyle name="Comma 5 5 3 4 2 3" xfId="8727" xr:uid="{00000000-0005-0000-0000-0000C3210000}"/>
    <cellStyle name="Comma 5 5 3 4 2 3 2" xfId="34284" xr:uid="{00000000-0005-0000-0000-0000C4210000}"/>
    <cellStyle name="Comma 5 5 3 4 2 4" xfId="17516" xr:uid="{00000000-0005-0000-0000-0000C5210000}"/>
    <cellStyle name="Comma 5 5 3 4 2 4 2" xfId="43069" xr:uid="{00000000-0005-0000-0000-0000C6210000}"/>
    <cellStyle name="Comma 5 5 3 4 2 5" xfId="29006" xr:uid="{00000000-0005-0000-0000-0000C7210000}"/>
    <cellStyle name="Comma 5 5 3 4 3" xfId="4840" xr:uid="{00000000-0005-0000-0000-0000C8210000}"/>
    <cellStyle name="Comma 5 5 3 4 3 2" xfId="13677" xr:uid="{00000000-0005-0000-0000-0000C9210000}"/>
    <cellStyle name="Comma 5 5 3 4 3 2 2" xfId="23928" xr:uid="{00000000-0005-0000-0000-0000CA210000}"/>
    <cellStyle name="Comma 5 5 3 4 3 2 2 2" xfId="49481" xr:uid="{00000000-0005-0000-0000-0000CB210000}"/>
    <cellStyle name="Comma 5 5 3 4 3 2 3" xfId="39232" xr:uid="{00000000-0005-0000-0000-0000CC210000}"/>
    <cellStyle name="Comma 5 5 3 4 3 3" xfId="10098" xr:uid="{00000000-0005-0000-0000-0000CD210000}"/>
    <cellStyle name="Comma 5 5 3 4 3 3 2" xfId="35655" xr:uid="{00000000-0005-0000-0000-0000CE210000}"/>
    <cellStyle name="Comma 5 5 3 4 3 4" xfId="18921" xr:uid="{00000000-0005-0000-0000-0000CF210000}"/>
    <cellStyle name="Comma 5 5 3 4 3 4 2" xfId="44474" xr:uid="{00000000-0005-0000-0000-0000D0210000}"/>
    <cellStyle name="Comma 5 5 3 4 3 5" xfId="30411" xr:uid="{00000000-0005-0000-0000-0000D1210000}"/>
    <cellStyle name="Comma 5 5 3 4 4" xfId="2271" xr:uid="{00000000-0005-0000-0000-0000D2210000}"/>
    <cellStyle name="Comma 5 5 3 4 4 2" xfId="11636" xr:uid="{00000000-0005-0000-0000-0000D3210000}"/>
    <cellStyle name="Comma 5 5 3 4 4 2 2" xfId="37191" xr:uid="{00000000-0005-0000-0000-0000D4210000}"/>
    <cellStyle name="Comma 5 5 3 4 4 3" xfId="21640" xr:uid="{00000000-0005-0000-0000-0000D5210000}"/>
    <cellStyle name="Comma 5 5 3 4 4 3 2" xfId="47193" xr:uid="{00000000-0005-0000-0000-0000D6210000}"/>
    <cellStyle name="Comma 5 5 3 4 4 4" xfId="28123" xr:uid="{00000000-0005-0000-0000-0000D7210000}"/>
    <cellStyle name="Comma 5 5 3 4 5" xfId="6295" xr:uid="{00000000-0005-0000-0000-0000D8210000}"/>
    <cellStyle name="Comma 5 5 3 4 5 2" xfId="15122" xr:uid="{00000000-0005-0000-0000-0000D9210000}"/>
    <cellStyle name="Comma 5 5 3 4 5 2 2" xfId="40677" xr:uid="{00000000-0005-0000-0000-0000DA210000}"/>
    <cellStyle name="Comma 5 5 3 4 5 3" xfId="25373" xr:uid="{00000000-0005-0000-0000-0000DB210000}"/>
    <cellStyle name="Comma 5 5 3 4 5 3 2" xfId="50926" xr:uid="{00000000-0005-0000-0000-0000DC210000}"/>
    <cellStyle name="Comma 5 5 3 4 5 4" xfId="31856" xr:uid="{00000000-0005-0000-0000-0000DD210000}"/>
    <cellStyle name="Comma 5 5 3 4 6" xfId="7741" xr:uid="{00000000-0005-0000-0000-0000DE210000}"/>
    <cellStyle name="Comma 5 5 3 4 6 2" xfId="20122" xr:uid="{00000000-0005-0000-0000-0000DF210000}"/>
    <cellStyle name="Comma 5 5 3 4 6 2 2" xfId="45675" xr:uid="{00000000-0005-0000-0000-0000E0210000}"/>
    <cellStyle name="Comma 5 5 3 4 6 3" xfId="33298" xr:uid="{00000000-0005-0000-0000-0000E1210000}"/>
    <cellStyle name="Comma 5 5 3 4 7" xfId="16633" xr:uid="{00000000-0005-0000-0000-0000E2210000}"/>
    <cellStyle name="Comma 5 5 3 4 7 2" xfId="42186" xr:uid="{00000000-0005-0000-0000-0000E3210000}"/>
    <cellStyle name="Comma 5 5 3 4 8" xfId="26605" xr:uid="{00000000-0005-0000-0000-0000E4210000}"/>
    <cellStyle name="Comma 5 5 3 5" xfId="1145" xr:uid="{00000000-0005-0000-0000-0000E5210000}"/>
    <cellStyle name="Comma 5 5 3 5 2" xfId="3574" xr:uid="{00000000-0005-0000-0000-0000E6210000}"/>
    <cellStyle name="Comma 5 5 3 5 2 2" xfId="12710" xr:uid="{00000000-0005-0000-0000-0000E7210000}"/>
    <cellStyle name="Comma 5 5 3 5 2 2 2" xfId="22929" xr:uid="{00000000-0005-0000-0000-0000E8210000}"/>
    <cellStyle name="Comma 5 5 3 5 2 2 2 2" xfId="48482" xr:uid="{00000000-0005-0000-0000-0000E9210000}"/>
    <cellStyle name="Comma 5 5 3 5 2 2 3" xfId="38265" xr:uid="{00000000-0005-0000-0000-0000EA210000}"/>
    <cellStyle name="Comma 5 5 3 5 2 3" xfId="9131" xr:uid="{00000000-0005-0000-0000-0000EB210000}"/>
    <cellStyle name="Comma 5 5 3 5 2 3 2" xfId="34688" xr:uid="{00000000-0005-0000-0000-0000EC210000}"/>
    <cellStyle name="Comma 5 5 3 5 2 4" xfId="17922" xr:uid="{00000000-0005-0000-0000-0000ED210000}"/>
    <cellStyle name="Comma 5 5 3 5 2 4 2" xfId="43475" xr:uid="{00000000-0005-0000-0000-0000EE210000}"/>
    <cellStyle name="Comma 5 5 3 5 2 5" xfId="29412" xr:uid="{00000000-0005-0000-0000-0000EF210000}"/>
    <cellStyle name="Comma 5 5 3 5 3" xfId="5237" xr:uid="{00000000-0005-0000-0000-0000F0210000}"/>
    <cellStyle name="Comma 5 5 3 5 3 2" xfId="14074" xr:uid="{00000000-0005-0000-0000-0000F1210000}"/>
    <cellStyle name="Comma 5 5 3 5 3 2 2" xfId="24325" xr:uid="{00000000-0005-0000-0000-0000F2210000}"/>
    <cellStyle name="Comma 5 5 3 5 3 2 2 2" xfId="49878" xr:uid="{00000000-0005-0000-0000-0000F3210000}"/>
    <cellStyle name="Comma 5 5 3 5 3 2 3" xfId="39629" xr:uid="{00000000-0005-0000-0000-0000F4210000}"/>
    <cellStyle name="Comma 5 5 3 5 3 3" xfId="10495" xr:uid="{00000000-0005-0000-0000-0000F5210000}"/>
    <cellStyle name="Comma 5 5 3 5 3 3 2" xfId="36052" xr:uid="{00000000-0005-0000-0000-0000F6210000}"/>
    <cellStyle name="Comma 5 5 3 5 3 4" xfId="19318" xr:uid="{00000000-0005-0000-0000-0000F7210000}"/>
    <cellStyle name="Comma 5 5 3 5 3 4 2" xfId="44871" xr:uid="{00000000-0005-0000-0000-0000F8210000}"/>
    <cellStyle name="Comma 5 5 3 5 3 5" xfId="30808" xr:uid="{00000000-0005-0000-0000-0000F9210000}"/>
    <cellStyle name="Comma 5 5 3 5 4" xfId="1853" xr:uid="{00000000-0005-0000-0000-0000FA210000}"/>
    <cellStyle name="Comma 5 5 3 5 4 2" xfId="11221" xr:uid="{00000000-0005-0000-0000-0000FB210000}"/>
    <cellStyle name="Comma 5 5 3 5 4 2 2" xfId="36776" xr:uid="{00000000-0005-0000-0000-0000FC210000}"/>
    <cellStyle name="Comma 5 5 3 5 4 3" xfId="21225" xr:uid="{00000000-0005-0000-0000-0000FD210000}"/>
    <cellStyle name="Comma 5 5 3 5 4 3 2" xfId="46778" xr:uid="{00000000-0005-0000-0000-0000FE210000}"/>
    <cellStyle name="Comma 5 5 3 5 4 4" xfId="27708" xr:uid="{00000000-0005-0000-0000-0000FF210000}"/>
    <cellStyle name="Comma 5 5 3 5 5" xfId="6692" xr:uid="{00000000-0005-0000-0000-000000220000}"/>
    <cellStyle name="Comma 5 5 3 5 5 2" xfId="15519" xr:uid="{00000000-0005-0000-0000-000001220000}"/>
    <cellStyle name="Comma 5 5 3 5 5 2 2" xfId="41074" xr:uid="{00000000-0005-0000-0000-000002220000}"/>
    <cellStyle name="Comma 5 5 3 5 5 3" xfId="25770" xr:uid="{00000000-0005-0000-0000-000003220000}"/>
    <cellStyle name="Comma 5 5 3 5 5 3 2" xfId="51323" xr:uid="{00000000-0005-0000-0000-000004220000}"/>
    <cellStyle name="Comma 5 5 3 5 5 4" xfId="32253" xr:uid="{00000000-0005-0000-0000-000005220000}"/>
    <cellStyle name="Comma 5 5 3 5 6" xfId="8138" xr:uid="{00000000-0005-0000-0000-000006220000}"/>
    <cellStyle name="Comma 5 5 3 5 6 2" xfId="20528" xr:uid="{00000000-0005-0000-0000-000007220000}"/>
    <cellStyle name="Comma 5 5 3 5 6 2 2" xfId="46081" xr:uid="{00000000-0005-0000-0000-000008220000}"/>
    <cellStyle name="Comma 5 5 3 5 6 3" xfId="33695" xr:uid="{00000000-0005-0000-0000-000009220000}"/>
    <cellStyle name="Comma 5 5 3 5 7" xfId="16218" xr:uid="{00000000-0005-0000-0000-00000A220000}"/>
    <cellStyle name="Comma 5 5 3 5 7 2" xfId="41771" xr:uid="{00000000-0005-0000-0000-00000B220000}"/>
    <cellStyle name="Comma 5 5 3 5 8" xfId="27011" xr:uid="{00000000-0005-0000-0000-00000C220000}"/>
    <cellStyle name="Comma 5 5 3 6" xfId="2747" xr:uid="{00000000-0005-0000-0000-00000D220000}"/>
    <cellStyle name="Comma 5 5 3 6 2" xfId="12064" xr:uid="{00000000-0005-0000-0000-00000E220000}"/>
    <cellStyle name="Comma 5 5 3 6 2 2" xfId="22108" xr:uid="{00000000-0005-0000-0000-00000F220000}"/>
    <cellStyle name="Comma 5 5 3 6 2 2 2" xfId="47661" xr:uid="{00000000-0005-0000-0000-000010220000}"/>
    <cellStyle name="Comma 5 5 3 6 2 3" xfId="37619" xr:uid="{00000000-0005-0000-0000-000011220000}"/>
    <cellStyle name="Comma 5 5 3 6 3" xfId="8481" xr:uid="{00000000-0005-0000-0000-000012220000}"/>
    <cellStyle name="Comma 5 5 3 6 3 2" xfId="34038" xr:uid="{00000000-0005-0000-0000-000013220000}"/>
    <cellStyle name="Comma 5 5 3 6 4" xfId="17101" xr:uid="{00000000-0005-0000-0000-000014220000}"/>
    <cellStyle name="Comma 5 5 3 6 4 2" xfId="42654" xr:uid="{00000000-0005-0000-0000-000015220000}"/>
    <cellStyle name="Comma 5 5 3 6 5" xfId="28591" xr:uid="{00000000-0005-0000-0000-000016220000}"/>
    <cellStyle name="Comma 5 5 3 7" xfId="4193" xr:uid="{00000000-0005-0000-0000-000017220000}"/>
    <cellStyle name="Comma 5 5 3 7 2" xfId="13031" xr:uid="{00000000-0005-0000-0000-000018220000}"/>
    <cellStyle name="Comma 5 5 3 7 2 2" xfId="23282" xr:uid="{00000000-0005-0000-0000-000019220000}"/>
    <cellStyle name="Comma 5 5 3 7 2 2 2" xfId="48835" xr:uid="{00000000-0005-0000-0000-00001A220000}"/>
    <cellStyle name="Comma 5 5 3 7 2 3" xfId="38586" xr:uid="{00000000-0005-0000-0000-00001B220000}"/>
    <cellStyle name="Comma 5 5 3 7 3" xfId="9452" xr:uid="{00000000-0005-0000-0000-00001C220000}"/>
    <cellStyle name="Comma 5 5 3 7 3 2" xfId="35009" xr:uid="{00000000-0005-0000-0000-00001D220000}"/>
    <cellStyle name="Comma 5 5 3 7 4" xfId="18275" xr:uid="{00000000-0005-0000-0000-00001E220000}"/>
    <cellStyle name="Comma 5 5 3 7 4 2" xfId="43828" xr:uid="{00000000-0005-0000-0000-00001F220000}"/>
    <cellStyle name="Comma 5 5 3 7 5" xfId="29765" xr:uid="{00000000-0005-0000-0000-000020220000}"/>
    <cellStyle name="Comma 5 5 3 8" xfId="1465" xr:uid="{00000000-0005-0000-0000-000021220000}"/>
    <cellStyle name="Comma 5 5 3 8 2" xfId="10842" xr:uid="{00000000-0005-0000-0000-000022220000}"/>
    <cellStyle name="Comma 5 5 3 8 2 2" xfId="36397" xr:uid="{00000000-0005-0000-0000-000023220000}"/>
    <cellStyle name="Comma 5 5 3 8 3" xfId="20846" xr:uid="{00000000-0005-0000-0000-000024220000}"/>
    <cellStyle name="Comma 5 5 3 8 3 2" xfId="46399" xr:uid="{00000000-0005-0000-0000-000025220000}"/>
    <cellStyle name="Comma 5 5 3 8 4" xfId="27329" xr:uid="{00000000-0005-0000-0000-000026220000}"/>
    <cellStyle name="Comma 5 5 3 9" xfId="5649" xr:uid="{00000000-0005-0000-0000-000027220000}"/>
    <cellStyle name="Comma 5 5 3 9 2" xfId="14476" xr:uid="{00000000-0005-0000-0000-000028220000}"/>
    <cellStyle name="Comma 5 5 3 9 2 2" xfId="40031" xr:uid="{00000000-0005-0000-0000-000029220000}"/>
    <cellStyle name="Comma 5 5 3 9 3" xfId="24727" xr:uid="{00000000-0005-0000-0000-00002A220000}"/>
    <cellStyle name="Comma 5 5 3 9 3 2" xfId="50280" xr:uid="{00000000-0005-0000-0000-00002B220000}"/>
    <cellStyle name="Comma 5 5 3 9 4" xfId="31210" xr:uid="{00000000-0005-0000-0000-00002C220000}"/>
    <cellStyle name="Comma 5 5 4" xfId="473" xr:uid="{00000000-0005-0000-0000-00002D220000}"/>
    <cellStyle name="Comma 5 5 4 10" xfId="26402" xr:uid="{00000000-0005-0000-0000-00002E220000}"/>
    <cellStyle name="Comma 5 5 4 2" xfId="678" xr:uid="{00000000-0005-0000-0000-00002F220000}"/>
    <cellStyle name="Comma 5 5 4 2 2" xfId="3164" xr:uid="{00000000-0005-0000-0000-000030220000}"/>
    <cellStyle name="Comma 5 5 4 2 2 2" xfId="12307" xr:uid="{00000000-0005-0000-0000-000031220000}"/>
    <cellStyle name="Comma 5 5 4 2 2 2 2" xfId="22525" xr:uid="{00000000-0005-0000-0000-000032220000}"/>
    <cellStyle name="Comma 5 5 4 2 2 2 2 2" xfId="48078" xr:uid="{00000000-0005-0000-0000-000033220000}"/>
    <cellStyle name="Comma 5 5 4 2 2 2 3" xfId="37862" xr:uid="{00000000-0005-0000-0000-000034220000}"/>
    <cellStyle name="Comma 5 5 4 2 2 3" xfId="8729" xr:uid="{00000000-0005-0000-0000-000035220000}"/>
    <cellStyle name="Comma 5 5 4 2 2 3 2" xfId="34286" xr:uid="{00000000-0005-0000-0000-000036220000}"/>
    <cellStyle name="Comma 5 5 4 2 2 4" xfId="17518" xr:uid="{00000000-0005-0000-0000-000037220000}"/>
    <cellStyle name="Comma 5 5 4 2 2 4 2" xfId="43071" xr:uid="{00000000-0005-0000-0000-000038220000}"/>
    <cellStyle name="Comma 5 5 4 2 2 5" xfId="29008" xr:uid="{00000000-0005-0000-0000-000039220000}"/>
    <cellStyle name="Comma 5 5 4 2 3" xfId="4493" xr:uid="{00000000-0005-0000-0000-00003A220000}"/>
    <cellStyle name="Comma 5 5 4 2 3 2" xfId="13331" xr:uid="{00000000-0005-0000-0000-00003B220000}"/>
    <cellStyle name="Comma 5 5 4 2 3 2 2" xfId="23582" xr:uid="{00000000-0005-0000-0000-00003C220000}"/>
    <cellStyle name="Comma 5 5 4 2 3 2 2 2" xfId="49135" xr:uid="{00000000-0005-0000-0000-00003D220000}"/>
    <cellStyle name="Comma 5 5 4 2 3 2 3" xfId="38886" xr:uid="{00000000-0005-0000-0000-00003E220000}"/>
    <cellStyle name="Comma 5 5 4 2 3 3" xfId="9752" xr:uid="{00000000-0005-0000-0000-00003F220000}"/>
    <cellStyle name="Comma 5 5 4 2 3 3 2" xfId="35309" xr:uid="{00000000-0005-0000-0000-000040220000}"/>
    <cellStyle name="Comma 5 5 4 2 3 4" xfId="18575" xr:uid="{00000000-0005-0000-0000-000041220000}"/>
    <cellStyle name="Comma 5 5 4 2 3 4 2" xfId="44128" xr:uid="{00000000-0005-0000-0000-000042220000}"/>
    <cellStyle name="Comma 5 5 4 2 3 5" xfId="30065" xr:uid="{00000000-0005-0000-0000-000043220000}"/>
    <cellStyle name="Comma 5 5 4 2 4" xfId="2273" xr:uid="{00000000-0005-0000-0000-000044220000}"/>
    <cellStyle name="Comma 5 5 4 2 4 2" xfId="11638" xr:uid="{00000000-0005-0000-0000-000045220000}"/>
    <cellStyle name="Comma 5 5 4 2 4 2 2" xfId="37193" xr:uid="{00000000-0005-0000-0000-000046220000}"/>
    <cellStyle name="Comma 5 5 4 2 4 3" xfId="21642" xr:uid="{00000000-0005-0000-0000-000047220000}"/>
    <cellStyle name="Comma 5 5 4 2 4 3 2" xfId="47195" xr:uid="{00000000-0005-0000-0000-000048220000}"/>
    <cellStyle name="Comma 5 5 4 2 4 4" xfId="28125" xr:uid="{00000000-0005-0000-0000-000049220000}"/>
    <cellStyle name="Comma 5 5 4 2 5" xfId="5949" xr:uid="{00000000-0005-0000-0000-00004A220000}"/>
    <cellStyle name="Comma 5 5 4 2 5 2" xfId="14776" xr:uid="{00000000-0005-0000-0000-00004B220000}"/>
    <cellStyle name="Comma 5 5 4 2 5 2 2" xfId="40331" xr:uid="{00000000-0005-0000-0000-00004C220000}"/>
    <cellStyle name="Comma 5 5 4 2 5 3" xfId="25027" xr:uid="{00000000-0005-0000-0000-00004D220000}"/>
    <cellStyle name="Comma 5 5 4 2 5 3 2" xfId="50580" xr:uid="{00000000-0005-0000-0000-00004E220000}"/>
    <cellStyle name="Comma 5 5 4 2 5 4" xfId="31510" xr:uid="{00000000-0005-0000-0000-00004F220000}"/>
    <cellStyle name="Comma 5 5 4 2 6" xfId="7393" xr:uid="{00000000-0005-0000-0000-000050220000}"/>
    <cellStyle name="Comma 5 5 4 2 6 2" xfId="20124" xr:uid="{00000000-0005-0000-0000-000051220000}"/>
    <cellStyle name="Comma 5 5 4 2 6 2 2" xfId="45677" xr:uid="{00000000-0005-0000-0000-000052220000}"/>
    <cellStyle name="Comma 5 5 4 2 6 3" xfId="32950" xr:uid="{00000000-0005-0000-0000-000053220000}"/>
    <cellStyle name="Comma 5 5 4 2 7" xfId="16635" xr:uid="{00000000-0005-0000-0000-000054220000}"/>
    <cellStyle name="Comma 5 5 4 2 7 2" xfId="42188" xr:uid="{00000000-0005-0000-0000-000055220000}"/>
    <cellStyle name="Comma 5 5 4 2 8" xfId="26607" xr:uid="{00000000-0005-0000-0000-000056220000}"/>
    <cellStyle name="Comma 5 5 4 3" xfId="1245" xr:uid="{00000000-0005-0000-0000-000057220000}"/>
    <cellStyle name="Comma 5 5 4 3 2" xfId="3674" xr:uid="{00000000-0005-0000-0000-000058220000}"/>
    <cellStyle name="Comma 5 5 4 3 2 2" xfId="12810" xr:uid="{00000000-0005-0000-0000-000059220000}"/>
    <cellStyle name="Comma 5 5 4 3 2 2 2" xfId="23029" xr:uid="{00000000-0005-0000-0000-00005A220000}"/>
    <cellStyle name="Comma 5 5 4 3 2 2 2 2" xfId="48582" xr:uid="{00000000-0005-0000-0000-00005B220000}"/>
    <cellStyle name="Comma 5 5 4 3 2 2 3" xfId="38365" xr:uid="{00000000-0005-0000-0000-00005C220000}"/>
    <cellStyle name="Comma 5 5 4 3 2 3" xfId="9231" xr:uid="{00000000-0005-0000-0000-00005D220000}"/>
    <cellStyle name="Comma 5 5 4 3 2 3 2" xfId="34788" xr:uid="{00000000-0005-0000-0000-00005E220000}"/>
    <cellStyle name="Comma 5 5 4 3 2 4" xfId="18022" xr:uid="{00000000-0005-0000-0000-00005F220000}"/>
    <cellStyle name="Comma 5 5 4 3 2 4 2" xfId="43575" xr:uid="{00000000-0005-0000-0000-000060220000}"/>
    <cellStyle name="Comma 5 5 4 3 2 5" xfId="29512" xr:uid="{00000000-0005-0000-0000-000061220000}"/>
    <cellStyle name="Comma 5 5 4 3 3" xfId="4842" xr:uid="{00000000-0005-0000-0000-000062220000}"/>
    <cellStyle name="Comma 5 5 4 3 3 2" xfId="13679" xr:uid="{00000000-0005-0000-0000-000063220000}"/>
    <cellStyle name="Comma 5 5 4 3 3 2 2" xfId="23930" xr:uid="{00000000-0005-0000-0000-000064220000}"/>
    <cellStyle name="Comma 5 5 4 3 3 2 2 2" xfId="49483" xr:uid="{00000000-0005-0000-0000-000065220000}"/>
    <cellStyle name="Comma 5 5 4 3 3 2 3" xfId="39234" xr:uid="{00000000-0005-0000-0000-000066220000}"/>
    <cellStyle name="Comma 5 5 4 3 3 3" xfId="10100" xr:uid="{00000000-0005-0000-0000-000067220000}"/>
    <cellStyle name="Comma 5 5 4 3 3 3 2" xfId="35657" xr:uid="{00000000-0005-0000-0000-000068220000}"/>
    <cellStyle name="Comma 5 5 4 3 3 4" xfId="18923" xr:uid="{00000000-0005-0000-0000-000069220000}"/>
    <cellStyle name="Comma 5 5 4 3 3 4 2" xfId="44476" xr:uid="{00000000-0005-0000-0000-00006A220000}"/>
    <cellStyle name="Comma 5 5 4 3 3 5" xfId="30413" xr:uid="{00000000-0005-0000-0000-00006B220000}"/>
    <cellStyle name="Comma 5 5 4 3 4" xfId="2068" xr:uid="{00000000-0005-0000-0000-00006C220000}"/>
    <cellStyle name="Comma 5 5 4 3 4 2" xfId="11433" xr:uid="{00000000-0005-0000-0000-00006D220000}"/>
    <cellStyle name="Comma 5 5 4 3 4 2 2" xfId="36988" xr:uid="{00000000-0005-0000-0000-00006E220000}"/>
    <cellStyle name="Comma 5 5 4 3 4 3" xfId="21437" xr:uid="{00000000-0005-0000-0000-00006F220000}"/>
    <cellStyle name="Comma 5 5 4 3 4 3 2" xfId="46990" xr:uid="{00000000-0005-0000-0000-000070220000}"/>
    <cellStyle name="Comma 5 5 4 3 4 4" xfId="27920" xr:uid="{00000000-0005-0000-0000-000071220000}"/>
    <cellStyle name="Comma 5 5 4 3 5" xfId="6297" xr:uid="{00000000-0005-0000-0000-000072220000}"/>
    <cellStyle name="Comma 5 5 4 3 5 2" xfId="15124" xr:uid="{00000000-0005-0000-0000-000073220000}"/>
    <cellStyle name="Comma 5 5 4 3 5 2 2" xfId="40679" xr:uid="{00000000-0005-0000-0000-000074220000}"/>
    <cellStyle name="Comma 5 5 4 3 5 3" xfId="25375" xr:uid="{00000000-0005-0000-0000-000075220000}"/>
    <cellStyle name="Comma 5 5 4 3 5 3 2" xfId="50928" xr:uid="{00000000-0005-0000-0000-000076220000}"/>
    <cellStyle name="Comma 5 5 4 3 5 4" xfId="31858" xr:uid="{00000000-0005-0000-0000-000077220000}"/>
    <cellStyle name="Comma 5 5 4 3 6" xfId="7743" xr:uid="{00000000-0005-0000-0000-000078220000}"/>
    <cellStyle name="Comma 5 5 4 3 6 2" xfId="20628" xr:uid="{00000000-0005-0000-0000-000079220000}"/>
    <cellStyle name="Comma 5 5 4 3 6 2 2" xfId="46181" xr:uid="{00000000-0005-0000-0000-00007A220000}"/>
    <cellStyle name="Comma 5 5 4 3 6 3" xfId="33300" xr:uid="{00000000-0005-0000-0000-00007B220000}"/>
    <cellStyle name="Comma 5 5 4 3 7" xfId="16430" xr:uid="{00000000-0005-0000-0000-00007C220000}"/>
    <cellStyle name="Comma 5 5 4 3 7 2" xfId="41983" xr:uid="{00000000-0005-0000-0000-00007D220000}"/>
    <cellStyle name="Comma 5 5 4 3 8" xfId="27111" xr:uid="{00000000-0005-0000-0000-00007E220000}"/>
    <cellStyle name="Comma 5 5 4 4" xfId="2959" xr:uid="{00000000-0005-0000-0000-00007F220000}"/>
    <cellStyle name="Comma 5 5 4 4 2" xfId="5337" xr:uid="{00000000-0005-0000-0000-000080220000}"/>
    <cellStyle name="Comma 5 5 4 4 2 2" xfId="14174" xr:uid="{00000000-0005-0000-0000-000081220000}"/>
    <cellStyle name="Comma 5 5 4 4 2 2 2" xfId="24425" xr:uid="{00000000-0005-0000-0000-000082220000}"/>
    <cellStyle name="Comma 5 5 4 4 2 2 2 2" xfId="49978" xr:uid="{00000000-0005-0000-0000-000083220000}"/>
    <cellStyle name="Comma 5 5 4 4 2 2 3" xfId="39729" xr:uid="{00000000-0005-0000-0000-000084220000}"/>
    <cellStyle name="Comma 5 5 4 4 2 3" xfId="10595" xr:uid="{00000000-0005-0000-0000-000085220000}"/>
    <cellStyle name="Comma 5 5 4 4 2 3 2" xfId="36152" xr:uid="{00000000-0005-0000-0000-000086220000}"/>
    <cellStyle name="Comma 5 5 4 4 2 4" xfId="19418" xr:uid="{00000000-0005-0000-0000-000087220000}"/>
    <cellStyle name="Comma 5 5 4 4 2 4 2" xfId="44971" xr:uid="{00000000-0005-0000-0000-000088220000}"/>
    <cellStyle name="Comma 5 5 4 4 2 5" xfId="30908" xr:uid="{00000000-0005-0000-0000-000089220000}"/>
    <cellStyle name="Comma 5 5 4 4 3" xfId="6792" xr:uid="{00000000-0005-0000-0000-00008A220000}"/>
    <cellStyle name="Comma 5 5 4 4 3 2" xfId="15619" xr:uid="{00000000-0005-0000-0000-00008B220000}"/>
    <cellStyle name="Comma 5 5 4 4 3 2 2" xfId="41174" xr:uid="{00000000-0005-0000-0000-00008C220000}"/>
    <cellStyle name="Comma 5 5 4 4 3 3" xfId="25870" xr:uid="{00000000-0005-0000-0000-00008D220000}"/>
    <cellStyle name="Comma 5 5 4 4 3 3 2" xfId="51423" xr:uid="{00000000-0005-0000-0000-00008E220000}"/>
    <cellStyle name="Comma 5 5 4 4 3 4" xfId="32353" xr:uid="{00000000-0005-0000-0000-00008F220000}"/>
    <cellStyle name="Comma 5 5 4 4 4" xfId="8238" xr:uid="{00000000-0005-0000-0000-000090220000}"/>
    <cellStyle name="Comma 5 5 4 4 4 2" xfId="22320" xr:uid="{00000000-0005-0000-0000-000091220000}"/>
    <cellStyle name="Comma 5 5 4 4 4 2 2" xfId="47873" xr:uid="{00000000-0005-0000-0000-000092220000}"/>
    <cellStyle name="Comma 5 5 4 4 4 3" xfId="33795" xr:uid="{00000000-0005-0000-0000-000093220000}"/>
    <cellStyle name="Comma 5 5 4 4 5" xfId="17313" xr:uid="{00000000-0005-0000-0000-000094220000}"/>
    <cellStyle name="Comma 5 5 4 4 5 2" xfId="42866" xr:uid="{00000000-0005-0000-0000-000095220000}"/>
    <cellStyle name="Comma 5 5 4 4 6" xfId="28803" xr:uid="{00000000-0005-0000-0000-000096220000}"/>
    <cellStyle name="Comma 5 5 4 5" xfId="4293" xr:uid="{00000000-0005-0000-0000-000097220000}"/>
    <cellStyle name="Comma 5 5 4 5 2" xfId="13131" xr:uid="{00000000-0005-0000-0000-000098220000}"/>
    <cellStyle name="Comma 5 5 4 5 2 2" xfId="23382" xr:uid="{00000000-0005-0000-0000-000099220000}"/>
    <cellStyle name="Comma 5 5 4 5 2 2 2" xfId="48935" xr:uid="{00000000-0005-0000-0000-00009A220000}"/>
    <cellStyle name="Comma 5 5 4 5 2 3" xfId="38686" xr:uid="{00000000-0005-0000-0000-00009B220000}"/>
    <cellStyle name="Comma 5 5 4 5 3" xfId="9552" xr:uid="{00000000-0005-0000-0000-00009C220000}"/>
    <cellStyle name="Comma 5 5 4 5 3 2" xfId="35109" xr:uid="{00000000-0005-0000-0000-00009D220000}"/>
    <cellStyle name="Comma 5 5 4 5 4" xfId="18375" xr:uid="{00000000-0005-0000-0000-00009E220000}"/>
    <cellStyle name="Comma 5 5 4 5 4 2" xfId="43928" xr:uid="{00000000-0005-0000-0000-00009F220000}"/>
    <cellStyle name="Comma 5 5 4 5 5" xfId="29865" xr:uid="{00000000-0005-0000-0000-0000A0220000}"/>
    <cellStyle name="Comma 5 5 4 6" xfId="1565" xr:uid="{00000000-0005-0000-0000-0000A1220000}"/>
    <cellStyle name="Comma 5 5 4 6 2" xfId="10942" xr:uid="{00000000-0005-0000-0000-0000A2220000}"/>
    <cellStyle name="Comma 5 5 4 6 2 2" xfId="36497" xr:uid="{00000000-0005-0000-0000-0000A3220000}"/>
    <cellStyle name="Comma 5 5 4 6 3" xfId="20946" xr:uid="{00000000-0005-0000-0000-0000A4220000}"/>
    <cellStyle name="Comma 5 5 4 6 3 2" xfId="46499" xr:uid="{00000000-0005-0000-0000-0000A5220000}"/>
    <cellStyle name="Comma 5 5 4 6 4" xfId="27429" xr:uid="{00000000-0005-0000-0000-0000A6220000}"/>
    <cellStyle name="Comma 5 5 4 7" xfId="5749" xr:uid="{00000000-0005-0000-0000-0000A7220000}"/>
    <cellStyle name="Comma 5 5 4 7 2" xfId="14576" xr:uid="{00000000-0005-0000-0000-0000A8220000}"/>
    <cellStyle name="Comma 5 5 4 7 2 2" xfId="40131" xr:uid="{00000000-0005-0000-0000-0000A9220000}"/>
    <cellStyle name="Comma 5 5 4 7 3" xfId="24827" xr:uid="{00000000-0005-0000-0000-0000AA220000}"/>
    <cellStyle name="Comma 5 5 4 7 3 2" xfId="50380" xr:uid="{00000000-0005-0000-0000-0000AB220000}"/>
    <cellStyle name="Comma 5 5 4 7 4" xfId="31310" xr:uid="{00000000-0005-0000-0000-0000AC220000}"/>
    <cellStyle name="Comma 5 5 4 8" xfId="7193" xr:uid="{00000000-0005-0000-0000-0000AD220000}"/>
    <cellStyle name="Comma 5 5 4 8 2" xfId="19919" xr:uid="{00000000-0005-0000-0000-0000AE220000}"/>
    <cellStyle name="Comma 5 5 4 8 2 2" xfId="45472" xr:uid="{00000000-0005-0000-0000-0000AF220000}"/>
    <cellStyle name="Comma 5 5 4 8 3" xfId="32750" xr:uid="{00000000-0005-0000-0000-0000B0220000}"/>
    <cellStyle name="Comma 5 5 4 9" xfId="15939" xr:uid="{00000000-0005-0000-0000-0000B1220000}"/>
    <cellStyle name="Comma 5 5 4 9 2" xfId="41492" xr:uid="{00000000-0005-0000-0000-0000B2220000}"/>
    <cellStyle name="Comma 5 5 5" xfId="314" xr:uid="{00000000-0005-0000-0000-0000B3220000}"/>
    <cellStyle name="Comma 5 5 5 2" xfId="2800" xr:uid="{00000000-0005-0000-0000-0000B4220000}"/>
    <cellStyle name="Comma 5 5 5 2 2" xfId="12104" xr:uid="{00000000-0005-0000-0000-0000B5220000}"/>
    <cellStyle name="Comma 5 5 5 2 2 2" xfId="22161" xr:uid="{00000000-0005-0000-0000-0000B6220000}"/>
    <cellStyle name="Comma 5 5 5 2 2 2 2" xfId="47714" xr:uid="{00000000-0005-0000-0000-0000B7220000}"/>
    <cellStyle name="Comma 5 5 5 2 2 3" xfId="37659" xr:uid="{00000000-0005-0000-0000-0000B8220000}"/>
    <cellStyle name="Comma 5 5 5 2 3" xfId="8533" xr:uid="{00000000-0005-0000-0000-0000B9220000}"/>
    <cellStyle name="Comma 5 5 5 2 3 2" xfId="34090" xr:uid="{00000000-0005-0000-0000-0000BA220000}"/>
    <cellStyle name="Comma 5 5 5 2 4" xfId="17154" xr:uid="{00000000-0005-0000-0000-0000BB220000}"/>
    <cellStyle name="Comma 5 5 5 2 4 2" xfId="42707" xr:uid="{00000000-0005-0000-0000-0000BC220000}"/>
    <cellStyle name="Comma 5 5 5 2 5" xfId="28644" xr:uid="{00000000-0005-0000-0000-0000BD220000}"/>
    <cellStyle name="Comma 5 5 5 3" xfId="4488" xr:uid="{00000000-0005-0000-0000-0000BE220000}"/>
    <cellStyle name="Comma 5 5 5 3 2" xfId="13326" xr:uid="{00000000-0005-0000-0000-0000BF220000}"/>
    <cellStyle name="Comma 5 5 5 3 2 2" xfId="23577" xr:uid="{00000000-0005-0000-0000-0000C0220000}"/>
    <cellStyle name="Comma 5 5 5 3 2 2 2" xfId="49130" xr:uid="{00000000-0005-0000-0000-0000C1220000}"/>
    <cellStyle name="Comma 5 5 5 3 2 3" xfId="38881" xr:uid="{00000000-0005-0000-0000-0000C2220000}"/>
    <cellStyle name="Comma 5 5 5 3 3" xfId="9747" xr:uid="{00000000-0005-0000-0000-0000C3220000}"/>
    <cellStyle name="Comma 5 5 5 3 3 2" xfId="35304" xr:uid="{00000000-0005-0000-0000-0000C4220000}"/>
    <cellStyle name="Comma 5 5 5 3 4" xfId="18570" xr:uid="{00000000-0005-0000-0000-0000C5220000}"/>
    <cellStyle name="Comma 5 5 5 3 4 2" xfId="44123" xr:uid="{00000000-0005-0000-0000-0000C6220000}"/>
    <cellStyle name="Comma 5 5 5 3 5" xfId="30060" xr:uid="{00000000-0005-0000-0000-0000C7220000}"/>
    <cellStyle name="Comma 5 5 5 4" xfId="1909" xr:uid="{00000000-0005-0000-0000-0000C8220000}"/>
    <cellStyle name="Comma 5 5 5 4 2" xfId="11274" xr:uid="{00000000-0005-0000-0000-0000C9220000}"/>
    <cellStyle name="Comma 5 5 5 4 2 2" xfId="36829" xr:uid="{00000000-0005-0000-0000-0000CA220000}"/>
    <cellStyle name="Comma 5 5 5 4 3" xfId="21278" xr:uid="{00000000-0005-0000-0000-0000CB220000}"/>
    <cellStyle name="Comma 5 5 5 4 3 2" xfId="46831" xr:uid="{00000000-0005-0000-0000-0000CC220000}"/>
    <cellStyle name="Comma 5 5 5 4 4" xfId="27761" xr:uid="{00000000-0005-0000-0000-0000CD220000}"/>
    <cellStyle name="Comma 5 5 5 5" xfId="5944" xr:uid="{00000000-0005-0000-0000-0000CE220000}"/>
    <cellStyle name="Comma 5 5 5 5 2" xfId="14771" xr:uid="{00000000-0005-0000-0000-0000CF220000}"/>
    <cellStyle name="Comma 5 5 5 5 2 2" xfId="40326" xr:uid="{00000000-0005-0000-0000-0000D0220000}"/>
    <cellStyle name="Comma 5 5 5 5 3" xfId="25022" xr:uid="{00000000-0005-0000-0000-0000D1220000}"/>
    <cellStyle name="Comma 5 5 5 5 3 2" xfId="50575" xr:uid="{00000000-0005-0000-0000-0000D2220000}"/>
    <cellStyle name="Comma 5 5 5 5 4" xfId="31505" xr:uid="{00000000-0005-0000-0000-0000D3220000}"/>
    <cellStyle name="Comma 5 5 5 6" xfId="7388" xr:uid="{00000000-0005-0000-0000-0000D4220000}"/>
    <cellStyle name="Comma 5 5 5 6 2" xfId="19760" xr:uid="{00000000-0005-0000-0000-0000D5220000}"/>
    <cellStyle name="Comma 5 5 5 6 2 2" xfId="45313" xr:uid="{00000000-0005-0000-0000-0000D6220000}"/>
    <cellStyle name="Comma 5 5 5 6 3" xfId="32945" xr:uid="{00000000-0005-0000-0000-0000D7220000}"/>
    <cellStyle name="Comma 5 5 5 7" xfId="16271" xr:uid="{00000000-0005-0000-0000-0000D8220000}"/>
    <cellStyle name="Comma 5 5 5 7 2" xfId="41824" xr:uid="{00000000-0005-0000-0000-0000D9220000}"/>
    <cellStyle name="Comma 5 5 5 8" xfId="26243" xr:uid="{00000000-0005-0000-0000-0000DA220000}"/>
    <cellStyle name="Comma 5 5 6" xfId="673" xr:uid="{00000000-0005-0000-0000-0000DB220000}"/>
    <cellStyle name="Comma 5 5 6 2" xfId="3159" xr:uid="{00000000-0005-0000-0000-0000DC220000}"/>
    <cellStyle name="Comma 5 5 6 2 2" xfId="12302" xr:uid="{00000000-0005-0000-0000-0000DD220000}"/>
    <cellStyle name="Comma 5 5 6 2 2 2" xfId="22520" xr:uid="{00000000-0005-0000-0000-0000DE220000}"/>
    <cellStyle name="Comma 5 5 6 2 2 2 2" xfId="48073" xr:uid="{00000000-0005-0000-0000-0000DF220000}"/>
    <cellStyle name="Comma 5 5 6 2 2 3" xfId="37857" xr:uid="{00000000-0005-0000-0000-0000E0220000}"/>
    <cellStyle name="Comma 5 5 6 2 3" xfId="8724" xr:uid="{00000000-0005-0000-0000-0000E1220000}"/>
    <cellStyle name="Comma 5 5 6 2 3 2" xfId="34281" xr:uid="{00000000-0005-0000-0000-0000E2220000}"/>
    <cellStyle name="Comma 5 5 6 2 4" xfId="17513" xr:uid="{00000000-0005-0000-0000-0000E3220000}"/>
    <cellStyle name="Comma 5 5 6 2 4 2" xfId="43066" xr:uid="{00000000-0005-0000-0000-0000E4220000}"/>
    <cellStyle name="Comma 5 5 6 2 5" xfId="29003" xr:uid="{00000000-0005-0000-0000-0000E5220000}"/>
    <cellStyle name="Comma 5 5 6 3" xfId="4837" xr:uid="{00000000-0005-0000-0000-0000E6220000}"/>
    <cellStyle name="Comma 5 5 6 3 2" xfId="13674" xr:uid="{00000000-0005-0000-0000-0000E7220000}"/>
    <cellStyle name="Comma 5 5 6 3 2 2" xfId="23925" xr:uid="{00000000-0005-0000-0000-0000E8220000}"/>
    <cellStyle name="Comma 5 5 6 3 2 2 2" xfId="49478" xr:uid="{00000000-0005-0000-0000-0000E9220000}"/>
    <cellStyle name="Comma 5 5 6 3 2 3" xfId="39229" xr:uid="{00000000-0005-0000-0000-0000EA220000}"/>
    <cellStyle name="Comma 5 5 6 3 3" xfId="10095" xr:uid="{00000000-0005-0000-0000-0000EB220000}"/>
    <cellStyle name="Comma 5 5 6 3 3 2" xfId="35652" xr:uid="{00000000-0005-0000-0000-0000EC220000}"/>
    <cellStyle name="Comma 5 5 6 3 4" xfId="18918" xr:uid="{00000000-0005-0000-0000-0000ED220000}"/>
    <cellStyle name="Comma 5 5 6 3 4 2" xfId="44471" xr:uid="{00000000-0005-0000-0000-0000EE220000}"/>
    <cellStyle name="Comma 5 5 6 3 5" xfId="30408" xr:uid="{00000000-0005-0000-0000-0000EF220000}"/>
    <cellStyle name="Comma 5 5 6 4" xfId="2268" xr:uid="{00000000-0005-0000-0000-0000F0220000}"/>
    <cellStyle name="Comma 5 5 6 4 2" xfId="11633" xr:uid="{00000000-0005-0000-0000-0000F1220000}"/>
    <cellStyle name="Comma 5 5 6 4 2 2" xfId="37188" xr:uid="{00000000-0005-0000-0000-0000F2220000}"/>
    <cellStyle name="Comma 5 5 6 4 3" xfId="21637" xr:uid="{00000000-0005-0000-0000-0000F3220000}"/>
    <cellStyle name="Comma 5 5 6 4 3 2" xfId="47190" xr:uid="{00000000-0005-0000-0000-0000F4220000}"/>
    <cellStyle name="Comma 5 5 6 4 4" xfId="28120" xr:uid="{00000000-0005-0000-0000-0000F5220000}"/>
    <cellStyle name="Comma 5 5 6 5" xfId="6292" xr:uid="{00000000-0005-0000-0000-0000F6220000}"/>
    <cellStyle name="Comma 5 5 6 5 2" xfId="15119" xr:uid="{00000000-0005-0000-0000-0000F7220000}"/>
    <cellStyle name="Comma 5 5 6 5 2 2" xfId="40674" xr:uid="{00000000-0005-0000-0000-0000F8220000}"/>
    <cellStyle name="Comma 5 5 6 5 3" xfId="25370" xr:uid="{00000000-0005-0000-0000-0000F9220000}"/>
    <cellStyle name="Comma 5 5 6 5 3 2" xfId="50923" xr:uid="{00000000-0005-0000-0000-0000FA220000}"/>
    <cellStyle name="Comma 5 5 6 5 4" xfId="31853" xr:uid="{00000000-0005-0000-0000-0000FB220000}"/>
    <cellStyle name="Comma 5 5 6 6" xfId="7738" xr:uid="{00000000-0005-0000-0000-0000FC220000}"/>
    <cellStyle name="Comma 5 5 6 6 2" xfId="20119" xr:uid="{00000000-0005-0000-0000-0000FD220000}"/>
    <cellStyle name="Comma 5 5 6 6 2 2" xfId="45672" xr:uid="{00000000-0005-0000-0000-0000FE220000}"/>
    <cellStyle name="Comma 5 5 6 6 3" xfId="33295" xr:uid="{00000000-0005-0000-0000-0000FF220000}"/>
    <cellStyle name="Comma 5 5 6 7" xfId="16630" xr:uid="{00000000-0005-0000-0000-000000230000}"/>
    <cellStyle name="Comma 5 5 6 7 2" xfId="42183" xr:uid="{00000000-0005-0000-0000-000001230000}"/>
    <cellStyle name="Comma 5 5 6 8" xfId="26602" xr:uid="{00000000-0005-0000-0000-000002230000}"/>
    <cellStyle name="Comma 5 5 7" xfId="1086" xr:uid="{00000000-0005-0000-0000-000003230000}"/>
    <cellStyle name="Comma 5 5 7 2" xfId="3515" xr:uid="{00000000-0005-0000-0000-000004230000}"/>
    <cellStyle name="Comma 5 5 7 2 2" xfId="12651" xr:uid="{00000000-0005-0000-0000-000005230000}"/>
    <cellStyle name="Comma 5 5 7 2 2 2" xfId="22870" xr:uid="{00000000-0005-0000-0000-000006230000}"/>
    <cellStyle name="Comma 5 5 7 2 2 2 2" xfId="48423" xr:uid="{00000000-0005-0000-0000-000007230000}"/>
    <cellStyle name="Comma 5 5 7 2 2 3" xfId="38206" xr:uid="{00000000-0005-0000-0000-000008230000}"/>
    <cellStyle name="Comma 5 5 7 2 3" xfId="9073" xr:uid="{00000000-0005-0000-0000-000009230000}"/>
    <cellStyle name="Comma 5 5 7 2 3 2" xfId="34630" xr:uid="{00000000-0005-0000-0000-00000A230000}"/>
    <cellStyle name="Comma 5 5 7 2 4" xfId="17863" xr:uid="{00000000-0005-0000-0000-00000B230000}"/>
    <cellStyle name="Comma 5 5 7 2 4 2" xfId="43416" xr:uid="{00000000-0005-0000-0000-00000C230000}"/>
    <cellStyle name="Comma 5 5 7 2 5" xfId="29353" xr:uid="{00000000-0005-0000-0000-00000D230000}"/>
    <cellStyle name="Comma 5 5 7 3" xfId="5178" xr:uid="{00000000-0005-0000-0000-00000E230000}"/>
    <cellStyle name="Comma 5 5 7 3 2" xfId="14015" xr:uid="{00000000-0005-0000-0000-00000F230000}"/>
    <cellStyle name="Comma 5 5 7 3 2 2" xfId="24266" xr:uid="{00000000-0005-0000-0000-000010230000}"/>
    <cellStyle name="Comma 5 5 7 3 2 2 2" xfId="49819" xr:uid="{00000000-0005-0000-0000-000011230000}"/>
    <cellStyle name="Comma 5 5 7 3 2 3" xfId="39570" xr:uid="{00000000-0005-0000-0000-000012230000}"/>
    <cellStyle name="Comma 5 5 7 3 3" xfId="10436" xr:uid="{00000000-0005-0000-0000-000013230000}"/>
    <cellStyle name="Comma 5 5 7 3 3 2" xfId="35993" xr:uid="{00000000-0005-0000-0000-000014230000}"/>
    <cellStyle name="Comma 5 5 7 3 4" xfId="19259" xr:uid="{00000000-0005-0000-0000-000015230000}"/>
    <cellStyle name="Comma 5 5 7 3 4 2" xfId="44812" xr:uid="{00000000-0005-0000-0000-000016230000}"/>
    <cellStyle name="Comma 5 5 7 3 5" xfId="30749" xr:uid="{00000000-0005-0000-0000-000017230000}"/>
    <cellStyle name="Comma 5 5 7 4" xfId="1744" xr:uid="{00000000-0005-0000-0000-000018230000}"/>
    <cellStyle name="Comma 5 5 7 4 2" xfId="11115" xr:uid="{00000000-0005-0000-0000-000019230000}"/>
    <cellStyle name="Comma 5 5 7 4 2 2" xfId="36670" xr:uid="{00000000-0005-0000-0000-00001A230000}"/>
    <cellStyle name="Comma 5 5 7 4 3" xfId="21119" xr:uid="{00000000-0005-0000-0000-00001B230000}"/>
    <cellStyle name="Comma 5 5 7 4 3 2" xfId="46672" xr:uid="{00000000-0005-0000-0000-00001C230000}"/>
    <cellStyle name="Comma 5 5 7 4 4" xfId="27602" xr:uid="{00000000-0005-0000-0000-00001D230000}"/>
    <cellStyle name="Comma 5 5 7 5" xfId="6633" xr:uid="{00000000-0005-0000-0000-00001E230000}"/>
    <cellStyle name="Comma 5 5 7 5 2" xfId="15460" xr:uid="{00000000-0005-0000-0000-00001F230000}"/>
    <cellStyle name="Comma 5 5 7 5 2 2" xfId="41015" xr:uid="{00000000-0005-0000-0000-000020230000}"/>
    <cellStyle name="Comma 5 5 7 5 3" xfId="25711" xr:uid="{00000000-0005-0000-0000-000021230000}"/>
    <cellStyle name="Comma 5 5 7 5 3 2" xfId="51264" xr:uid="{00000000-0005-0000-0000-000022230000}"/>
    <cellStyle name="Comma 5 5 7 5 4" xfId="32194" xr:uid="{00000000-0005-0000-0000-000023230000}"/>
    <cellStyle name="Comma 5 5 7 6" xfId="8079" xr:uid="{00000000-0005-0000-0000-000024230000}"/>
    <cellStyle name="Comma 5 5 7 6 2" xfId="20469" xr:uid="{00000000-0005-0000-0000-000025230000}"/>
    <cellStyle name="Comma 5 5 7 6 2 2" xfId="46022" xr:uid="{00000000-0005-0000-0000-000026230000}"/>
    <cellStyle name="Comma 5 5 7 6 3" xfId="33636" xr:uid="{00000000-0005-0000-0000-000027230000}"/>
    <cellStyle name="Comma 5 5 7 7" xfId="16112" xr:uid="{00000000-0005-0000-0000-000028230000}"/>
    <cellStyle name="Comma 5 5 7 7 2" xfId="41665" xr:uid="{00000000-0005-0000-0000-000029230000}"/>
    <cellStyle name="Comma 5 5 7 8" xfId="26952" xr:uid="{00000000-0005-0000-0000-00002A230000}"/>
    <cellStyle name="Comma 5 5 8" xfId="2642" xr:uid="{00000000-0005-0000-0000-00002B230000}"/>
    <cellStyle name="Comma 5 5 8 2" xfId="5590" xr:uid="{00000000-0005-0000-0000-00002C230000}"/>
    <cellStyle name="Comma 5 5 8 2 2" xfId="14417" xr:uid="{00000000-0005-0000-0000-00002D230000}"/>
    <cellStyle name="Comma 5 5 8 2 2 2" xfId="39972" xr:uid="{00000000-0005-0000-0000-00002E230000}"/>
    <cellStyle name="Comma 5 5 8 2 3" xfId="24668" xr:uid="{00000000-0005-0000-0000-00002F230000}"/>
    <cellStyle name="Comma 5 5 8 2 3 2" xfId="50221" xr:uid="{00000000-0005-0000-0000-000030230000}"/>
    <cellStyle name="Comma 5 5 8 2 4" xfId="31151" xr:uid="{00000000-0005-0000-0000-000031230000}"/>
    <cellStyle name="Comma 5 5 8 3" xfId="7034" xr:uid="{00000000-0005-0000-0000-000032230000}"/>
    <cellStyle name="Comma 5 5 8 3 2" xfId="22003" xr:uid="{00000000-0005-0000-0000-000033230000}"/>
    <cellStyle name="Comma 5 5 8 3 2 2" xfId="47556" xr:uid="{00000000-0005-0000-0000-000034230000}"/>
    <cellStyle name="Comma 5 5 8 3 3" xfId="32591" xr:uid="{00000000-0005-0000-0000-000035230000}"/>
    <cellStyle name="Comma 5 5 8 4" xfId="16996" xr:uid="{00000000-0005-0000-0000-000036230000}"/>
    <cellStyle name="Comma 5 5 8 4 2" xfId="42549" xr:uid="{00000000-0005-0000-0000-000037230000}"/>
    <cellStyle name="Comma 5 5 8 5" xfId="28486" xr:uid="{00000000-0005-0000-0000-000038230000}"/>
    <cellStyle name="Comma 5 5 9" xfId="4132" xr:uid="{00000000-0005-0000-0000-000039230000}"/>
    <cellStyle name="Comma 5 5 9 2" xfId="12970" xr:uid="{00000000-0005-0000-0000-00003A230000}"/>
    <cellStyle name="Comma 5 5 9 2 2" xfId="23221" xr:uid="{00000000-0005-0000-0000-00003B230000}"/>
    <cellStyle name="Comma 5 5 9 2 2 2" xfId="48774" xr:uid="{00000000-0005-0000-0000-00003C230000}"/>
    <cellStyle name="Comma 5 5 9 2 3" xfId="38525" xr:uid="{00000000-0005-0000-0000-00003D230000}"/>
    <cellStyle name="Comma 5 5 9 3" xfId="9391" xr:uid="{00000000-0005-0000-0000-00003E230000}"/>
    <cellStyle name="Comma 5 5 9 3 2" xfId="34948" xr:uid="{00000000-0005-0000-0000-00003F230000}"/>
    <cellStyle name="Comma 5 5 9 4" xfId="18214" xr:uid="{00000000-0005-0000-0000-000040230000}"/>
    <cellStyle name="Comma 5 5 9 4 2" xfId="43767" xr:uid="{00000000-0005-0000-0000-000041230000}"/>
    <cellStyle name="Comma 5 5 9 5" xfId="29704" xr:uid="{00000000-0005-0000-0000-000042230000}"/>
    <cellStyle name="Comma 5 6" xfId="171" xr:uid="{00000000-0005-0000-0000-000043230000}"/>
    <cellStyle name="Comma 5 6 10" xfId="7119" xr:uid="{00000000-0005-0000-0000-000044230000}"/>
    <cellStyle name="Comma 5 6 10 2" xfId="19628" xr:uid="{00000000-0005-0000-0000-000045230000}"/>
    <cellStyle name="Comma 5 6 10 2 2" xfId="45181" xr:uid="{00000000-0005-0000-0000-000046230000}"/>
    <cellStyle name="Comma 5 6 10 3" xfId="32676" xr:uid="{00000000-0005-0000-0000-000047230000}"/>
    <cellStyle name="Comma 5 6 11" xfId="15865" xr:uid="{00000000-0005-0000-0000-000048230000}"/>
    <cellStyle name="Comma 5 6 11 2" xfId="41418" xr:uid="{00000000-0005-0000-0000-000049230000}"/>
    <cellStyle name="Comma 5 6 12" xfId="26111" xr:uid="{00000000-0005-0000-0000-00004A230000}"/>
    <cellStyle name="Comma 5 6 2" xfId="499" xr:uid="{00000000-0005-0000-0000-00004B230000}"/>
    <cellStyle name="Comma 5 6 2 10" xfId="26428" xr:uid="{00000000-0005-0000-0000-00004C230000}"/>
    <cellStyle name="Comma 5 6 2 2" xfId="680" xr:uid="{00000000-0005-0000-0000-00004D230000}"/>
    <cellStyle name="Comma 5 6 2 2 2" xfId="3166" xr:uid="{00000000-0005-0000-0000-00004E230000}"/>
    <cellStyle name="Comma 5 6 2 2 2 2" xfId="12309" xr:uid="{00000000-0005-0000-0000-00004F230000}"/>
    <cellStyle name="Comma 5 6 2 2 2 2 2" xfId="22527" xr:uid="{00000000-0005-0000-0000-000050230000}"/>
    <cellStyle name="Comma 5 6 2 2 2 2 2 2" xfId="48080" xr:uid="{00000000-0005-0000-0000-000051230000}"/>
    <cellStyle name="Comma 5 6 2 2 2 2 3" xfId="37864" xr:uid="{00000000-0005-0000-0000-000052230000}"/>
    <cellStyle name="Comma 5 6 2 2 2 3" xfId="8731" xr:uid="{00000000-0005-0000-0000-000053230000}"/>
    <cellStyle name="Comma 5 6 2 2 2 3 2" xfId="34288" xr:uid="{00000000-0005-0000-0000-000054230000}"/>
    <cellStyle name="Comma 5 6 2 2 2 4" xfId="17520" xr:uid="{00000000-0005-0000-0000-000055230000}"/>
    <cellStyle name="Comma 5 6 2 2 2 4 2" xfId="43073" xr:uid="{00000000-0005-0000-0000-000056230000}"/>
    <cellStyle name="Comma 5 6 2 2 2 5" xfId="29010" xr:uid="{00000000-0005-0000-0000-000057230000}"/>
    <cellStyle name="Comma 5 6 2 2 3" xfId="4495" xr:uid="{00000000-0005-0000-0000-000058230000}"/>
    <cellStyle name="Comma 5 6 2 2 3 2" xfId="13333" xr:uid="{00000000-0005-0000-0000-000059230000}"/>
    <cellStyle name="Comma 5 6 2 2 3 2 2" xfId="23584" xr:uid="{00000000-0005-0000-0000-00005A230000}"/>
    <cellStyle name="Comma 5 6 2 2 3 2 2 2" xfId="49137" xr:uid="{00000000-0005-0000-0000-00005B230000}"/>
    <cellStyle name="Comma 5 6 2 2 3 2 3" xfId="38888" xr:uid="{00000000-0005-0000-0000-00005C230000}"/>
    <cellStyle name="Comma 5 6 2 2 3 3" xfId="9754" xr:uid="{00000000-0005-0000-0000-00005D230000}"/>
    <cellStyle name="Comma 5 6 2 2 3 3 2" xfId="35311" xr:uid="{00000000-0005-0000-0000-00005E230000}"/>
    <cellStyle name="Comma 5 6 2 2 3 4" xfId="18577" xr:uid="{00000000-0005-0000-0000-00005F230000}"/>
    <cellStyle name="Comma 5 6 2 2 3 4 2" xfId="44130" xr:uid="{00000000-0005-0000-0000-000060230000}"/>
    <cellStyle name="Comma 5 6 2 2 3 5" xfId="30067" xr:uid="{00000000-0005-0000-0000-000061230000}"/>
    <cellStyle name="Comma 5 6 2 2 4" xfId="2275" xr:uid="{00000000-0005-0000-0000-000062230000}"/>
    <cellStyle name="Comma 5 6 2 2 4 2" xfId="11640" xr:uid="{00000000-0005-0000-0000-000063230000}"/>
    <cellStyle name="Comma 5 6 2 2 4 2 2" xfId="37195" xr:uid="{00000000-0005-0000-0000-000064230000}"/>
    <cellStyle name="Comma 5 6 2 2 4 3" xfId="21644" xr:uid="{00000000-0005-0000-0000-000065230000}"/>
    <cellStyle name="Comma 5 6 2 2 4 3 2" xfId="47197" xr:uid="{00000000-0005-0000-0000-000066230000}"/>
    <cellStyle name="Comma 5 6 2 2 4 4" xfId="28127" xr:uid="{00000000-0005-0000-0000-000067230000}"/>
    <cellStyle name="Comma 5 6 2 2 5" xfId="5951" xr:uid="{00000000-0005-0000-0000-000068230000}"/>
    <cellStyle name="Comma 5 6 2 2 5 2" xfId="14778" xr:uid="{00000000-0005-0000-0000-000069230000}"/>
    <cellStyle name="Comma 5 6 2 2 5 2 2" xfId="40333" xr:uid="{00000000-0005-0000-0000-00006A230000}"/>
    <cellStyle name="Comma 5 6 2 2 5 3" xfId="25029" xr:uid="{00000000-0005-0000-0000-00006B230000}"/>
    <cellStyle name="Comma 5 6 2 2 5 3 2" xfId="50582" xr:uid="{00000000-0005-0000-0000-00006C230000}"/>
    <cellStyle name="Comma 5 6 2 2 5 4" xfId="31512" xr:uid="{00000000-0005-0000-0000-00006D230000}"/>
    <cellStyle name="Comma 5 6 2 2 6" xfId="7395" xr:uid="{00000000-0005-0000-0000-00006E230000}"/>
    <cellStyle name="Comma 5 6 2 2 6 2" xfId="20126" xr:uid="{00000000-0005-0000-0000-00006F230000}"/>
    <cellStyle name="Comma 5 6 2 2 6 2 2" xfId="45679" xr:uid="{00000000-0005-0000-0000-000070230000}"/>
    <cellStyle name="Comma 5 6 2 2 6 3" xfId="32952" xr:uid="{00000000-0005-0000-0000-000071230000}"/>
    <cellStyle name="Comma 5 6 2 2 7" xfId="16637" xr:uid="{00000000-0005-0000-0000-000072230000}"/>
    <cellStyle name="Comma 5 6 2 2 7 2" xfId="42190" xr:uid="{00000000-0005-0000-0000-000073230000}"/>
    <cellStyle name="Comma 5 6 2 2 8" xfId="26609" xr:uid="{00000000-0005-0000-0000-000074230000}"/>
    <cellStyle name="Comma 5 6 2 3" xfId="1271" xr:uid="{00000000-0005-0000-0000-000075230000}"/>
    <cellStyle name="Comma 5 6 2 3 2" xfId="3700" xr:uid="{00000000-0005-0000-0000-000076230000}"/>
    <cellStyle name="Comma 5 6 2 3 2 2" xfId="12836" xr:uid="{00000000-0005-0000-0000-000077230000}"/>
    <cellStyle name="Comma 5 6 2 3 2 2 2" xfId="23055" xr:uid="{00000000-0005-0000-0000-000078230000}"/>
    <cellStyle name="Comma 5 6 2 3 2 2 2 2" xfId="48608" xr:uid="{00000000-0005-0000-0000-000079230000}"/>
    <cellStyle name="Comma 5 6 2 3 2 2 3" xfId="38391" xr:uid="{00000000-0005-0000-0000-00007A230000}"/>
    <cellStyle name="Comma 5 6 2 3 2 3" xfId="9257" xr:uid="{00000000-0005-0000-0000-00007B230000}"/>
    <cellStyle name="Comma 5 6 2 3 2 3 2" xfId="34814" xr:uid="{00000000-0005-0000-0000-00007C230000}"/>
    <cellStyle name="Comma 5 6 2 3 2 4" xfId="18048" xr:uid="{00000000-0005-0000-0000-00007D230000}"/>
    <cellStyle name="Comma 5 6 2 3 2 4 2" xfId="43601" xr:uid="{00000000-0005-0000-0000-00007E230000}"/>
    <cellStyle name="Comma 5 6 2 3 2 5" xfId="29538" xr:uid="{00000000-0005-0000-0000-00007F230000}"/>
    <cellStyle name="Comma 5 6 2 3 3" xfId="4844" xr:uid="{00000000-0005-0000-0000-000080230000}"/>
    <cellStyle name="Comma 5 6 2 3 3 2" xfId="13681" xr:uid="{00000000-0005-0000-0000-000081230000}"/>
    <cellStyle name="Comma 5 6 2 3 3 2 2" xfId="23932" xr:uid="{00000000-0005-0000-0000-000082230000}"/>
    <cellStyle name="Comma 5 6 2 3 3 2 2 2" xfId="49485" xr:uid="{00000000-0005-0000-0000-000083230000}"/>
    <cellStyle name="Comma 5 6 2 3 3 2 3" xfId="39236" xr:uid="{00000000-0005-0000-0000-000084230000}"/>
    <cellStyle name="Comma 5 6 2 3 3 3" xfId="10102" xr:uid="{00000000-0005-0000-0000-000085230000}"/>
    <cellStyle name="Comma 5 6 2 3 3 3 2" xfId="35659" xr:uid="{00000000-0005-0000-0000-000086230000}"/>
    <cellStyle name="Comma 5 6 2 3 3 4" xfId="18925" xr:uid="{00000000-0005-0000-0000-000087230000}"/>
    <cellStyle name="Comma 5 6 2 3 3 4 2" xfId="44478" xr:uid="{00000000-0005-0000-0000-000088230000}"/>
    <cellStyle name="Comma 5 6 2 3 3 5" xfId="30415" xr:uid="{00000000-0005-0000-0000-000089230000}"/>
    <cellStyle name="Comma 5 6 2 3 4" xfId="2094" xr:uid="{00000000-0005-0000-0000-00008A230000}"/>
    <cellStyle name="Comma 5 6 2 3 4 2" xfId="11459" xr:uid="{00000000-0005-0000-0000-00008B230000}"/>
    <cellStyle name="Comma 5 6 2 3 4 2 2" xfId="37014" xr:uid="{00000000-0005-0000-0000-00008C230000}"/>
    <cellStyle name="Comma 5 6 2 3 4 3" xfId="21463" xr:uid="{00000000-0005-0000-0000-00008D230000}"/>
    <cellStyle name="Comma 5 6 2 3 4 3 2" xfId="47016" xr:uid="{00000000-0005-0000-0000-00008E230000}"/>
    <cellStyle name="Comma 5 6 2 3 4 4" xfId="27946" xr:uid="{00000000-0005-0000-0000-00008F230000}"/>
    <cellStyle name="Comma 5 6 2 3 5" xfId="6299" xr:uid="{00000000-0005-0000-0000-000090230000}"/>
    <cellStyle name="Comma 5 6 2 3 5 2" xfId="15126" xr:uid="{00000000-0005-0000-0000-000091230000}"/>
    <cellStyle name="Comma 5 6 2 3 5 2 2" xfId="40681" xr:uid="{00000000-0005-0000-0000-000092230000}"/>
    <cellStyle name="Comma 5 6 2 3 5 3" xfId="25377" xr:uid="{00000000-0005-0000-0000-000093230000}"/>
    <cellStyle name="Comma 5 6 2 3 5 3 2" xfId="50930" xr:uid="{00000000-0005-0000-0000-000094230000}"/>
    <cellStyle name="Comma 5 6 2 3 5 4" xfId="31860" xr:uid="{00000000-0005-0000-0000-000095230000}"/>
    <cellStyle name="Comma 5 6 2 3 6" xfId="7745" xr:uid="{00000000-0005-0000-0000-000096230000}"/>
    <cellStyle name="Comma 5 6 2 3 6 2" xfId="20654" xr:uid="{00000000-0005-0000-0000-000097230000}"/>
    <cellStyle name="Comma 5 6 2 3 6 2 2" xfId="46207" xr:uid="{00000000-0005-0000-0000-000098230000}"/>
    <cellStyle name="Comma 5 6 2 3 6 3" xfId="33302" xr:uid="{00000000-0005-0000-0000-000099230000}"/>
    <cellStyle name="Comma 5 6 2 3 7" xfId="16456" xr:uid="{00000000-0005-0000-0000-00009A230000}"/>
    <cellStyle name="Comma 5 6 2 3 7 2" xfId="42009" xr:uid="{00000000-0005-0000-0000-00009B230000}"/>
    <cellStyle name="Comma 5 6 2 3 8" xfId="27137" xr:uid="{00000000-0005-0000-0000-00009C230000}"/>
    <cellStyle name="Comma 5 6 2 4" xfId="2985" xr:uid="{00000000-0005-0000-0000-00009D230000}"/>
    <cellStyle name="Comma 5 6 2 4 2" xfId="5363" xr:uid="{00000000-0005-0000-0000-00009E230000}"/>
    <cellStyle name="Comma 5 6 2 4 2 2" xfId="14200" xr:uid="{00000000-0005-0000-0000-00009F230000}"/>
    <cellStyle name="Comma 5 6 2 4 2 2 2" xfId="24451" xr:uid="{00000000-0005-0000-0000-0000A0230000}"/>
    <cellStyle name="Comma 5 6 2 4 2 2 2 2" xfId="50004" xr:uid="{00000000-0005-0000-0000-0000A1230000}"/>
    <cellStyle name="Comma 5 6 2 4 2 2 3" xfId="39755" xr:uid="{00000000-0005-0000-0000-0000A2230000}"/>
    <cellStyle name="Comma 5 6 2 4 2 3" xfId="10621" xr:uid="{00000000-0005-0000-0000-0000A3230000}"/>
    <cellStyle name="Comma 5 6 2 4 2 3 2" xfId="36178" xr:uid="{00000000-0005-0000-0000-0000A4230000}"/>
    <cellStyle name="Comma 5 6 2 4 2 4" xfId="19444" xr:uid="{00000000-0005-0000-0000-0000A5230000}"/>
    <cellStyle name="Comma 5 6 2 4 2 4 2" xfId="44997" xr:uid="{00000000-0005-0000-0000-0000A6230000}"/>
    <cellStyle name="Comma 5 6 2 4 2 5" xfId="30934" xr:uid="{00000000-0005-0000-0000-0000A7230000}"/>
    <cellStyle name="Comma 5 6 2 4 3" xfId="6818" xr:uid="{00000000-0005-0000-0000-0000A8230000}"/>
    <cellStyle name="Comma 5 6 2 4 3 2" xfId="15645" xr:uid="{00000000-0005-0000-0000-0000A9230000}"/>
    <cellStyle name="Comma 5 6 2 4 3 2 2" xfId="41200" xr:uid="{00000000-0005-0000-0000-0000AA230000}"/>
    <cellStyle name="Comma 5 6 2 4 3 3" xfId="25896" xr:uid="{00000000-0005-0000-0000-0000AB230000}"/>
    <cellStyle name="Comma 5 6 2 4 3 3 2" xfId="51449" xr:uid="{00000000-0005-0000-0000-0000AC230000}"/>
    <cellStyle name="Comma 5 6 2 4 3 4" xfId="32379" xr:uid="{00000000-0005-0000-0000-0000AD230000}"/>
    <cellStyle name="Comma 5 6 2 4 4" xfId="8264" xr:uid="{00000000-0005-0000-0000-0000AE230000}"/>
    <cellStyle name="Comma 5 6 2 4 4 2" xfId="22346" xr:uid="{00000000-0005-0000-0000-0000AF230000}"/>
    <cellStyle name="Comma 5 6 2 4 4 2 2" xfId="47899" xr:uid="{00000000-0005-0000-0000-0000B0230000}"/>
    <cellStyle name="Comma 5 6 2 4 4 3" xfId="33821" xr:uid="{00000000-0005-0000-0000-0000B1230000}"/>
    <cellStyle name="Comma 5 6 2 4 5" xfId="17339" xr:uid="{00000000-0005-0000-0000-0000B2230000}"/>
    <cellStyle name="Comma 5 6 2 4 5 2" xfId="42892" xr:uid="{00000000-0005-0000-0000-0000B3230000}"/>
    <cellStyle name="Comma 5 6 2 4 6" xfId="28829" xr:uid="{00000000-0005-0000-0000-0000B4230000}"/>
    <cellStyle name="Comma 5 6 2 5" xfId="4319" xr:uid="{00000000-0005-0000-0000-0000B5230000}"/>
    <cellStyle name="Comma 5 6 2 5 2" xfId="13157" xr:uid="{00000000-0005-0000-0000-0000B6230000}"/>
    <cellStyle name="Comma 5 6 2 5 2 2" xfId="23408" xr:uid="{00000000-0005-0000-0000-0000B7230000}"/>
    <cellStyle name="Comma 5 6 2 5 2 2 2" xfId="48961" xr:uid="{00000000-0005-0000-0000-0000B8230000}"/>
    <cellStyle name="Comma 5 6 2 5 2 3" xfId="38712" xr:uid="{00000000-0005-0000-0000-0000B9230000}"/>
    <cellStyle name="Comma 5 6 2 5 3" xfId="9578" xr:uid="{00000000-0005-0000-0000-0000BA230000}"/>
    <cellStyle name="Comma 5 6 2 5 3 2" xfId="35135" xr:uid="{00000000-0005-0000-0000-0000BB230000}"/>
    <cellStyle name="Comma 5 6 2 5 4" xfId="18401" xr:uid="{00000000-0005-0000-0000-0000BC230000}"/>
    <cellStyle name="Comma 5 6 2 5 4 2" xfId="43954" xr:uid="{00000000-0005-0000-0000-0000BD230000}"/>
    <cellStyle name="Comma 5 6 2 5 5" xfId="29891" xr:uid="{00000000-0005-0000-0000-0000BE230000}"/>
    <cellStyle name="Comma 5 6 2 6" xfId="1591" xr:uid="{00000000-0005-0000-0000-0000BF230000}"/>
    <cellStyle name="Comma 5 6 2 6 2" xfId="10968" xr:uid="{00000000-0005-0000-0000-0000C0230000}"/>
    <cellStyle name="Comma 5 6 2 6 2 2" xfId="36523" xr:uid="{00000000-0005-0000-0000-0000C1230000}"/>
    <cellStyle name="Comma 5 6 2 6 3" xfId="20972" xr:uid="{00000000-0005-0000-0000-0000C2230000}"/>
    <cellStyle name="Comma 5 6 2 6 3 2" xfId="46525" xr:uid="{00000000-0005-0000-0000-0000C3230000}"/>
    <cellStyle name="Comma 5 6 2 6 4" xfId="27455" xr:uid="{00000000-0005-0000-0000-0000C4230000}"/>
    <cellStyle name="Comma 5 6 2 7" xfId="5775" xr:uid="{00000000-0005-0000-0000-0000C5230000}"/>
    <cellStyle name="Comma 5 6 2 7 2" xfId="14602" xr:uid="{00000000-0005-0000-0000-0000C6230000}"/>
    <cellStyle name="Comma 5 6 2 7 2 2" xfId="40157" xr:uid="{00000000-0005-0000-0000-0000C7230000}"/>
    <cellStyle name="Comma 5 6 2 7 3" xfId="24853" xr:uid="{00000000-0005-0000-0000-0000C8230000}"/>
    <cellStyle name="Comma 5 6 2 7 3 2" xfId="50406" xr:uid="{00000000-0005-0000-0000-0000C9230000}"/>
    <cellStyle name="Comma 5 6 2 7 4" xfId="31336" xr:uid="{00000000-0005-0000-0000-0000CA230000}"/>
    <cellStyle name="Comma 5 6 2 8" xfId="7219" xr:uid="{00000000-0005-0000-0000-0000CB230000}"/>
    <cellStyle name="Comma 5 6 2 8 2" xfId="19945" xr:uid="{00000000-0005-0000-0000-0000CC230000}"/>
    <cellStyle name="Comma 5 6 2 8 2 2" xfId="45498" xr:uid="{00000000-0005-0000-0000-0000CD230000}"/>
    <cellStyle name="Comma 5 6 2 8 3" xfId="32776" xr:uid="{00000000-0005-0000-0000-0000CE230000}"/>
    <cellStyle name="Comma 5 6 2 9" xfId="15965" xr:uid="{00000000-0005-0000-0000-0000CF230000}"/>
    <cellStyle name="Comma 5 6 2 9 2" xfId="41518" xr:uid="{00000000-0005-0000-0000-0000D0230000}"/>
    <cellStyle name="Comma 5 6 3" xfId="399" xr:uid="{00000000-0005-0000-0000-0000D1230000}"/>
    <cellStyle name="Comma 5 6 3 2" xfId="2885" xr:uid="{00000000-0005-0000-0000-0000D2230000}"/>
    <cellStyle name="Comma 5 6 3 2 2" xfId="12173" xr:uid="{00000000-0005-0000-0000-0000D3230000}"/>
    <cellStyle name="Comma 5 6 3 2 2 2" xfId="22246" xr:uid="{00000000-0005-0000-0000-0000D4230000}"/>
    <cellStyle name="Comma 5 6 3 2 2 2 2" xfId="47799" xr:uid="{00000000-0005-0000-0000-0000D5230000}"/>
    <cellStyle name="Comma 5 6 3 2 2 3" xfId="37728" xr:uid="{00000000-0005-0000-0000-0000D6230000}"/>
    <cellStyle name="Comma 5 6 3 2 3" xfId="8380" xr:uid="{00000000-0005-0000-0000-0000D7230000}"/>
    <cellStyle name="Comma 5 6 3 2 3 2" xfId="33937" xr:uid="{00000000-0005-0000-0000-0000D8230000}"/>
    <cellStyle name="Comma 5 6 3 2 4" xfId="17239" xr:uid="{00000000-0005-0000-0000-0000D9230000}"/>
    <cellStyle name="Comma 5 6 3 2 4 2" xfId="42792" xr:uid="{00000000-0005-0000-0000-0000DA230000}"/>
    <cellStyle name="Comma 5 6 3 2 5" xfId="28729" xr:uid="{00000000-0005-0000-0000-0000DB230000}"/>
    <cellStyle name="Comma 5 6 3 3" xfId="4494" xr:uid="{00000000-0005-0000-0000-0000DC230000}"/>
    <cellStyle name="Comma 5 6 3 3 2" xfId="13332" xr:uid="{00000000-0005-0000-0000-0000DD230000}"/>
    <cellStyle name="Comma 5 6 3 3 2 2" xfId="23583" xr:uid="{00000000-0005-0000-0000-0000DE230000}"/>
    <cellStyle name="Comma 5 6 3 3 2 2 2" xfId="49136" xr:uid="{00000000-0005-0000-0000-0000DF230000}"/>
    <cellStyle name="Comma 5 6 3 3 2 3" xfId="38887" xr:uid="{00000000-0005-0000-0000-0000E0230000}"/>
    <cellStyle name="Comma 5 6 3 3 3" xfId="9753" xr:uid="{00000000-0005-0000-0000-0000E1230000}"/>
    <cellStyle name="Comma 5 6 3 3 3 2" xfId="35310" xr:uid="{00000000-0005-0000-0000-0000E2230000}"/>
    <cellStyle name="Comma 5 6 3 3 4" xfId="18576" xr:uid="{00000000-0005-0000-0000-0000E3230000}"/>
    <cellStyle name="Comma 5 6 3 3 4 2" xfId="44129" xr:uid="{00000000-0005-0000-0000-0000E4230000}"/>
    <cellStyle name="Comma 5 6 3 3 5" xfId="30066" xr:uid="{00000000-0005-0000-0000-0000E5230000}"/>
    <cellStyle name="Comma 5 6 3 4" xfId="1994" xr:uid="{00000000-0005-0000-0000-0000E6230000}"/>
    <cellStyle name="Comma 5 6 3 4 2" xfId="11359" xr:uid="{00000000-0005-0000-0000-0000E7230000}"/>
    <cellStyle name="Comma 5 6 3 4 2 2" xfId="36914" xr:uid="{00000000-0005-0000-0000-0000E8230000}"/>
    <cellStyle name="Comma 5 6 3 4 3" xfId="21363" xr:uid="{00000000-0005-0000-0000-0000E9230000}"/>
    <cellStyle name="Comma 5 6 3 4 3 2" xfId="46916" xr:uid="{00000000-0005-0000-0000-0000EA230000}"/>
    <cellStyle name="Comma 5 6 3 4 4" xfId="27846" xr:uid="{00000000-0005-0000-0000-0000EB230000}"/>
    <cellStyle name="Comma 5 6 3 5" xfId="5950" xr:uid="{00000000-0005-0000-0000-0000EC230000}"/>
    <cellStyle name="Comma 5 6 3 5 2" xfId="14777" xr:uid="{00000000-0005-0000-0000-0000ED230000}"/>
    <cellStyle name="Comma 5 6 3 5 2 2" xfId="40332" xr:uid="{00000000-0005-0000-0000-0000EE230000}"/>
    <cellStyle name="Comma 5 6 3 5 3" xfId="25028" xr:uid="{00000000-0005-0000-0000-0000EF230000}"/>
    <cellStyle name="Comma 5 6 3 5 3 2" xfId="50581" xr:uid="{00000000-0005-0000-0000-0000F0230000}"/>
    <cellStyle name="Comma 5 6 3 5 4" xfId="31511" xr:uid="{00000000-0005-0000-0000-0000F1230000}"/>
    <cellStyle name="Comma 5 6 3 6" xfId="7394" xr:uid="{00000000-0005-0000-0000-0000F2230000}"/>
    <cellStyle name="Comma 5 6 3 6 2" xfId="19845" xr:uid="{00000000-0005-0000-0000-0000F3230000}"/>
    <cellStyle name="Comma 5 6 3 6 2 2" xfId="45398" xr:uid="{00000000-0005-0000-0000-0000F4230000}"/>
    <cellStyle name="Comma 5 6 3 6 3" xfId="32951" xr:uid="{00000000-0005-0000-0000-0000F5230000}"/>
    <cellStyle name="Comma 5 6 3 7" xfId="16356" xr:uid="{00000000-0005-0000-0000-0000F6230000}"/>
    <cellStyle name="Comma 5 6 3 7 2" xfId="41909" xr:uid="{00000000-0005-0000-0000-0000F7230000}"/>
    <cellStyle name="Comma 5 6 3 8" xfId="26328" xr:uid="{00000000-0005-0000-0000-0000F8230000}"/>
    <cellStyle name="Comma 5 6 4" xfId="679" xr:uid="{00000000-0005-0000-0000-0000F9230000}"/>
    <cellStyle name="Comma 5 6 4 2" xfId="3165" xr:uid="{00000000-0005-0000-0000-0000FA230000}"/>
    <cellStyle name="Comma 5 6 4 2 2" xfId="12308" xr:uid="{00000000-0005-0000-0000-0000FB230000}"/>
    <cellStyle name="Comma 5 6 4 2 2 2" xfId="22526" xr:uid="{00000000-0005-0000-0000-0000FC230000}"/>
    <cellStyle name="Comma 5 6 4 2 2 2 2" xfId="48079" xr:uid="{00000000-0005-0000-0000-0000FD230000}"/>
    <cellStyle name="Comma 5 6 4 2 2 3" xfId="37863" xr:uid="{00000000-0005-0000-0000-0000FE230000}"/>
    <cellStyle name="Comma 5 6 4 2 3" xfId="8730" xr:uid="{00000000-0005-0000-0000-0000FF230000}"/>
    <cellStyle name="Comma 5 6 4 2 3 2" xfId="34287" xr:uid="{00000000-0005-0000-0000-000000240000}"/>
    <cellStyle name="Comma 5 6 4 2 4" xfId="17519" xr:uid="{00000000-0005-0000-0000-000001240000}"/>
    <cellStyle name="Comma 5 6 4 2 4 2" xfId="43072" xr:uid="{00000000-0005-0000-0000-000002240000}"/>
    <cellStyle name="Comma 5 6 4 2 5" xfId="29009" xr:uid="{00000000-0005-0000-0000-000003240000}"/>
    <cellStyle name="Comma 5 6 4 3" xfId="4843" xr:uid="{00000000-0005-0000-0000-000004240000}"/>
    <cellStyle name="Comma 5 6 4 3 2" xfId="13680" xr:uid="{00000000-0005-0000-0000-000005240000}"/>
    <cellStyle name="Comma 5 6 4 3 2 2" xfId="23931" xr:uid="{00000000-0005-0000-0000-000006240000}"/>
    <cellStyle name="Comma 5 6 4 3 2 2 2" xfId="49484" xr:uid="{00000000-0005-0000-0000-000007240000}"/>
    <cellStyle name="Comma 5 6 4 3 2 3" xfId="39235" xr:uid="{00000000-0005-0000-0000-000008240000}"/>
    <cellStyle name="Comma 5 6 4 3 3" xfId="10101" xr:uid="{00000000-0005-0000-0000-000009240000}"/>
    <cellStyle name="Comma 5 6 4 3 3 2" xfId="35658" xr:uid="{00000000-0005-0000-0000-00000A240000}"/>
    <cellStyle name="Comma 5 6 4 3 4" xfId="18924" xr:uid="{00000000-0005-0000-0000-00000B240000}"/>
    <cellStyle name="Comma 5 6 4 3 4 2" xfId="44477" xr:uid="{00000000-0005-0000-0000-00000C240000}"/>
    <cellStyle name="Comma 5 6 4 3 5" xfId="30414" xr:uid="{00000000-0005-0000-0000-00000D240000}"/>
    <cellStyle name="Comma 5 6 4 4" xfId="2274" xr:uid="{00000000-0005-0000-0000-00000E240000}"/>
    <cellStyle name="Comma 5 6 4 4 2" xfId="11639" xr:uid="{00000000-0005-0000-0000-00000F240000}"/>
    <cellStyle name="Comma 5 6 4 4 2 2" xfId="37194" xr:uid="{00000000-0005-0000-0000-000010240000}"/>
    <cellStyle name="Comma 5 6 4 4 3" xfId="21643" xr:uid="{00000000-0005-0000-0000-000011240000}"/>
    <cellStyle name="Comma 5 6 4 4 3 2" xfId="47196" xr:uid="{00000000-0005-0000-0000-000012240000}"/>
    <cellStyle name="Comma 5 6 4 4 4" xfId="28126" xr:uid="{00000000-0005-0000-0000-000013240000}"/>
    <cellStyle name="Comma 5 6 4 5" xfId="6298" xr:uid="{00000000-0005-0000-0000-000014240000}"/>
    <cellStyle name="Comma 5 6 4 5 2" xfId="15125" xr:uid="{00000000-0005-0000-0000-000015240000}"/>
    <cellStyle name="Comma 5 6 4 5 2 2" xfId="40680" xr:uid="{00000000-0005-0000-0000-000016240000}"/>
    <cellStyle name="Comma 5 6 4 5 3" xfId="25376" xr:uid="{00000000-0005-0000-0000-000017240000}"/>
    <cellStyle name="Comma 5 6 4 5 3 2" xfId="50929" xr:uid="{00000000-0005-0000-0000-000018240000}"/>
    <cellStyle name="Comma 5 6 4 5 4" xfId="31859" xr:uid="{00000000-0005-0000-0000-000019240000}"/>
    <cellStyle name="Comma 5 6 4 6" xfId="7744" xr:uid="{00000000-0005-0000-0000-00001A240000}"/>
    <cellStyle name="Comma 5 6 4 6 2" xfId="20125" xr:uid="{00000000-0005-0000-0000-00001B240000}"/>
    <cellStyle name="Comma 5 6 4 6 2 2" xfId="45678" xr:uid="{00000000-0005-0000-0000-00001C240000}"/>
    <cellStyle name="Comma 5 6 4 6 3" xfId="33301" xr:uid="{00000000-0005-0000-0000-00001D240000}"/>
    <cellStyle name="Comma 5 6 4 7" xfId="16636" xr:uid="{00000000-0005-0000-0000-00001E240000}"/>
    <cellStyle name="Comma 5 6 4 7 2" xfId="42189" xr:uid="{00000000-0005-0000-0000-00001F240000}"/>
    <cellStyle name="Comma 5 6 4 8" xfId="26608" xr:uid="{00000000-0005-0000-0000-000020240000}"/>
    <cellStyle name="Comma 5 6 5" xfId="1171" xr:uid="{00000000-0005-0000-0000-000021240000}"/>
    <cellStyle name="Comma 5 6 5 2" xfId="3600" xr:uid="{00000000-0005-0000-0000-000022240000}"/>
    <cellStyle name="Comma 5 6 5 2 2" xfId="12736" xr:uid="{00000000-0005-0000-0000-000023240000}"/>
    <cellStyle name="Comma 5 6 5 2 2 2" xfId="22955" xr:uid="{00000000-0005-0000-0000-000024240000}"/>
    <cellStyle name="Comma 5 6 5 2 2 2 2" xfId="48508" xr:uid="{00000000-0005-0000-0000-000025240000}"/>
    <cellStyle name="Comma 5 6 5 2 2 3" xfId="38291" xr:uid="{00000000-0005-0000-0000-000026240000}"/>
    <cellStyle name="Comma 5 6 5 2 3" xfId="9157" xr:uid="{00000000-0005-0000-0000-000027240000}"/>
    <cellStyle name="Comma 5 6 5 2 3 2" xfId="34714" xr:uid="{00000000-0005-0000-0000-000028240000}"/>
    <cellStyle name="Comma 5 6 5 2 4" xfId="17948" xr:uid="{00000000-0005-0000-0000-000029240000}"/>
    <cellStyle name="Comma 5 6 5 2 4 2" xfId="43501" xr:uid="{00000000-0005-0000-0000-00002A240000}"/>
    <cellStyle name="Comma 5 6 5 2 5" xfId="29438" xr:uid="{00000000-0005-0000-0000-00002B240000}"/>
    <cellStyle name="Comma 5 6 5 3" xfId="5263" xr:uid="{00000000-0005-0000-0000-00002C240000}"/>
    <cellStyle name="Comma 5 6 5 3 2" xfId="14100" xr:uid="{00000000-0005-0000-0000-00002D240000}"/>
    <cellStyle name="Comma 5 6 5 3 2 2" xfId="24351" xr:uid="{00000000-0005-0000-0000-00002E240000}"/>
    <cellStyle name="Comma 5 6 5 3 2 2 2" xfId="49904" xr:uid="{00000000-0005-0000-0000-00002F240000}"/>
    <cellStyle name="Comma 5 6 5 3 2 3" xfId="39655" xr:uid="{00000000-0005-0000-0000-000030240000}"/>
    <cellStyle name="Comma 5 6 5 3 3" xfId="10521" xr:uid="{00000000-0005-0000-0000-000031240000}"/>
    <cellStyle name="Comma 5 6 5 3 3 2" xfId="36078" xr:uid="{00000000-0005-0000-0000-000032240000}"/>
    <cellStyle name="Comma 5 6 5 3 4" xfId="19344" xr:uid="{00000000-0005-0000-0000-000033240000}"/>
    <cellStyle name="Comma 5 6 5 3 4 2" xfId="44897" xr:uid="{00000000-0005-0000-0000-000034240000}"/>
    <cellStyle name="Comma 5 6 5 3 5" xfId="30834" xr:uid="{00000000-0005-0000-0000-000035240000}"/>
    <cellStyle name="Comma 5 6 5 4" xfId="1773" xr:uid="{00000000-0005-0000-0000-000036240000}"/>
    <cellStyle name="Comma 5 6 5 4 2" xfId="11142" xr:uid="{00000000-0005-0000-0000-000037240000}"/>
    <cellStyle name="Comma 5 6 5 4 2 2" xfId="36697" xr:uid="{00000000-0005-0000-0000-000038240000}"/>
    <cellStyle name="Comma 5 6 5 4 3" xfId="21146" xr:uid="{00000000-0005-0000-0000-000039240000}"/>
    <cellStyle name="Comma 5 6 5 4 3 2" xfId="46699" xr:uid="{00000000-0005-0000-0000-00003A240000}"/>
    <cellStyle name="Comma 5 6 5 4 4" xfId="27629" xr:uid="{00000000-0005-0000-0000-00003B240000}"/>
    <cellStyle name="Comma 5 6 5 5" xfId="6718" xr:uid="{00000000-0005-0000-0000-00003C240000}"/>
    <cellStyle name="Comma 5 6 5 5 2" xfId="15545" xr:uid="{00000000-0005-0000-0000-00003D240000}"/>
    <cellStyle name="Comma 5 6 5 5 2 2" xfId="41100" xr:uid="{00000000-0005-0000-0000-00003E240000}"/>
    <cellStyle name="Comma 5 6 5 5 3" xfId="25796" xr:uid="{00000000-0005-0000-0000-00003F240000}"/>
    <cellStyle name="Comma 5 6 5 5 3 2" xfId="51349" xr:uid="{00000000-0005-0000-0000-000040240000}"/>
    <cellStyle name="Comma 5 6 5 5 4" xfId="32279" xr:uid="{00000000-0005-0000-0000-000041240000}"/>
    <cellStyle name="Comma 5 6 5 6" xfId="8164" xr:uid="{00000000-0005-0000-0000-000042240000}"/>
    <cellStyle name="Comma 5 6 5 6 2" xfId="20554" xr:uid="{00000000-0005-0000-0000-000043240000}"/>
    <cellStyle name="Comma 5 6 5 6 2 2" xfId="46107" xr:uid="{00000000-0005-0000-0000-000044240000}"/>
    <cellStyle name="Comma 5 6 5 6 3" xfId="33721" xr:uid="{00000000-0005-0000-0000-000045240000}"/>
    <cellStyle name="Comma 5 6 5 7" xfId="16139" xr:uid="{00000000-0005-0000-0000-000046240000}"/>
    <cellStyle name="Comma 5 6 5 7 2" xfId="41692" xr:uid="{00000000-0005-0000-0000-000047240000}"/>
    <cellStyle name="Comma 5 6 5 8" xfId="27037" xr:uid="{00000000-0005-0000-0000-000048240000}"/>
    <cellStyle name="Comma 5 6 6" xfId="2668" xr:uid="{00000000-0005-0000-0000-000049240000}"/>
    <cellStyle name="Comma 5 6 6 2" xfId="11985" xr:uid="{00000000-0005-0000-0000-00004A240000}"/>
    <cellStyle name="Comma 5 6 6 2 2" xfId="22029" xr:uid="{00000000-0005-0000-0000-00004B240000}"/>
    <cellStyle name="Comma 5 6 6 2 2 2" xfId="47582" xr:uid="{00000000-0005-0000-0000-00004C240000}"/>
    <cellStyle name="Comma 5 6 6 2 3" xfId="37540" xr:uid="{00000000-0005-0000-0000-00004D240000}"/>
    <cellStyle name="Comma 5 6 6 3" xfId="8559" xr:uid="{00000000-0005-0000-0000-00004E240000}"/>
    <cellStyle name="Comma 5 6 6 3 2" xfId="34116" xr:uid="{00000000-0005-0000-0000-00004F240000}"/>
    <cellStyle name="Comma 5 6 6 4" xfId="17022" xr:uid="{00000000-0005-0000-0000-000050240000}"/>
    <cellStyle name="Comma 5 6 6 4 2" xfId="42575" xr:uid="{00000000-0005-0000-0000-000051240000}"/>
    <cellStyle name="Comma 5 6 6 5" xfId="28512" xr:uid="{00000000-0005-0000-0000-000052240000}"/>
    <cellStyle name="Comma 5 6 7" xfId="4219" xr:uid="{00000000-0005-0000-0000-000053240000}"/>
    <cellStyle name="Comma 5 6 7 2" xfId="13057" xr:uid="{00000000-0005-0000-0000-000054240000}"/>
    <cellStyle name="Comma 5 6 7 2 2" xfId="23308" xr:uid="{00000000-0005-0000-0000-000055240000}"/>
    <cellStyle name="Comma 5 6 7 2 2 2" xfId="48861" xr:uid="{00000000-0005-0000-0000-000056240000}"/>
    <cellStyle name="Comma 5 6 7 2 3" xfId="38612" xr:uid="{00000000-0005-0000-0000-000057240000}"/>
    <cellStyle name="Comma 5 6 7 3" xfId="9478" xr:uid="{00000000-0005-0000-0000-000058240000}"/>
    <cellStyle name="Comma 5 6 7 3 2" xfId="35035" xr:uid="{00000000-0005-0000-0000-000059240000}"/>
    <cellStyle name="Comma 5 6 7 4" xfId="18301" xr:uid="{00000000-0005-0000-0000-00005A240000}"/>
    <cellStyle name="Comma 5 6 7 4 2" xfId="43854" xr:uid="{00000000-0005-0000-0000-00005B240000}"/>
    <cellStyle name="Comma 5 6 7 5" xfId="29791" xr:uid="{00000000-0005-0000-0000-00005C240000}"/>
    <cellStyle name="Comma 5 6 8" xfId="1491" xr:uid="{00000000-0005-0000-0000-00005D240000}"/>
    <cellStyle name="Comma 5 6 8 2" xfId="10868" xr:uid="{00000000-0005-0000-0000-00005E240000}"/>
    <cellStyle name="Comma 5 6 8 2 2" xfId="36423" xr:uid="{00000000-0005-0000-0000-00005F240000}"/>
    <cellStyle name="Comma 5 6 8 3" xfId="20872" xr:uid="{00000000-0005-0000-0000-000060240000}"/>
    <cellStyle name="Comma 5 6 8 3 2" xfId="46425" xr:uid="{00000000-0005-0000-0000-000061240000}"/>
    <cellStyle name="Comma 5 6 8 4" xfId="27355" xr:uid="{00000000-0005-0000-0000-000062240000}"/>
    <cellStyle name="Comma 5 6 9" xfId="5675" xr:uid="{00000000-0005-0000-0000-000063240000}"/>
    <cellStyle name="Comma 5 6 9 2" xfId="14502" xr:uid="{00000000-0005-0000-0000-000064240000}"/>
    <cellStyle name="Comma 5 6 9 2 2" xfId="40057" xr:uid="{00000000-0005-0000-0000-000065240000}"/>
    <cellStyle name="Comma 5 6 9 3" xfId="24753" xr:uid="{00000000-0005-0000-0000-000066240000}"/>
    <cellStyle name="Comma 5 6 9 3 2" xfId="50306" xr:uid="{00000000-0005-0000-0000-000067240000}"/>
    <cellStyle name="Comma 5 6 9 4" xfId="31236" xr:uid="{00000000-0005-0000-0000-000068240000}"/>
    <cellStyle name="Comma 5 7" xfId="224" xr:uid="{00000000-0005-0000-0000-000069240000}"/>
    <cellStyle name="Comma 5 7 10" xfId="7062" xr:uid="{00000000-0005-0000-0000-00006A240000}"/>
    <cellStyle name="Comma 5 7 10 2" xfId="19676" xr:uid="{00000000-0005-0000-0000-00006B240000}"/>
    <cellStyle name="Comma 5 7 10 2 2" xfId="45229" xr:uid="{00000000-0005-0000-0000-00006C240000}"/>
    <cellStyle name="Comma 5 7 10 3" xfId="32619" xr:uid="{00000000-0005-0000-0000-00006D240000}"/>
    <cellStyle name="Comma 5 7 11" xfId="15808" xr:uid="{00000000-0005-0000-0000-00006E240000}"/>
    <cellStyle name="Comma 5 7 11 2" xfId="41361" xr:uid="{00000000-0005-0000-0000-00006F240000}"/>
    <cellStyle name="Comma 5 7 12" xfId="26159" xr:uid="{00000000-0005-0000-0000-000070240000}"/>
    <cellStyle name="Comma 5 7 2" xfId="547" xr:uid="{00000000-0005-0000-0000-000071240000}"/>
    <cellStyle name="Comma 5 7 2 10" xfId="26476" xr:uid="{00000000-0005-0000-0000-000072240000}"/>
    <cellStyle name="Comma 5 7 2 2" xfId="682" xr:uid="{00000000-0005-0000-0000-000073240000}"/>
    <cellStyle name="Comma 5 7 2 2 2" xfId="3168" xr:uid="{00000000-0005-0000-0000-000074240000}"/>
    <cellStyle name="Comma 5 7 2 2 2 2" xfId="12311" xr:uid="{00000000-0005-0000-0000-000075240000}"/>
    <cellStyle name="Comma 5 7 2 2 2 2 2" xfId="22529" xr:uid="{00000000-0005-0000-0000-000076240000}"/>
    <cellStyle name="Comma 5 7 2 2 2 2 2 2" xfId="48082" xr:uid="{00000000-0005-0000-0000-000077240000}"/>
    <cellStyle name="Comma 5 7 2 2 2 2 3" xfId="37866" xr:uid="{00000000-0005-0000-0000-000078240000}"/>
    <cellStyle name="Comma 5 7 2 2 2 3" xfId="8733" xr:uid="{00000000-0005-0000-0000-000079240000}"/>
    <cellStyle name="Comma 5 7 2 2 2 3 2" xfId="34290" xr:uid="{00000000-0005-0000-0000-00007A240000}"/>
    <cellStyle name="Comma 5 7 2 2 2 4" xfId="17522" xr:uid="{00000000-0005-0000-0000-00007B240000}"/>
    <cellStyle name="Comma 5 7 2 2 2 4 2" xfId="43075" xr:uid="{00000000-0005-0000-0000-00007C240000}"/>
    <cellStyle name="Comma 5 7 2 2 2 5" xfId="29012" xr:uid="{00000000-0005-0000-0000-00007D240000}"/>
    <cellStyle name="Comma 5 7 2 2 3" xfId="4497" xr:uid="{00000000-0005-0000-0000-00007E240000}"/>
    <cellStyle name="Comma 5 7 2 2 3 2" xfId="13335" xr:uid="{00000000-0005-0000-0000-00007F240000}"/>
    <cellStyle name="Comma 5 7 2 2 3 2 2" xfId="23586" xr:uid="{00000000-0005-0000-0000-000080240000}"/>
    <cellStyle name="Comma 5 7 2 2 3 2 2 2" xfId="49139" xr:uid="{00000000-0005-0000-0000-000081240000}"/>
    <cellStyle name="Comma 5 7 2 2 3 2 3" xfId="38890" xr:uid="{00000000-0005-0000-0000-000082240000}"/>
    <cellStyle name="Comma 5 7 2 2 3 3" xfId="9756" xr:uid="{00000000-0005-0000-0000-000083240000}"/>
    <cellStyle name="Comma 5 7 2 2 3 3 2" xfId="35313" xr:uid="{00000000-0005-0000-0000-000084240000}"/>
    <cellStyle name="Comma 5 7 2 2 3 4" xfId="18579" xr:uid="{00000000-0005-0000-0000-000085240000}"/>
    <cellStyle name="Comma 5 7 2 2 3 4 2" xfId="44132" xr:uid="{00000000-0005-0000-0000-000086240000}"/>
    <cellStyle name="Comma 5 7 2 2 3 5" xfId="30069" xr:uid="{00000000-0005-0000-0000-000087240000}"/>
    <cellStyle name="Comma 5 7 2 2 4" xfId="2277" xr:uid="{00000000-0005-0000-0000-000088240000}"/>
    <cellStyle name="Comma 5 7 2 2 4 2" xfId="11642" xr:uid="{00000000-0005-0000-0000-000089240000}"/>
    <cellStyle name="Comma 5 7 2 2 4 2 2" xfId="37197" xr:uid="{00000000-0005-0000-0000-00008A240000}"/>
    <cellStyle name="Comma 5 7 2 2 4 3" xfId="21646" xr:uid="{00000000-0005-0000-0000-00008B240000}"/>
    <cellStyle name="Comma 5 7 2 2 4 3 2" xfId="47199" xr:uid="{00000000-0005-0000-0000-00008C240000}"/>
    <cellStyle name="Comma 5 7 2 2 4 4" xfId="28129" xr:uid="{00000000-0005-0000-0000-00008D240000}"/>
    <cellStyle name="Comma 5 7 2 2 5" xfId="5953" xr:uid="{00000000-0005-0000-0000-00008E240000}"/>
    <cellStyle name="Comma 5 7 2 2 5 2" xfId="14780" xr:uid="{00000000-0005-0000-0000-00008F240000}"/>
    <cellStyle name="Comma 5 7 2 2 5 2 2" xfId="40335" xr:uid="{00000000-0005-0000-0000-000090240000}"/>
    <cellStyle name="Comma 5 7 2 2 5 3" xfId="25031" xr:uid="{00000000-0005-0000-0000-000091240000}"/>
    <cellStyle name="Comma 5 7 2 2 5 3 2" xfId="50584" xr:uid="{00000000-0005-0000-0000-000092240000}"/>
    <cellStyle name="Comma 5 7 2 2 5 4" xfId="31514" xr:uid="{00000000-0005-0000-0000-000093240000}"/>
    <cellStyle name="Comma 5 7 2 2 6" xfId="7397" xr:uid="{00000000-0005-0000-0000-000094240000}"/>
    <cellStyle name="Comma 5 7 2 2 6 2" xfId="20128" xr:uid="{00000000-0005-0000-0000-000095240000}"/>
    <cellStyle name="Comma 5 7 2 2 6 2 2" xfId="45681" xr:uid="{00000000-0005-0000-0000-000096240000}"/>
    <cellStyle name="Comma 5 7 2 2 6 3" xfId="32954" xr:uid="{00000000-0005-0000-0000-000097240000}"/>
    <cellStyle name="Comma 5 7 2 2 7" xfId="16639" xr:uid="{00000000-0005-0000-0000-000098240000}"/>
    <cellStyle name="Comma 5 7 2 2 7 2" xfId="42192" xr:uid="{00000000-0005-0000-0000-000099240000}"/>
    <cellStyle name="Comma 5 7 2 2 8" xfId="26611" xr:uid="{00000000-0005-0000-0000-00009A240000}"/>
    <cellStyle name="Comma 5 7 2 3" xfId="1319" xr:uid="{00000000-0005-0000-0000-00009B240000}"/>
    <cellStyle name="Comma 5 7 2 3 2" xfId="3748" xr:uid="{00000000-0005-0000-0000-00009C240000}"/>
    <cellStyle name="Comma 5 7 2 3 2 2" xfId="12884" xr:uid="{00000000-0005-0000-0000-00009D240000}"/>
    <cellStyle name="Comma 5 7 2 3 2 2 2" xfId="23103" xr:uid="{00000000-0005-0000-0000-00009E240000}"/>
    <cellStyle name="Comma 5 7 2 3 2 2 2 2" xfId="48656" xr:uid="{00000000-0005-0000-0000-00009F240000}"/>
    <cellStyle name="Comma 5 7 2 3 2 2 3" xfId="38439" xr:uid="{00000000-0005-0000-0000-0000A0240000}"/>
    <cellStyle name="Comma 5 7 2 3 2 3" xfId="9305" xr:uid="{00000000-0005-0000-0000-0000A1240000}"/>
    <cellStyle name="Comma 5 7 2 3 2 3 2" xfId="34862" xr:uid="{00000000-0005-0000-0000-0000A2240000}"/>
    <cellStyle name="Comma 5 7 2 3 2 4" xfId="18096" xr:uid="{00000000-0005-0000-0000-0000A3240000}"/>
    <cellStyle name="Comma 5 7 2 3 2 4 2" xfId="43649" xr:uid="{00000000-0005-0000-0000-0000A4240000}"/>
    <cellStyle name="Comma 5 7 2 3 2 5" xfId="29586" xr:uid="{00000000-0005-0000-0000-0000A5240000}"/>
    <cellStyle name="Comma 5 7 2 3 3" xfId="4846" xr:uid="{00000000-0005-0000-0000-0000A6240000}"/>
    <cellStyle name="Comma 5 7 2 3 3 2" xfId="13683" xr:uid="{00000000-0005-0000-0000-0000A7240000}"/>
    <cellStyle name="Comma 5 7 2 3 3 2 2" xfId="23934" xr:uid="{00000000-0005-0000-0000-0000A8240000}"/>
    <cellStyle name="Comma 5 7 2 3 3 2 2 2" xfId="49487" xr:uid="{00000000-0005-0000-0000-0000A9240000}"/>
    <cellStyle name="Comma 5 7 2 3 3 2 3" xfId="39238" xr:uid="{00000000-0005-0000-0000-0000AA240000}"/>
    <cellStyle name="Comma 5 7 2 3 3 3" xfId="10104" xr:uid="{00000000-0005-0000-0000-0000AB240000}"/>
    <cellStyle name="Comma 5 7 2 3 3 3 2" xfId="35661" xr:uid="{00000000-0005-0000-0000-0000AC240000}"/>
    <cellStyle name="Comma 5 7 2 3 3 4" xfId="18927" xr:uid="{00000000-0005-0000-0000-0000AD240000}"/>
    <cellStyle name="Comma 5 7 2 3 3 4 2" xfId="44480" xr:uid="{00000000-0005-0000-0000-0000AE240000}"/>
    <cellStyle name="Comma 5 7 2 3 3 5" xfId="30417" xr:uid="{00000000-0005-0000-0000-0000AF240000}"/>
    <cellStyle name="Comma 5 7 2 3 4" xfId="2142" xr:uid="{00000000-0005-0000-0000-0000B0240000}"/>
    <cellStyle name="Comma 5 7 2 3 4 2" xfId="11507" xr:uid="{00000000-0005-0000-0000-0000B1240000}"/>
    <cellStyle name="Comma 5 7 2 3 4 2 2" xfId="37062" xr:uid="{00000000-0005-0000-0000-0000B2240000}"/>
    <cellStyle name="Comma 5 7 2 3 4 3" xfId="21511" xr:uid="{00000000-0005-0000-0000-0000B3240000}"/>
    <cellStyle name="Comma 5 7 2 3 4 3 2" xfId="47064" xr:uid="{00000000-0005-0000-0000-0000B4240000}"/>
    <cellStyle name="Comma 5 7 2 3 4 4" xfId="27994" xr:uid="{00000000-0005-0000-0000-0000B5240000}"/>
    <cellStyle name="Comma 5 7 2 3 5" xfId="6301" xr:uid="{00000000-0005-0000-0000-0000B6240000}"/>
    <cellStyle name="Comma 5 7 2 3 5 2" xfId="15128" xr:uid="{00000000-0005-0000-0000-0000B7240000}"/>
    <cellStyle name="Comma 5 7 2 3 5 2 2" xfId="40683" xr:uid="{00000000-0005-0000-0000-0000B8240000}"/>
    <cellStyle name="Comma 5 7 2 3 5 3" xfId="25379" xr:uid="{00000000-0005-0000-0000-0000B9240000}"/>
    <cellStyle name="Comma 5 7 2 3 5 3 2" xfId="50932" xr:uid="{00000000-0005-0000-0000-0000BA240000}"/>
    <cellStyle name="Comma 5 7 2 3 5 4" xfId="31862" xr:uid="{00000000-0005-0000-0000-0000BB240000}"/>
    <cellStyle name="Comma 5 7 2 3 6" xfId="7747" xr:uid="{00000000-0005-0000-0000-0000BC240000}"/>
    <cellStyle name="Comma 5 7 2 3 6 2" xfId="20702" xr:uid="{00000000-0005-0000-0000-0000BD240000}"/>
    <cellStyle name="Comma 5 7 2 3 6 2 2" xfId="46255" xr:uid="{00000000-0005-0000-0000-0000BE240000}"/>
    <cellStyle name="Comma 5 7 2 3 6 3" xfId="33304" xr:uid="{00000000-0005-0000-0000-0000BF240000}"/>
    <cellStyle name="Comma 5 7 2 3 7" xfId="16504" xr:uid="{00000000-0005-0000-0000-0000C0240000}"/>
    <cellStyle name="Comma 5 7 2 3 7 2" xfId="42057" xr:uid="{00000000-0005-0000-0000-0000C1240000}"/>
    <cellStyle name="Comma 5 7 2 3 8" xfId="27185" xr:uid="{00000000-0005-0000-0000-0000C2240000}"/>
    <cellStyle name="Comma 5 7 2 4" xfId="3033" xr:uid="{00000000-0005-0000-0000-0000C3240000}"/>
    <cellStyle name="Comma 5 7 2 4 2" xfId="5411" xr:uid="{00000000-0005-0000-0000-0000C4240000}"/>
    <cellStyle name="Comma 5 7 2 4 2 2" xfId="14248" xr:uid="{00000000-0005-0000-0000-0000C5240000}"/>
    <cellStyle name="Comma 5 7 2 4 2 2 2" xfId="24499" xr:uid="{00000000-0005-0000-0000-0000C6240000}"/>
    <cellStyle name="Comma 5 7 2 4 2 2 2 2" xfId="50052" xr:uid="{00000000-0005-0000-0000-0000C7240000}"/>
    <cellStyle name="Comma 5 7 2 4 2 2 3" xfId="39803" xr:uid="{00000000-0005-0000-0000-0000C8240000}"/>
    <cellStyle name="Comma 5 7 2 4 2 3" xfId="10669" xr:uid="{00000000-0005-0000-0000-0000C9240000}"/>
    <cellStyle name="Comma 5 7 2 4 2 3 2" xfId="36226" xr:uid="{00000000-0005-0000-0000-0000CA240000}"/>
    <cellStyle name="Comma 5 7 2 4 2 4" xfId="19492" xr:uid="{00000000-0005-0000-0000-0000CB240000}"/>
    <cellStyle name="Comma 5 7 2 4 2 4 2" xfId="45045" xr:uid="{00000000-0005-0000-0000-0000CC240000}"/>
    <cellStyle name="Comma 5 7 2 4 2 5" xfId="30982" xr:uid="{00000000-0005-0000-0000-0000CD240000}"/>
    <cellStyle name="Comma 5 7 2 4 3" xfId="6866" xr:uid="{00000000-0005-0000-0000-0000CE240000}"/>
    <cellStyle name="Comma 5 7 2 4 3 2" xfId="15693" xr:uid="{00000000-0005-0000-0000-0000CF240000}"/>
    <cellStyle name="Comma 5 7 2 4 3 2 2" xfId="41248" xr:uid="{00000000-0005-0000-0000-0000D0240000}"/>
    <cellStyle name="Comma 5 7 2 4 3 3" xfId="25944" xr:uid="{00000000-0005-0000-0000-0000D1240000}"/>
    <cellStyle name="Comma 5 7 2 4 3 3 2" xfId="51497" xr:uid="{00000000-0005-0000-0000-0000D2240000}"/>
    <cellStyle name="Comma 5 7 2 4 3 4" xfId="32427" xr:uid="{00000000-0005-0000-0000-0000D3240000}"/>
    <cellStyle name="Comma 5 7 2 4 4" xfId="8312" xr:uid="{00000000-0005-0000-0000-0000D4240000}"/>
    <cellStyle name="Comma 5 7 2 4 4 2" xfId="22394" xr:uid="{00000000-0005-0000-0000-0000D5240000}"/>
    <cellStyle name="Comma 5 7 2 4 4 2 2" xfId="47947" xr:uid="{00000000-0005-0000-0000-0000D6240000}"/>
    <cellStyle name="Comma 5 7 2 4 4 3" xfId="33869" xr:uid="{00000000-0005-0000-0000-0000D7240000}"/>
    <cellStyle name="Comma 5 7 2 4 5" xfId="17387" xr:uid="{00000000-0005-0000-0000-0000D8240000}"/>
    <cellStyle name="Comma 5 7 2 4 5 2" xfId="42940" xr:uid="{00000000-0005-0000-0000-0000D9240000}"/>
    <cellStyle name="Comma 5 7 2 4 6" xfId="28877" xr:uid="{00000000-0005-0000-0000-0000DA240000}"/>
    <cellStyle name="Comma 5 7 2 5" xfId="4367" xr:uid="{00000000-0005-0000-0000-0000DB240000}"/>
    <cellStyle name="Comma 5 7 2 5 2" xfId="13205" xr:uid="{00000000-0005-0000-0000-0000DC240000}"/>
    <cellStyle name="Comma 5 7 2 5 2 2" xfId="23456" xr:uid="{00000000-0005-0000-0000-0000DD240000}"/>
    <cellStyle name="Comma 5 7 2 5 2 2 2" xfId="49009" xr:uid="{00000000-0005-0000-0000-0000DE240000}"/>
    <cellStyle name="Comma 5 7 2 5 2 3" xfId="38760" xr:uid="{00000000-0005-0000-0000-0000DF240000}"/>
    <cellStyle name="Comma 5 7 2 5 3" xfId="9626" xr:uid="{00000000-0005-0000-0000-0000E0240000}"/>
    <cellStyle name="Comma 5 7 2 5 3 2" xfId="35183" xr:uid="{00000000-0005-0000-0000-0000E1240000}"/>
    <cellStyle name="Comma 5 7 2 5 4" xfId="18449" xr:uid="{00000000-0005-0000-0000-0000E2240000}"/>
    <cellStyle name="Comma 5 7 2 5 4 2" xfId="44002" xr:uid="{00000000-0005-0000-0000-0000E3240000}"/>
    <cellStyle name="Comma 5 7 2 5 5" xfId="29939" xr:uid="{00000000-0005-0000-0000-0000E4240000}"/>
    <cellStyle name="Comma 5 7 2 6" xfId="1639" xr:uid="{00000000-0005-0000-0000-0000E5240000}"/>
    <cellStyle name="Comma 5 7 2 6 2" xfId="11016" xr:uid="{00000000-0005-0000-0000-0000E6240000}"/>
    <cellStyle name="Comma 5 7 2 6 2 2" xfId="36571" xr:uid="{00000000-0005-0000-0000-0000E7240000}"/>
    <cellStyle name="Comma 5 7 2 6 3" xfId="21020" xr:uid="{00000000-0005-0000-0000-0000E8240000}"/>
    <cellStyle name="Comma 5 7 2 6 3 2" xfId="46573" xr:uid="{00000000-0005-0000-0000-0000E9240000}"/>
    <cellStyle name="Comma 5 7 2 6 4" xfId="27503" xr:uid="{00000000-0005-0000-0000-0000EA240000}"/>
    <cellStyle name="Comma 5 7 2 7" xfId="5823" xr:uid="{00000000-0005-0000-0000-0000EB240000}"/>
    <cellStyle name="Comma 5 7 2 7 2" xfId="14650" xr:uid="{00000000-0005-0000-0000-0000EC240000}"/>
    <cellStyle name="Comma 5 7 2 7 2 2" xfId="40205" xr:uid="{00000000-0005-0000-0000-0000ED240000}"/>
    <cellStyle name="Comma 5 7 2 7 3" xfId="24901" xr:uid="{00000000-0005-0000-0000-0000EE240000}"/>
    <cellStyle name="Comma 5 7 2 7 3 2" xfId="50454" xr:uid="{00000000-0005-0000-0000-0000EF240000}"/>
    <cellStyle name="Comma 5 7 2 7 4" xfId="31384" xr:uid="{00000000-0005-0000-0000-0000F0240000}"/>
    <cellStyle name="Comma 5 7 2 8" xfId="7267" xr:uid="{00000000-0005-0000-0000-0000F1240000}"/>
    <cellStyle name="Comma 5 7 2 8 2" xfId="19993" xr:uid="{00000000-0005-0000-0000-0000F2240000}"/>
    <cellStyle name="Comma 5 7 2 8 2 2" xfId="45546" xr:uid="{00000000-0005-0000-0000-0000F3240000}"/>
    <cellStyle name="Comma 5 7 2 8 3" xfId="32824" xr:uid="{00000000-0005-0000-0000-0000F4240000}"/>
    <cellStyle name="Comma 5 7 2 9" xfId="16013" xr:uid="{00000000-0005-0000-0000-0000F5240000}"/>
    <cellStyle name="Comma 5 7 2 9 2" xfId="41566" xr:uid="{00000000-0005-0000-0000-0000F6240000}"/>
    <cellStyle name="Comma 5 7 3" xfId="342" xr:uid="{00000000-0005-0000-0000-0000F7240000}"/>
    <cellStyle name="Comma 5 7 3 2" xfId="2828" xr:uid="{00000000-0005-0000-0000-0000F8240000}"/>
    <cellStyle name="Comma 5 7 3 2 2" xfId="12116" xr:uid="{00000000-0005-0000-0000-0000F9240000}"/>
    <cellStyle name="Comma 5 7 3 2 2 2" xfId="22189" xr:uid="{00000000-0005-0000-0000-0000FA240000}"/>
    <cellStyle name="Comma 5 7 3 2 2 2 2" xfId="47742" xr:uid="{00000000-0005-0000-0000-0000FB240000}"/>
    <cellStyle name="Comma 5 7 3 2 2 3" xfId="37671" xr:uid="{00000000-0005-0000-0000-0000FC240000}"/>
    <cellStyle name="Comma 5 7 3 2 3" xfId="8529" xr:uid="{00000000-0005-0000-0000-0000FD240000}"/>
    <cellStyle name="Comma 5 7 3 2 3 2" xfId="34086" xr:uid="{00000000-0005-0000-0000-0000FE240000}"/>
    <cellStyle name="Comma 5 7 3 2 4" xfId="17182" xr:uid="{00000000-0005-0000-0000-0000FF240000}"/>
    <cellStyle name="Comma 5 7 3 2 4 2" xfId="42735" xr:uid="{00000000-0005-0000-0000-000000250000}"/>
    <cellStyle name="Comma 5 7 3 2 5" xfId="28672" xr:uid="{00000000-0005-0000-0000-000001250000}"/>
    <cellStyle name="Comma 5 7 3 3" xfId="4496" xr:uid="{00000000-0005-0000-0000-000002250000}"/>
    <cellStyle name="Comma 5 7 3 3 2" xfId="13334" xr:uid="{00000000-0005-0000-0000-000003250000}"/>
    <cellStyle name="Comma 5 7 3 3 2 2" xfId="23585" xr:uid="{00000000-0005-0000-0000-000004250000}"/>
    <cellStyle name="Comma 5 7 3 3 2 2 2" xfId="49138" xr:uid="{00000000-0005-0000-0000-000005250000}"/>
    <cellStyle name="Comma 5 7 3 3 2 3" xfId="38889" xr:uid="{00000000-0005-0000-0000-000006250000}"/>
    <cellStyle name="Comma 5 7 3 3 3" xfId="9755" xr:uid="{00000000-0005-0000-0000-000007250000}"/>
    <cellStyle name="Comma 5 7 3 3 3 2" xfId="35312" xr:uid="{00000000-0005-0000-0000-000008250000}"/>
    <cellStyle name="Comma 5 7 3 3 4" xfId="18578" xr:uid="{00000000-0005-0000-0000-000009250000}"/>
    <cellStyle name="Comma 5 7 3 3 4 2" xfId="44131" xr:uid="{00000000-0005-0000-0000-00000A250000}"/>
    <cellStyle name="Comma 5 7 3 3 5" xfId="30068" xr:uid="{00000000-0005-0000-0000-00000B250000}"/>
    <cellStyle name="Comma 5 7 3 4" xfId="1937" xr:uid="{00000000-0005-0000-0000-00000C250000}"/>
    <cellStyle name="Comma 5 7 3 4 2" xfId="11302" xr:uid="{00000000-0005-0000-0000-00000D250000}"/>
    <cellStyle name="Comma 5 7 3 4 2 2" xfId="36857" xr:uid="{00000000-0005-0000-0000-00000E250000}"/>
    <cellStyle name="Comma 5 7 3 4 3" xfId="21306" xr:uid="{00000000-0005-0000-0000-00000F250000}"/>
    <cellStyle name="Comma 5 7 3 4 3 2" xfId="46859" xr:uid="{00000000-0005-0000-0000-000010250000}"/>
    <cellStyle name="Comma 5 7 3 4 4" xfId="27789" xr:uid="{00000000-0005-0000-0000-000011250000}"/>
    <cellStyle name="Comma 5 7 3 5" xfId="5952" xr:uid="{00000000-0005-0000-0000-000012250000}"/>
    <cellStyle name="Comma 5 7 3 5 2" xfId="14779" xr:uid="{00000000-0005-0000-0000-000013250000}"/>
    <cellStyle name="Comma 5 7 3 5 2 2" xfId="40334" xr:uid="{00000000-0005-0000-0000-000014250000}"/>
    <cellStyle name="Comma 5 7 3 5 3" xfId="25030" xr:uid="{00000000-0005-0000-0000-000015250000}"/>
    <cellStyle name="Comma 5 7 3 5 3 2" xfId="50583" xr:uid="{00000000-0005-0000-0000-000016250000}"/>
    <cellStyle name="Comma 5 7 3 5 4" xfId="31513" xr:uid="{00000000-0005-0000-0000-000017250000}"/>
    <cellStyle name="Comma 5 7 3 6" xfId="7396" xr:uid="{00000000-0005-0000-0000-000018250000}"/>
    <cellStyle name="Comma 5 7 3 6 2" xfId="19788" xr:uid="{00000000-0005-0000-0000-000019250000}"/>
    <cellStyle name="Comma 5 7 3 6 2 2" xfId="45341" xr:uid="{00000000-0005-0000-0000-00001A250000}"/>
    <cellStyle name="Comma 5 7 3 6 3" xfId="32953" xr:uid="{00000000-0005-0000-0000-00001B250000}"/>
    <cellStyle name="Comma 5 7 3 7" xfId="16299" xr:uid="{00000000-0005-0000-0000-00001C250000}"/>
    <cellStyle name="Comma 5 7 3 7 2" xfId="41852" xr:uid="{00000000-0005-0000-0000-00001D250000}"/>
    <cellStyle name="Comma 5 7 3 8" xfId="26271" xr:uid="{00000000-0005-0000-0000-00001E250000}"/>
    <cellStyle name="Comma 5 7 4" xfId="681" xr:uid="{00000000-0005-0000-0000-00001F250000}"/>
    <cellStyle name="Comma 5 7 4 2" xfId="3167" xr:uid="{00000000-0005-0000-0000-000020250000}"/>
    <cellStyle name="Comma 5 7 4 2 2" xfId="12310" xr:uid="{00000000-0005-0000-0000-000021250000}"/>
    <cellStyle name="Comma 5 7 4 2 2 2" xfId="22528" xr:uid="{00000000-0005-0000-0000-000022250000}"/>
    <cellStyle name="Comma 5 7 4 2 2 2 2" xfId="48081" xr:uid="{00000000-0005-0000-0000-000023250000}"/>
    <cellStyle name="Comma 5 7 4 2 2 3" xfId="37865" xr:uid="{00000000-0005-0000-0000-000024250000}"/>
    <cellStyle name="Comma 5 7 4 2 3" xfId="8732" xr:uid="{00000000-0005-0000-0000-000025250000}"/>
    <cellStyle name="Comma 5 7 4 2 3 2" xfId="34289" xr:uid="{00000000-0005-0000-0000-000026250000}"/>
    <cellStyle name="Comma 5 7 4 2 4" xfId="17521" xr:uid="{00000000-0005-0000-0000-000027250000}"/>
    <cellStyle name="Comma 5 7 4 2 4 2" xfId="43074" xr:uid="{00000000-0005-0000-0000-000028250000}"/>
    <cellStyle name="Comma 5 7 4 2 5" xfId="29011" xr:uid="{00000000-0005-0000-0000-000029250000}"/>
    <cellStyle name="Comma 5 7 4 3" xfId="4845" xr:uid="{00000000-0005-0000-0000-00002A250000}"/>
    <cellStyle name="Comma 5 7 4 3 2" xfId="13682" xr:uid="{00000000-0005-0000-0000-00002B250000}"/>
    <cellStyle name="Comma 5 7 4 3 2 2" xfId="23933" xr:uid="{00000000-0005-0000-0000-00002C250000}"/>
    <cellStyle name="Comma 5 7 4 3 2 2 2" xfId="49486" xr:uid="{00000000-0005-0000-0000-00002D250000}"/>
    <cellStyle name="Comma 5 7 4 3 2 3" xfId="39237" xr:uid="{00000000-0005-0000-0000-00002E250000}"/>
    <cellStyle name="Comma 5 7 4 3 3" xfId="10103" xr:uid="{00000000-0005-0000-0000-00002F250000}"/>
    <cellStyle name="Comma 5 7 4 3 3 2" xfId="35660" xr:uid="{00000000-0005-0000-0000-000030250000}"/>
    <cellStyle name="Comma 5 7 4 3 4" xfId="18926" xr:uid="{00000000-0005-0000-0000-000031250000}"/>
    <cellStyle name="Comma 5 7 4 3 4 2" xfId="44479" xr:uid="{00000000-0005-0000-0000-000032250000}"/>
    <cellStyle name="Comma 5 7 4 3 5" xfId="30416" xr:uid="{00000000-0005-0000-0000-000033250000}"/>
    <cellStyle name="Comma 5 7 4 4" xfId="2276" xr:uid="{00000000-0005-0000-0000-000034250000}"/>
    <cellStyle name="Comma 5 7 4 4 2" xfId="11641" xr:uid="{00000000-0005-0000-0000-000035250000}"/>
    <cellStyle name="Comma 5 7 4 4 2 2" xfId="37196" xr:uid="{00000000-0005-0000-0000-000036250000}"/>
    <cellStyle name="Comma 5 7 4 4 3" xfId="21645" xr:uid="{00000000-0005-0000-0000-000037250000}"/>
    <cellStyle name="Comma 5 7 4 4 3 2" xfId="47198" xr:uid="{00000000-0005-0000-0000-000038250000}"/>
    <cellStyle name="Comma 5 7 4 4 4" xfId="28128" xr:uid="{00000000-0005-0000-0000-000039250000}"/>
    <cellStyle name="Comma 5 7 4 5" xfId="6300" xr:uid="{00000000-0005-0000-0000-00003A250000}"/>
    <cellStyle name="Comma 5 7 4 5 2" xfId="15127" xr:uid="{00000000-0005-0000-0000-00003B250000}"/>
    <cellStyle name="Comma 5 7 4 5 2 2" xfId="40682" xr:uid="{00000000-0005-0000-0000-00003C250000}"/>
    <cellStyle name="Comma 5 7 4 5 3" xfId="25378" xr:uid="{00000000-0005-0000-0000-00003D250000}"/>
    <cellStyle name="Comma 5 7 4 5 3 2" xfId="50931" xr:uid="{00000000-0005-0000-0000-00003E250000}"/>
    <cellStyle name="Comma 5 7 4 5 4" xfId="31861" xr:uid="{00000000-0005-0000-0000-00003F250000}"/>
    <cellStyle name="Comma 5 7 4 6" xfId="7746" xr:uid="{00000000-0005-0000-0000-000040250000}"/>
    <cellStyle name="Comma 5 7 4 6 2" xfId="20127" xr:uid="{00000000-0005-0000-0000-000041250000}"/>
    <cellStyle name="Comma 5 7 4 6 2 2" xfId="45680" xr:uid="{00000000-0005-0000-0000-000042250000}"/>
    <cellStyle name="Comma 5 7 4 6 3" xfId="33303" xr:uid="{00000000-0005-0000-0000-000043250000}"/>
    <cellStyle name="Comma 5 7 4 7" xfId="16638" xr:uid="{00000000-0005-0000-0000-000044250000}"/>
    <cellStyle name="Comma 5 7 4 7 2" xfId="42191" xr:uid="{00000000-0005-0000-0000-000045250000}"/>
    <cellStyle name="Comma 5 7 4 8" xfId="26610" xr:uid="{00000000-0005-0000-0000-000046250000}"/>
    <cellStyle name="Comma 5 7 5" xfId="1114" xr:uid="{00000000-0005-0000-0000-000047250000}"/>
    <cellStyle name="Comma 5 7 5 2" xfId="3543" xr:uid="{00000000-0005-0000-0000-000048250000}"/>
    <cellStyle name="Comma 5 7 5 2 2" xfId="12679" xr:uid="{00000000-0005-0000-0000-000049250000}"/>
    <cellStyle name="Comma 5 7 5 2 2 2" xfId="22898" xr:uid="{00000000-0005-0000-0000-00004A250000}"/>
    <cellStyle name="Comma 5 7 5 2 2 2 2" xfId="48451" xr:uid="{00000000-0005-0000-0000-00004B250000}"/>
    <cellStyle name="Comma 5 7 5 2 2 3" xfId="38234" xr:uid="{00000000-0005-0000-0000-00004C250000}"/>
    <cellStyle name="Comma 5 7 5 2 3" xfId="9100" xr:uid="{00000000-0005-0000-0000-00004D250000}"/>
    <cellStyle name="Comma 5 7 5 2 3 2" xfId="34657" xr:uid="{00000000-0005-0000-0000-00004E250000}"/>
    <cellStyle name="Comma 5 7 5 2 4" xfId="17891" xr:uid="{00000000-0005-0000-0000-00004F250000}"/>
    <cellStyle name="Comma 5 7 5 2 4 2" xfId="43444" xr:uid="{00000000-0005-0000-0000-000050250000}"/>
    <cellStyle name="Comma 5 7 5 2 5" xfId="29381" xr:uid="{00000000-0005-0000-0000-000051250000}"/>
    <cellStyle name="Comma 5 7 5 3" xfId="5206" xr:uid="{00000000-0005-0000-0000-000052250000}"/>
    <cellStyle name="Comma 5 7 5 3 2" xfId="14043" xr:uid="{00000000-0005-0000-0000-000053250000}"/>
    <cellStyle name="Comma 5 7 5 3 2 2" xfId="24294" xr:uid="{00000000-0005-0000-0000-000054250000}"/>
    <cellStyle name="Comma 5 7 5 3 2 2 2" xfId="49847" xr:uid="{00000000-0005-0000-0000-000055250000}"/>
    <cellStyle name="Comma 5 7 5 3 2 3" xfId="39598" xr:uid="{00000000-0005-0000-0000-000056250000}"/>
    <cellStyle name="Comma 5 7 5 3 3" xfId="10464" xr:uid="{00000000-0005-0000-0000-000057250000}"/>
    <cellStyle name="Comma 5 7 5 3 3 2" xfId="36021" xr:uid="{00000000-0005-0000-0000-000058250000}"/>
    <cellStyle name="Comma 5 7 5 3 4" xfId="19287" xr:uid="{00000000-0005-0000-0000-000059250000}"/>
    <cellStyle name="Comma 5 7 5 3 4 2" xfId="44840" xr:uid="{00000000-0005-0000-0000-00005A250000}"/>
    <cellStyle name="Comma 5 7 5 3 5" xfId="30777" xr:uid="{00000000-0005-0000-0000-00005B250000}"/>
    <cellStyle name="Comma 5 7 5 4" xfId="1822" xr:uid="{00000000-0005-0000-0000-00005C250000}"/>
    <cellStyle name="Comma 5 7 5 4 2" xfId="11190" xr:uid="{00000000-0005-0000-0000-00005D250000}"/>
    <cellStyle name="Comma 5 7 5 4 2 2" xfId="36745" xr:uid="{00000000-0005-0000-0000-00005E250000}"/>
    <cellStyle name="Comma 5 7 5 4 3" xfId="21194" xr:uid="{00000000-0005-0000-0000-00005F250000}"/>
    <cellStyle name="Comma 5 7 5 4 3 2" xfId="46747" xr:uid="{00000000-0005-0000-0000-000060250000}"/>
    <cellStyle name="Comma 5 7 5 4 4" xfId="27677" xr:uid="{00000000-0005-0000-0000-000061250000}"/>
    <cellStyle name="Comma 5 7 5 5" xfId="6661" xr:uid="{00000000-0005-0000-0000-000062250000}"/>
    <cellStyle name="Comma 5 7 5 5 2" xfId="15488" xr:uid="{00000000-0005-0000-0000-000063250000}"/>
    <cellStyle name="Comma 5 7 5 5 2 2" xfId="41043" xr:uid="{00000000-0005-0000-0000-000064250000}"/>
    <cellStyle name="Comma 5 7 5 5 3" xfId="25739" xr:uid="{00000000-0005-0000-0000-000065250000}"/>
    <cellStyle name="Comma 5 7 5 5 3 2" xfId="51292" xr:uid="{00000000-0005-0000-0000-000066250000}"/>
    <cellStyle name="Comma 5 7 5 5 4" xfId="32222" xr:uid="{00000000-0005-0000-0000-000067250000}"/>
    <cellStyle name="Comma 5 7 5 6" xfId="8107" xr:uid="{00000000-0005-0000-0000-000068250000}"/>
    <cellStyle name="Comma 5 7 5 6 2" xfId="20497" xr:uid="{00000000-0005-0000-0000-000069250000}"/>
    <cellStyle name="Comma 5 7 5 6 2 2" xfId="46050" xr:uid="{00000000-0005-0000-0000-00006A250000}"/>
    <cellStyle name="Comma 5 7 5 6 3" xfId="33664" xr:uid="{00000000-0005-0000-0000-00006B250000}"/>
    <cellStyle name="Comma 5 7 5 7" xfId="16187" xr:uid="{00000000-0005-0000-0000-00006C250000}"/>
    <cellStyle name="Comma 5 7 5 7 2" xfId="41740" xr:uid="{00000000-0005-0000-0000-00006D250000}"/>
    <cellStyle name="Comma 5 7 5 8" xfId="26980" xr:uid="{00000000-0005-0000-0000-00006E250000}"/>
    <cellStyle name="Comma 5 7 6" xfId="2716" xr:uid="{00000000-0005-0000-0000-00006F250000}"/>
    <cellStyle name="Comma 5 7 6 2" xfId="12033" xr:uid="{00000000-0005-0000-0000-000070250000}"/>
    <cellStyle name="Comma 5 7 6 2 2" xfId="22077" xr:uid="{00000000-0005-0000-0000-000071250000}"/>
    <cellStyle name="Comma 5 7 6 2 2 2" xfId="47630" xr:uid="{00000000-0005-0000-0000-000072250000}"/>
    <cellStyle name="Comma 5 7 6 2 3" xfId="37588" xr:uid="{00000000-0005-0000-0000-000073250000}"/>
    <cellStyle name="Comma 5 7 6 3" xfId="8489" xr:uid="{00000000-0005-0000-0000-000074250000}"/>
    <cellStyle name="Comma 5 7 6 3 2" xfId="34046" xr:uid="{00000000-0005-0000-0000-000075250000}"/>
    <cellStyle name="Comma 5 7 6 4" xfId="17070" xr:uid="{00000000-0005-0000-0000-000076250000}"/>
    <cellStyle name="Comma 5 7 6 4 2" xfId="42623" xr:uid="{00000000-0005-0000-0000-000077250000}"/>
    <cellStyle name="Comma 5 7 6 5" xfId="28560" xr:uid="{00000000-0005-0000-0000-000078250000}"/>
    <cellStyle name="Comma 5 7 7" xfId="4162" xr:uid="{00000000-0005-0000-0000-000079250000}"/>
    <cellStyle name="Comma 5 7 7 2" xfId="13000" xr:uid="{00000000-0005-0000-0000-00007A250000}"/>
    <cellStyle name="Comma 5 7 7 2 2" xfId="23251" xr:uid="{00000000-0005-0000-0000-00007B250000}"/>
    <cellStyle name="Comma 5 7 7 2 2 2" xfId="48804" xr:uid="{00000000-0005-0000-0000-00007C250000}"/>
    <cellStyle name="Comma 5 7 7 2 3" xfId="38555" xr:uid="{00000000-0005-0000-0000-00007D250000}"/>
    <cellStyle name="Comma 5 7 7 3" xfId="9421" xr:uid="{00000000-0005-0000-0000-00007E250000}"/>
    <cellStyle name="Comma 5 7 7 3 2" xfId="34978" xr:uid="{00000000-0005-0000-0000-00007F250000}"/>
    <cellStyle name="Comma 5 7 7 4" xfId="18244" xr:uid="{00000000-0005-0000-0000-000080250000}"/>
    <cellStyle name="Comma 5 7 7 4 2" xfId="43797" xr:uid="{00000000-0005-0000-0000-000081250000}"/>
    <cellStyle name="Comma 5 7 7 5" xfId="29734" xr:uid="{00000000-0005-0000-0000-000082250000}"/>
    <cellStyle name="Comma 5 7 8" xfId="1434" xr:uid="{00000000-0005-0000-0000-000083250000}"/>
    <cellStyle name="Comma 5 7 8 2" xfId="10811" xr:uid="{00000000-0005-0000-0000-000084250000}"/>
    <cellStyle name="Comma 5 7 8 2 2" xfId="36366" xr:uid="{00000000-0005-0000-0000-000085250000}"/>
    <cellStyle name="Comma 5 7 8 3" xfId="20815" xr:uid="{00000000-0005-0000-0000-000086250000}"/>
    <cellStyle name="Comma 5 7 8 3 2" xfId="46368" xr:uid="{00000000-0005-0000-0000-000087250000}"/>
    <cellStyle name="Comma 5 7 8 4" xfId="27298" xr:uid="{00000000-0005-0000-0000-000088250000}"/>
    <cellStyle name="Comma 5 7 9" xfId="5618" xr:uid="{00000000-0005-0000-0000-000089250000}"/>
    <cellStyle name="Comma 5 7 9 2" xfId="14445" xr:uid="{00000000-0005-0000-0000-00008A250000}"/>
    <cellStyle name="Comma 5 7 9 2 2" xfId="40000" xr:uid="{00000000-0005-0000-0000-00008B250000}"/>
    <cellStyle name="Comma 5 7 9 3" xfId="24696" xr:uid="{00000000-0005-0000-0000-00008C250000}"/>
    <cellStyle name="Comma 5 7 9 3 2" xfId="50249" xr:uid="{00000000-0005-0000-0000-00008D250000}"/>
    <cellStyle name="Comma 5 7 9 4" xfId="31179" xr:uid="{00000000-0005-0000-0000-00008E250000}"/>
    <cellStyle name="Comma 5 8" xfId="281" xr:uid="{00000000-0005-0000-0000-00008F250000}"/>
    <cellStyle name="Comma 5 8 10" xfId="16069" xr:uid="{00000000-0005-0000-0000-000090250000}"/>
    <cellStyle name="Comma 5 8 10 2" xfId="41622" xr:uid="{00000000-0005-0000-0000-000091250000}"/>
    <cellStyle name="Comma 5 8 11" xfId="26215" xr:uid="{00000000-0005-0000-0000-000092250000}"/>
    <cellStyle name="Comma 5 8 2" xfId="603" xr:uid="{00000000-0005-0000-0000-000093250000}"/>
    <cellStyle name="Comma 5 8 2 2" xfId="3089" xr:uid="{00000000-0005-0000-0000-000094250000}"/>
    <cellStyle name="Comma 5 8 2 2 2" xfId="12232" xr:uid="{00000000-0005-0000-0000-000095250000}"/>
    <cellStyle name="Comma 5 8 2 2 2 2" xfId="22450" xr:uid="{00000000-0005-0000-0000-000096250000}"/>
    <cellStyle name="Comma 5 8 2 2 2 2 2" xfId="48003" xr:uid="{00000000-0005-0000-0000-000097250000}"/>
    <cellStyle name="Comma 5 8 2 2 2 3" xfId="37787" xr:uid="{00000000-0005-0000-0000-000098250000}"/>
    <cellStyle name="Comma 5 8 2 2 3" xfId="8654" xr:uid="{00000000-0005-0000-0000-000099250000}"/>
    <cellStyle name="Comma 5 8 2 2 3 2" xfId="34211" xr:uid="{00000000-0005-0000-0000-00009A250000}"/>
    <cellStyle name="Comma 5 8 2 2 4" xfId="17443" xr:uid="{00000000-0005-0000-0000-00009B250000}"/>
    <cellStyle name="Comma 5 8 2 2 4 2" xfId="42996" xr:uid="{00000000-0005-0000-0000-00009C250000}"/>
    <cellStyle name="Comma 5 8 2 2 5" xfId="28933" xr:uid="{00000000-0005-0000-0000-00009D250000}"/>
    <cellStyle name="Comma 5 8 2 3" xfId="4498" xr:uid="{00000000-0005-0000-0000-00009E250000}"/>
    <cellStyle name="Comma 5 8 2 3 2" xfId="13336" xr:uid="{00000000-0005-0000-0000-00009F250000}"/>
    <cellStyle name="Comma 5 8 2 3 2 2" xfId="23587" xr:uid="{00000000-0005-0000-0000-0000A0250000}"/>
    <cellStyle name="Comma 5 8 2 3 2 2 2" xfId="49140" xr:uid="{00000000-0005-0000-0000-0000A1250000}"/>
    <cellStyle name="Comma 5 8 2 3 2 3" xfId="38891" xr:uid="{00000000-0005-0000-0000-0000A2250000}"/>
    <cellStyle name="Comma 5 8 2 3 3" xfId="9757" xr:uid="{00000000-0005-0000-0000-0000A3250000}"/>
    <cellStyle name="Comma 5 8 2 3 3 2" xfId="35314" xr:uid="{00000000-0005-0000-0000-0000A4250000}"/>
    <cellStyle name="Comma 5 8 2 3 4" xfId="18580" xr:uid="{00000000-0005-0000-0000-0000A5250000}"/>
    <cellStyle name="Comma 5 8 2 3 4 2" xfId="44133" xr:uid="{00000000-0005-0000-0000-0000A6250000}"/>
    <cellStyle name="Comma 5 8 2 3 5" xfId="30070" xr:uid="{00000000-0005-0000-0000-0000A7250000}"/>
    <cellStyle name="Comma 5 8 2 4" xfId="2198" xr:uid="{00000000-0005-0000-0000-0000A8250000}"/>
    <cellStyle name="Comma 5 8 2 4 2" xfId="11563" xr:uid="{00000000-0005-0000-0000-0000A9250000}"/>
    <cellStyle name="Comma 5 8 2 4 2 2" xfId="37118" xr:uid="{00000000-0005-0000-0000-0000AA250000}"/>
    <cellStyle name="Comma 5 8 2 4 3" xfId="21567" xr:uid="{00000000-0005-0000-0000-0000AB250000}"/>
    <cellStyle name="Comma 5 8 2 4 3 2" xfId="47120" xr:uid="{00000000-0005-0000-0000-0000AC250000}"/>
    <cellStyle name="Comma 5 8 2 4 4" xfId="28050" xr:uid="{00000000-0005-0000-0000-0000AD250000}"/>
    <cellStyle name="Comma 5 8 2 5" xfId="5954" xr:uid="{00000000-0005-0000-0000-0000AE250000}"/>
    <cellStyle name="Comma 5 8 2 5 2" xfId="14781" xr:uid="{00000000-0005-0000-0000-0000AF250000}"/>
    <cellStyle name="Comma 5 8 2 5 2 2" xfId="40336" xr:uid="{00000000-0005-0000-0000-0000B0250000}"/>
    <cellStyle name="Comma 5 8 2 5 3" xfId="25032" xr:uid="{00000000-0005-0000-0000-0000B1250000}"/>
    <cellStyle name="Comma 5 8 2 5 3 2" xfId="50585" xr:uid="{00000000-0005-0000-0000-0000B2250000}"/>
    <cellStyle name="Comma 5 8 2 5 4" xfId="31515" xr:uid="{00000000-0005-0000-0000-0000B3250000}"/>
    <cellStyle name="Comma 5 8 2 6" xfId="7398" xr:uid="{00000000-0005-0000-0000-0000B4250000}"/>
    <cellStyle name="Comma 5 8 2 6 2" xfId="20049" xr:uid="{00000000-0005-0000-0000-0000B5250000}"/>
    <cellStyle name="Comma 5 8 2 6 2 2" xfId="45602" xr:uid="{00000000-0005-0000-0000-0000B6250000}"/>
    <cellStyle name="Comma 5 8 2 6 3" xfId="32955" xr:uid="{00000000-0005-0000-0000-0000B7250000}"/>
    <cellStyle name="Comma 5 8 2 7" xfId="16560" xr:uid="{00000000-0005-0000-0000-0000B8250000}"/>
    <cellStyle name="Comma 5 8 2 7 2" xfId="42113" xr:uid="{00000000-0005-0000-0000-0000B9250000}"/>
    <cellStyle name="Comma 5 8 2 8" xfId="26532" xr:uid="{00000000-0005-0000-0000-0000BA250000}"/>
    <cellStyle name="Comma 5 8 3" xfId="683" xr:uid="{00000000-0005-0000-0000-0000BB250000}"/>
    <cellStyle name="Comma 5 8 3 2" xfId="3169" xr:uid="{00000000-0005-0000-0000-0000BC250000}"/>
    <cellStyle name="Comma 5 8 3 2 2" xfId="12312" xr:uid="{00000000-0005-0000-0000-0000BD250000}"/>
    <cellStyle name="Comma 5 8 3 2 2 2" xfId="22530" xr:uid="{00000000-0005-0000-0000-0000BE250000}"/>
    <cellStyle name="Comma 5 8 3 2 2 2 2" xfId="48083" xr:uid="{00000000-0005-0000-0000-0000BF250000}"/>
    <cellStyle name="Comma 5 8 3 2 2 3" xfId="37867" xr:uid="{00000000-0005-0000-0000-0000C0250000}"/>
    <cellStyle name="Comma 5 8 3 2 3" xfId="8734" xr:uid="{00000000-0005-0000-0000-0000C1250000}"/>
    <cellStyle name="Comma 5 8 3 2 3 2" xfId="34291" xr:uid="{00000000-0005-0000-0000-0000C2250000}"/>
    <cellStyle name="Comma 5 8 3 2 4" xfId="17523" xr:uid="{00000000-0005-0000-0000-0000C3250000}"/>
    <cellStyle name="Comma 5 8 3 2 4 2" xfId="43076" xr:uid="{00000000-0005-0000-0000-0000C4250000}"/>
    <cellStyle name="Comma 5 8 3 2 5" xfId="29013" xr:uid="{00000000-0005-0000-0000-0000C5250000}"/>
    <cellStyle name="Comma 5 8 3 3" xfId="4847" xr:uid="{00000000-0005-0000-0000-0000C6250000}"/>
    <cellStyle name="Comma 5 8 3 3 2" xfId="13684" xr:uid="{00000000-0005-0000-0000-0000C7250000}"/>
    <cellStyle name="Comma 5 8 3 3 2 2" xfId="23935" xr:uid="{00000000-0005-0000-0000-0000C8250000}"/>
    <cellStyle name="Comma 5 8 3 3 2 2 2" xfId="49488" xr:uid="{00000000-0005-0000-0000-0000C9250000}"/>
    <cellStyle name="Comma 5 8 3 3 2 3" xfId="39239" xr:uid="{00000000-0005-0000-0000-0000CA250000}"/>
    <cellStyle name="Comma 5 8 3 3 3" xfId="10105" xr:uid="{00000000-0005-0000-0000-0000CB250000}"/>
    <cellStyle name="Comma 5 8 3 3 3 2" xfId="35662" xr:uid="{00000000-0005-0000-0000-0000CC250000}"/>
    <cellStyle name="Comma 5 8 3 3 4" xfId="18928" xr:uid="{00000000-0005-0000-0000-0000CD250000}"/>
    <cellStyle name="Comma 5 8 3 3 4 2" xfId="44481" xr:uid="{00000000-0005-0000-0000-0000CE250000}"/>
    <cellStyle name="Comma 5 8 3 3 5" xfId="30418" xr:uid="{00000000-0005-0000-0000-0000CF250000}"/>
    <cellStyle name="Comma 5 8 3 4" xfId="2278" xr:uid="{00000000-0005-0000-0000-0000D0250000}"/>
    <cellStyle name="Comma 5 8 3 4 2" xfId="11643" xr:uid="{00000000-0005-0000-0000-0000D1250000}"/>
    <cellStyle name="Comma 5 8 3 4 2 2" xfId="37198" xr:uid="{00000000-0005-0000-0000-0000D2250000}"/>
    <cellStyle name="Comma 5 8 3 4 3" xfId="21647" xr:uid="{00000000-0005-0000-0000-0000D3250000}"/>
    <cellStyle name="Comma 5 8 3 4 3 2" xfId="47200" xr:uid="{00000000-0005-0000-0000-0000D4250000}"/>
    <cellStyle name="Comma 5 8 3 4 4" xfId="28130" xr:uid="{00000000-0005-0000-0000-0000D5250000}"/>
    <cellStyle name="Comma 5 8 3 5" xfId="6302" xr:uid="{00000000-0005-0000-0000-0000D6250000}"/>
    <cellStyle name="Comma 5 8 3 5 2" xfId="15129" xr:uid="{00000000-0005-0000-0000-0000D7250000}"/>
    <cellStyle name="Comma 5 8 3 5 2 2" xfId="40684" xr:uid="{00000000-0005-0000-0000-0000D8250000}"/>
    <cellStyle name="Comma 5 8 3 5 3" xfId="25380" xr:uid="{00000000-0005-0000-0000-0000D9250000}"/>
    <cellStyle name="Comma 5 8 3 5 3 2" xfId="50933" xr:uid="{00000000-0005-0000-0000-0000DA250000}"/>
    <cellStyle name="Comma 5 8 3 5 4" xfId="31863" xr:uid="{00000000-0005-0000-0000-0000DB250000}"/>
    <cellStyle name="Comma 5 8 3 6" xfId="7748" xr:uid="{00000000-0005-0000-0000-0000DC250000}"/>
    <cellStyle name="Comma 5 8 3 6 2" xfId="20129" xr:uid="{00000000-0005-0000-0000-0000DD250000}"/>
    <cellStyle name="Comma 5 8 3 6 2 2" xfId="45682" xr:uid="{00000000-0005-0000-0000-0000DE250000}"/>
    <cellStyle name="Comma 5 8 3 6 3" xfId="33305" xr:uid="{00000000-0005-0000-0000-0000DF250000}"/>
    <cellStyle name="Comma 5 8 3 7" xfId="16640" xr:uid="{00000000-0005-0000-0000-0000E0250000}"/>
    <cellStyle name="Comma 5 8 3 7 2" xfId="42193" xr:uid="{00000000-0005-0000-0000-0000E1250000}"/>
    <cellStyle name="Comma 5 8 3 8" xfId="26612" xr:uid="{00000000-0005-0000-0000-0000E2250000}"/>
    <cellStyle name="Comma 5 8 4" xfId="1375" xr:uid="{00000000-0005-0000-0000-0000E3250000}"/>
    <cellStyle name="Comma 5 8 4 2" xfId="3804" xr:uid="{00000000-0005-0000-0000-0000E4250000}"/>
    <cellStyle name="Comma 5 8 4 2 2" xfId="12940" xr:uid="{00000000-0005-0000-0000-0000E5250000}"/>
    <cellStyle name="Comma 5 8 4 2 2 2" xfId="23159" xr:uid="{00000000-0005-0000-0000-0000E6250000}"/>
    <cellStyle name="Comma 5 8 4 2 2 2 2" xfId="48712" xr:uid="{00000000-0005-0000-0000-0000E7250000}"/>
    <cellStyle name="Comma 5 8 4 2 2 3" xfId="38495" xr:uid="{00000000-0005-0000-0000-0000E8250000}"/>
    <cellStyle name="Comma 5 8 4 2 3" xfId="9361" xr:uid="{00000000-0005-0000-0000-0000E9250000}"/>
    <cellStyle name="Comma 5 8 4 2 3 2" xfId="34918" xr:uid="{00000000-0005-0000-0000-0000EA250000}"/>
    <cellStyle name="Comma 5 8 4 2 4" xfId="18152" xr:uid="{00000000-0005-0000-0000-0000EB250000}"/>
    <cellStyle name="Comma 5 8 4 2 4 2" xfId="43705" xr:uid="{00000000-0005-0000-0000-0000EC250000}"/>
    <cellStyle name="Comma 5 8 4 2 5" xfId="29642" xr:uid="{00000000-0005-0000-0000-0000ED250000}"/>
    <cellStyle name="Comma 5 8 4 3" xfId="5467" xr:uid="{00000000-0005-0000-0000-0000EE250000}"/>
    <cellStyle name="Comma 5 8 4 3 2" xfId="14304" xr:uid="{00000000-0005-0000-0000-0000EF250000}"/>
    <cellStyle name="Comma 5 8 4 3 2 2" xfId="24555" xr:uid="{00000000-0005-0000-0000-0000F0250000}"/>
    <cellStyle name="Comma 5 8 4 3 2 2 2" xfId="50108" xr:uid="{00000000-0005-0000-0000-0000F1250000}"/>
    <cellStyle name="Comma 5 8 4 3 2 3" xfId="39859" xr:uid="{00000000-0005-0000-0000-0000F2250000}"/>
    <cellStyle name="Comma 5 8 4 3 3" xfId="10725" xr:uid="{00000000-0005-0000-0000-0000F3250000}"/>
    <cellStyle name="Comma 5 8 4 3 3 2" xfId="36282" xr:uid="{00000000-0005-0000-0000-0000F4250000}"/>
    <cellStyle name="Comma 5 8 4 3 4" xfId="19548" xr:uid="{00000000-0005-0000-0000-0000F5250000}"/>
    <cellStyle name="Comma 5 8 4 3 4 2" xfId="45101" xr:uid="{00000000-0005-0000-0000-0000F6250000}"/>
    <cellStyle name="Comma 5 8 4 3 5" xfId="31038" xr:uid="{00000000-0005-0000-0000-0000F7250000}"/>
    <cellStyle name="Comma 5 8 4 4" xfId="1878" xr:uid="{00000000-0005-0000-0000-0000F8250000}"/>
    <cellStyle name="Comma 5 8 4 4 2" xfId="11246" xr:uid="{00000000-0005-0000-0000-0000F9250000}"/>
    <cellStyle name="Comma 5 8 4 4 2 2" xfId="36801" xr:uid="{00000000-0005-0000-0000-0000FA250000}"/>
    <cellStyle name="Comma 5 8 4 4 3" xfId="21250" xr:uid="{00000000-0005-0000-0000-0000FB250000}"/>
    <cellStyle name="Comma 5 8 4 4 3 2" xfId="46803" xr:uid="{00000000-0005-0000-0000-0000FC250000}"/>
    <cellStyle name="Comma 5 8 4 4 4" xfId="27733" xr:uid="{00000000-0005-0000-0000-0000FD250000}"/>
    <cellStyle name="Comma 5 8 4 5" xfId="6922" xr:uid="{00000000-0005-0000-0000-0000FE250000}"/>
    <cellStyle name="Comma 5 8 4 5 2" xfId="15749" xr:uid="{00000000-0005-0000-0000-0000FF250000}"/>
    <cellStyle name="Comma 5 8 4 5 2 2" xfId="41304" xr:uid="{00000000-0005-0000-0000-000000260000}"/>
    <cellStyle name="Comma 5 8 4 5 3" xfId="26000" xr:uid="{00000000-0005-0000-0000-000001260000}"/>
    <cellStyle name="Comma 5 8 4 5 3 2" xfId="51553" xr:uid="{00000000-0005-0000-0000-000002260000}"/>
    <cellStyle name="Comma 5 8 4 5 4" xfId="32483" xr:uid="{00000000-0005-0000-0000-000003260000}"/>
    <cellStyle name="Comma 5 8 4 6" xfId="8368" xr:uid="{00000000-0005-0000-0000-000004260000}"/>
    <cellStyle name="Comma 5 8 4 6 2" xfId="20758" xr:uid="{00000000-0005-0000-0000-000005260000}"/>
    <cellStyle name="Comma 5 8 4 6 2 2" xfId="46311" xr:uid="{00000000-0005-0000-0000-000006260000}"/>
    <cellStyle name="Comma 5 8 4 6 3" xfId="33925" xr:uid="{00000000-0005-0000-0000-000007260000}"/>
    <cellStyle name="Comma 5 8 4 7" xfId="16243" xr:uid="{00000000-0005-0000-0000-000008260000}"/>
    <cellStyle name="Comma 5 8 4 7 2" xfId="41796" xr:uid="{00000000-0005-0000-0000-000009260000}"/>
    <cellStyle name="Comma 5 8 4 8" xfId="27241" xr:uid="{00000000-0005-0000-0000-00000A260000}"/>
    <cellStyle name="Comma 5 8 5" xfId="2772" xr:uid="{00000000-0005-0000-0000-00000B260000}"/>
    <cellStyle name="Comma 5 8 5 2" xfId="12089" xr:uid="{00000000-0005-0000-0000-00000C260000}"/>
    <cellStyle name="Comma 5 8 5 2 2" xfId="22133" xr:uid="{00000000-0005-0000-0000-00000D260000}"/>
    <cellStyle name="Comma 5 8 5 2 2 2" xfId="47686" xr:uid="{00000000-0005-0000-0000-00000E260000}"/>
    <cellStyle name="Comma 5 8 5 2 3" xfId="37644" xr:uid="{00000000-0005-0000-0000-00000F260000}"/>
    <cellStyle name="Comma 5 8 5 3" xfId="8601" xr:uid="{00000000-0005-0000-0000-000010260000}"/>
    <cellStyle name="Comma 5 8 5 3 2" xfId="34158" xr:uid="{00000000-0005-0000-0000-000011260000}"/>
    <cellStyle name="Comma 5 8 5 4" xfId="17126" xr:uid="{00000000-0005-0000-0000-000012260000}"/>
    <cellStyle name="Comma 5 8 5 4 2" xfId="42679" xr:uid="{00000000-0005-0000-0000-000013260000}"/>
    <cellStyle name="Comma 5 8 5 5" xfId="28616" xr:uid="{00000000-0005-0000-0000-000014260000}"/>
    <cellStyle name="Comma 5 8 6" xfId="4423" xr:uid="{00000000-0005-0000-0000-000015260000}"/>
    <cellStyle name="Comma 5 8 6 2" xfId="13261" xr:uid="{00000000-0005-0000-0000-000016260000}"/>
    <cellStyle name="Comma 5 8 6 2 2" xfId="23512" xr:uid="{00000000-0005-0000-0000-000017260000}"/>
    <cellStyle name="Comma 5 8 6 2 2 2" xfId="49065" xr:uid="{00000000-0005-0000-0000-000018260000}"/>
    <cellStyle name="Comma 5 8 6 2 3" xfId="38816" xr:uid="{00000000-0005-0000-0000-000019260000}"/>
    <cellStyle name="Comma 5 8 6 3" xfId="9682" xr:uid="{00000000-0005-0000-0000-00001A260000}"/>
    <cellStyle name="Comma 5 8 6 3 2" xfId="35239" xr:uid="{00000000-0005-0000-0000-00001B260000}"/>
    <cellStyle name="Comma 5 8 6 4" xfId="18505" xr:uid="{00000000-0005-0000-0000-00001C260000}"/>
    <cellStyle name="Comma 5 8 6 4 2" xfId="44058" xr:uid="{00000000-0005-0000-0000-00001D260000}"/>
    <cellStyle name="Comma 5 8 6 5" xfId="29995" xr:uid="{00000000-0005-0000-0000-00001E260000}"/>
    <cellStyle name="Comma 5 8 7" xfId="1695" xr:uid="{00000000-0005-0000-0000-00001F260000}"/>
    <cellStyle name="Comma 5 8 7 2" xfId="11072" xr:uid="{00000000-0005-0000-0000-000020260000}"/>
    <cellStyle name="Comma 5 8 7 2 2" xfId="36627" xr:uid="{00000000-0005-0000-0000-000021260000}"/>
    <cellStyle name="Comma 5 8 7 3" xfId="21076" xr:uid="{00000000-0005-0000-0000-000022260000}"/>
    <cellStyle name="Comma 5 8 7 3 2" xfId="46629" xr:uid="{00000000-0005-0000-0000-000023260000}"/>
    <cellStyle name="Comma 5 8 7 4" xfId="27559" xr:uid="{00000000-0005-0000-0000-000024260000}"/>
    <cellStyle name="Comma 5 8 8" xfId="5879" xr:uid="{00000000-0005-0000-0000-000025260000}"/>
    <cellStyle name="Comma 5 8 8 2" xfId="14706" xr:uid="{00000000-0005-0000-0000-000026260000}"/>
    <cellStyle name="Comma 5 8 8 2 2" xfId="40261" xr:uid="{00000000-0005-0000-0000-000027260000}"/>
    <cellStyle name="Comma 5 8 8 3" xfId="24957" xr:uid="{00000000-0005-0000-0000-000028260000}"/>
    <cellStyle name="Comma 5 8 8 3 2" xfId="50510" xr:uid="{00000000-0005-0000-0000-000029260000}"/>
    <cellStyle name="Comma 5 8 8 4" xfId="31440" xr:uid="{00000000-0005-0000-0000-00002A260000}"/>
    <cellStyle name="Comma 5 8 9" xfId="7323" xr:uid="{00000000-0005-0000-0000-00002B260000}"/>
    <cellStyle name="Comma 5 8 9 2" xfId="19732" xr:uid="{00000000-0005-0000-0000-00002C260000}"/>
    <cellStyle name="Comma 5 8 9 2 2" xfId="45285" xr:uid="{00000000-0005-0000-0000-00002D260000}"/>
    <cellStyle name="Comma 5 8 9 3" xfId="32880" xr:uid="{00000000-0005-0000-0000-00002E260000}"/>
    <cellStyle name="Comma 5 9" xfId="442" xr:uid="{00000000-0005-0000-0000-00002F260000}"/>
    <cellStyle name="Comma 5 9 10" xfId="26371" xr:uid="{00000000-0005-0000-0000-000030260000}"/>
    <cellStyle name="Comma 5 9 2" xfId="684" xr:uid="{00000000-0005-0000-0000-000031260000}"/>
    <cellStyle name="Comma 5 9 2 2" xfId="3170" xr:uid="{00000000-0005-0000-0000-000032260000}"/>
    <cellStyle name="Comma 5 9 2 2 2" xfId="12313" xr:uid="{00000000-0005-0000-0000-000033260000}"/>
    <cellStyle name="Comma 5 9 2 2 2 2" xfId="22531" xr:uid="{00000000-0005-0000-0000-000034260000}"/>
    <cellStyle name="Comma 5 9 2 2 2 2 2" xfId="48084" xr:uid="{00000000-0005-0000-0000-000035260000}"/>
    <cellStyle name="Comma 5 9 2 2 2 3" xfId="37868" xr:uid="{00000000-0005-0000-0000-000036260000}"/>
    <cellStyle name="Comma 5 9 2 2 3" xfId="8735" xr:uid="{00000000-0005-0000-0000-000037260000}"/>
    <cellStyle name="Comma 5 9 2 2 3 2" xfId="34292" xr:uid="{00000000-0005-0000-0000-000038260000}"/>
    <cellStyle name="Comma 5 9 2 2 4" xfId="17524" xr:uid="{00000000-0005-0000-0000-000039260000}"/>
    <cellStyle name="Comma 5 9 2 2 4 2" xfId="43077" xr:uid="{00000000-0005-0000-0000-00003A260000}"/>
    <cellStyle name="Comma 5 9 2 2 5" xfId="29014" xr:uid="{00000000-0005-0000-0000-00003B260000}"/>
    <cellStyle name="Comma 5 9 2 3" xfId="4499" xr:uid="{00000000-0005-0000-0000-00003C260000}"/>
    <cellStyle name="Comma 5 9 2 3 2" xfId="13337" xr:uid="{00000000-0005-0000-0000-00003D260000}"/>
    <cellStyle name="Comma 5 9 2 3 2 2" xfId="23588" xr:uid="{00000000-0005-0000-0000-00003E260000}"/>
    <cellStyle name="Comma 5 9 2 3 2 2 2" xfId="49141" xr:uid="{00000000-0005-0000-0000-00003F260000}"/>
    <cellStyle name="Comma 5 9 2 3 2 3" xfId="38892" xr:uid="{00000000-0005-0000-0000-000040260000}"/>
    <cellStyle name="Comma 5 9 2 3 3" xfId="9758" xr:uid="{00000000-0005-0000-0000-000041260000}"/>
    <cellStyle name="Comma 5 9 2 3 3 2" xfId="35315" xr:uid="{00000000-0005-0000-0000-000042260000}"/>
    <cellStyle name="Comma 5 9 2 3 4" xfId="18581" xr:uid="{00000000-0005-0000-0000-000043260000}"/>
    <cellStyle name="Comma 5 9 2 3 4 2" xfId="44134" xr:uid="{00000000-0005-0000-0000-000044260000}"/>
    <cellStyle name="Comma 5 9 2 3 5" xfId="30071" xr:uid="{00000000-0005-0000-0000-000045260000}"/>
    <cellStyle name="Comma 5 9 2 4" xfId="2279" xr:uid="{00000000-0005-0000-0000-000046260000}"/>
    <cellStyle name="Comma 5 9 2 4 2" xfId="11644" xr:uid="{00000000-0005-0000-0000-000047260000}"/>
    <cellStyle name="Comma 5 9 2 4 2 2" xfId="37199" xr:uid="{00000000-0005-0000-0000-000048260000}"/>
    <cellStyle name="Comma 5 9 2 4 3" xfId="21648" xr:uid="{00000000-0005-0000-0000-000049260000}"/>
    <cellStyle name="Comma 5 9 2 4 3 2" xfId="47201" xr:uid="{00000000-0005-0000-0000-00004A260000}"/>
    <cellStyle name="Comma 5 9 2 4 4" xfId="28131" xr:uid="{00000000-0005-0000-0000-00004B260000}"/>
    <cellStyle name="Comma 5 9 2 5" xfId="5955" xr:uid="{00000000-0005-0000-0000-00004C260000}"/>
    <cellStyle name="Comma 5 9 2 5 2" xfId="14782" xr:uid="{00000000-0005-0000-0000-00004D260000}"/>
    <cellStyle name="Comma 5 9 2 5 2 2" xfId="40337" xr:uid="{00000000-0005-0000-0000-00004E260000}"/>
    <cellStyle name="Comma 5 9 2 5 3" xfId="25033" xr:uid="{00000000-0005-0000-0000-00004F260000}"/>
    <cellStyle name="Comma 5 9 2 5 3 2" xfId="50586" xr:uid="{00000000-0005-0000-0000-000050260000}"/>
    <cellStyle name="Comma 5 9 2 5 4" xfId="31516" xr:uid="{00000000-0005-0000-0000-000051260000}"/>
    <cellStyle name="Comma 5 9 2 6" xfId="7399" xr:uid="{00000000-0005-0000-0000-000052260000}"/>
    <cellStyle name="Comma 5 9 2 6 2" xfId="20130" xr:uid="{00000000-0005-0000-0000-000053260000}"/>
    <cellStyle name="Comma 5 9 2 6 2 2" xfId="45683" xr:uid="{00000000-0005-0000-0000-000054260000}"/>
    <cellStyle name="Comma 5 9 2 6 3" xfId="32956" xr:uid="{00000000-0005-0000-0000-000055260000}"/>
    <cellStyle name="Comma 5 9 2 7" xfId="16641" xr:uid="{00000000-0005-0000-0000-000056260000}"/>
    <cellStyle name="Comma 5 9 2 7 2" xfId="42194" xr:uid="{00000000-0005-0000-0000-000057260000}"/>
    <cellStyle name="Comma 5 9 2 8" xfId="26613" xr:uid="{00000000-0005-0000-0000-000058260000}"/>
    <cellStyle name="Comma 5 9 3" xfId="1214" xr:uid="{00000000-0005-0000-0000-000059260000}"/>
    <cellStyle name="Comma 5 9 3 2" xfId="3643" xr:uid="{00000000-0005-0000-0000-00005A260000}"/>
    <cellStyle name="Comma 5 9 3 2 2" xfId="12779" xr:uid="{00000000-0005-0000-0000-00005B260000}"/>
    <cellStyle name="Comma 5 9 3 2 2 2" xfId="22998" xr:uid="{00000000-0005-0000-0000-00005C260000}"/>
    <cellStyle name="Comma 5 9 3 2 2 2 2" xfId="48551" xr:uid="{00000000-0005-0000-0000-00005D260000}"/>
    <cellStyle name="Comma 5 9 3 2 2 3" xfId="38334" xr:uid="{00000000-0005-0000-0000-00005E260000}"/>
    <cellStyle name="Comma 5 9 3 2 3" xfId="9200" xr:uid="{00000000-0005-0000-0000-00005F260000}"/>
    <cellStyle name="Comma 5 9 3 2 3 2" xfId="34757" xr:uid="{00000000-0005-0000-0000-000060260000}"/>
    <cellStyle name="Comma 5 9 3 2 4" xfId="17991" xr:uid="{00000000-0005-0000-0000-000061260000}"/>
    <cellStyle name="Comma 5 9 3 2 4 2" xfId="43544" xr:uid="{00000000-0005-0000-0000-000062260000}"/>
    <cellStyle name="Comma 5 9 3 2 5" xfId="29481" xr:uid="{00000000-0005-0000-0000-000063260000}"/>
    <cellStyle name="Comma 5 9 3 3" xfId="4848" xr:uid="{00000000-0005-0000-0000-000064260000}"/>
    <cellStyle name="Comma 5 9 3 3 2" xfId="13685" xr:uid="{00000000-0005-0000-0000-000065260000}"/>
    <cellStyle name="Comma 5 9 3 3 2 2" xfId="23936" xr:uid="{00000000-0005-0000-0000-000066260000}"/>
    <cellStyle name="Comma 5 9 3 3 2 2 2" xfId="49489" xr:uid="{00000000-0005-0000-0000-000067260000}"/>
    <cellStyle name="Comma 5 9 3 3 2 3" xfId="39240" xr:uid="{00000000-0005-0000-0000-000068260000}"/>
    <cellStyle name="Comma 5 9 3 3 3" xfId="10106" xr:uid="{00000000-0005-0000-0000-000069260000}"/>
    <cellStyle name="Comma 5 9 3 3 3 2" xfId="35663" xr:uid="{00000000-0005-0000-0000-00006A260000}"/>
    <cellStyle name="Comma 5 9 3 3 4" xfId="18929" xr:uid="{00000000-0005-0000-0000-00006B260000}"/>
    <cellStyle name="Comma 5 9 3 3 4 2" xfId="44482" xr:uid="{00000000-0005-0000-0000-00006C260000}"/>
    <cellStyle name="Comma 5 9 3 3 5" xfId="30419" xr:uid="{00000000-0005-0000-0000-00006D260000}"/>
    <cellStyle name="Comma 5 9 3 4" xfId="2037" xr:uid="{00000000-0005-0000-0000-00006E260000}"/>
    <cellStyle name="Comma 5 9 3 4 2" xfId="11402" xr:uid="{00000000-0005-0000-0000-00006F260000}"/>
    <cellStyle name="Comma 5 9 3 4 2 2" xfId="36957" xr:uid="{00000000-0005-0000-0000-000070260000}"/>
    <cellStyle name="Comma 5 9 3 4 3" xfId="21406" xr:uid="{00000000-0005-0000-0000-000071260000}"/>
    <cellStyle name="Comma 5 9 3 4 3 2" xfId="46959" xr:uid="{00000000-0005-0000-0000-000072260000}"/>
    <cellStyle name="Comma 5 9 3 4 4" xfId="27889" xr:uid="{00000000-0005-0000-0000-000073260000}"/>
    <cellStyle name="Comma 5 9 3 5" xfId="6303" xr:uid="{00000000-0005-0000-0000-000074260000}"/>
    <cellStyle name="Comma 5 9 3 5 2" xfId="15130" xr:uid="{00000000-0005-0000-0000-000075260000}"/>
    <cellStyle name="Comma 5 9 3 5 2 2" xfId="40685" xr:uid="{00000000-0005-0000-0000-000076260000}"/>
    <cellStyle name="Comma 5 9 3 5 3" xfId="25381" xr:uid="{00000000-0005-0000-0000-000077260000}"/>
    <cellStyle name="Comma 5 9 3 5 3 2" xfId="50934" xr:uid="{00000000-0005-0000-0000-000078260000}"/>
    <cellStyle name="Comma 5 9 3 5 4" xfId="31864" xr:uid="{00000000-0005-0000-0000-000079260000}"/>
    <cellStyle name="Comma 5 9 3 6" xfId="7749" xr:uid="{00000000-0005-0000-0000-00007A260000}"/>
    <cellStyle name="Comma 5 9 3 6 2" xfId="20597" xr:uid="{00000000-0005-0000-0000-00007B260000}"/>
    <cellStyle name="Comma 5 9 3 6 2 2" xfId="46150" xr:uid="{00000000-0005-0000-0000-00007C260000}"/>
    <cellStyle name="Comma 5 9 3 6 3" xfId="33306" xr:uid="{00000000-0005-0000-0000-00007D260000}"/>
    <cellStyle name="Comma 5 9 3 7" xfId="16399" xr:uid="{00000000-0005-0000-0000-00007E260000}"/>
    <cellStyle name="Comma 5 9 3 7 2" xfId="41952" xr:uid="{00000000-0005-0000-0000-00007F260000}"/>
    <cellStyle name="Comma 5 9 3 8" xfId="27080" xr:uid="{00000000-0005-0000-0000-000080260000}"/>
    <cellStyle name="Comma 5 9 4" xfId="2928" xr:uid="{00000000-0005-0000-0000-000081260000}"/>
    <cellStyle name="Comma 5 9 4 2" xfId="5306" xr:uid="{00000000-0005-0000-0000-000082260000}"/>
    <cellStyle name="Comma 5 9 4 2 2" xfId="14143" xr:uid="{00000000-0005-0000-0000-000083260000}"/>
    <cellStyle name="Comma 5 9 4 2 2 2" xfId="24394" xr:uid="{00000000-0005-0000-0000-000084260000}"/>
    <cellStyle name="Comma 5 9 4 2 2 2 2" xfId="49947" xr:uid="{00000000-0005-0000-0000-000085260000}"/>
    <cellStyle name="Comma 5 9 4 2 2 3" xfId="39698" xr:uid="{00000000-0005-0000-0000-000086260000}"/>
    <cellStyle name="Comma 5 9 4 2 3" xfId="10564" xr:uid="{00000000-0005-0000-0000-000087260000}"/>
    <cellStyle name="Comma 5 9 4 2 3 2" xfId="36121" xr:uid="{00000000-0005-0000-0000-000088260000}"/>
    <cellStyle name="Comma 5 9 4 2 4" xfId="19387" xr:uid="{00000000-0005-0000-0000-000089260000}"/>
    <cellStyle name="Comma 5 9 4 2 4 2" xfId="44940" xr:uid="{00000000-0005-0000-0000-00008A260000}"/>
    <cellStyle name="Comma 5 9 4 2 5" xfId="30877" xr:uid="{00000000-0005-0000-0000-00008B260000}"/>
    <cellStyle name="Comma 5 9 4 3" xfId="6761" xr:uid="{00000000-0005-0000-0000-00008C260000}"/>
    <cellStyle name="Comma 5 9 4 3 2" xfId="15588" xr:uid="{00000000-0005-0000-0000-00008D260000}"/>
    <cellStyle name="Comma 5 9 4 3 2 2" xfId="41143" xr:uid="{00000000-0005-0000-0000-00008E260000}"/>
    <cellStyle name="Comma 5 9 4 3 3" xfId="25839" xr:uid="{00000000-0005-0000-0000-00008F260000}"/>
    <cellStyle name="Comma 5 9 4 3 3 2" xfId="51392" xr:uid="{00000000-0005-0000-0000-000090260000}"/>
    <cellStyle name="Comma 5 9 4 3 4" xfId="32322" xr:uid="{00000000-0005-0000-0000-000091260000}"/>
    <cellStyle name="Comma 5 9 4 4" xfId="8207" xr:uid="{00000000-0005-0000-0000-000092260000}"/>
    <cellStyle name="Comma 5 9 4 4 2" xfId="22289" xr:uid="{00000000-0005-0000-0000-000093260000}"/>
    <cellStyle name="Comma 5 9 4 4 2 2" xfId="47842" xr:uid="{00000000-0005-0000-0000-000094260000}"/>
    <cellStyle name="Comma 5 9 4 4 3" xfId="33764" xr:uid="{00000000-0005-0000-0000-000095260000}"/>
    <cellStyle name="Comma 5 9 4 5" xfId="17282" xr:uid="{00000000-0005-0000-0000-000096260000}"/>
    <cellStyle name="Comma 5 9 4 5 2" xfId="42835" xr:uid="{00000000-0005-0000-0000-000097260000}"/>
    <cellStyle name="Comma 5 9 4 6" xfId="28772" xr:uid="{00000000-0005-0000-0000-000098260000}"/>
    <cellStyle name="Comma 5 9 5" xfId="4262" xr:uid="{00000000-0005-0000-0000-000099260000}"/>
    <cellStyle name="Comma 5 9 5 2" xfId="13100" xr:uid="{00000000-0005-0000-0000-00009A260000}"/>
    <cellStyle name="Comma 5 9 5 2 2" xfId="23351" xr:uid="{00000000-0005-0000-0000-00009B260000}"/>
    <cellStyle name="Comma 5 9 5 2 2 2" xfId="48904" xr:uid="{00000000-0005-0000-0000-00009C260000}"/>
    <cellStyle name="Comma 5 9 5 2 3" xfId="38655" xr:uid="{00000000-0005-0000-0000-00009D260000}"/>
    <cellStyle name="Comma 5 9 5 3" xfId="9521" xr:uid="{00000000-0005-0000-0000-00009E260000}"/>
    <cellStyle name="Comma 5 9 5 3 2" xfId="35078" xr:uid="{00000000-0005-0000-0000-00009F260000}"/>
    <cellStyle name="Comma 5 9 5 4" xfId="18344" xr:uid="{00000000-0005-0000-0000-0000A0260000}"/>
    <cellStyle name="Comma 5 9 5 4 2" xfId="43897" xr:uid="{00000000-0005-0000-0000-0000A1260000}"/>
    <cellStyle name="Comma 5 9 5 5" xfId="29834" xr:uid="{00000000-0005-0000-0000-0000A2260000}"/>
    <cellStyle name="Comma 5 9 6" xfId="1534" xr:uid="{00000000-0005-0000-0000-0000A3260000}"/>
    <cellStyle name="Comma 5 9 6 2" xfId="10911" xr:uid="{00000000-0005-0000-0000-0000A4260000}"/>
    <cellStyle name="Comma 5 9 6 2 2" xfId="36466" xr:uid="{00000000-0005-0000-0000-0000A5260000}"/>
    <cellStyle name="Comma 5 9 6 3" xfId="20915" xr:uid="{00000000-0005-0000-0000-0000A6260000}"/>
    <cellStyle name="Comma 5 9 6 3 2" xfId="46468" xr:uid="{00000000-0005-0000-0000-0000A7260000}"/>
    <cellStyle name="Comma 5 9 6 4" xfId="27398" xr:uid="{00000000-0005-0000-0000-0000A8260000}"/>
    <cellStyle name="Comma 5 9 7" xfId="5718" xr:uid="{00000000-0005-0000-0000-0000A9260000}"/>
    <cellStyle name="Comma 5 9 7 2" xfId="14545" xr:uid="{00000000-0005-0000-0000-0000AA260000}"/>
    <cellStyle name="Comma 5 9 7 2 2" xfId="40100" xr:uid="{00000000-0005-0000-0000-0000AB260000}"/>
    <cellStyle name="Comma 5 9 7 3" xfId="24796" xr:uid="{00000000-0005-0000-0000-0000AC260000}"/>
    <cellStyle name="Comma 5 9 7 3 2" xfId="50349" xr:uid="{00000000-0005-0000-0000-0000AD260000}"/>
    <cellStyle name="Comma 5 9 7 4" xfId="31279" xr:uid="{00000000-0005-0000-0000-0000AE260000}"/>
    <cellStyle name="Comma 5 9 8" xfId="7162" xr:uid="{00000000-0005-0000-0000-0000AF260000}"/>
    <cellStyle name="Comma 5 9 8 2" xfId="19888" xr:uid="{00000000-0005-0000-0000-0000B0260000}"/>
    <cellStyle name="Comma 5 9 8 2 2" xfId="45441" xr:uid="{00000000-0005-0000-0000-0000B1260000}"/>
    <cellStyle name="Comma 5 9 8 3" xfId="32719" xr:uid="{00000000-0005-0000-0000-0000B2260000}"/>
    <cellStyle name="Comma 5 9 9" xfId="15908" xr:uid="{00000000-0005-0000-0000-0000B3260000}"/>
    <cellStyle name="Comma 5 9 9 2" xfId="41461" xr:uid="{00000000-0005-0000-0000-0000B4260000}"/>
    <cellStyle name="Comma 6" xfId="115" xr:uid="{00000000-0005-0000-0000-0000B5260000}"/>
    <cellStyle name="Comma 6 10" xfId="4094" xr:uid="{00000000-0005-0000-0000-0000B6260000}"/>
    <cellStyle name="Comma 6 10 2" xfId="5552" xr:uid="{00000000-0005-0000-0000-0000B7260000}"/>
    <cellStyle name="Comma 6 10 2 2" xfId="14379" xr:uid="{00000000-0005-0000-0000-0000B8260000}"/>
    <cellStyle name="Comma 6 10 2 2 2" xfId="39934" xr:uid="{00000000-0005-0000-0000-0000B9260000}"/>
    <cellStyle name="Comma 6 10 2 3" xfId="24630" xr:uid="{00000000-0005-0000-0000-0000BA260000}"/>
    <cellStyle name="Comma 6 10 2 3 2" xfId="50183" xr:uid="{00000000-0005-0000-0000-0000BB260000}"/>
    <cellStyle name="Comma 6 10 2 4" xfId="31113" xr:uid="{00000000-0005-0000-0000-0000BC260000}"/>
    <cellStyle name="Comma 6 10 3" xfId="6996" xr:uid="{00000000-0005-0000-0000-0000BD260000}"/>
    <cellStyle name="Comma 6 10 3 2" xfId="23183" xr:uid="{00000000-0005-0000-0000-0000BE260000}"/>
    <cellStyle name="Comma 6 10 3 2 2" xfId="48736" xr:uid="{00000000-0005-0000-0000-0000BF260000}"/>
    <cellStyle name="Comma 6 10 3 3" xfId="32553" xr:uid="{00000000-0005-0000-0000-0000C0260000}"/>
    <cellStyle name="Comma 6 10 4" xfId="18176" xr:uid="{00000000-0005-0000-0000-0000C1260000}"/>
    <cellStyle name="Comma 6 10 4 2" xfId="43729" xr:uid="{00000000-0005-0000-0000-0000C2260000}"/>
    <cellStyle name="Comma 6 10 5" xfId="29666" xr:uid="{00000000-0005-0000-0000-0000C3260000}"/>
    <cellStyle name="Comma 6 11" xfId="1388" xr:uid="{00000000-0005-0000-0000-0000C4260000}"/>
    <cellStyle name="Comma 6 11 2" xfId="10765" xr:uid="{00000000-0005-0000-0000-0000C5260000}"/>
    <cellStyle name="Comma 6 11 2 2" xfId="36320" xr:uid="{00000000-0005-0000-0000-0000C6260000}"/>
    <cellStyle name="Comma 6 11 3" xfId="20769" xr:uid="{00000000-0005-0000-0000-0000C7260000}"/>
    <cellStyle name="Comma 6 11 3 2" xfId="46322" xr:uid="{00000000-0005-0000-0000-0000C8260000}"/>
    <cellStyle name="Comma 6 11 4" xfId="27252" xr:uid="{00000000-0005-0000-0000-0000C9260000}"/>
    <cellStyle name="Comma 6 12" xfId="5522" xr:uid="{00000000-0005-0000-0000-0000CA260000}"/>
    <cellStyle name="Comma 6 12 2" xfId="14349" xr:uid="{00000000-0005-0000-0000-0000CB260000}"/>
    <cellStyle name="Comma 6 12 2 2" xfId="39904" xr:uid="{00000000-0005-0000-0000-0000CC260000}"/>
    <cellStyle name="Comma 6 12 3" xfId="24600" xr:uid="{00000000-0005-0000-0000-0000CD260000}"/>
    <cellStyle name="Comma 6 12 3 2" xfId="50153" xr:uid="{00000000-0005-0000-0000-0000CE260000}"/>
    <cellStyle name="Comma 6 12 4" xfId="31083" xr:uid="{00000000-0005-0000-0000-0000CF260000}"/>
    <cellStyle name="Comma 6 13" xfId="6963" xr:uid="{00000000-0005-0000-0000-0000D0260000}"/>
    <cellStyle name="Comma 6 13 2" xfId="19588" xr:uid="{00000000-0005-0000-0000-0000D1260000}"/>
    <cellStyle name="Comma 6 13 2 2" xfId="45141" xr:uid="{00000000-0005-0000-0000-0000D2260000}"/>
    <cellStyle name="Comma 6 13 3" xfId="32521" xr:uid="{00000000-0005-0000-0000-0000D3260000}"/>
    <cellStyle name="Comma 6 14" xfId="15762" xr:uid="{00000000-0005-0000-0000-0000D4260000}"/>
    <cellStyle name="Comma 6 14 2" xfId="41315" xr:uid="{00000000-0005-0000-0000-0000D5260000}"/>
    <cellStyle name="Comma 6 15" xfId="26071" xr:uid="{00000000-0005-0000-0000-0000D6260000}"/>
    <cellStyle name="Comma 6 2" xfId="143" xr:uid="{00000000-0005-0000-0000-0000D7260000}"/>
    <cellStyle name="Comma 6 2 10" xfId="1411" xr:uid="{00000000-0005-0000-0000-0000D8260000}"/>
    <cellStyle name="Comma 6 2 10 2" xfId="10788" xr:uid="{00000000-0005-0000-0000-0000D9260000}"/>
    <cellStyle name="Comma 6 2 10 2 2" xfId="36343" xr:uid="{00000000-0005-0000-0000-0000DA260000}"/>
    <cellStyle name="Comma 6 2 10 3" xfId="20792" xr:uid="{00000000-0005-0000-0000-0000DB260000}"/>
    <cellStyle name="Comma 6 2 10 3 2" xfId="46345" xr:uid="{00000000-0005-0000-0000-0000DC260000}"/>
    <cellStyle name="Comma 6 2 10 4" xfId="27275" xr:uid="{00000000-0005-0000-0000-0000DD260000}"/>
    <cellStyle name="Comma 6 2 11" xfId="5595" xr:uid="{00000000-0005-0000-0000-0000DE260000}"/>
    <cellStyle name="Comma 6 2 11 2" xfId="14422" xr:uid="{00000000-0005-0000-0000-0000DF260000}"/>
    <cellStyle name="Comma 6 2 11 2 2" xfId="39977" xr:uid="{00000000-0005-0000-0000-0000E0260000}"/>
    <cellStyle name="Comma 6 2 11 3" xfId="24673" xr:uid="{00000000-0005-0000-0000-0000E1260000}"/>
    <cellStyle name="Comma 6 2 11 3 2" xfId="50226" xr:uid="{00000000-0005-0000-0000-0000E2260000}"/>
    <cellStyle name="Comma 6 2 11 4" xfId="31156" xr:uid="{00000000-0005-0000-0000-0000E3260000}"/>
    <cellStyle name="Comma 6 2 12" xfId="7039" xr:uid="{00000000-0005-0000-0000-0000E4260000}"/>
    <cellStyle name="Comma 6 2 12 2" xfId="19607" xr:uid="{00000000-0005-0000-0000-0000E5260000}"/>
    <cellStyle name="Comma 6 2 12 2 2" xfId="45160" xr:uid="{00000000-0005-0000-0000-0000E6260000}"/>
    <cellStyle name="Comma 6 2 12 3" xfId="32596" xr:uid="{00000000-0005-0000-0000-0000E7260000}"/>
    <cellStyle name="Comma 6 2 13" xfId="15785" xr:uid="{00000000-0005-0000-0000-0000E8260000}"/>
    <cellStyle name="Comma 6 2 13 2" xfId="41338" xr:uid="{00000000-0005-0000-0000-0000E9260000}"/>
    <cellStyle name="Comma 6 2 14" xfId="26090" xr:uid="{00000000-0005-0000-0000-0000EA260000}"/>
    <cellStyle name="Comma 6 2 2" xfId="259" xr:uid="{00000000-0005-0000-0000-0000EB260000}"/>
    <cellStyle name="Comma 6 2 2 10" xfId="7098" xr:uid="{00000000-0005-0000-0000-0000EC260000}"/>
    <cellStyle name="Comma 6 2 2 10 2" xfId="19711" xr:uid="{00000000-0005-0000-0000-0000ED260000}"/>
    <cellStyle name="Comma 6 2 2 10 2 2" xfId="45264" xr:uid="{00000000-0005-0000-0000-0000EE260000}"/>
    <cellStyle name="Comma 6 2 2 10 3" xfId="32655" xr:uid="{00000000-0005-0000-0000-0000EF260000}"/>
    <cellStyle name="Comma 6 2 2 11" xfId="15844" xr:uid="{00000000-0005-0000-0000-0000F0260000}"/>
    <cellStyle name="Comma 6 2 2 11 2" xfId="41397" xr:uid="{00000000-0005-0000-0000-0000F1260000}"/>
    <cellStyle name="Comma 6 2 2 12" xfId="26194" xr:uid="{00000000-0005-0000-0000-0000F2260000}"/>
    <cellStyle name="Comma 6 2 2 2" xfId="582" xr:uid="{00000000-0005-0000-0000-0000F3260000}"/>
    <cellStyle name="Comma 6 2 2 2 10" xfId="26511" xr:uid="{00000000-0005-0000-0000-0000F4260000}"/>
    <cellStyle name="Comma 6 2 2 2 2" xfId="688" xr:uid="{00000000-0005-0000-0000-0000F5260000}"/>
    <cellStyle name="Comma 6 2 2 2 2 2" xfId="3174" xr:uid="{00000000-0005-0000-0000-0000F6260000}"/>
    <cellStyle name="Comma 6 2 2 2 2 2 2" xfId="12317" xr:uid="{00000000-0005-0000-0000-0000F7260000}"/>
    <cellStyle name="Comma 6 2 2 2 2 2 2 2" xfId="22535" xr:uid="{00000000-0005-0000-0000-0000F8260000}"/>
    <cellStyle name="Comma 6 2 2 2 2 2 2 2 2" xfId="48088" xr:uid="{00000000-0005-0000-0000-0000F9260000}"/>
    <cellStyle name="Comma 6 2 2 2 2 2 2 3" xfId="37872" xr:uid="{00000000-0005-0000-0000-0000FA260000}"/>
    <cellStyle name="Comma 6 2 2 2 2 2 3" xfId="8739" xr:uid="{00000000-0005-0000-0000-0000FB260000}"/>
    <cellStyle name="Comma 6 2 2 2 2 2 3 2" xfId="34296" xr:uid="{00000000-0005-0000-0000-0000FC260000}"/>
    <cellStyle name="Comma 6 2 2 2 2 2 4" xfId="17528" xr:uid="{00000000-0005-0000-0000-0000FD260000}"/>
    <cellStyle name="Comma 6 2 2 2 2 2 4 2" xfId="43081" xr:uid="{00000000-0005-0000-0000-0000FE260000}"/>
    <cellStyle name="Comma 6 2 2 2 2 2 5" xfId="29018" xr:uid="{00000000-0005-0000-0000-0000FF260000}"/>
    <cellStyle name="Comma 6 2 2 2 2 3" xfId="4503" xr:uid="{00000000-0005-0000-0000-000000270000}"/>
    <cellStyle name="Comma 6 2 2 2 2 3 2" xfId="13341" xr:uid="{00000000-0005-0000-0000-000001270000}"/>
    <cellStyle name="Comma 6 2 2 2 2 3 2 2" xfId="23592" xr:uid="{00000000-0005-0000-0000-000002270000}"/>
    <cellStyle name="Comma 6 2 2 2 2 3 2 2 2" xfId="49145" xr:uid="{00000000-0005-0000-0000-000003270000}"/>
    <cellStyle name="Comma 6 2 2 2 2 3 2 3" xfId="38896" xr:uid="{00000000-0005-0000-0000-000004270000}"/>
    <cellStyle name="Comma 6 2 2 2 2 3 3" xfId="9762" xr:uid="{00000000-0005-0000-0000-000005270000}"/>
    <cellStyle name="Comma 6 2 2 2 2 3 3 2" xfId="35319" xr:uid="{00000000-0005-0000-0000-000006270000}"/>
    <cellStyle name="Comma 6 2 2 2 2 3 4" xfId="18585" xr:uid="{00000000-0005-0000-0000-000007270000}"/>
    <cellStyle name="Comma 6 2 2 2 2 3 4 2" xfId="44138" xr:uid="{00000000-0005-0000-0000-000008270000}"/>
    <cellStyle name="Comma 6 2 2 2 2 3 5" xfId="30075" xr:uid="{00000000-0005-0000-0000-000009270000}"/>
    <cellStyle name="Comma 6 2 2 2 2 4" xfId="2283" xr:uid="{00000000-0005-0000-0000-00000A270000}"/>
    <cellStyle name="Comma 6 2 2 2 2 4 2" xfId="11648" xr:uid="{00000000-0005-0000-0000-00000B270000}"/>
    <cellStyle name="Comma 6 2 2 2 2 4 2 2" xfId="37203" xr:uid="{00000000-0005-0000-0000-00000C270000}"/>
    <cellStyle name="Comma 6 2 2 2 2 4 3" xfId="21652" xr:uid="{00000000-0005-0000-0000-00000D270000}"/>
    <cellStyle name="Comma 6 2 2 2 2 4 3 2" xfId="47205" xr:uid="{00000000-0005-0000-0000-00000E270000}"/>
    <cellStyle name="Comma 6 2 2 2 2 4 4" xfId="28135" xr:uid="{00000000-0005-0000-0000-00000F270000}"/>
    <cellStyle name="Comma 6 2 2 2 2 5" xfId="5959" xr:uid="{00000000-0005-0000-0000-000010270000}"/>
    <cellStyle name="Comma 6 2 2 2 2 5 2" xfId="14786" xr:uid="{00000000-0005-0000-0000-000011270000}"/>
    <cellStyle name="Comma 6 2 2 2 2 5 2 2" xfId="40341" xr:uid="{00000000-0005-0000-0000-000012270000}"/>
    <cellStyle name="Comma 6 2 2 2 2 5 3" xfId="25037" xr:uid="{00000000-0005-0000-0000-000013270000}"/>
    <cellStyle name="Comma 6 2 2 2 2 5 3 2" xfId="50590" xr:uid="{00000000-0005-0000-0000-000014270000}"/>
    <cellStyle name="Comma 6 2 2 2 2 5 4" xfId="31520" xr:uid="{00000000-0005-0000-0000-000015270000}"/>
    <cellStyle name="Comma 6 2 2 2 2 6" xfId="7403" xr:uid="{00000000-0005-0000-0000-000016270000}"/>
    <cellStyle name="Comma 6 2 2 2 2 6 2" xfId="20134" xr:uid="{00000000-0005-0000-0000-000017270000}"/>
    <cellStyle name="Comma 6 2 2 2 2 6 2 2" xfId="45687" xr:uid="{00000000-0005-0000-0000-000018270000}"/>
    <cellStyle name="Comma 6 2 2 2 2 6 3" xfId="32960" xr:uid="{00000000-0005-0000-0000-000019270000}"/>
    <cellStyle name="Comma 6 2 2 2 2 7" xfId="16645" xr:uid="{00000000-0005-0000-0000-00001A270000}"/>
    <cellStyle name="Comma 6 2 2 2 2 7 2" xfId="42198" xr:uid="{00000000-0005-0000-0000-00001B270000}"/>
    <cellStyle name="Comma 6 2 2 2 2 8" xfId="26617" xr:uid="{00000000-0005-0000-0000-00001C270000}"/>
    <cellStyle name="Comma 6 2 2 2 3" xfId="1354" xr:uid="{00000000-0005-0000-0000-00001D270000}"/>
    <cellStyle name="Comma 6 2 2 2 3 2" xfId="3783" xr:uid="{00000000-0005-0000-0000-00001E270000}"/>
    <cellStyle name="Comma 6 2 2 2 3 2 2" xfId="12919" xr:uid="{00000000-0005-0000-0000-00001F270000}"/>
    <cellStyle name="Comma 6 2 2 2 3 2 2 2" xfId="23138" xr:uid="{00000000-0005-0000-0000-000020270000}"/>
    <cellStyle name="Comma 6 2 2 2 3 2 2 2 2" xfId="48691" xr:uid="{00000000-0005-0000-0000-000021270000}"/>
    <cellStyle name="Comma 6 2 2 2 3 2 2 3" xfId="38474" xr:uid="{00000000-0005-0000-0000-000022270000}"/>
    <cellStyle name="Comma 6 2 2 2 3 2 3" xfId="9340" xr:uid="{00000000-0005-0000-0000-000023270000}"/>
    <cellStyle name="Comma 6 2 2 2 3 2 3 2" xfId="34897" xr:uid="{00000000-0005-0000-0000-000024270000}"/>
    <cellStyle name="Comma 6 2 2 2 3 2 4" xfId="18131" xr:uid="{00000000-0005-0000-0000-000025270000}"/>
    <cellStyle name="Comma 6 2 2 2 3 2 4 2" xfId="43684" xr:uid="{00000000-0005-0000-0000-000026270000}"/>
    <cellStyle name="Comma 6 2 2 2 3 2 5" xfId="29621" xr:uid="{00000000-0005-0000-0000-000027270000}"/>
    <cellStyle name="Comma 6 2 2 2 3 3" xfId="4852" xr:uid="{00000000-0005-0000-0000-000028270000}"/>
    <cellStyle name="Comma 6 2 2 2 3 3 2" xfId="13689" xr:uid="{00000000-0005-0000-0000-000029270000}"/>
    <cellStyle name="Comma 6 2 2 2 3 3 2 2" xfId="23940" xr:uid="{00000000-0005-0000-0000-00002A270000}"/>
    <cellStyle name="Comma 6 2 2 2 3 3 2 2 2" xfId="49493" xr:uid="{00000000-0005-0000-0000-00002B270000}"/>
    <cellStyle name="Comma 6 2 2 2 3 3 2 3" xfId="39244" xr:uid="{00000000-0005-0000-0000-00002C270000}"/>
    <cellStyle name="Comma 6 2 2 2 3 3 3" xfId="10110" xr:uid="{00000000-0005-0000-0000-00002D270000}"/>
    <cellStyle name="Comma 6 2 2 2 3 3 3 2" xfId="35667" xr:uid="{00000000-0005-0000-0000-00002E270000}"/>
    <cellStyle name="Comma 6 2 2 2 3 3 4" xfId="18933" xr:uid="{00000000-0005-0000-0000-00002F270000}"/>
    <cellStyle name="Comma 6 2 2 2 3 3 4 2" xfId="44486" xr:uid="{00000000-0005-0000-0000-000030270000}"/>
    <cellStyle name="Comma 6 2 2 2 3 3 5" xfId="30423" xr:uid="{00000000-0005-0000-0000-000031270000}"/>
    <cellStyle name="Comma 6 2 2 2 3 4" xfId="2177" xr:uid="{00000000-0005-0000-0000-000032270000}"/>
    <cellStyle name="Comma 6 2 2 2 3 4 2" xfId="11542" xr:uid="{00000000-0005-0000-0000-000033270000}"/>
    <cellStyle name="Comma 6 2 2 2 3 4 2 2" xfId="37097" xr:uid="{00000000-0005-0000-0000-000034270000}"/>
    <cellStyle name="Comma 6 2 2 2 3 4 3" xfId="21546" xr:uid="{00000000-0005-0000-0000-000035270000}"/>
    <cellStyle name="Comma 6 2 2 2 3 4 3 2" xfId="47099" xr:uid="{00000000-0005-0000-0000-000036270000}"/>
    <cellStyle name="Comma 6 2 2 2 3 4 4" xfId="28029" xr:uid="{00000000-0005-0000-0000-000037270000}"/>
    <cellStyle name="Comma 6 2 2 2 3 5" xfId="6307" xr:uid="{00000000-0005-0000-0000-000038270000}"/>
    <cellStyle name="Comma 6 2 2 2 3 5 2" xfId="15134" xr:uid="{00000000-0005-0000-0000-000039270000}"/>
    <cellStyle name="Comma 6 2 2 2 3 5 2 2" xfId="40689" xr:uid="{00000000-0005-0000-0000-00003A270000}"/>
    <cellStyle name="Comma 6 2 2 2 3 5 3" xfId="25385" xr:uid="{00000000-0005-0000-0000-00003B270000}"/>
    <cellStyle name="Comma 6 2 2 2 3 5 3 2" xfId="50938" xr:uid="{00000000-0005-0000-0000-00003C270000}"/>
    <cellStyle name="Comma 6 2 2 2 3 5 4" xfId="31868" xr:uid="{00000000-0005-0000-0000-00003D270000}"/>
    <cellStyle name="Comma 6 2 2 2 3 6" xfId="7753" xr:uid="{00000000-0005-0000-0000-00003E270000}"/>
    <cellStyle name="Comma 6 2 2 2 3 6 2" xfId="20737" xr:uid="{00000000-0005-0000-0000-00003F270000}"/>
    <cellStyle name="Comma 6 2 2 2 3 6 2 2" xfId="46290" xr:uid="{00000000-0005-0000-0000-000040270000}"/>
    <cellStyle name="Comma 6 2 2 2 3 6 3" xfId="33310" xr:uid="{00000000-0005-0000-0000-000041270000}"/>
    <cellStyle name="Comma 6 2 2 2 3 7" xfId="16539" xr:uid="{00000000-0005-0000-0000-000042270000}"/>
    <cellStyle name="Comma 6 2 2 2 3 7 2" xfId="42092" xr:uid="{00000000-0005-0000-0000-000043270000}"/>
    <cellStyle name="Comma 6 2 2 2 3 8" xfId="27220" xr:uid="{00000000-0005-0000-0000-000044270000}"/>
    <cellStyle name="Comma 6 2 2 2 4" xfId="3068" xr:uid="{00000000-0005-0000-0000-000045270000}"/>
    <cellStyle name="Comma 6 2 2 2 4 2" xfId="5446" xr:uid="{00000000-0005-0000-0000-000046270000}"/>
    <cellStyle name="Comma 6 2 2 2 4 2 2" xfId="14283" xr:uid="{00000000-0005-0000-0000-000047270000}"/>
    <cellStyle name="Comma 6 2 2 2 4 2 2 2" xfId="24534" xr:uid="{00000000-0005-0000-0000-000048270000}"/>
    <cellStyle name="Comma 6 2 2 2 4 2 2 2 2" xfId="50087" xr:uid="{00000000-0005-0000-0000-000049270000}"/>
    <cellStyle name="Comma 6 2 2 2 4 2 2 3" xfId="39838" xr:uid="{00000000-0005-0000-0000-00004A270000}"/>
    <cellStyle name="Comma 6 2 2 2 4 2 3" xfId="10704" xr:uid="{00000000-0005-0000-0000-00004B270000}"/>
    <cellStyle name="Comma 6 2 2 2 4 2 3 2" xfId="36261" xr:uid="{00000000-0005-0000-0000-00004C270000}"/>
    <cellStyle name="Comma 6 2 2 2 4 2 4" xfId="19527" xr:uid="{00000000-0005-0000-0000-00004D270000}"/>
    <cellStyle name="Comma 6 2 2 2 4 2 4 2" xfId="45080" xr:uid="{00000000-0005-0000-0000-00004E270000}"/>
    <cellStyle name="Comma 6 2 2 2 4 2 5" xfId="31017" xr:uid="{00000000-0005-0000-0000-00004F270000}"/>
    <cellStyle name="Comma 6 2 2 2 4 3" xfId="6901" xr:uid="{00000000-0005-0000-0000-000050270000}"/>
    <cellStyle name="Comma 6 2 2 2 4 3 2" xfId="15728" xr:uid="{00000000-0005-0000-0000-000051270000}"/>
    <cellStyle name="Comma 6 2 2 2 4 3 2 2" xfId="41283" xr:uid="{00000000-0005-0000-0000-000052270000}"/>
    <cellStyle name="Comma 6 2 2 2 4 3 3" xfId="25979" xr:uid="{00000000-0005-0000-0000-000053270000}"/>
    <cellStyle name="Comma 6 2 2 2 4 3 3 2" xfId="51532" xr:uid="{00000000-0005-0000-0000-000054270000}"/>
    <cellStyle name="Comma 6 2 2 2 4 3 4" xfId="32462" xr:uid="{00000000-0005-0000-0000-000055270000}"/>
    <cellStyle name="Comma 6 2 2 2 4 4" xfId="8347" xr:uid="{00000000-0005-0000-0000-000056270000}"/>
    <cellStyle name="Comma 6 2 2 2 4 4 2" xfId="22429" xr:uid="{00000000-0005-0000-0000-000057270000}"/>
    <cellStyle name="Comma 6 2 2 2 4 4 2 2" xfId="47982" xr:uid="{00000000-0005-0000-0000-000058270000}"/>
    <cellStyle name="Comma 6 2 2 2 4 4 3" xfId="33904" xr:uid="{00000000-0005-0000-0000-000059270000}"/>
    <cellStyle name="Comma 6 2 2 2 4 5" xfId="17422" xr:uid="{00000000-0005-0000-0000-00005A270000}"/>
    <cellStyle name="Comma 6 2 2 2 4 5 2" xfId="42975" xr:uid="{00000000-0005-0000-0000-00005B270000}"/>
    <cellStyle name="Comma 6 2 2 2 4 6" xfId="28912" xr:uid="{00000000-0005-0000-0000-00005C270000}"/>
    <cellStyle name="Comma 6 2 2 2 5" xfId="4402" xr:uid="{00000000-0005-0000-0000-00005D270000}"/>
    <cellStyle name="Comma 6 2 2 2 5 2" xfId="13240" xr:uid="{00000000-0005-0000-0000-00005E270000}"/>
    <cellStyle name="Comma 6 2 2 2 5 2 2" xfId="23491" xr:uid="{00000000-0005-0000-0000-00005F270000}"/>
    <cellStyle name="Comma 6 2 2 2 5 2 2 2" xfId="49044" xr:uid="{00000000-0005-0000-0000-000060270000}"/>
    <cellStyle name="Comma 6 2 2 2 5 2 3" xfId="38795" xr:uid="{00000000-0005-0000-0000-000061270000}"/>
    <cellStyle name="Comma 6 2 2 2 5 3" xfId="9661" xr:uid="{00000000-0005-0000-0000-000062270000}"/>
    <cellStyle name="Comma 6 2 2 2 5 3 2" xfId="35218" xr:uid="{00000000-0005-0000-0000-000063270000}"/>
    <cellStyle name="Comma 6 2 2 2 5 4" xfId="18484" xr:uid="{00000000-0005-0000-0000-000064270000}"/>
    <cellStyle name="Comma 6 2 2 2 5 4 2" xfId="44037" xr:uid="{00000000-0005-0000-0000-000065270000}"/>
    <cellStyle name="Comma 6 2 2 2 5 5" xfId="29974" xr:uid="{00000000-0005-0000-0000-000066270000}"/>
    <cellStyle name="Comma 6 2 2 2 6" xfId="1674" xr:uid="{00000000-0005-0000-0000-000067270000}"/>
    <cellStyle name="Comma 6 2 2 2 6 2" xfId="11051" xr:uid="{00000000-0005-0000-0000-000068270000}"/>
    <cellStyle name="Comma 6 2 2 2 6 2 2" xfId="36606" xr:uid="{00000000-0005-0000-0000-000069270000}"/>
    <cellStyle name="Comma 6 2 2 2 6 3" xfId="21055" xr:uid="{00000000-0005-0000-0000-00006A270000}"/>
    <cellStyle name="Comma 6 2 2 2 6 3 2" xfId="46608" xr:uid="{00000000-0005-0000-0000-00006B270000}"/>
    <cellStyle name="Comma 6 2 2 2 6 4" xfId="27538" xr:uid="{00000000-0005-0000-0000-00006C270000}"/>
    <cellStyle name="Comma 6 2 2 2 7" xfId="5858" xr:uid="{00000000-0005-0000-0000-00006D270000}"/>
    <cellStyle name="Comma 6 2 2 2 7 2" xfId="14685" xr:uid="{00000000-0005-0000-0000-00006E270000}"/>
    <cellStyle name="Comma 6 2 2 2 7 2 2" xfId="40240" xr:uid="{00000000-0005-0000-0000-00006F270000}"/>
    <cellStyle name="Comma 6 2 2 2 7 3" xfId="24936" xr:uid="{00000000-0005-0000-0000-000070270000}"/>
    <cellStyle name="Comma 6 2 2 2 7 3 2" xfId="50489" xr:uid="{00000000-0005-0000-0000-000071270000}"/>
    <cellStyle name="Comma 6 2 2 2 7 4" xfId="31419" xr:uid="{00000000-0005-0000-0000-000072270000}"/>
    <cellStyle name="Comma 6 2 2 2 8" xfId="7302" xr:uid="{00000000-0005-0000-0000-000073270000}"/>
    <cellStyle name="Comma 6 2 2 2 8 2" xfId="20028" xr:uid="{00000000-0005-0000-0000-000074270000}"/>
    <cellStyle name="Comma 6 2 2 2 8 2 2" xfId="45581" xr:uid="{00000000-0005-0000-0000-000075270000}"/>
    <cellStyle name="Comma 6 2 2 2 8 3" xfId="32859" xr:uid="{00000000-0005-0000-0000-000076270000}"/>
    <cellStyle name="Comma 6 2 2 2 9" xfId="16048" xr:uid="{00000000-0005-0000-0000-000077270000}"/>
    <cellStyle name="Comma 6 2 2 2 9 2" xfId="41601" xr:uid="{00000000-0005-0000-0000-000078270000}"/>
    <cellStyle name="Comma 6 2 2 3" xfId="378" xr:uid="{00000000-0005-0000-0000-000079270000}"/>
    <cellStyle name="Comma 6 2 2 3 2" xfId="2864" xr:uid="{00000000-0005-0000-0000-00007A270000}"/>
    <cellStyle name="Comma 6 2 2 3 2 2" xfId="12152" xr:uid="{00000000-0005-0000-0000-00007B270000}"/>
    <cellStyle name="Comma 6 2 2 3 2 2 2" xfId="22225" xr:uid="{00000000-0005-0000-0000-00007C270000}"/>
    <cellStyle name="Comma 6 2 2 3 2 2 2 2" xfId="47778" xr:uid="{00000000-0005-0000-0000-00007D270000}"/>
    <cellStyle name="Comma 6 2 2 3 2 2 3" xfId="37707" xr:uid="{00000000-0005-0000-0000-00007E270000}"/>
    <cellStyle name="Comma 6 2 2 3 2 3" xfId="8394" xr:uid="{00000000-0005-0000-0000-00007F270000}"/>
    <cellStyle name="Comma 6 2 2 3 2 3 2" xfId="33951" xr:uid="{00000000-0005-0000-0000-000080270000}"/>
    <cellStyle name="Comma 6 2 2 3 2 4" xfId="17218" xr:uid="{00000000-0005-0000-0000-000081270000}"/>
    <cellStyle name="Comma 6 2 2 3 2 4 2" xfId="42771" xr:uid="{00000000-0005-0000-0000-000082270000}"/>
    <cellStyle name="Comma 6 2 2 3 2 5" xfId="28708" xr:uid="{00000000-0005-0000-0000-000083270000}"/>
    <cellStyle name="Comma 6 2 2 3 3" xfId="4502" xr:uid="{00000000-0005-0000-0000-000084270000}"/>
    <cellStyle name="Comma 6 2 2 3 3 2" xfId="13340" xr:uid="{00000000-0005-0000-0000-000085270000}"/>
    <cellStyle name="Comma 6 2 2 3 3 2 2" xfId="23591" xr:uid="{00000000-0005-0000-0000-000086270000}"/>
    <cellStyle name="Comma 6 2 2 3 3 2 2 2" xfId="49144" xr:uid="{00000000-0005-0000-0000-000087270000}"/>
    <cellStyle name="Comma 6 2 2 3 3 2 3" xfId="38895" xr:uid="{00000000-0005-0000-0000-000088270000}"/>
    <cellStyle name="Comma 6 2 2 3 3 3" xfId="9761" xr:uid="{00000000-0005-0000-0000-000089270000}"/>
    <cellStyle name="Comma 6 2 2 3 3 3 2" xfId="35318" xr:uid="{00000000-0005-0000-0000-00008A270000}"/>
    <cellStyle name="Comma 6 2 2 3 3 4" xfId="18584" xr:uid="{00000000-0005-0000-0000-00008B270000}"/>
    <cellStyle name="Comma 6 2 2 3 3 4 2" xfId="44137" xr:uid="{00000000-0005-0000-0000-00008C270000}"/>
    <cellStyle name="Comma 6 2 2 3 3 5" xfId="30074" xr:uid="{00000000-0005-0000-0000-00008D270000}"/>
    <cellStyle name="Comma 6 2 2 3 4" xfId="1973" xr:uid="{00000000-0005-0000-0000-00008E270000}"/>
    <cellStyle name="Comma 6 2 2 3 4 2" xfId="11338" xr:uid="{00000000-0005-0000-0000-00008F270000}"/>
    <cellStyle name="Comma 6 2 2 3 4 2 2" xfId="36893" xr:uid="{00000000-0005-0000-0000-000090270000}"/>
    <cellStyle name="Comma 6 2 2 3 4 3" xfId="21342" xr:uid="{00000000-0005-0000-0000-000091270000}"/>
    <cellStyle name="Comma 6 2 2 3 4 3 2" xfId="46895" xr:uid="{00000000-0005-0000-0000-000092270000}"/>
    <cellStyle name="Comma 6 2 2 3 4 4" xfId="27825" xr:uid="{00000000-0005-0000-0000-000093270000}"/>
    <cellStyle name="Comma 6 2 2 3 5" xfId="5958" xr:uid="{00000000-0005-0000-0000-000094270000}"/>
    <cellStyle name="Comma 6 2 2 3 5 2" xfId="14785" xr:uid="{00000000-0005-0000-0000-000095270000}"/>
    <cellStyle name="Comma 6 2 2 3 5 2 2" xfId="40340" xr:uid="{00000000-0005-0000-0000-000096270000}"/>
    <cellStyle name="Comma 6 2 2 3 5 3" xfId="25036" xr:uid="{00000000-0005-0000-0000-000097270000}"/>
    <cellStyle name="Comma 6 2 2 3 5 3 2" xfId="50589" xr:uid="{00000000-0005-0000-0000-000098270000}"/>
    <cellStyle name="Comma 6 2 2 3 5 4" xfId="31519" xr:uid="{00000000-0005-0000-0000-000099270000}"/>
    <cellStyle name="Comma 6 2 2 3 6" xfId="7402" xr:uid="{00000000-0005-0000-0000-00009A270000}"/>
    <cellStyle name="Comma 6 2 2 3 6 2" xfId="19824" xr:uid="{00000000-0005-0000-0000-00009B270000}"/>
    <cellStyle name="Comma 6 2 2 3 6 2 2" xfId="45377" xr:uid="{00000000-0005-0000-0000-00009C270000}"/>
    <cellStyle name="Comma 6 2 2 3 6 3" xfId="32959" xr:uid="{00000000-0005-0000-0000-00009D270000}"/>
    <cellStyle name="Comma 6 2 2 3 7" xfId="16335" xr:uid="{00000000-0005-0000-0000-00009E270000}"/>
    <cellStyle name="Comma 6 2 2 3 7 2" xfId="41888" xr:uid="{00000000-0005-0000-0000-00009F270000}"/>
    <cellStyle name="Comma 6 2 2 3 8" xfId="26307" xr:uid="{00000000-0005-0000-0000-0000A0270000}"/>
    <cellStyle name="Comma 6 2 2 4" xfId="687" xr:uid="{00000000-0005-0000-0000-0000A1270000}"/>
    <cellStyle name="Comma 6 2 2 4 2" xfId="3173" xr:uid="{00000000-0005-0000-0000-0000A2270000}"/>
    <cellStyle name="Comma 6 2 2 4 2 2" xfId="12316" xr:uid="{00000000-0005-0000-0000-0000A3270000}"/>
    <cellStyle name="Comma 6 2 2 4 2 2 2" xfId="22534" xr:uid="{00000000-0005-0000-0000-0000A4270000}"/>
    <cellStyle name="Comma 6 2 2 4 2 2 2 2" xfId="48087" xr:uid="{00000000-0005-0000-0000-0000A5270000}"/>
    <cellStyle name="Comma 6 2 2 4 2 2 3" xfId="37871" xr:uid="{00000000-0005-0000-0000-0000A6270000}"/>
    <cellStyle name="Comma 6 2 2 4 2 3" xfId="8738" xr:uid="{00000000-0005-0000-0000-0000A7270000}"/>
    <cellStyle name="Comma 6 2 2 4 2 3 2" xfId="34295" xr:uid="{00000000-0005-0000-0000-0000A8270000}"/>
    <cellStyle name="Comma 6 2 2 4 2 4" xfId="17527" xr:uid="{00000000-0005-0000-0000-0000A9270000}"/>
    <cellStyle name="Comma 6 2 2 4 2 4 2" xfId="43080" xr:uid="{00000000-0005-0000-0000-0000AA270000}"/>
    <cellStyle name="Comma 6 2 2 4 2 5" xfId="29017" xr:uid="{00000000-0005-0000-0000-0000AB270000}"/>
    <cellStyle name="Comma 6 2 2 4 3" xfId="4851" xr:uid="{00000000-0005-0000-0000-0000AC270000}"/>
    <cellStyle name="Comma 6 2 2 4 3 2" xfId="13688" xr:uid="{00000000-0005-0000-0000-0000AD270000}"/>
    <cellStyle name="Comma 6 2 2 4 3 2 2" xfId="23939" xr:uid="{00000000-0005-0000-0000-0000AE270000}"/>
    <cellStyle name="Comma 6 2 2 4 3 2 2 2" xfId="49492" xr:uid="{00000000-0005-0000-0000-0000AF270000}"/>
    <cellStyle name="Comma 6 2 2 4 3 2 3" xfId="39243" xr:uid="{00000000-0005-0000-0000-0000B0270000}"/>
    <cellStyle name="Comma 6 2 2 4 3 3" xfId="10109" xr:uid="{00000000-0005-0000-0000-0000B1270000}"/>
    <cellStyle name="Comma 6 2 2 4 3 3 2" xfId="35666" xr:uid="{00000000-0005-0000-0000-0000B2270000}"/>
    <cellStyle name="Comma 6 2 2 4 3 4" xfId="18932" xr:uid="{00000000-0005-0000-0000-0000B3270000}"/>
    <cellStyle name="Comma 6 2 2 4 3 4 2" xfId="44485" xr:uid="{00000000-0005-0000-0000-0000B4270000}"/>
    <cellStyle name="Comma 6 2 2 4 3 5" xfId="30422" xr:uid="{00000000-0005-0000-0000-0000B5270000}"/>
    <cellStyle name="Comma 6 2 2 4 4" xfId="2282" xr:uid="{00000000-0005-0000-0000-0000B6270000}"/>
    <cellStyle name="Comma 6 2 2 4 4 2" xfId="11647" xr:uid="{00000000-0005-0000-0000-0000B7270000}"/>
    <cellStyle name="Comma 6 2 2 4 4 2 2" xfId="37202" xr:uid="{00000000-0005-0000-0000-0000B8270000}"/>
    <cellStyle name="Comma 6 2 2 4 4 3" xfId="21651" xr:uid="{00000000-0005-0000-0000-0000B9270000}"/>
    <cellStyle name="Comma 6 2 2 4 4 3 2" xfId="47204" xr:uid="{00000000-0005-0000-0000-0000BA270000}"/>
    <cellStyle name="Comma 6 2 2 4 4 4" xfId="28134" xr:uid="{00000000-0005-0000-0000-0000BB270000}"/>
    <cellStyle name="Comma 6 2 2 4 5" xfId="6306" xr:uid="{00000000-0005-0000-0000-0000BC270000}"/>
    <cellStyle name="Comma 6 2 2 4 5 2" xfId="15133" xr:uid="{00000000-0005-0000-0000-0000BD270000}"/>
    <cellStyle name="Comma 6 2 2 4 5 2 2" xfId="40688" xr:uid="{00000000-0005-0000-0000-0000BE270000}"/>
    <cellStyle name="Comma 6 2 2 4 5 3" xfId="25384" xr:uid="{00000000-0005-0000-0000-0000BF270000}"/>
    <cellStyle name="Comma 6 2 2 4 5 3 2" xfId="50937" xr:uid="{00000000-0005-0000-0000-0000C0270000}"/>
    <cellStyle name="Comma 6 2 2 4 5 4" xfId="31867" xr:uid="{00000000-0005-0000-0000-0000C1270000}"/>
    <cellStyle name="Comma 6 2 2 4 6" xfId="7752" xr:uid="{00000000-0005-0000-0000-0000C2270000}"/>
    <cellStyle name="Comma 6 2 2 4 6 2" xfId="20133" xr:uid="{00000000-0005-0000-0000-0000C3270000}"/>
    <cellStyle name="Comma 6 2 2 4 6 2 2" xfId="45686" xr:uid="{00000000-0005-0000-0000-0000C4270000}"/>
    <cellStyle name="Comma 6 2 2 4 6 3" xfId="33309" xr:uid="{00000000-0005-0000-0000-0000C5270000}"/>
    <cellStyle name="Comma 6 2 2 4 7" xfId="16644" xr:uid="{00000000-0005-0000-0000-0000C6270000}"/>
    <cellStyle name="Comma 6 2 2 4 7 2" xfId="42197" xr:uid="{00000000-0005-0000-0000-0000C7270000}"/>
    <cellStyle name="Comma 6 2 2 4 8" xfId="26616" xr:uid="{00000000-0005-0000-0000-0000C8270000}"/>
    <cellStyle name="Comma 6 2 2 5" xfId="1150" xr:uid="{00000000-0005-0000-0000-0000C9270000}"/>
    <cellStyle name="Comma 6 2 2 5 2" xfId="3579" xr:uid="{00000000-0005-0000-0000-0000CA270000}"/>
    <cellStyle name="Comma 6 2 2 5 2 2" xfId="12715" xr:uid="{00000000-0005-0000-0000-0000CB270000}"/>
    <cellStyle name="Comma 6 2 2 5 2 2 2" xfId="22934" xr:uid="{00000000-0005-0000-0000-0000CC270000}"/>
    <cellStyle name="Comma 6 2 2 5 2 2 2 2" xfId="48487" xr:uid="{00000000-0005-0000-0000-0000CD270000}"/>
    <cellStyle name="Comma 6 2 2 5 2 2 3" xfId="38270" xr:uid="{00000000-0005-0000-0000-0000CE270000}"/>
    <cellStyle name="Comma 6 2 2 5 2 3" xfId="9136" xr:uid="{00000000-0005-0000-0000-0000CF270000}"/>
    <cellStyle name="Comma 6 2 2 5 2 3 2" xfId="34693" xr:uid="{00000000-0005-0000-0000-0000D0270000}"/>
    <cellStyle name="Comma 6 2 2 5 2 4" xfId="17927" xr:uid="{00000000-0005-0000-0000-0000D1270000}"/>
    <cellStyle name="Comma 6 2 2 5 2 4 2" xfId="43480" xr:uid="{00000000-0005-0000-0000-0000D2270000}"/>
    <cellStyle name="Comma 6 2 2 5 2 5" xfId="29417" xr:uid="{00000000-0005-0000-0000-0000D3270000}"/>
    <cellStyle name="Comma 6 2 2 5 3" xfId="5242" xr:uid="{00000000-0005-0000-0000-0000D4270000}"/>
    <cellStyle name="Comma 6 2 2 5 3 2" xfId="14079" xr:uid="{00000000-0005-0000-0000-0000D5270000}"/>
    <cellStyle name="Comma 6 2 2 5 3 2 2" xfId="24330" xr:uid="{00000000-0005-0000-0000-0000D6270000}"/>
    <cellStyle name="Comma 6 2 2 5 3 2 2 2" xfId="49883" xr:uid="{00000000-0005-0000-0000-0000D7270000}"/>
    <cellStyle name="Comma 6 2 2 5 3 2 3" xfId="39634" xr:uid="{00000000-0005-0000-0000-0000D8270000}"/>
    <cellStyle name="Comma 6 2 2 5 3 3" xfId="10500" xr:uid="{00000000-0005-0000-0000-0000D9270000}"/>
    <cellStyle name="Comma 6 2 2 5 3 3 2" xfId="36057" xr:uid="{00000000-0005-0000-0000-0000DA270000}"/>
    <cellStyle name="Comma 6 2 2 5 3 4" xfId="19323" xr:uid="{00000000-0005-0000-0000-0000DB270000}"/>
    <cellStyle name="Comma 6 2 2 5 3 4 2" xfId="44876" xr:uid="{00000000-0005-0000-0000-0000DC270000}"/>
    <cellStyle name="Comma 6 2 2 5 3 5" xfId="30813" xr:uid="{00000000-0005-0000-0000-0000DD270000}"/>
    <cellStyle name="Comma 6 2 2 5 4" xfId="1857" xr:uid="{00000000-0005-0000-0000-0000DE270000}"/>
    <cellStyle name="Comma 6 2 2 5 4 2" xfId="11225" xr:uid="{00000000-0005-0000-0000-0000DF270000}"/>
    <cellStyle name="Comma 6 2 2 5 4 2 2" xfId="36780" xr:uid="{00000000-0005-0000-0000-0000E0270000}"/>
    <cellStyle name="Comma 6 2 2 5 4 3" xfId="21229" xr:uid="{00000000-0005-0000-0000-0000E1270000}"/>
    <cellStyle name="Comma 6 2 2 5 4 3 2" xfId="46782" xr:uid="{00000000-0005-0000-0000-0000E2270000}"/>
    <cellStyle name="Comma 6 2 2 5 4 4" xfId="27712" xr:uid="{00000000-0005-0000-0000-0000E3270000}"/>
    <cellStyle name="Comma 6 2 2 5 5" xfId="6697" xr:uid="{00000000-0005-0000-0000-0000E4270000}"/>
    <cellStyle name="Comma 6 2 2 5 5 2" xfId="15524" xr:uid="{00000000-0005-0000-0000-0000E5270000}"/>
    <cellStyle name="Comma 6 2 2 5 5 2 2" xfId="41079" xr:uid="{00000000-0005-0000-0000-0000E6270000}"/>
    <cellStyle name="Comma 6 2 2 5 5 3" xfId="25775" xr:uid="{00000000-0005-0000-0000-0000E7270000}"/>
    <cellStyle name="Comma 6 2 2 5 5 3 2" xfId="51328" xr:uid="{00000000-0005-0000-0000-0000E8270000}"/>
    <cellStyle name="Comma 6 2 2 5 5 4" xfId="32258" xr:uid="{00000000-0005-0000-0000-0000E9270000}"/>
    <cellStyle name="Comma 6 2 2 5 6" xfId="8143" xr:uid="{00000000-0005-0000-0000-0000EA270000}"/>
    <cellStyle name="Comma 6 2 2 5 6 2" xfId="20533" xr:uid="{00000000-0005-0000-0000-0000EB270000}"/>
    <cellStyle name="Comma 6 2 2 5 6 2 2" xfId="46086" xr:uid="{00000000-0005-0000-0000-0000EC270000}"/>
    <cellStyle name="Comma 6 2 2 5 6 3" xfId="33700" xr:uid="{00000000-0005-0000-0000-0000ED270000}"/>
    <cellStyle name="Comma 6 2 2 5 7" xfId="16222" xr:uid="{00000000-0005-0000-0000-0000EE270000}"/>
    <cellStyle name="Comma 6 2 2 5 7 2" xfId="41775" xr:uid="{00000000-0005-0000-0000-0000EF270000}"/>
    <cellStyle name="Comma 6 2 2 5 8" xfId="27016" xr:uid="{00000000-0005-0000-0000-0000F0270000}"/>
    <cellStyle name="Comma 6 2 2 6" xfId="2751" xr:uid="{00000000-0005-0000-0000-0000F1270000}"/>
    <cellStyle name="Comma 6 2 2 6 2" xfId="12068" xr:uid="{00000000-0005-0000-0000-0000F2270000}"/>
    <cellStyle name="Comma 6 2 2 6 2 2" xfId="22112" xr:uid="{00000000-0005-0000-0000-0000F3270000}"/>
    <cellStyle name="Comma 6 2 2 6 2 2 2" xfId="47665" xr:uid="{00000000-0005-0000-0000-0000F4270000}"/>
    <cellStyle name="Comma 6 2 2 6 2 3" xfId="37623" xr:uid="{00000000-0005-0000-0000-0000F5270000}"/>
    <cellStyle name="Comma 6 2 2 6 3" xfId="8435" xr:uid="{00000000-0005-0000-0000-0000F6270000}"/>
    <cellStyle name="Comma 6 2 2 6 3 2" xfId="33992" xr:uid="{00000000-0005-0000-0000-0000F7270000}"/>
    <cellStyle name="Comma 6 2 2 6 4" xfId="17105" xr:uid="{00000000-0005-0000-0000-0000F8270000}"/>
    <cellStyle name="Comma 6 2 2 6 4 2" xfId="42658" xr:uid="{00000000-0005-0000-0000-0000F9270000}"/>
    <cellStyle name="Comma 6 2 2 6 5" xfId="28595" xr:uid="{00000000-0005-0000-0000-0000FA270000}"/>
    <cellStyle name="Comma 6 2 2 7" xfId="4198" xr:uid="{00000000-0005-0000-0000-0000FB270000}"/>
    <cellStyle name="Comma 6 2 2 7 2" xfId="13036" xr:uid="{00000000-0005-0000-0000-0000FC270000}"/>
    <cellStyle name="Comma 6 2 2 7 2 2" xfId="23287" xr:uid="{00000000-0005-0000-0000-0000FD270000}"/>
    <cellStyle name="Comma 6 2 2 7 2 2 2" xfId="48840" xr:uid="{00000000-0005-0000-0000-0000FE270000}"/>
    <cellStyle name="Comma 6 2 2 7 2 3" xfId="38591" xr:uid="{00000000-0005-0000-0000-0000FF270000}"/>
    <cellStyle name="Comma 6 2 2 7 3" xfId="9457" xr:uid="{00000000-0005-0000-0000-000000280000}"/>
    <cellStyle name="Comma 6 2 2 7 3 2" xfId="35014" xr:uid="{00000000-0005-0000-0000-000001280000}"/>
    <cellStyle name="Comma 6 2 2 7 4" xfId="18280" xr:uid="{00000000-0005-0000-0000-000002280000}"/>
    <cellStyle name="Comma 6 2 2 7 4 2" xfId="43833" xr:uid="{00000000-0005-0000-0000-000003280000}"/>
    <cellStyle name="Comma 6 2 2 7 5" xfId="29770" xr:uid="{00000000-0005-0000-0000-000004280000}"/>
    <cellStyle name="Comma 6 2 2 8" xfId="1470" xr:uid="{00000000-0005-0000-0000-000005280000}"/>
    <cellStyle name="Comma 6 2 2 8 2" xfId="10847" xr:uid="{00000000-0005-0000-0000-000006280000}"/>
    <cellStyle name="Comma 6 2 2 8 2 2" xfId="36402" xr:uid="{00000000-0005-0000-0000-000007280000}"/>
    <cellStyle name="Comma 6 2 2 8 3" xfId="20851" xr:uid="{00000000-0005-0000-0000-000008280000}"/>
    <cellStyle name="Comma 6 2 2 8 3 2" xfId="46404" xr:uid="{00000000-0005-0000-0000-000009280000}"/>
    <cellStyle name="Comma 6 2 2 8 4" xfId="27334" xr:uid="{00000000-0005-0000-0000-00000A280000}"/>
    <cellStyle name="Comma 6 2 2 9" xfId="5654" xr:uid="{00000000-0005-0000-0000-00000B280000}"/>
    <cellStyle name="Comma 6 2 2 9 2" xfId="14481" xr:uid="{00000000-0005-0000-0000-00000C280000}"/>
    <cellStyle name="Comma 6 2 2 9 2 2" xfId="40036" xr:uid="{00000000-0005-0000-0000-00000D280000}"/>
    <cellStyle name="Comma 6 2 2 9 3" xfId="24732" xr:uid="{00000000-0005-0000-0000-00000E280000}"/>
    <cellStyle name="Comma 6 2 2 9 3 2" xfId="50285" xr:uid="{00000000-0005-0000-0000-00000F280000}"/>
    <cellStyle name="Comma 6 2 2 9 4" xfId="31215" xr:uid="{00000000-0005-0000-0000-000010280000}"/>
    <cellStyle name="Comma 6 2 3" xfId="214" xr:uid="{00000000-0005-0000-0000-000011280000}"/>
    <cellStyle name="Comma 6 2 3 10" xfId="16006" xr:uid="{00000000-0005-0000-0000-000012280000}"/>
    <cellStyle name="Comma 6 2 3 10 2" xfId="41559" xr:uid="{00000000-0005-0000-0000-000013280000}"/>
    <cellStyle name="Comma 6 2 3 11" xfId="26152" xr:uid="{00000000-0005-0000-0000-000014280000}"/>
    <cellStyle name="Comma 6 2 3 2" xfId="540" xr:uid="{00000000-0005-0000-0000-000015280000}"/>
    <cellStyle name="Comma 6 2 3 2 2" xfId="3026" xr:uid="{00000000-0005-0000-0000-000016280000}"/>
    <cellStyle name="Comma 6 2 3 2 2 2" xfId="12214" xr:uid="{00000000-0005-0000-0000-000017280000}"/>
    <cellStyle name="Comma 6 2 3 2 2 2 2" xfId="22387" xr:uid="{00000000-0005-0000-0000-000018280000}"/>
    <cellStyle name="Comma 6 2 3 2 2 2 2 2" xfId="47940" xr:uid="{00000000-0005-0000-0000-000019280000}"/>
    <cellStyle name="Comma 6 2 3 2 2 2 3" xfId="37769" xr:uid="{00000000-0005-0000-0000-00001A280000}"/>
    <cellStyle name="Comma 6 2 3 2 2 3" xfId="6935" xr:uid="{00000000-0005-0000-0000-00001B280000}"/>
    <cellStyle name="Comma 6 2 3 2 2 3 2" xfId="32493" xr:uid="{00000000-0005-0000-0000-00001C280000}"/>
    <cellStyle name="Comma 6 2 3 2 2 4" xfId="17380" xr:uid="{00000000-0005-0000-0000-00001D280000}"/>
    <cellStyle name="Comma 6 2 3 2 2 4 2" xfId="42933" xr:uid="{00000000-0005-0000-0000-00001E280000}"/>
    <cellStyle name="Comma 6 2 3 2 2 5" xfId="28870" xr:uid="{00000000-0005-0000-0000-00001F280000}"/>
    <cellStyle name="Comma 6 2 3 2 3" xfId="4504" xr:uid="{00000000-0005-0000-0000-000020280000}"/>
    <cellStyle name="Comma 6 2 3 2 3 2" xfId="13342" xr:uid="{00000000-0005-0000-0000-000021280000}"/>
    <cellStyle name="Comma 6 2 3 2 3 2 2" xfId="23593" xr:uid="{00000000-0005-0000-0000-000022280000}"/>
    <cellStyle name="Comma 6 2 3 2 3 2 2 2" xfId="49146" xr:uid="{00000000-0005-0000-0000-000023280000}"/>
    <cellStyle name="Comma 6 2 3 2 3 2 3" xfId="38897" xr:uid="{00000000-0005-0000-0000-000024280000}"/>
    <cellStyle name="Comma 6 2 3 2 3 3" xfId="9763" xr:uid="{00000000-0005-0000-0000-000025280000}"/>
    <cellStyle name="Comma 6 2 3 2 3 3 2" xfId="35320" xr:uid="{00000000-0005-0000-0000-000026280000}"/>
    <cellStyle name="Comma 6 2 3 2 3 4" xfId="18586" xr:uid="{00000000-0005-0000-0000-000027280000}"/>
    <cellStyle name="Comma 6 2 3 2 3 4 2" xfId="44139" xr:uid="{00000000-0005-0000-0000-000028280000}"/>
    <cellStyle name="Comma 6 2 3 2 3 5" xfId="30076" xr:uid="{00000000-0005-0000-0000-000029280000}"/>
    <cellStyle name="Comma 6 2 3 2 4" xfId="2135" xr:uid="{00000000-0005-0000-0000-00002A280000}"/>
    <cellStyle name="Comma 6 2 3 2 4 2" xfId="11500" xr:uid="{00000000-0005-0000-0000-00002B280000}"/>
    <cellStyle name="Comma 6 2 3 2 4 2 2" xfId="37055" xr:uid="{00000000-0005-0000-0000-00002C280000}"/>
    <cellStyle name="Comma 6 2 3 2 4 3" xfId="21504" xr:uid="{00000000-0005-0000-0000-00002D280000}"/>
    <cellStyle name="Comma 6 2 3 2 4 3 2" xfId="47057" xr:uid="{00000000-0005-0000-0000-00002E280000}"/>
    <cellStyle name="Comma 6 2 3 2 4 4" xfId="27987" xr:uid="{00000000-0005-0000-0000-00002F280000}"/>
    <cellStyle name="Comma 6 2 3 2 5" xfId="5960" xr:uid="{00000000-0005-0000-0000-000030280000}"/>
    <cellStyle name="Comma 6 2 3 2 5 2" xfId="14787" xr:uid="{00000000-0005-0000-0000-000031280000}"/>
    <cellStyle name="Comma 6 2 3 2 5 2 2" xfId="40342" xr:uid="{00000000-0005-0000-0000-000032280000}"/>
    <cellStyle name="Comma 6 2 3 2 5 3" xfId="25038" xr:uid="{00000000-0005-0000-0000-000033280000}"/>
    <cellStyle name="Comma 6 2 3 2 5 3 2" xfId="50591" xr:uid="{00000000-0005-0000-0000-000034280000}"/>
    <cellStyle name="Comma 6 2 3 2 5 4" xfId="31521" xr:uid="{00000000-0005-0000-0000-000035280000}"/>
    <cellStyle name="Comma 6 2 3 2 6" xfId="7404" xr:uid="{00000000-0005-0000-0000-000036280000}"/>
    <cellStyle name="Comma 6 2 3 2 6 2" xfId="19986" xr:uid="{00000000-0005-0000-0000-000037280000}"/>
    <cellStyle name="Comma 6 2 3 2 6 2 2" xfId="45539" xr:uid="{00000000-0005-0000-0000-000038280000}"/>
    <cellStyle name="Comma 6 2 3 2 6 3" xfId="32961" xr:uid="{00000000-0005-0000-0000-000039280000}"/>
    <cellStyle name="Comma 6 2 3 2 7" xfId="16497" xr:uid="{00000000-0005-0000-0000-00003A280000}"/>
    <cellStyle name="Comma 6 2 3 2 7 2" xfId="42050" xr:uid="{00000000-0005-0000-0000-00003B280000}"/>
    <cellStyle name="Comma 6 2 3 2 8" xfId="26469" xr:uid="{00000000-0005-0000-0000-00003C280000}"/>
    <cellStyle name="Comma 6 2 3 3" xfId="689" xr:uid="{00000000-0005-0000-0000-00003D280000}"/>
    <cellStyle name="Comma 6 2 3 3 2" xfId="3175" xr:uid="{00000000-0005-0000-0000-00003E280000}"/>
    <cellStyle name="Comma 6 2 3 3 2 2" xfId="12318" xr:uid="{00000000-0005-0000-0000-00003F280000}"/>
    <cellStyle name="Comma 6 2 3 3 2 2 2" xfId="22536" xr:uid="{00000000-0005-0000-0000-000040280000}"/>
    <cellStyle name="Comma 6 2 3 3 2 2 2 2" xfId="48089" xr:uid="{00000000-0005-0000-0000-000041280000}"/>
    <cellStyle name="Comma 6 2 3 3 2 2 3" xfId="37873" xr:uid="{00000000-0005-0000-0000-000042280000}"/>
    <cellStyle name="Comma 6 2 3 3 2 3" xfId="8740" xr:uid="{00000000-0005-0000-0000-000043280000}"/>
    <cellStyle name="Comma 6 2 3 3 2 3 2" xfId="34297" xr:uid="{00000000-0005-0000-0000-000044280000}"/>
    <cellStyle name="Comma 6 2 3 3 2 4" xfId="17529" xr:uid="{00000000-0005-0000-0000-000045280000}"/>
    <cellStyle name="Comma 6 2 3 3 2 4 2" xfId="43082" xr:uid="{00000000-0005-0000-0000-000046280000}"/>
    <cellStyle name="Comma 6 2 3 3 2 5" xfId="29019" xr:uid="{00000000-0005-0000-0000-000047280000}"/>
    <cellStyle name="Comma 6 2 3 3 3" xfId="4853" xr:uid="{00000000-0005-0000-0000-000048280000}"/>
    <cellStyle name="Comma 6 2 3 3 3 2" xfId="13690" xr:uid="{00000000-0005-0000-0000-000049280000}"/>
    <cellStyle name="Comma 6 2 3 3 3 2 2" xfId="23941" xr:uid="{00000000-0005-0000-0000-00004A280000}"/>
    <cellStyle name="Comma 6 2 3 3 3 2 2 2" xfId="49494" xr:uid="{00000000-0005-0000-0000-00004B280000}"/>
    <cellStyle name="Comma 6 2 3 3 3 2 3" xfId="39245" xr:uid="{00000000-0005-0000-0000-00004C280000}"/>
    <cellStyle name="Comma 6 2 3 3 3 3" xfId="10111" xr:uid="{00000000-0005-0000-0000-00004D280000}"/>
    <cellStyle name="Comma 6 2 3 3 3 3 2" xfId="35668" xr:uid="{00000000-0005-0000-0000-00004E280000}"/>
    <cellStyle name="Comma 6 2 3 3 3 4" xfId="18934" xr:uid="{00000000-0005-0000-0000-00004F280000}"/>
    <cellStyle name="Comma 6 2 3 3 3 4 2" xfId="44487" xr:uid="{00000000-0005-0000-0000-000050280000}"/>
    <cellStyle name="Comma 6 2 3 3 3 5" xfId="30424" xr:uid="{00000000-0005-0000-0000-000051280000}"/>
    <cellStyle name="Comma 6 2 3 3 4" xfId="2284" xr:uid="{00000000-0005-0000-0000-000052280000}"/>
    <cellStyle name="Comma 6 2 3 3 4 2" xfId="11649" xr:uid="{00000000-0005-0000-0000-000053280000}"/>
    <cellStyle name="Comma 6 2 3 3 4 2 2" xfId="37204" xr:uid="{00000000-0005-0000-0000-000054280000}"/>
    <cellStyle name="Comma 6 2 3 3 4 3" xfId="21653" xr:uid="{00000000-0005-0000-0000-000055280000}"/>
    <cellStyle name="Comma 6 2 3 3 4 3 2" xfId="47206" xr:uid="{00000000-0005-0000-0000-000056280000}"/>
    <cellStyle name="Comma 6 2 3 3 4 4" xfId="28136" xr:uid="{00000000-0005-0000-0000-000057280000}"/>
    <cellStyle name="Comma 6 2 3 3 5" xfId="6308" xr:uid="{00000000-0005-0000-0000-000058280000}"/>
    <cellStyle name="Comma 6 2 3 3 5 2" xfId="15135" xr:uid="{00000000-0005-0000-0000-000059280000}"/>
    <cellStyle name="Comma 6 2 3 3 5 2 2" xfId="40690" xr:uid="{00000000-0005-0000-0000-00005A280000}"/>
    <cellStyle name="Comma 6 2 3 3 5 3" xfId="25386" xr:uid="{00000000-0005-0000-0000-00005B280000}"/>
    <cellStyle name="Comma 6 2 3 3 5 3 2" xfId="50939" xr:uid="{00000000-0005-0000-0000-00005C280000}"/>
    <cellStyle name="Comma 6 2 3 3 5 4" xfId="31869" xr:uid="{00000000-0005-0000-0000-00005D280000}"/>
    <cellStyle name="Comma 6 2 3 3 6" xfId="7754" xr:uid="{00000000-0005-0000-0000-00005E280000}"/>
    <cellStyle name="Comma 6 2 3 3 6 2" xfId="20135" xr:uid="{00000000-0005-0000-0000-00005F280000}"/>
    <cellStyle name="Comma 6 2 3 3 6 2 2" xfId="45688" xr:uid="{00000000-0005-0000-0000-000060280000}"/>
    <cellStyle name="Comma 6 2 3 3 6 3" xfId="33311" xr:uid="{00000000-0005-0000-0000-000061280000}"/>
    <cellStyle name="Comma 6 2 3 3 7" xfId="16646" xr:uid="{00000000-0005-0000-0000-000062280000}"/>
    <cellStyle name="Comma 6 2 3 3 7 2" xfId="42199" xr:uid="{00000000-0005-0000-0000-000063280000}"/>
    <cellStyle name="Comma 6 2 3 3 8" xfId="26618" xr:uid="{00000000-0005-0000-0000-000064280000}"/>
    <cellStyle name="Comma 6 2 3 4" xfId="1312" xr:uid="{00000000-0005-0000-0000-000065280000}"/>
    <cellStyle name="Comma 6 2 3 4 2" xfId="3741" xr:uid="{00000000-0005-0000-0000-000066280000}"/>
    <cellStyle name="Comma 6 2 3 4 2 2" xfId="12877" xr:uid="{00000000-0005-0000-0000-000067280000}"/>
    <cellStyle name="Comma 6 2 3 4 2 2 2" xfId="23096" xr:uid="{00000000-0005-0000-0000-000068280000}"/>
    <cellStyle name="Comma 6 2 3 4 2 2 2 2" xfId="48649" xr:uid="{00000000-0005-0000-0000-000069280000}"/>
    <cellStyle name="Comma 6 2 3 4 2 2 3" xfId="38432" xr:uid="{00000000-0005-0000-0000-00006A280000}"/>
    <cellStyle name="Comma 6 2 3 4 2 3" xfId="9298" xr:uid="{00000000-0005-0000-0000-00006B280000}"/>
    <cellStyle name="Comma 6 2 3 4 2 3 2" xfId="34855" xr:uid="{00000000-0005-0000-0000-00006C280000}"/>
    <cellStyle name="Comma 6 2 3 4 2 4" xfId="18089" xr:uid="{00000000-0005-0000-0000-00006D280000}"/>
    <cellStyle name="Comma 6 2 3 4 2 4 2" xfId="43642" xr:uid="{00000000-0005-0000-0000-00006E280000}"/>
    <cellStyle name="Comma 6 2 3 4 2 5" xfId="29579" xr:uid="{00000000-0005-0000-0000-00006F280000}"/>
    <cellStyle name="Comma 6 2 3 4 3" xfId="5404" xr:uid="{00000000-0005-0000-0000-000070280000}"/>
    <cellStyle name="Comma 6 2 3 4 3 2" xfId="14241" xr:uid="{00000000-0005-0000-0000-000071280000}"/>
    <cellStyle name="Comma 6 2 3 4 3 2 2" xfId="24492" xr:uid="{00000000-0005-0000-0000-000072280000}"/>
    <cellStyle name="Comma 6 2 3 4 3 2 2 2" xfId="50045" xr:uid="{00000000-0005-0000-0000-000073280000}"/>
    <cellStyle name="Comma 6 2 3 4 3 2 3" xfId="39796" xr:uid="{00000000-0005-0000-0000-000074280000}"/>
    <cellStyle name="Comma 6 2 3 4 3 3" xfId="10662" xr:uid="{00000000-0005-0000-0000-000075280000}"/>
    <cellStyle name="Comma 6 2 3 4 3 3 2" xfId="36219" xr:uid="{00000000-0005-0000-0000-000076280000}"/>
    <cellStyle name="Comma 6 2 3 4 3 4" xfId="19485" xr:uid="{00000000-0005-0000-0000-000077280000}"/>
    <cellStyle name="Comma 6 2 3 4 3 4 2" xfId="45038" xr:uid="{00000000-0005-0000-0000-000078280000}"/>
    <cellStyle name="Comma 6 2 3 4 3 5" xfId="30975" xr:uid="{00000000-0005-0000-0000-000079280000}"/>
    <cellStyle name="Comma 6 2 3 4 4" xfId="1815" xr:uid="{00000000-0005-0000-0000-00007A280000}"/>
    <cellStyle name="Comma 6 2 3 4 4 2" xfId="11183" xr:uid="{00000000-0005-0000-0000-00007B280000}"/>
    <cellStyle name="Comma 6 2 3 4 4 2 2" xfId="36738" xr:uid="{00000000-0005-0000-0000-00007C280000}"/>
    <cellStyle name="Comma 6 2 3 4 4 3" xfId="21187" xr:uid="{00000000-0005-0000-0000-00007D280000}"/>
    <cellStyle name="Comma 6 2 3 4 4 3 2" xfId="46740" xr:uid="{00000000-0005-0000-0000-00007E280000}"/>
    <cellStyle name="Comma 6 2 3 4 4 4" xfId="27670" xr:uid="{00000000-0005-0000-0000-00007F280000}"/>
    <cellStyle name="Comma 6 2 3 4 5" xfId="6859" xr:uid="{00000000-0005-0000-0000-000080280000}"/>
    <cellStyle name="Comma 6 2 3 4 5 2" xfId="15686" xr:uid="{00000000-0005-0000-0000-000081280000}"/>
    <cellStyle name="Comma 6 2 3 4 5 2 2" xfId="41241" xr:uid="{00000000-0005-0000-0000-000082280000}"/>
    <cellStyle name="Comma 6 2 3 4 5 3" xfId="25937" xr:uid="{00000000-0005-0000-0000-000083280000}"/>
    <cellStyle name="Comma 6 2 3 4 5 3 2" xfId="51490" xr:uid="{00000000-0005-0000-0000-000084280000}"/>
    <cellStyle name="Comma 6 2 3 4 5 4" xfId="32420" xr:uid="{00000000-0005-0000-0000-000085280000}"/>
    <cellStyle name="Comma 6 2 3 4 6" xfId="8305" xr:uid="{00000000-0005-0000-0000-000086280000}"/>
    <cellStyle name="Comma 6 2 3 4 6 2" xfId="20695" xr:uid="{00000000-0005-0000-0000-000087280000}"/>
    <cellStyle name="Comma 6 2 3 4 6 2 2" xfId="46248" xr:uid="{00000000-0005-0000-0000-000088280000}"/>
    <cellStyle name="Comma 6 2 3 4 6 3" xfId="33862" xr:uid="{00000000-0005-0000-0000-000089280000}"/>
    <cellStyle name="Comma 6 2 3 4 7" xfId="16180" xr:uid="{00000000-0005-0000-0000-00008A280000}"/>
    <cellStyle name="Comma 6 2 3 4 7 2" xfId="41733" xr:uid="{00000000-0005-0000-0000-00008B280000}"/>
    <cellStyle name="Comma 6 2 3 4 8" xfId="27178" xr:uid="{00000000-0005-0000-0000-00008C280000}"/>
    <cellStyle name="Comma 6 2 3 5" xfId="2709" xr:uid="{00000000-0005-0000-0000-00008D280000}"/>
    <cellStyle name="Comma 6 2 3 5 2" xfId="12026" xr:uid="{00000000-0005-0000-0000-00008E280000}"/>
    <cellStyle name="Comma 6 2 3 5 2 2" xfId="22070" xr:uid="{00000000-0005-0000-0000-00008F280000}"/>
    <cellStyle name="Comma 6 2 3 5 2 2 2" xfId="47623" xr:uid="{00000000-0005-0000-0000-000090280000}"/>
    <cellStyle name="Comma 6 2 3 5 2 3" xfId="37581" xr:uid="{00000000-0005-0000-0000-000091280000}"/>
    <cellStyle name="Comma 6 2 3 5 3" xfId="8479" xr:uid="{00000000-0005-0000-0000-000092280000}"/>
    <cellStyle name="Comma 6 2 3 5 3 2" xfId="34036" xr:uid="{00000000-0005-0000-0000-000093280000}"/>
    <cellStyle name="Comma 6 2 3 5 4" xfId="17063" xr:uid="{00000000-0005-0000-0000-000094280000}"/>
    <cellStyle name="Comma 6 2 3 5 4 2" xfId="42616" xr:uid="{00000000-0005-0000-0000-000095280000}"/>
    <cellStyle name="Comma 6 2 3 5 5" xfId="28553" xr:uid="{00000000-0005-0000-0000-000096280000}"/>
    <cellStyle name="Comma 6 2 3 6" xfId="4360" xr:uid="{00000000-0005-0000-0000-000097280000}"/>
    <cellStyle name="Comma 6 2 3 6 2" xfId="13198" xr:uid="{00000000-0005-0000-0000-000098280000}"/>
    <cellStyle name="Comma 6 2 3 6 2 2" xfId="23449" xr:uid="{00000000-0005-0000-0000-000099280000}"/>
    <cellStyle name="Comma 6 2 3 6 2 2 2" xfId="49002" xr:uid="{00000000-0005-0000-0000-00009A280000}"/>
    <cellStyle name="Comma 6 2 3 6 2 3" xfId="38753" xr:uid="{00000000-0005-0000-0000-00009B280000}"/>
    <cellStyle name="Comma 6 2 3 6 3" xfId="9619" xr:uid="{00000000-0005-0000-0000-00009C280000}"/>
    <cellStyle name="Comma 6 2 3 6 3 2" xfId="35176" xr:uid="{00000000-0005-0000-0000-00009D280000}"/>
    <cellStyle name="Comma 6 2 3 6 4" xfId="18442" xr:uid="{00000000-0005-0000-0000-00009E280000}"/>
    <cellStyle name="Comma 6 2 3 6 4 2" xfId="43995" xr:uid="{00000000-0005-0000-0000-00009F280000}"/>
    <cellStyle name="Comma 6 2 3 6 5" xfId="29932" xr:uid="{00000000-0005-0000-0000-0000A0280000}"/>
    <cellStyle name="Comma 6 2 3 7" xfId="1632" xr:uid="{00000000-0005-0000-0000-0000A1280000}"/>
    <cellStyle name="Comma 6 2 3 7 2" xfId="11009" xr:uid="{00000000-0005-0000-0000-0000A2280000}"/>
    <cellStyle name="Comma 6 2 3 7 2 2" xfId="36564" xr:uid="{00000000-0005-0000-0000-0000A3280000}"/>
    <cellStyle name="Comma 6 2 3 7 3" xfId="21013" xr:uid="{00000000-0005-0000-0000-0000A4280000}"/>
    <cellStyle name="Comma 6 2 3 7 3 2" xfId="46566" xr:uid="{00000000-0005-0000-0000-0000A5280000}"/>
    <cellStyle name="Comma 6 2 3 7 4" xfId="27496" xr:uid="{00000000-0005-0000-0000-0000A6280000}"/>
    <cellStyle name="Comma 6 2 3 8" xfId="5816" xr:uid="{00000000-0005-0000-0000-0000A7280000}"/>
    <cellStyle name="Comma 6 2 3 8 2" xfId="14643" xr:uid="{00000000-0005-0000-0000-0000A8280000}"/>
    <cellStyle name="Comma 6 2 3 8 2 2" xfId="40198" xr:uid="{00000000-0005-0000-0000-0000A9280000}"/>
    <cellStyle name="Comma 6 2 3 8 3" xfId="24894" xr:uid="{00000000-0005-0000-0000-0000AA280000}"/>
    <cellStyle name="Comma 6 2 3 8 3 2" xfId="50447" xr:uid="{00000000-0005-0000-0000-0000AB280000}"/>
    <cellStyle name="Comma 6 2 3 8 4" xfId="31377" xr:uid="{00000000-0005-0000-0000-0000AC280000}"/>
    <cellStyle name="Comma 6 2 3 9" xfId="7260" xr:uid="{00000000-0005-0000-0000-0000AD280000}"/>
    <cellStyle name="Comma 6 2 3 9 2" xfId="19669" xr:uid="{00000000-0005-0000-0000-0000AE280000}"/>
    <cellStyle name="Comma 6 2 3 9 2 2" xfId="45222" xr:uid="{00000000-0005-0000-0000-0000AF280000}"/>
    <cellStyle name="Comma 6 2 3 9 3" xfId="32817" xr:uid="{00000000-0005-0000-0000-0000B0280000}"/>
    <cellStyle name="Comma 6 2 4" xfId="478" xr:uid="{00000000-0005-0000-0000-0000B1280000}"/>
    <cellStyle name="Comma 6 2 4 10" xfId="26407" xr:uid="{00000000-0005-0000-0000-0000B2280000}"/>
    <cellStyle name="Comma 6 2 4 2" xfId="690" xr:uid="{00000000-0005-0000-0000-0000B3280000}"/>
    <cellStyle name="Comma 6 2 4 2 2" xfId="3176" xr:uid="{00000000-0005-0000-0000-0000B4280000}"/>
    <cellStyle name="Comma 6 2 4 2 2 2" xfId="12319" xr:uid="{00000000-0005-0000-0000-0000B5280000}"/>
    <cellStyle name="Comma 6 2 4 2 2 2 2" xfId="22537" xr:uid="{00000000-0005-0000-0000-0000B6280000}"/>
    <cellStyle name="Comma 6 2 4 2 2 2 2 2" xfId="48090" xr:uid="{00000000-0005-0000-0000-0000B7280000}"/>
    <cellStyle name="Comma 6 2 4 2 2 2 3" xfId="37874" xr:uid="{00000000-0005-0000-0000-0000B8280000}"/>
    <cellStyle name="Comma 6 2 4 2 2 3" xfId="8741" xr:uid="{00000000-0005-0000-0000-0000B9280000}"/>
    <cellStyle name="Comma 6 2 4 2 2 3 2" xfId="34298" xr:uid="{00000000-0005-0000-0000-0000BA280000}"/>
    <cellStyle name="Comma 6 2 4 2 2 4" xfId="17530" xr:uid="{00000000-0005-0000-0000-0000BB280000}"/>
    <cellStyle name="Comma 6 2 4 2 2 4 2" xfId="43083" xr:uid="{00000000-0005-0000-0000-0000BC280000}"/>
    <cellStyle name="Comma 6 2 4 2 2 5" xfId="29020" xr:uid="{00000000-0005-0000-0000-0000BD280000}"/>
    <cellStyle name="Comma 6 2 4 2 3" xfId="4505" xr:uid="{00000000-0005-0000-0000-0000BE280000}"/>
    <cellStyle name="Comma 6 2 4 2 3 2" xfId="13343" xr:uid="{00000000-0005-0000-0000-0000BF280000}"/>
    <cellStyle name="Comma 6 2 4 2 3 2 2" xfId="23594" xr:uid="{00000000-0005-0000-0000-0000C0280000}"/>
    <cellStyle name="Comma 6 2 4 2 3 2 2 2" xfId="49147" xr:uid="{00000000-0005-0000-0000-0000C1280000}"/>
    <cellStyle name="Comma 6 2 4 2 3 2 3" xfId="38898" xr:uid="{00000000-0005-0000-0000-0000C2280000}"/>
    <cellStyle name="Comma 6 2 4 2 3 3" xfId="9764" xr:uid="{00000000-0005-0000-0000-0000C3280000}"/>
    <cellStyle name="Comma 6 2 4 2 3 3 2" xfId="35321" xr:uid="{00000000-0005-0000-0000-0000C4280000}"/>
    <cellStyle name="Comma 6 2 4 2 3 4" xfId="18587" xr:uid="{00000000-0005-0000-0000-0000C5280000}"/>
    <cellStyle name="Comma 6 2 4 2 3 4 2" xfId="44140" xr:uid="{00000000-0005-0000-0000-0000C6280000}"/>
    <cellStyle name="Comma 6 2 4 2 3 5" xfId="30077" xr:uid="{00000000-0005-0000-0000-0000C7280000}"/>
    <cellStyle name="Comma 6 2 4 2 4" xfId="2285" xr:uid="{00000000-0005-0000-0000-0000C8280000}"/>
    <cellStyle name="Comma 6 2 4 2 4 2" xfId="11650" xr:uid="{00000000-0005-0000-0000-0000C9280000}"/>
    <cellStyle name="Comma 6 2 4 2 4 2 2" xfId="37205" xr:uid="{00000000-0005-0000-0000-0000CA280000}"/>
    <cellStyle name="Comma 6 2 4 2 4 3" xfId="21654" xr:uid="{00000000-0005-0000-0000-0000CB280000}"/>
    <cellStyle name="Comma 6 2 4 2 4 3 2" xfId="47207" xr:uid="{00000000-0005-0000-0000-0000CC280000}"/>
    <cellStyle name="Comma 6 2 4 2 4 4" xfId="28137" xr:uid="{00000000-0005-0000-0000-0000CD280000}"/>
    <cellStyle name="Comma 6 2 4 2 5" xfId="5961" xr:uid="{00000000-0005-0000-0000-0000CE280000}"/>
    <cellStyle name="Comma 6 2 4 2 5 2" xfId="14788" xr:uid="{00000000-0005-0000-0000-0000CF280000}"/>
    <cellStyle name="Comma 6 2 4 2 5 2 2" xfId="40343" xr:uid="{00000000-0005-0000-0000-0000D0280000}"/>
    <cellStyle name="Comma 6 2 4 2 5 3" xfId="25039" xr:uid="{00000000-0005-0000-0000-0000D1280000}"/>
    <cellStyle name="Comma 6 2 4 2 5 3 2" xfId="50592" xr:uid="{00000000-0005-0000-0000-0000D2280000}"/>
    <cellStyle name="Comma 6 2 4 2 5 4" xfId="31522" xr:uid="{00000000-0005-0000-0000-0000D3280000}"/>
    <cellStyle name="Comma 6 2 4 2 6" xfId="7405" xr:uid="{00000000-0005-0000-0000-0000D4280000}"/>
    <cellStyle name="Comma 6 2 4 2 6 2" xfId="20136" xr:uid="{00000000-0005-0000-0000-0000D5280000}"/>
    <cellStyle name="Comma 6 2 4 2 6 2 2" xfId="45689" xr:uid="{00000000-0005-0000-0000-0000D6280000}"/>
    <cellStyle name="Comma 6 2 4 2 6 3" xfId="32962" xr:uid="{00000000-0005-0000-0000-0000D7280000}"/>
    <cellStyle name="Comma 6 2 4 2 7" xfId="16647" xr:uid="{00000000-0005-0000-0000-0000D8280000}"/>
    <cellStyle name="Comma 6 2 4 2 7 2" xfId="42200" xr:uid="{00000000-0005-0000-0000-0000D9280000}"/>
    <cellStyle name="Comma 6 2 4 2 8" xfId="26619" xr:uid="{00000000-0005-0000-0000-0000DA280000}"/>
    <cellStyle name="Comma 6 2 4 3" xfId="1250" xr:uid="{00000000-0005-0000-0000-0000DB280000}"/>
    <cellStyle name="Comma 6 2 4 3 2" xfId="3679" xr:uid="{00000000-0005-0000-0000-0000DC280000}"/>
    <cellStyle name="Comma 6 2 4 3 2 2" xfId="12815" xr:uid="{00000000-0005-0000-0000-0000DD280000}"/>
    <cellStyle name="Comma 6 2 4 3 2 2 2" xfId="23034" xr:uid="{00000000-0005-0000-0000-0000DE280000}"/>
    <cellStyle name="Comma 6 2 4 3 2 2 2 2" xfId="48587" xr:uid="{00000000-0005-0000-0000-0000DF280000}"/>
    <cellStyle name="Comma 6 2 4 3 2 2 3" xfId="38370" xr:uid="{00000000-0005-0000-0000-0000E0280000}"/>
    <cellStyle name="Comma 6 2 4 3 2 3" xfId="9236" xr:uid="{00000000-0005-0000-0000-0000E1280000}"/>
    <cellStyle name="Comma 6 2 4 3 2 3 2" xfId="34793" xr:uid="{00000000-0005-0000-0000-0000E2280000}"/>
    <cellStyle name="Comma 6 2 4 3 2 4" xfId="18027" xr:uid="{00000000-0005-0000-0000-0000E3280000}"/>
    <cellStyle name="Comma 6 2 4 3 2 4 2" xfId="43580" xr:uid="{00000000-0005-0000-0000-0000E4280000}"/>
    <cellStyle name="Comma 6 2 4 3 2 5" xfId="29517" xr:uid="{00000000-0005-0000-0000-0000E5280000}"/>
    <cellStyle name="Comma 6 2 4 3 3" xfId="4854" xr:uid="{00000000-0005-0000-0000-0000E6280000}"/>
    <cellStyle name="Comma 6 2 4 3 3 2" xfId="13691" xr:uid="{00000000-0005-0000-0000-0000E7280000}"/>
    <cellStyle name="Comma 6 2 4 3 3 2 2" xfId="23942" xr:uid="{00000000-0005-0000-0000-0000E8280000}"/>
    <cellStyle name="Comma 6 2 4 3 3 2 2 2" xfId="49495" xr:uid="{00000000-0005-0000-0000-0000E9280000}"/>
    <cellStyle name="Comma 6 2 4 3 3 2 3" xfId="39246" xr:uid="{00000000-0005-0000-0000-0000EA280000}"/>
    <cellStyle name="Comma 6 2 4 3 3 3" xfId="10112" xr:uid="{00000000-0005-0000-0000-0000EB280000}"/>
    <cellStyle name="Comma 6 2 4 3 3 3 2" xfId="35669" xr:uid="{00000000-0005-0000-0000-0000EC280000}"/>
    <cellStyle name="Comma 6 2 4 3 3 4" xfId="18935" xr:uid="{00000000-0005-0000-0000-0000ED280000}"/>
    <cellStyle name="Comma 6 2 4 3 3 4 2" xfId="44488" xr:uid="{00000000-0005-0000-0000-0000EE280000}"/>
    <cellStyle name="Comma 6 2 4 3 3 5" xfId="30425" xr:uid="{00000000-0005-0000-0000-0000EF280000}"/>
    <cellStyle name="Comma 6 2 4 3 4" xfId="2073" xr:uid="{00000000-0005-0000-0000-0000F0280000}"/>
    <cellStyle name="Comma 6 2 4 3 4 2" xfId="11438" xr:uid="{00000000-0005-0000-0000-0000F1280000}"/>
    <cellStyle name="Comma 6 2 4 3 4 2 2" xfId="36993" xr:uid="{00000000-0005-0000-0000-0000F2280000}"/>
    <cellStyle name="Comma 6 2 4 3 4 3" xfId="21442" xr:uid="{00000000-0005-0000-0000-0000F3280000}"/>
    <cellStyle name="Comma 6 2 4 3 4 3 2" xfId="46995" xr:uid="{00000000-0005-0000-0000-0000F4280000}"/>
    <cellStyle name="Comma 6 2 4 3 4 4" xfId="27925" xr:uid="{00000000-0005-0000-0000-0000F5280000}"/>
    <cellStyle name="Comma 6 2 4 3 5" xfId="6309" xr:uid="{00000000-0005-0000-0000-0000F6280000}"/>
    <cellStyle name="Comma 6 2 4 3 5 2" xfId="15136" xr:uid="{00000000-0005-0000-0000-0000F7280000}"/>
    <cellStyle name="Comma 6 2 4 3 5 2 2" xfId="40691" xr:uid="{00000000-0005-0000-0000-0000F8280000}"/>
    <cellStyle name="Comma 6 2 4 3 5 3" xfId="25387" xr:uid="{00000000-0005-0000-0000-0000F9280000}"/>
    <cellStyle name="Comma 6 2 4 3 5 3 2" xfId="50940" xr:uid="{00000000-0005-0000-0000-0000FA280000}"/>
    <cellStyle name="Comma 6 2 4 3 5 4" xfId="31870" xr:uid="{00000000-0005-0000-0000-0000FB280000}"/>
    <cellStyle name="Comma 6 2 4 3 6" xfId="7755" xr:uid="{00000000-0005-0000-0000-0000FC280000}"/>
    <cellStyle name="Comma 6 2 4 3 6 2" xfId="20633" xr:uid="{00000000-0005-0000-0000-0000FD280000}"/>
    <cellStyle name="Comma 6 2 4 3 6 2 2" xfId="46186" xr:uid="{00000000-0005-0000-0000-0000FE280000}"/>
    <cellStyle name="Comma 6 2 4 3 6 3" xfId="33312" xr:uid="{00000000-0005-0000-0000-0000FF280000}"/>
    <cellStyle name="Comma 6 2 4 3 7" xfId="16435" xr:uid="{00000000-0005-0000-0000-000000290000}"/>
    <cellStyle name="Comma 6 2 4 3 7 2" xfId="41988" xr:uid="{00000000-0005-0000-0000-000001290000}"/>
    <cellStyle name="Comma 6 2 4 3 8" xfId="27116" xr:uid="{00000000-0005-0000-0000-000002290000}"/>
    <cellStyle name="Comma 6 2 4 4" xfId="2964" xr:uid="{00000000-0005-0000-0000-000003290000}"/>
    <cellStyle name="Comma 6 2 4 4 2" xfId="5342" xr:uid="{00000000-0005-0000-0000-000004290000}"/>
    <cellStyle name="Comma 6 2 4 4 2 2" xfId="14179" xr:uid="{00000000-0005-0000-0000-000005290000}"/>
    <cellStyle name="Comma 6 2 4 4 2 2 2" xfId="24430" xr:uid="{00000000-0005-0000-0000-000006290000}"/>
    <cellStyle name="Comma 6 2 4 4 2 2 2 2" xfId="49983" xr:uid="{00000000-0005-0000-0000-000007290000}"/>
    <cellStyle name="Comma 6 2 4 4 2 2 3" xfId="39734" xr:uid="{00000000-0005-0000-0000-000008290000}"/>
    <cellStyle name="Comma 6 2 4 4 2 3" xfId="10600" xr:uid="{00000000-0005-0000-0000-000009290000}"/>
    <cellStyle name="Comma 6 2 4 4 2 3 2" xfId="36157" xr:uid="{00000000-0005-0000-0000-00000A290000}"/>
    <cellStyle name="Comma 6 2 4 4 2 4" xfId="19423" xr:uid="{00000000-0005-0000-0000-00000B290000}"/>
    <cellStyle name="Comma 6 2 4 4 2 4 2" xfId="44976" xr:uid="{00000000-0005-0000-0000-00000C290000}"/>
    <cellStyle name="Comma 6 2 4 4 2 5" xfId="30913" xr:uid="{00000000-0005-0000-0000-00000D290000}"/>
    <cellStyle name="Comma 6 2 4 4 3" xfId="6797" xr:uid="{00000000-0005-0000-0000-00000E290000}"/>
    <cellStyle name="Comma 6 2 4 4 3 2" xfId="15624" xr:uid="{00000000-0005-0000-0000-00000F290000}"/>
    <cellStyle name="Comma 6 2 4 4 3 2 2" xfId="41179" xr:uid="{00000000-0005-0000-0000-000010290000}"/>
    <cellStyle name="Comma 6 2 4 4 3 3" xfId="25875" xr:uid="{00000000-0005-0000-0000-000011290000}"/>
    <cellStyle name="Comma 6 2 4 4 3 3 2" xfId="51428" xr:uid="{00000000-0005-0000-0000-000012290000}"/>
    <cellStyle name="Comma 6 2 4 4 3 4" xfId="32358" xr:uid="{00000000-0005-0000-0000-000013290000}"/>
    <cellStyle name="Comma 6 2 4 4 4" xfId="8243" xr:uid="{00000000-0005-0000-0000-000014290000}"/>
    <cellStyle name="Comma 6 2 4 4 4 2" xfId="22325" xr:uid="{00000000-0005-0000-0000-000015290000}"/>
    <cellStyle name="Comma 6 2 4 4 4 2 2" xfId="47878" xr:uid="{00000000-0005-0000-0000-000016290000}"/>
    <cellStyle name="Comma 6 2 4 4 4 3" xfId="33800" xr:uid="{00000000-0005-0000-0000-000017290000}"/>
    <cellStyle name="Comma 6 2 4 4 5" xfId="17318" xr:uid="{00000000-0005-0000-0000-000018290000}"/>
    <cellStyle name="Comma 6 2 4 4 5 2" xfId="42871" xr:uid="{00000000-0005-0000-0000-000019290000}"/>
    <cellStyle name="Comma 6 2 4 4 6" xfId="28808" xr:uid="{00000000-0005-0000-0000-00001A290000}"/>
    <cellStyle name="Comma 6 2 4 5" xfId="4298" xr:uid="{00000000-0005-0000-0000-00001B290000}"/>
    <cellStyle name="Comma 6 2 4 5 2" xfId="13136" xr:uid="{00000000-0005-0000-0000-00001C290000}"/>
    <cellStyle name="Comma 6 2 4 5 2 2" xfId="23387" xr:uid="{00000000-0005-0000-0000-00001D290000}"/>
    <cellStyle name="Comma 6 2 4 5 2 2 2" xfId="48940" xr:uid="{00000000-0005-0000-0000-00001E290000}"/>
    <cellStyle name="Comma 6 2 4 5 2 3" xfId="38691" xr:uid="{00000000-0005-0000-0000-00001F290000}"/>
    <cellStyle name="Comma 6 2 4 5 3" xfId="9557" xr:uid="{00000000-0005-0000-0000-000020290000}"/>
    <cellStyle name="Comma 6 2 4 5 3 2" xfId="35114" xr:uid="{00000000-0005-0000-0000-000021290000}"/>
    <cellStyle name="Comma 6 2 4 5 4" xfId="18380" xr:uid="{00000000-0005-0000-0000-000022290000}"/>
    <cellStyle name="Comma 6 2 4 5 4 2" xfId="43933" xr:uid="{00000000-0005-0000-0000-000023290000}"/>
    <cellStyle name="Comma 6 2 4 5 5" xfId="29870" xr:uid="{00000000-0005-0000-0000-000024290000}"/>
    <cellStyle name="Comma 6 2 4 6" xfId="1570" xr:uid="{00000000-0005-0000-0000-000025290000}"/>
    <cellStyle name="Comma 6 2 4 6 2" xfId="10947" xr:uid="{00000000-0005-0000-0000-000026290000}"/>
    <cellStyle name="Comma 6 2 4 6 2 2" xfId="36502" xr:uid="{00000000-0005-0000-0000-000027290000}"/>
    <cellStyle name="Comma 6 2 4 6 3" xfId="20951" xr:uid="{00000000-0005-0000-0000-000028290000}"/>
    <cellStyle name="Comma 6 2 4 6 3 2" xfId="46504" xr:uid="{00000000-0005-0000-0000-000029290000}"/>
    <cellStyle name="Comma 6 2 4 6 4" xfId="27434" xr:uid="{00000000-0005-0000-0000-00002A290000}"/>
    <cellStyle name="Comma 6 2 4 7" xfId="5754" xr:uid="{00000000-0005-0000-0000-00002B290000}"/>
    <cellStyle name="Comma 6 2 4 7 2" xfId="14581" xr:uid="{00000000-0005-0000-0000-00002C290000}"/>
    <cellStyle name="Comma 6 2 4 7 2 2" xfId="40136" xr:uid="{00000000-0005-0000-0000-00002D290000}"/>
    <cellStyle name="Comma 6 2 4 7 3" xfId="24832" xr:uid="{00000000-0005-0000-0000-00002E290000}"/>
    <cellStyle name="Comma 6 2 4 7 3 2" xfId="50385" xr:uid="{00000000-0005-0000-0000-00002F290000}"/>
    <cellStyle name="Comma 6 2 4 7 4" xfId="31315" xr:uid="{00000000-0005-0000-0000-000030290000}"/>
    <cellStyle name="Comma 6 2 4 8" xfId="7198" xr:uid="{00000000-0005-0000-0000-000031290000}"/>
    <cellStyle name="Comma 6 2 4 8 2" xfId="19924" xr:uid="{00000000-0005-0000-0000-000032290000}"/>
    <cellStyle name="Comma 6 2 4 8 2 2" xfId="45477" xr:uid="{00000000-0005-0000-0000-000033290000}"/>
    <cellStyle name="Comma 6 2 4 8 3" xfId="32755" xr:uid="{00000000-0005-0000-0000-000034290000}"/>
    <cellStyle name="Comma 6 2 4 9" xfId="15944" xr:uid="{00000000-0005-0000-0000-000035290000}"/>
    <cellStyle name="Comma 6 2 4 9 2" xfId="41497" xr:uid="{00000000-0005-0000-0000-000036290000}"/>
    <cellStyle name="Comma 6 2 5" xfId="319" xr:uid="{00000000-0005-0000-0000-000037290000}"/>
    <cellStyle name="Comma 6 2 5 2" xfId="2805" xr:uid="{00000000-0005-0000-0000-000038290000}"/>
    <cellStyle name="Comma 6 2 5 2 2" xfId="12108" xr:uid="{00000000-0005-0000-0000-000039290000}"/>
    <cellStyle name="Comma 6 2 5 2 2 2" xfId="22166" xr:uid="{00000000-0005-0000-0000-00003A290000}"/>
    <cellStyle name="Comma 6 2 5 2 2 2 2" xfId="47719" xr:uid="{00000000-0005-0000-0000-00003B290000}"/>
    <cellStyle name="Comma 6 2 5 2 2 3" xfId="37663" xr:uid="{00000000-0005-0000-0000-00003C290000}"/>
    <cellStyle name="Comma 6 2 5 2 3" xfId="8578" xr:uid="{00000000-0005-0000-0000-00003D290000}"/>
    <cellStyle name="Comma 6 2 5 2 3 2" xfId="34135" xr:uid="{00000000-0005-0000-0000-00003E290000}"/>
    <cellStyle name="Comma 6 2 5 2 4" xfId="17159" xr:uid="{00000000-0005-0000-0000-00003F290000}"/>
    <cellStyle name="Comma 6 2 5 2 4 2" xfId="42712" xr:uid="{00000000-0005-0000-0000-000040290000}"/>
    <cellStyle name="Comma 6 2 5 2 5" xfId="28649" xr:uid="{00000000-0005-0000-0000-000041290000}"/>
    <cellStyle name="Comma 6 2 5 3" xfId="4501" xr:uid="{00000000-0005-0000-0000-000042290000}"/>
    <cellStyle name="Comma 6 2 5 3 2" xfId="13339" xr:uid="{00000000-0005-0000-0000-000043290000}"/>
    <cellStyle name="Comma 6 2 5 3 2 2" xfId="23590" xr:uid="{00000000-0005-0000-0000-000044290000}"/>
    <cellStyle name="Comma 6 2 5 3 2 2 2" xfId="49143" xr:uid="{00000000-0005-0000-0000-000045290000}"/>
    <cellStyle name="Comma 6 2 5 3 2 3" xfId="38894" xr:uid="{00000000-0005-0000-0000-000046290000}"/>
    <cellStyle name="Comma 6 2 5 3 3" xfId="9760" xr:uid="{00000000-0005-0000-0000-000047290000}"/>
    <cellStyle name="Comma 6 2 5 3 3 2" xfId="35317" xr:uid="{00000000-0005-0000-0000-000048290000}"/>
    <cellStyle name="Comma 6 2 5 3 4" xfId="18583" xr:uid="{00000000-0005-0000-0000-000049290000}"/>
    <cellStyle name="Comma 6 2 5 3 4 2" xfId="44136" xr:uid="{00000000-0005-0000-0000-00004A290000}"/>
    <cellStyle name="Comma 6 2 5 3 5" xfId="30073" xr:uid="{00000000-0005-0000-0000-00004B290000}"/>
    <cellStyle name="Comma 6 2 5 4" xfId="1914" xr:uid="{00000000-0005-0000-0000-00004C290000}"/>
    <cellStyle name="Comma 6 2 5 4 2" xfId="11279" xr:uid="{00000000-0005-0000-0000-00004D290000}"/>
    <cellStyle name="Comma 6 2 5 4 2 2" xfId="36834" xr:uid="{00000000-0005-0000-0000-00004E290000}"/>
    <cellStyle name="Comma 6 2 5 4 3" xfId="21283" xr:uid="{00000000-0005-0000-0000-00004F290000}"/>
    <cellStyle name="Comma 6 2 5 4 3 2" xfId="46836" xr:uid="{00000000-0005-0000-0000-000050290000}"/>
    <cellStyle name="Comma 6 2 5 4 4" xfId="27766" xr:uid="{00000000-0005-0000-0000-000051290000}"/>
    <cellStyle name="Comma 6 2 5 5" xfId="5957" xr:uid="{00000000-0005-0000-0000-000052290000}"/>
    <cellStyle name="Comma 6 2 5 5 2" xfId="14784" xr:uid="{00000000-0005-0000-0000-000053290000}"/>
    <cellStyle name="Comma 6 2 5 5 2 2" xfId="40339" xr:uid="{00000000-0005-0000-0000-000054290000}"/>
    <cellStyle name="Comma 6 2 5 5 3" xfId="25035" xr:uid="{00000000-0005-0000-0000-000055290000}"/>
    <cellStyle name="Comma 6 2 5 5 3 2" xfId="50588" xr:uid="{00000000-0005-0000-0000-000056290000}"/>
    <cellStyle name="Comma 6 2 5 5 4" xfId="31518" xr:uid="{00000000-0005-0000-0000-000057290000}"/>
    <cellStyle name="Comma 6 2 5 6" xfId="7401" xr:uid="{00000000-0005-0000-0000-000058290000}"/>
    <cellStyle name="Comma 6 2 5 6 2" xfId="19765" xr:uid="{00000000-0005-0000-0000-000059290000}"/>
    <cellStyle name="Comma 6 2 5 6 2 2" xfId="45318" xr:uid="{00000000-0005-0000-0000-00005A290000}"/>
    <cellStyle name="Comma 6 2 5 6 3" xfId="32958" xr:uid="{00000000-0005-0000-0000-00005B290000}"/>
    <cellStyle name="Comma 6 2 5 7" xfId="16276" xr:uid="{00000000-0005-0000-0000-00005C290000}"/>
    <cellStyle name="Comma 6 2 5 7 2" xfId="41829" xr:uid="{00000000-0005-0000-0000-00005D290000}"/>
    <cellStyle name="Comma 6 2 5 8" xfId="26248" xr:uid="{00000000-0005-0000-0000-00005E290000}"/>
    <cellStyle name="Comma 6 2 6" xfId="686" xr:uid="{00000000-0005-0000-0000-00005F290000}"/>
    <cellStyle name="Comma 6 2 6 2" xfId="3172" xr:uid="{00000000-0005-0000-0000-000060290000}"/>
    <cellStyle name="Comma 6 2 6 2 2" xfId="12315" xr:uid="{00000000-0005-0000-0000-000061290000}"/>
    <cellStyle name="Comma 6 2 6 2 2 2" xfId="22533" xr:uid="{00000000-0005-0000-0000-000062290000}"/>
    <cellStyle name="Comma 6 2 6 2 2 2 2" xfId="48086" xr:uid="{00000000-0005-0000-0000-000063290000}"/>
    <cellStyle name="Comma 6 2 6 2 2 3" xfId="37870" xr:uid="{00000000-0005-0000-0000-000064290000}"/>
    <cellStyle name="Comma 6 2 6 2 3" xfId="8737" xr:uid="{00000000-0005-0000-0000-000065290000}"/>
    <cellStyle name="Comma 6 2 6 2 3 2" xfId="34294" xr:uid="{00000000-0005-0000-0000-000066290000}"/>
    <cellStyle name="Comma 6 2 6 2 4" xfId="17526" xr:uid="{00000000-0005-0000-0000-000067290000}"/>
    <cellStyle name="Comma 6 2 6 2 4 2" xfId="43079" xr:uid="{00000000-0005-0000-0000-000068290000}"/>
    <cellStyle name="Comma 6 2 6 2 5" xfId="29016" xr:uid="{00000000-0005-0000-0000-000069290000}"/>
    <cellStyle name="Comma 6 2 6 3" xfId="4850" xr:uid="{00000000-0005-0000-0000-00006A290000}"/>
    <cellStyle name="Comma 6 2 6 3 2" xfId="13687" xr:uid="{00000000-0005-0000-0000-00006B290000}"/>
    <cellStyle name="Comma 6 2 6 3 2 2" xfId="23938" xr:uid="{00000000-0005-0000-0000-00006C290000}"/>
    <cellStyle name="Comma 6 2 6 3 2 2 2" xfId="49491" xr:uid="{00000000-0005-0000-0000-00006D290000}"/>
    <cellStyle name="Comma 6 2 6 3 2 3" xfId="39242" xr:uid="{00000000-0005-0000-0000-00006E290000}"/>
    <cellStyle name="Comma 6 2 6 3 3" xfId="10108" xr:uid="{00000000-0005-0000-0000-00006F290000}"/>
    <cellStyle name="Comma 6 2 6 3 3 2" xfId="35665" xr:uid="{00000000-0005-0000-0000-000070290000}"/>
    <cellStyle name="Comma 6 2 6 3 4" xfId="18931" xr:uid="{00000000-0005-0000-0000-000071290000}"/>
    <cellStyle name="Comma 6 2 6 3 4 2" xfId="44484" xr:uid="{00000000-0005-0000-0000-000072290000}"/>
    <cellStyle name="Comma 6 2 6 3 5" xfId="30421" xr:uid="{00000000-0005-0000-0000-000073290000}"/>
    <cellStyle name="Comma 6 2 6 4" xfId="2281" xr:uid="{00000000-0005-0000-0000-000074290000}"/>
    <cellStyle name="Comma 6 2 6 4 2" xfId="11646" xr:uid="{00000000-0005-0000-0000-000075290000}"/>
    <cellStyle name="Comma 6 2 6 4 2 2" xfId="37201" xr:uid="{00000000-0005-0000-0000-000076290000}"/>
    <cellStyle name="Comma 6 2 6 4 3" xfId="21650" xr:uid="{00000000-0005-0000-0000-000077290000}"/>
    <cellStyle name="Comma 6 2 6 4 3 2" xfId="47203" xr:uid="{00000000-0005-0000-0000-000078290000}"/>
    <cellStyle name="Comma 6 2 6 4 4" xfId="28133" xr:uid="{00000000-0005-0000-0000-000079290000}"/>
    <cellStyle name="Comma 6 2 6 5" xfId="6305" xr:uid="{00000000-0005-0000-0000-00007A290000}"/>
    <cellStyle name="Comma 6 2 6 5 2" xfId="15132" xr:uid="{00000000-0005-0000-0000-00007B290000}"/>
    <cellStyle name="Comma 6 2 6 5 2 2" xfId="40687" xr:uid="{00000000-0005-0000-0000-00007C290000}"/>
    <cellStyle name="Comma 6 2 6 5 3" xfId="25383" xr:uid="{00000000-0005-0000-0000-00007D290000}"/>
    <cellStyle name="Comma 6 2 6 5 3 2" xfId="50936" xr:uid="{00000000-0005-0000-0000-00007E290000}"/>
    <cellStyle name="Comma 6 2 6 5 4" xfId="31866" xr:uid="{00000000-0005-0000-0000-00007F290000}"/>
    <cellStyle name="Comma 6 2 6 6" xfId="7751" xr:uid="{00000000-0005-0000-0000-000080290000}"/>
    <cellStyle name="Comma 6 2 6 6 2" xfId="20132" xr:uid="{00000000-0005-0000-0000-000081290000}"/>
    <cellStyle name="Comma 6 2 6 6 2 2" xfId="45685" xr:uid="{00000000-0005-0000-0000-000082290000}"/>
    <cellStyle name="Comma 6 2 6 6 3" xfId="33308" xr:uid="{00000000-0005-0000-0000-000083290000}"/>
    <cellStyle name="Comma 6 2 6 7" xfId="16643" xr:uid="{00000000-0005-0000-0000-000084290000}"/>
    <cellStyle name="Comma 6 2 6 7 2" xfId="42196" xr:uid="{00000000-0005-0000-0000-000085290000}"/>
    <cellStyle name="Comma 6 2 6 8" xfId="26615" xr:uid="{00000000-0005-0000-0000-000086290000}"/>
    <cellStyle name="Comma 6 2 7" xfId="1091" xr:uid="{00000000-0005-0000-0000-000087290000}"/>
    <cellStyle name="Comma 6 2 7 2" xfId="3520" xr:uid="{00000000-0005-0000-0000-000088290000}"/>
    <cellStyle name="Comma 6 2 7 2 2" xfId="12656" xr:uid="{00000000-0005-0000-0000-000089290000}"/>
    <cellStyle name="Comma 6 2 7 2 2 2" xfId="22875" xr:uid="{00000000-0005-0000-0000-00008A290000}"/>
    <cellStyle name="Comma 6 2 7 2 2 2 2" xfId="48428" xr:uid="{00000000-0005-0000-0000-00008B290000}"/>
    <cellStyle name="Comma 6 2 7 2 2 3" xfId="38211" xr:uid="{00000000-0005-0000-0000-00008C290000}"/>
    <cellStyle name="Comma 6 2 7 2 3" xfId="9078" xr:uid="{00000000-0005-0000-0000-00008D290000}"/>
    <cellStyle name="Comma 6 2 7 2 3 2" xfId="34635" xr:uid="{00000000-0005-0000-0000-00008E290000}"/>
    <cellStyle name="Comma 6 2 7 2 4" xfId="17868" xr:uid="{00000000-0005-0000-0000-00008F290000}"/>
    <cellStyle name="Comma 6 2 7 2 4 2" xfId="43421" xr:uid="{00000000-0005-0000-0000-000090290000}"/>
    <cellStyle name="Comma 6 2 7 2 5" xfId="29358" xr:uid="{00000000-0005-0000-0000-000091290000}"/>
    <cellStyle name="Comma 6 2 7 3" xfId="5183" xr:uid="{00000000-0005-0000-0000-000092290000}"/>
    <cellStyle name="Comma 6 2 7 3 2" xfId="14020" xr:uid="{00000000-0005-0000-0000-000093290000}"/>
    <cellStyle name="Comma 6 2 7 3 2 2" xfId="24271" xr:uid="{00000000-0005-0000-0000-000094290000}"/>
    <cellStyle name="Comma 6 2 7 3 2 2 2" xfId="49824" xr:uid="{00000000-0005-0000-0000-000095290000}"/>
    <cellStyle name="Comma 6 2 7 3 2 3" xfId="39575" xr:uid="{00000000-0005-0000-0000-000096290000}"/>
    <cellStyle name="Comma 6 2 7 3 3" xfId="10441" xr:uid="{00000000-0005-0000-0000-000097290000}"/>
    <cellStyle name="Comma 6 2 7 3 3 2" xfId="35998" xr:uid="{00000000-0005-0000-0000-000098290000}"/>
    <cellStyle name="Comma 6 2 7 3 4" xfId="19264" xr:uid="{00000000-0005-0000-0000-000099290000}"/>
    <cellStyle name="Comma 6 2 7 3 4 2" xfId="44817" xr:uid="{00000000-0005-0000-0000-00009A290000}"/>
    <cellStyle name="Comma 6 2 7 3 5" xfId="30754" xr:uid="{00000000-0005-0000-0000-00009B290000}"/>
    <cellStyle name="Comma 6 2 7 4" xfId="1749" xr:uid="{00000000-0005-0000-0000-00009C290000}"/>
    <cellStyle name="Comma 6 2 7 4 2" xfId="11120" xr:uid="{00000000-0005-0000-0000-00009D290000}"/>
    <cellStyle name="Comma 6 2 7 4 2 2" xfId="36675" xr:uid="{00000000-0005-0000-0000-00009E290000}"/>
    <cellStyle name="Comma 6 2 7 4 3" xfId="21124" xr:uid="{00000000-0005-0000-0000-00009F290000}"/>
    <cellStyle name="Comma 6 2 7 4 3 2" xfId="46677" xr:uid="{00000000-0005-0000-0000-0000A0290000}"/>
    <cellStyle name="Comma 6 2 7 4 4" xfId="27607" xr:uid="{00000000-0005-0000-0000-0000A1290000}"/>
    <cellStyle name="Comma 6 2 7 5" xfId="6638" xr:uid="{00000000-0005-0000-0000-0000A2290000}"/>
    <cellStyle name="Comma 6 2 7 5 2" xfId="15465" xr:uid="{00000000-0005-0000-0000-0000A3290000}"/>
    <cellStyle name="Comma 6 2 7 5 2 2" xfId="41020" xr:uid="{00000000-0005-0000-0000-0000A4290000}"/>
    <cellStyle name="Comma 6 2 7 5 3" xfId="25716" xr:uid="{00000000-0005-0000-0000-0000A5290000}"/>
    <cellStyle name="Comma 6 2 7 5 3 2" xfId="51269" xr:uid="{00000000-0005-0000-0000-0000A6290000}"/>
    <cellStyle name="Comma 6 2 7 5 4" xfId="32199" xr:uid="{00000000-0005-0000-0000-0000A7290000}"/>
    <cellStyle name="Comma 6 2 7 6" xfId="8084" xr:uid="{00000000-0005-0000-0000-0000A8290000}"/>
    <cellStyle name="Comma 6 2 7 6 2" xfId="20474" xr:uid="{00000000-0005-0000-0000-0000A9290000}"/>
    <cellStyle name="Comma 6 2 7 6 2 2" xfId="46027" xr:uid="{00000000-0005-0000-0000-0000AA290000}"/>
    <cellStyle name="Comma 6 2 7 6 3" xfId="33641" xr:uid="{00000000-0005-0000-0000-0000AB290000}"/>
    <cellStyle name="Comma 6 2 7 7" xfId="16117" xr:uid="{00000000-0005-0000-0000-0000AC290000}"/>
    <cellStyle name="Comma 6 2 7 7 2" xfId="41670" xr:uid="{00000000-0005-0000-0000-0000AD290000}"/>
    <cellStyle name="Comma 6 2 7 8" xfId="26957" xr:uid="{00000000-0005-0000-0000-0000AE290000}"/>
    <cellStyle name="Comma 6 2 8" xfId="2647" xr:uid="{00000000-0005-0000-0000-0000AF290000}"/>
    <cellStyle name="Comma 6 2 8 2" xfId="11969" xr:uid="{00000000-0005-0000-0000-0000B0290000}"/>
    <cellStyle name="Comma 6 2 8 2 2" xfId="22008" xr:uid="{00000000-0005-0000-0000-0000B1290000}"/>
    <cellStyle name="Comma 6 2 8 2 2 2" xfId="47561" xr:uid="{00000000-0005-0000-0000-0000B2290000}"/>
    <cellStyle name="Comma 6 2 8 2 3" xfId="37524" xr:uid="{00000000-0005-0000-0000-0000B3290000}"/>
    <cellStyle name="Comma 6 2 8 3" xfId="8571" xr:uid="{00000000-0005-0000-0000-0000B4290000}"/>
    <cellStyle name="Comma 6 2 8 3 2" xfId="34128" xr:uid="{00000000-0005-0000-0000-0000B5290000}"/>
    <cellStyle name="Comma 6 2 8 4" xfId="17001" xr:uid="{00000000-0005-0000-0000-0000B6290000}"/>
    <cellStyle name="Comma 6 2 8 4 2" xfId="42554" xr:uid="{00000000-0005-0000-0000-0000B7290000}"/>
    <cellStyle name="Comma 6 2 8 5" xfId="28491" xr:uid="{00000000-0005-0000-0000-0000B8290000}"/>
    <cellStyle name="Comma 6 2 9" xfId="4137" xr:uid="{00000000-0005-0000-0000-0000B9290000}"/>
    <cellStyle name="Comma 6 2 9 2" xfId="12975" xr:uid="{00000000-0005-0000-0000-0000BA290000}"/>
    <cellStyle name="Comma 6 2 9 2 2" xfId="23226" xr:uid="{00000000-0005-0000-0000-0000BB290000}"/>
    <cellStyle name="Comma 6 2 9 2 2 2" xfId="48779" xr:uid="{00000000-0005-0000-0000-0000BC290000}"/>
    <cellStyle name="Comma 6 2 9 2 3" xfId="38530" xr:uid="{00000000-0005-0000-0000-0000BD290000}"/>
    <cellStyle name="Comma 6 2 9 3" xfId="9396" xr:uid="{00000000-0005-0000-0000-0000BE290000}"/>
    <cellStyle name="Comma 6 2 9 3 2" xfId="34953" xr:uid="{00000000-0005-0000-0000-0000BF290000}"/>
    <cellStyle name="Comma 6 2 9 4" xfId="18219" xr:uid="{00000000-0005-0000-0000-0000C0290000}"/>
    <cellStyle name="Comma 6 2 9 4 2" xfId="43772" xr:uid="{00000000-0005-0000-0000-0000C1290000}"/>
    <cellStyle name="Comma 6 2 9 5" xfId="29709" xr:uid="{00000000-0005-0000-0000-0000C2290000}"/>
    <cellStyle name="Comma 6 3" xfId="193" xr:uid="{00000000-0005-0000-0000-0000C3290000}"/>
    <cellStyle name="Comma 6 3 10" xfId="7141" xr:uid="{00000000-0005-0000-0000-0000C4290000}"/>
    <cellStyle name="Comma 6 3 10 2" xfId="19650" xr:uid="{00000000-0005-0000-0000-0000C5290000}"/>
    <cellStyle name="Comma 6 3 10 2 2" xfId="45203" xr:uid="{00000000-0005-0000-0000-0000C6290000}"/>
    <cellStyle name="Comma 6 3 10 3" xfId="32698" xr:uid="{00000000-0005-0000-0000-0000C7290000}"/>
    <cellStyle name="Comma 6 3 11" xfId="15887" xr:uid="{00000000-0005-0000-0000-0000C8290000}"/>
    <cellStyle name="Comma 6 3 11 2" xfId="41440" xr:uid="{00000000-0005-0000-0000-0000C9290000}"/>
    <cellStyle name="Comma 6 3 12" xfId="26133" xr:uid="{00000000-0005-0000-0000-0000CA290000}"/>
    <cellStyle name="Comma 6 3 2" xfId="521" xr:uid="{00000000-0005-0000-0000-0000CB290000}"/>
    <cellStyle name="Comma 6 3 2 10" xfId="26450" xr:uid="{00000000-0005-0000-0000-0000CC290000}"/>
    <cellStyle name="Comma 6 3 2 2" xfId="692" xr:uid="{00000000-0005-0000-0000-0000CD290000}"/>
    <cellStyle name="Comma 6 3 2 2 2" xfId="3178" xr:uid="{00000000-0005-0000-0000-0000CE290000}"/>
    <cellStyle name="Comma 6 3 2 2 2 2" xfId="12321" xr:uid="{00000000-0005-0000-0000-0000CF290000}"/>
    <cellStyle name="Comma 6 3 2 2 2 2 2" xfId="22539" xr:uid="{00000000-0005-0000-0000-0000D0290000}"/>
    <cellStyle name="Comma 6 3 2 2 2 2 2 2" xfId="48092" xr:uid="{00000000-0005-0000-0000-0000D1290000}"/>
    <cellStyle name="Comma 6 3 2 2 2 2 3" xfId="37876" xr:uid="{00000000-0005-0000-0000-0000D2290000}"/>
    <cellStyle name="Comma 6 3 2 2 2 3" xfId="8743" xr:uid="{00000000-0005-0000-0000-0000D3290000}"/>
    <cellStyle name="Comma 6 3 2 2 2 3 2" xfId="34300" xr:uid="{00000000-0005-0000-0000-0000D4290000}"/>
    <cellStyle name="Comma 6 3 2 2 2 4" xfId="17532" xr:uid="{00000000-0005-0000-0000-0000D5290000}"/>
    <cellStyle name="Comma 6 3 2 2 2 4 2" xfId="43085" xr:uid="{00000000-0005-0000-0000-0000D6290000}"/>
    <cellStyle name="Comma 6 3 2 2 2 5" xfId="29022" xr:uid="{00000000-0005-0000-0000-0000D7290000}"/>
    <cellStyle name="Comma 6 3 2 2 3" xfId="4507" xr:uid="{00000000-0005-0000-0000-0000D8290000}"/>
    <cellStyle name="Comma 6 3 2 2 3 2" xfId="13345" xr:uid="{00000000-0005-0000-0000-0000D9290000}"/>
    <cellStyle name="Comma 6 3 2 2 3 2 2" xfId="23596" xr:uid="{00000000-0005-0000-0000-0000DA290000}"/>
    <cellStyle name="Comma 6 3 2 2 3 2 2 2" xfId="49149" xr:uid="{00000000-0005-0000-0000-0000DB290000}"/>
    <cellStyle name="Comma 6 3 2 2 3 2 3" xfId="38900" xr:uid="{00000000-0005-0000-0000-0000DC290000}"/>
    <cellStyle name="Comma 6 3 2 2 3 3" xfId="9766" xr:uid="{00000000-0005-0000-0000-0000DD290000}"/>
    <cellStyle name="Comma 6 3 2 2 3 3 2" xfId="35323" xr:uid="{00000000-0005-0000-0000-0000DE290000}"/>
    <cellStyle name="Comma 6 3 2 2 3 4" xfId="18589" xr:uid="{00000000-0005-0000-0000-0000DF290000}"/>
    <cellStyle name="Comma 6 3 2 2 3 4 2" xfId="44142" xr:uid="{00000000-0005-0000-0000-0000E0290000}"/>
    <cellStyle name="Comma 6 3 2 2 3 5" xfId="30079" xr:uid="{00000000-0005-0000-0000-0000E1290000}"/>
    <cellStyle name="Comma 6 3 2 2 4" xfId="2287" xr:uid="{00000000-0005-0000-0000-0000E2290000}"/>
    <cellStyle name="Comma 6 3 2 2 4 2" xfId="11652" xr:uid="{00000000-0005-0000-0000-0000E3290000}"/>
    <cellStyle name="Comma 6 3 2 2 4 2 2" xfId="37207" xr:uid="{00000000-0005-0000-0000-0000E4290000}"/>
    <cellStyle name="Comma 6 3 2 2 4 3" xfId="21656" xr:uid="{00000000-0005-0000-0000-0000E5290000}"/>
    <cellStyle name="Comma 6 3 2 2 4 3 2" xfId="47209" xr:uid="{00000000-0005-0000-0000-0000E6290000}"/>
    <cellStyle name="Comma 6 3 2 2 4 4" xfId="28139" xr:uid="{00000000-0005-0000-0000-0000E7290000}"/>
    <cellStyle name="Comma 6 3 2 2 5" xfId="5963" xr:uid="{00000000-0005-0000-0000-0000E8290000}"/>
    <cellStyle name="Comma 6 3 2 2 5 2" xfId="14790" xr:uid="{00000000-0005-0000-0000-0000E9290000}"/>
    <cellStyle name="Comma 6 3 2 2 5 2 2" xfId="40345" xr:uid="{00000000-0005-0000-0000-0000EA290000}"/>
    <cellStyle name="Comma 6 3 2 2 5 3" xfId="25041" xr:uid="{00000000-0005-0000-0000-0000EB290000}"/>
    <cellStyle name="Comma 6 3 2 2 5 3 2" xfId="50594" xr:uid="{00000000-0005-0000-0000-0000EC290000}"/>
    <cellStyle name="Comma 6 3 2 2 5 4" xfId="31524" xr:uid="{00000000-0005-0000-0000-0000ED290000}"/>
    <cellStyle name="Comma 6 3 2 2 6" xfId="7407" xr:uid="{00000000-0005-0000-0000-0000EE290000}"/>
    <cellStyle name="Comma 6 3 2 2 6 2" xfId="20138" xr:uid="{00000000-0005-0000-0000-0000EF290000}"/>
    <cellStyle name="Comma 6 3 2 2 6 2 2" xfId="45691" xr:uid="{00000000-0005-0000-0000-0000F0290000}"/>
    <cellStyle name="Comma 6 3 2 2 6 3" xfId="32964" xr:uid="{00000000-0005-0000-0000-0000F1290000}"/>
    <cellStyle name="Comma 6 3 2 2 7" xfId="16649" xr:uid="{00000000-0005-0000-0000-0000F2290000}"/>
    <cellStyle name="Comma 6 3 2 2 7 2" xfId="42202" xr:uid="{00000000-0005-0000-0000-0000F3290000}"/>
    <cellStyle name="Comma 6 3 2 2 8" xfId="26621" xr:uid="{00000000-0005-0000-0000-0000F4290000}"/>
    <cellStyle name="Comma 6 3 2 3" xfId="1293" xr:uid="{00000000-0005-0000-0000-0000F5290000}"/>
    <cellStyle name="Comma 6 3 2 3 2" xfId="3722" xr:uid="{00000000-0005-0000-0000-0000F6290000}"/>
    <cellStyle name="Comma 6 3 2 3 2 2" xfId="12858" xr:uid="{00000000-0005-0000-0000-0000F7290000}"/>
    <cellStyle name="Comma 6 3 2 3 2 2 2" xfId="23077" xr:uid="{00000000-0005-0000-0000-0000F8290000}"/>
    <cellStyle name="Comma 6 3 2 3 2 2 2 2" xfId="48630" xr:uid="{00000000-0005-0000-0000-0000F9290000}"/>
    <cellStyle name="Comma 6 3 2 3 2 2 3" xfId="38413" xr:uid="{00000000-0005-0000-0000-0000FA290000}"/>
    <cellStyle name="Comma 6 3 2 3 2 3" xfId="9279" xr:uid="{00000000-0005-0000-0000-0000FB290000}"/>
    <cellStyle name="Comma 6 3 2 3 2 3 2" xfId="34836" xr:uid="{00000000-0005-0000-0000-0000FC290000}"/>
    <cellStyle name="Comma 6 3 2 3 2 4" xfId="18070" xr:uid="{00000000-0005-0000-0000-0000FD290000}"/>
    <cellStyle name="Comma 6 3 2 3 2 4 2" xfId="43623" xr:uid="{00000000-0005-0000-0000-0000FE290000}"/>
    <cellStyle name="Comma 6 3 2 3 2 5" xfId="29560" xr:uid="{00000000-0005-0000-0000-0000FF290000}"/>
    <cellStyle name="Comma 6 3 2 3 3" xfId="4856" xr:uid="{00000000-0005-0000-0000-0000002A0000}"/>
    <cellStyle name="Comma 6 3 2 3 3 2" xfId="13693" xr:uid="{00000000-0005-0000-0000-0000012A0000}"/>
    <cellStyle name="Comma 6 3 2 3 3 2 2" xfId="23944" xr:uid="{00000000-0005-0000-0000-0000022A0000}"/>
    <cellStyle name="Comma 6 3 2 3 3 2 2 2" xfId="49497" xr:uid="{00000000-0005-0000-0000-0000032A0000}"/>
    <cellStyle name="Comma 6 3 2 3 3 2 3" xfId="39248" xr:uid="{00000000-0005-0000-0000-0000042A0000}"/>
    <cellStyle name="Comma 6 3 2 3 3 3" xfId="10114" xr:uid="{00000000-0005-0000-0000-0000052A0000}"/>
    <cellStyle name="Comma 6 3 2 3 3 3 2" xfId="35671" xr:uid="{00000000-0005-0000-0000-0000062A0000}"/>
    <cellStyle name="Comma 6 3 2 3 3 4" xfId="18937" xr:uid="{00000000-0005-0000-0000-0000072A0000}"/>
    <cellStyle name="Comma 6 3 2 3 3 4 2" xfId="44490" xr:uid="{00000000-0005-0000-0000-0000082A0000}"/>
    <cellStyle name="Comma 6 3 2 3 3 5" xfId="30427" xr:uid="{00000000-0005-0000-0000-0000092A0000}"/>
    <cellStyle name="Comma 6 3 2 3 4" xfId="2116" xr:uid="{00000000-0005-0000-0000-00000A2A0000}"/>
    <cellStyle name="Comma 6 3 2 3 4 2" xfId="11481" xr:uid="{00000000-0005-0000-0000-00000B2A0000}"/>
    <cellStyle name="Comma 6 3 2 3 4 2 2" xfId="37036" xr:uid="{00000000-0005-0000-0000-00000C2A0000}"/>
    <cellStyle name="Comma 6 3 2 3 4 3" xfId="21485" xr:uid="{00000000-0005-0000-0000-00000D2A0000}"/>
    <cellStyle name="Comma 6 3 2 3 4 3 2" xfId="47038" xr:uid="{00000000-0005-0000-0000-00000E2A0000}"/>
    <cellStyle name="Comma 6 3 2 3 4 4" xfId="27968" xr:uid="{00000000-0005-0000-0000-00000F2A0000}"/>
    <cellStyle name="Comma 6 3 2 3 5" xfId="6311" xr:uid="{00000000-0005-0000-0000-0000102A0000}"/>
    <cellStyle name="Comma 6 3 2 3 5 2" xfId="15138" xr:uid="{00000000-0005-0000-0000-0000112A0000}"/>
    <cellStyle name="Comma 6 3 2 3 5 2 2" xfId="40693" xr:uid="{00000000-0005-0000-0000-0000122A0000}"/>
    <cellStyle name="Comma 6 3 2 3 5 3" xfId="25389" xr:uid="{00000000-0005-0000-0000-0000132A0000}"/>
    <cellStyle name="Comma 6 3 2 3 5 3 2" xfId="50942" xr:uid="{00000000-0005-0000-0000-0000142A0000}"/>
    <cellStyle name="Comma 6 3 2 3 5 4" xfId="31872" xr:uid="{00000000-0005-0000-0000-0000152A0000}"/>
    <cellStyle name="Comma 6 3 2 3 6" xfId="7757" xr:uid="{00000000-0005-0000-0000-0000162A0000}"/>
    <cellStyle name="Comma 6 3 2 3 6 2" xfId="20676" xr:uid="{00000000-0005-0000-0000-0000172A0000}"/>
    <cellStyle name="Comma 6 3 2 3 6 2 2" xfId="46229" xr:uid="{00000000-0005-0000-0000-0000182A0000}"/>
    <cellStyle name="Comma 6 3 2 3 6 3" xfId="33314" xr:uid="{00000000-0005-0000-0000-0000192A0000}"/>
    <cellStyle name="Comma 6 3 2 3 7" xfId="16478" xr:uid="{00000000-0005-0000-0000-00001A2A0000}"/>
    <cellStyle name="Comma 6 3 2 3 7 2" xfId="42031" xr:uid="{00000000-0005-0000-0000-00001B2A0000}"/>
    <cellStyle name="Comma 6 3 2 3 8" xfId="27159" xr:uid="{00000000-0005-0000-0000-00001C2A0000}"/>
    <cellStyle name="Comma 6 3 2 4" xfId="3007" xr:uid="{00000000-0005-0000-0000-00001D2A0000}"/>
    <cellStyle name="Comma 6 3 2 4 2" xfId="5385" xr:uid="{00000000-0005-0000-0000-00001E2A0000}"/>
    <cellStyle name="Comma 6 3 2 4 2 2" xfId="14222" xr:uid="{00000000-0005-0000-0000-00001F2A0000}"/>
    <cellStyle name="Comma 6 3 2 4 2 2 2" xfId="24473" xr:uid="{00000000-0005-0000-0000-0000202A0000}"/>
    <cellStyle name="Comma 6 3 2 4 2 2 2 2" xfId="50026" xr:uid="{00000000-0005-0000-0000-0000212A0000}"/>
    <cellStyle name="Comma 6 3 2 4 2 2 3" xfId="39777" xr:uid="{00000000-0005-0000-0000-0000222A0000}"/>
    <cellStyle name="Comma 6 3 2 4 2 3" xfId="10643" xr:uid="{00000000-0005-0000-0000-0000232A0000}"/>
    <cellStyle name="Comma 6 3 2 4 2 3 2" xfId="36200" xr:uid="{00000000-0005-0000-0000-0000242A0000}"/>
    <cellStyle name="Comma 6 3 2 4 2 4" xfId="19466" xr:uid="{00000000-0005-0000-0000-0000252A0000}"/>
    <cellStyle name="Comma 6 3 2 4 2 4 2" xfId="45019" xr:uid="{00000000-0005-0000-0000-0000262A0000}"/>
    <cellStyle name="Comma 6 3 2 4 2 5" xfId="30956" xr:uid="{00000000-0005-0000-0000-0000272A0000}"/>
    <cellStyle name="Comma 6 3 2 4 3" xfId="6840" xr:uid="{00000000-0005-0000-0000-0000282A0000}"/>
    <cellStyle name="Comma 6 3 2 4 3 2" xfId="15667" xr:uid="{00000000-0005-0000-0000-0000292A0000}"/>
    <cellStyle name="Comma 6 3 2 4 3 2 2" xfId="41222" xr:uid="{00000000-0005-0000-0000-00002A2A0000}"/>
    <cellStyle name="Comma 6 3 2 4 3 3" xfId="25918" xr:uid="{00000000-0005-0000-0000-00002B2A0000}"/>
    <cellStyle name="Comma 6 3 2 4 3 3 2" xfId="51471" xr:uid="{00000000-0005-0000-0000-00002C2A0000}"/>
    <cellStyle name="Comma 6 3 2 4 3 4" xfId="32401" xr:uid="{00000000-0005-0000-0000-00002D2A0000}"/>
    <cellStyle name="Comma 6 3 2 4 4" xfId="8286" xr:uid="{00000000-0005-0000-0000-00002E2A0000}"/>
    <cellStyle name="Comma 6 3 2 4 4 2" xfId="22368" xr:uid="{00000000-0005-0000-0000-00002F2A0000}"/>
    <cellStyle name="Comma 6 3 2 4 4 2 2" xfId="47921" xr:uid="{00000000-0005-0000-0000-0000302A0000}"/>
    <cellStyle name="Comma 6 3 2 4 4 3" xfId="33843" xr:uid="{00000000-0005-0000-0000-0000312A0000}"/>
    <cellStyle name="Comma 6 3 2 4 5" xfId="17361" xr:uid="{00000000-0005-0000-0000-0000322A0000}"/>
    <cellStyle name="Comma 6 3 2 4 5 2" xfId="42914" xr:uid="{00000000-0005-0000-0000-0000332A0000}"/>
    <cellStyle name="Comma 6 3 2 4 6" xfId="28851" xr:uid="{00000000-0005-0000-0000-0000342A0000}"/>
    <cellStyle name="Comma 6 3 2 5" xfId="4341" xr:uid="{00000000-0005-0000-0000-0000352A0000}"/>
    <cellStyle name="Comma 6 3 2 5 2" xfId="13179" xr:uid="{00000000-0005-0000-0000-0000362A0000}"/>
    <cellStyle name="Comma 6 3 2 5 2 2" xfId="23430" xr:uid="{00000000-0005-0000-0000-0000372A0000}"/>
    <cellStyle name="Comma 6 3 2 5 2 2 2" xfId="48983" xr:uid="{00000000-0005-0000-0000-0000382A0000}"/>
    <cellStyle name="Comma 6 3 2 5 2 3" xfId="38734" xr:uid="{00000000-0005-0000-0000-0000392A0000}"/>
    <cellStyle name="Comma 6 3 2 5 3" xfId="9600" xr:uid="{00000000-0005-0000-0000-00003A2A0000}"/>
    <cellStyle name="Comma 6 3 2 5 3 2" xfId="35157" xr:uid="{00000000-0005-0000-0000-00003B2A0000}"/>
    <cellStyle name="Comma 6 3 2 5 4" xfId="18423" xr:uid="{00000000-0005-0000-0000-00003C2A0000}"/>
    <cellStyle name="Comma 6 3 2 5 4 2" xfId="43976" xr:uid="{00000000-0005-0000-0000-00003D2A0000}"/>
    <cellStyle name="Comma 6 3 2 5 5" xfId="29913" xr:uid="{00000000-0005-0000-0000-00003E2A0000}"/>
    <cellStyle name="Comma 6 3 2 6" xfId="1613" xr:uid="{00000000-0005-0000-0000-00003F2A0000}"/>
    <cellStyle name="Comma 6 3 2 6 2" xfId="10990" xr:uid="{00000000-0005-0000-0000-0000402A0000}"/>
    <cellStyle name="Comma 6 3 2 6 2 2" xfId="36545" xr:uid="{00000000-0005-0000-0000-0000412A0000}"/>
    <cellStyle name="Comma 6 3 2 6 3" xfId="20994" xr:uid="{00000000-0005-0000-0000-0000422A0000}"/>
    <cellStyle name="Comma 6 3 2 6 3 2" xfId="46547" xr:uid="{00000000-0005-0000-0000-0000432A0000}"/>
    <cellStyle name="Comma 6 3 2 6 4" xfId="27477" xr:uid="{00000000-0005-0000-0000-0000442A0000}"/>
    <cellStyle name="Comma 6 3 2 7" xfId="5797" xr:uid="{00000000-0005-0000-0000-0000452A0000}"/>
    <cellStyle name="Comma 6 3 2 7 2" xfId="14624" xr:uid="{00000000-0005-0000-0000-0000462A0000}"/>
    <cellStyle name="Comma 6 3 2 7 2 2" xfId="40179" xr:uid="{00000000-0005-0000-0000-0000472A0000}"/>
    <cellStyle name="Comma 6 3 2 7 3" xfId="24875" xr:uid="{00000000-0005-0000-0000-0000482A0000}"/>
    <cellStyle name="Comma 6 3 2 7 3 2" xfId="50428" xr:uid="{00000000-0005-0000-0000-0000492A0000}"/>
    <cellStyle name="Comma 6 3 2 7 4" xfId="31358" xr:uid="{00000000-0005-0000-0000-00004A2A0000}"/>
    <cellStyle name="Comma 6 3 2 8" xfId="7241" xr:uid="{00000000-0005-0000-0000-00004B2A0000}"/>
    <cellStyle name="Comma 6 3 2 8 2" xfId="19967" xr:uid="{00000000-0005-0000-0000-00004C2A0000}"/>
    <cellStyle name="Comma 6 3 2 8 2 2" xfId="45520" xr:uid="{00000000-0005-0000-0000-00004D2A0000}"/>
    <cellStyle name="Comma 6 3 2 8 3" xfId="32798" xr:uid="{00000000-0005-0000-0000-00004E2A0000}"/>
    <cellStyle name="Comma 6 3 2 9" xfId="15987" xr:uid="{00000000-0005-0000-0000-00004F2A0000}"/>
    <cellStyle name="Comma 6 3 2 9 2" xfId="41540" xr:uid="{00000000-0005-0000-0000-0000502A0000}"/>
    <cellStyle name="Comma 6 3 3" xfId="421" xr:uid="{00000000-0005-0000-0000-0000512A0000}"/>
    <cellStyle name="Comma 6 3 3 2" xfId="2907" xr:uid="{00000000-0005-0000-0000-0000522A0000}"/>
    <cellStyle name="Comma 6 3 3 2 2" xfId="12195" xr:uid="{00000000-0005-0000-0000-0000532A0000}"/>
    <cellStyle name="Comma 6 3 3 2 2 2" xfId="22268" xr:uid="{00000000-0005-0000-0000-0000542A0000}"/>
    <cellStyle name="Comma 6 3 3 2 2 2 2" xfId="47821" xr:uid="{00000000-0005-0000-0000-0000552A0000}"/>
    <cellStyle name="Comma 6 3 3 2 2 3" xfId="37750" xr:uid="{00000000-0005-0000-0000-0000562A0000}"/>
    <cellStyle name="Comma 6 3 3 2 3" xfId="8602" xr:uid="{00000000-0005-0000-0000-0000572A0000}"/>
    <cellStyle name="Comma 6 3 3 2 3 2" xfId="34159" xr:uid="{00000000-0005-0000-0000-0000582A0000}"/>
    <cellStyle name="Comma 6 3 3 2 4" xfId="17261" xr:uid="{00000000-0005-0000-0000-0000592A0000}"/>
    <cellStyle name="Comma 6 3 3 2 4 2" xfId="42814" xr:uid="{00000000-0005-0000-0000-00005A2A0000}"/>
    <cellStyle name="Comma 6 3 3 2 5" xfId="28751" xr:uid="{00000000-0005-0000-0000-00005B2A0000}"/>
    <cellStyle name="Comma 6 3 3 3" xfId="4506" xr:uid="{00000000-0005-0000-0000-00005C2A0000}"/>
    <cellStyle name="Comma 6 3 3 3 2" xfId="13344" xr:uid="{00000000-0005-0000-0000-00005D2A0000}"/>
    <cellStyle name="Comma 6 3 3 3 2 2" xfId="23595" xr:uid="{00000000-0005-0000-0000-00005E2A0000}"/>
    <cellStyle name="Comma 6 3 3 3 2 2 2" xfId="49148" xr:uid="{00000000-0005-0000-0000-00005F2A0000}"/>
    <cellStyle name="Comma 6 3 3 3 2 3" xfId="38899" xr:uid="{00000000-0005-0000-0000-0000602A0000}"/>
    <cellStyle name="Comma 6 3 3 3 3" xfId="9765" xr:uid="{00000000-0005-0000-0000-0000612A0000}"/>
    <cellStyle name="Comma 6 3 3 3 3 2" xfId="35322" xr:uid="{00000000-0005-0000-0000-0000622A0000}"/>
    <cellStyle name="Comma 6 3 3 3 4" xfId="18588" xr:uid="{00000000-0005-0000-0000-0000632A0000}"/>
    <cellStyle name="Comma 6 3 3 3 4 2" xfId="44141" xr:uid="{00000000-0005-0000-0000-0000642A0000}"/>
    <cellStyle name="Comma 6 3 3 3 5" xfId="30078" xr:uid="{00000000-0005-0000-0000-0000652A0000}"/>
    <cellStyle name="Comma 6 3 3 4" xfId="2016" xr:uid="{00000000-0005-0000-0000-0000662A0000}"/>
    <cellStyle name="Comma 6 3 3 4 2" xfId="11381" xr:uid="{00000000-0005-0000-0000-0000672A0000}"/>
    <cellStyle name="Comma 6 3 3 4 2 2" xfId="36936" xr:uid="{00000000-0005-0000-0000-0000682A0000}"/>
    <cellStyle name="Comma 6 3 3 4 3" xfId="21385" xr:uid="{00000000-0005-0000-0000-0000692A0000}"/>
    <cellStyle name="Comma 6 3 3 4 3 2" xfId="46938" xr:uid="{00000000-0005-0000-0000-00006A2A0000}"/>
    <cellStyle name="Comma 6 3 3 4 4" xfId="27868" xr:uid="{00000000-0005-0000-0000-00006B2A0000}"/>
    <cellStyle name="Comma 6 3 3 5" xfId="5962" xr:uid="{00000000-0005-0000-0000-00006C2A0000}"/>
    <cellStyle name="Comma 6 3 3 5 2" xfId="14789" xr:uid="{00000000-0005-0000-0000-00006D2A0000}"/>
    <cellStyle name="Comma 6 3 3 5 2 2" xfId="40344" xr:uid="{00000000-0005-0000-0000-00006E2A0000}"/>
    <cellStyle name="Comma 6 3 3 5 3" xfId="25040" xr:uid="{00000000-0005-0000-0000-00006F2A0000}"/>
    <cellStyle name="Comma 6 3 3 5 3 2" xfId="50593" xr:uid="{00000000-0005-0000-0000-0000702A0000}"/>
    <cellStyle name="Comma 6 3 3 5 4" xfId="31523" xr:uid="{00000000-0005-0000-0000-0000712A0000}"/>
    <cellStyle name="Comma 6 3 3 6" xfId="7406" xr:uid="{00000000-0005-0000-0000-0000722A0000}"/>
    <cellStyle name="Comma 6 3 3 6 2" xfId="19867" xr:uid="{00000000-0005-0000-0000-0000732A0000}"/>
    <cellStyle name="Comma 6 3 3 6 2 2" xfId="45420" xr:uid="{00000000-0005-0000-0000-0000742A0000}"/>
    <cellStyle name="Comma 6 3 3 6 3" xfId="32963" xr:uid="{00000000-0005-0000-0000-0000752A0000}"/>
    <cellStyle name="Comma 6 3 3 7" xfId="16378" xr:uid="{00000000-0005-0000-0000-0000762A0000}"/>
    <cellStyle name="Comma 6 3 3 7 2" xfId="41931" xr:uid="{00000000-0005-0000-0000-0000772A0000}"/>
    <cellStyle name="Comma 6 3 3 8" xfId="26350" xr:uid="{00000000-0005-0000-0000-0000782A0000}"/>
    <cellStyle name="Comma 6 3 4" xfId="691" xr:uid="{00000000-0005-0000-0000-0000792A0000}"/>
    <cellStyle name="Comma 6 3 4 2" xfId="3177" xr:uid="{00000000-0005-0000-0000-00007A2A0000}"/>
    <cellStyle name="Comma 6 3 4 2 2" xfId="12320" xr:uid="{00000000-0005-0000-0000-00007B2A0000}"/>
    <cellStyle name="Comma 6 3 4 2 2 2" xfId="22538" xr:uid="{00000000-0005-0000-0000-00007C2A0000}"/>
    <cellStyle name="Comma 6 3 4 2 2 2 2" xfId="48091" xr:uid="{00000000-0005-0000-0000-00007D2A0000}"/>
    <cellStyle name="Comma 6 3 4 2 2 3" xfId="37875" xr:uid="{00000000-0005-0000-0000-00007E2A0000}"/>
    <cellStyle name="Comma 6 3 4 2 3" xfId="8742" xr:uid="{00000000-0005-0000-0000-00007F2A0000}"/>
    <cellStyle name="Comma 6 3 4 2 3 2" xfId="34299" xr:uid="{00000000-0005-0000-0000-0000802A0000}"/>
    <cellStyle name="Comma 6 3 4 2 4" xfId="17531" xr:uid="{00000000-0005-0000-0000-0000812A0000}"/>
    <cellStyle name="Comma 6 3 4 2 4 2" xfId="43084" xr:uid="{00000000-0005-0000-0000-0000822A0000}"/>
    <cellStyle name="Comma 6 3 4 2 5" xfId="29021" xr:uid="{00000000-0005-0000-0000-0000832A0000}"/>
    <cellStyle name="Comma 6 3 4 3" xfId="4855" xr:uid="{00000000-0005-0000-0000-0000842A0000}"/>
    <cellStyle name="Comma 6 3 4 3 2" xfId="13692" xr:uid="{00000000-0005-0000-0000-0000852A0000}"/>
    <cellStyle name="Comma 6 3 4 3 2 2" xfId="23943" xr:uid="{00000000-0005-0000-0000-0000862A0000}"/>
    <cellStyle name="Comma 6 3 4 3 2 2 2" xfId="49496" xr:uid="{00000000-0005-0000-0000-0000872A0000}"/>
    <cellStyle name="Comma 6 3 4 3 2 3" xfId="39247" xr:uid="{00000000-0005-0000-0000-0000882A0000}"/>
    <cellStyle name="Comma 6 3 4 3 3" xfId="10113" xr:uid="{00000000-0005-0000-0000-0000892A0000}"/>
    <cellStyle name="Comma 6 3 4 3 3 2" xfId="35670" xr:uid="{00000000-0005-0000-0000-00008A2A0000}"/>
    <cellStyle name="Comma 6 3 4 3 4" xfId="18936" xr:uid="{00000000-0005-0000-0000-00008B2A0000}"/>
    <cellStyle name="Comma 6 3 4 3 4 2" xfId="44489" xr:uid="{00000000-0005-0000-0000-00008C2A0000}"/>
    <cellStyle name="Comma 6 3 4 3 5" xfId="30426" xr:uid="{00000000-0005-0000-0000-00008D2A0000}"/>
    <cellStyle name="Comma 6 3 4 4" xfId="2286" xr:uid="{00000000-0005-0000-0000-00008E2A0000}"/>
    <cellStyle name="Comma 6 3 4 4 2" xfId="11651" xr:uid="{00000000-0005-0000-0000-00008F2A0000}"/>
    <cellStyle name="Comma 6 3 4 4 2 2" xfId="37206" xr:uid="{00000000-0005-0000-0000-0000902A0000}"/>
    <cellStyle name="Comma 6 3 4 4 3" xfId="21655" xr:uid="{00000000-0005-0000-0000-0000912A0000}"/>
    <cellStyle name="Comma 6 3 4 4 3 2" xfId="47208" xr:uid="{00000000-0005-0000-0000-0000922A0000}"/>
    <cellStyle name="Comma 6 3 4 4 4" xfId="28138" xr:uid="{00000000-0005-0000-0000-0000932A0000}"/>
    <cellStyle name="Comma 6 3 4 5" xfId="6310" xr:uid="{00000000-0005-0000-0000-0000942A0000}"/>
    <cellStyle name="Comma 6 3 4 5 2" xfId="15137" xr:uid="{00000000-0005-0000-0000-0000952A0000}"/>
    <cellStyle name="Comma 6 3 4 5 2 2" xfId="40692" xr:uid="{00000000-0005-0000-0000-0000962A0000}"/>
    <cellStyle name="Comma 6 3 4 5 3" xfId="25388" xr:uid="{00000000-0005-0000-0000-0000972A0000}"/>
    <cellStyle name="Comma 6 3 4 5 3 2" xfId="50941" xr:uid="{00000000-0005-0000-0000-0000982A0000}"/>
    <cellStyle name="Comma 6 3 4 5 4" xfId="31871" xr:uid="{00000000-0005-0000-0000-0000992A0000}"/>
    <cellStyle name="Comma 6 3 4 6" xfId="7756" xr:uid="{00000000-0005-0000-0000-00009A2A0000}"/>
    <cellStyle name="Comma 6 3 4 6 2" xfId="20137" xr:uid="{00000000-0005-0000-0000-00009B2A0000}"/>
    <cellStyle name="Comma 6 3 4 6 2 2" xfId="45690" xr:uid="{00000000-0005-0000-0000-00009C2A0000}"/>
    <cellStyle name="Comma 6 3 4 6 3" xfId="33313" xr:uid="{00000000-0005-0000-0000-00009D2A0000}"/>
    <cellStyle name="Comma 6 3 4 7" xfId="16648" xr:uid="{00000000-0005-0000-0000-00009E2A0000}"/>
    <cellStyle name="Comma 6 3 4 7 2" xfId="42201" xr:uid="{00000000-0005-0000-0000-00009F2A0000}"/>
    <cellStyle name="Comma 6 3 4 8" xfId="26620" xr:uid="{00000000-0005-0000-0000-0000A02A0000}"/>
    <cellStyle name="Comma 6 3 5" xfId="1193" xr:uid="{00000000-0005-0000-0000-0000A12A0000}"/>
    <cellStyle name="Comma 6 3 5 2" xfId="3622" xr:uid="{00000000-0005-0000-0000-0000A22A0000}"/>
    <cellStyle name="Comma 6 3 5 2 2" xfId="12758" xr:uid="{00000000-0005-0000-0000-0000A32A0000}"/>
    <cellStyle name="Comma 6 3 5 2 2 2" xfId="22977" xr:uid="{00000000-0005-0000-0000-0000A42A0000}"/>
    <cellStyle name="Comma 6 3 5 2 2 2 2" xfId="48530" xr:uid="{00000000-0005-0000-0000-0000A52A0000}"/>
    <cellStyle name="Comma 6 3 5 2 2 3" xfId="38313" xr:uid="{00000000-0005-0000-0000-0000A62A0000}"/>
    <cellStyle name="Comma 6 3 5 2 3" xfId="9179" xr:uid="{00000000-0005-0000-0000-0000A72A0000}"/>
    <cellStyle name="Comma 6 3 5 2 3 2" xfId="34736" xr:uid="{00000000-0005-0000-0000-0000A82A0000}"/>
    <cellStyle name="Comma 6 3 5 2 4" xfId="17970" xr:uid="{00000000-0005-0000-0000-0000A92A0000}"/>
    <cellStyle name="Comma 6 3 5 2 4 2" xfId="43523" xr:uid="{00000000-0005-0000-0000-0000AA2A0000}"/>
    <cellStyle name="Comma 6 3 5 2 5" xfId="29460" xr:uid="{00000000-0005-0000-0000-0000AB2A0000}"/>
    <cellStyle name="Comma 6 3 5 3" xfId="5285" xr:uid="{00000000-0005-0000-0000-0000AC2A0000}"/>
    <cellStyle name="Comma 6 3 5 3 2" xfId="14122" xr:uid="{00000000-0005-0000-0000-0000AD2A0000}"/>
    <cellStyle name="Comma 6 3 5 3 2 2" xfId="24373" xr:uid="{00000000-0005-0000-0000-0000AE2A0000}"/>
    <cellStyle name="Comma 6 3 5 3 2 2 2" xfId="49926" xr:uid="{00000000-0005-0000-0000-0000AF2A0000}"/>
    <cellStyle name="Comma 6 3 5 3 2 3" xfId="39677" xr:uid="{00000000-0005-0000-0000-0000B02A0000}"/>
    <cellStyle name="Comma 6 3 5 3 3" xfId="10543" xr:uid="{00000000-0005-0000-0000-0000B12A0000}"/>
    <cellStyle name="Comma 6 3 5 3 3 2" xfId="36100" xr:uid="{00000000-0005-0000-0000-0000B22A0000}"/>
    <cellStyle name="Comma 6 3 5 3 4" xfId="19366" xr:uid="{00000000-0005-0000-0000-0000B32A0000}"/>
    <cellStyle name="Comma 6 3 5 3 4 2" xfId="44919" xr:uid="{00000000-0005-0000-0000-0000B42A0000}"/>
    <cellStyle name="Comma 6 3 5 3 5" xfId="30856" xr:uid="{00000000-0005-0000-0000-0000B52A0000}"/>
    <cellStyle name="Comma 6 3 5 4" xfId="1795" xr:uid="{00000000-0005-0000-0000-0000B62A0000}"/>
    <cellStyle name="Comma 6 3 5 4 2" xfId="11164" xr:uid="{00000000-0005-0000-0000-0000B72A0000}"/>
    <cellStyle name="Comma 6 3 5 4 2 2" xfId="36719" xr:uid="{00000000-0005-0000-0000-0000B82A0000}"/>
    <cellStyle name="Comma 6 3 5 4 3" xfId="21168" xr:uid="{00000000-0005-0000-0000-0000B92A0000}"/>
    <cellStyle name="Comma 6 3 5 4 3 2" xfId="46721" xr:uid="{00000000-0005-0000-0000-0000BA2A0000}"/>
    <cellStyle name="Comma 6 3 5 4 4" xfId="27651" xr:uid="{00000000-0005-0000-0000-0000BB2A0000}"/>
    <cellStyle name="Comma 6 3 5 5" xfId="6740" xr:uid="{00000000-0005-0000-0000-0000BC2A0000}"/>
    <cellStyle name="Comma 6 3 5 5 2" xfId="15567" xr:uid="{00000000-0005-0000-0000-0000BD2A0000}"/>
    <cellStyle name="Comma 6 3 5 5 2 2" xfId="41122" xr:uid="{00000000-0005-0000-0000-0000BE2A0000}"/>
    <cellStyle name="Comma 6 3 5 5 3" xfId="25818" xr:uid="{00000000-0005-0000-0000-0000BF2A0000}"/>
    <cellStyle name="Comma 6 3 5 5 3 2" xfId="51371" xr:uid="{00000000-0005-0000-0000-0000C02A0000}"/>
    <cellStyle name="Comma 6 3 5 5 4" xfId="32301" xr:uid="{00000000-0005-0000-0000-0000C12A0000}"/>
    <cellStyle name="Comma 6 3 5 6" xfId="8186" xr:uid="{00000000-0005-0000-0000-0000C22A0000}"/>
    <cellStyle name="Comma 6 3 5 6 2" xfId="20576" xr:uid="{00000000-0005-0000-0000-0000C32A0000}"/>
    <cellStyle name="Comma 6 3 5 6 2 2" xfId="46129" xr:uid="{00000000-0005-0000-0000-0000C42A0000}"/>
    <cellStyle name="Comma 6 3 5 6 3" xfId="33743" xr:uid="{00000000-0005-0000-0000-0000C52A0000}"/>
    <cellStyle name="Comma 6 3 5 7" xfId="16161" xr:uid="{00000000-0005-0000-0000-0000C62A0000}"/>
    <cellStyle name="Comma 6 3 5 7 2" xfId="41714" xr:uid="{00000000-0005-0000-0000-0000C72A0000}"/>
    <cellStyle name="Comma 6 3 5 8" xfId="27059" xr:uid="{00000000-0005-0000-0000-0000C82A0000}"/>
    <cellStyle name="Comma 6 3 6" xfId="2690" xr:uid="{00000000-0005-0000-0000-0000C92A0000}"/>
    <cellStyle name="Comma 6 3 6 2" xfId="12007" xr:uid="{00000000-0005-0000-0000-0000CA2A0000}"/>
    <cellStyle name="Comma 6 3 6 2 2" xfId="22051" xr:uid="{00000000-0005-0000-0000-0000CB2A0000}"/>
    <cellStyle name="Comma 6 3 6 2 2 2" xfId="47604" xr:uid="{00000000-0005-0000-0000-0000CC2A0000}"/>
    <cellStyle name="Comma 6 3 6 2 3" xfId="37562" xr:uid="{00000000-0005-0000-0000-0000CD2A0000}"/>
    <cellStyle name="Comma 6 3 6 3" xfId="8439" xr:uid="{00000000-0005-0000-0000-0000CE2A0000}"/>
    <cellStyle name="Comma 6 3 6 3 2" xfId="33996" xr:uid="{00000000-0005-0000-0000-0000CF2A0000}"/>
    <cellStyle name="Comma 6 3 6 4" xfId="17044" xr:uid="{00000000-0005-0000-0000-0000D02A0000}"/>
    <cellStyle name="Comma 6 3 6 4 2" xfId="42597" xr:uid="{00000000-0005-0000-0000-0000D12A0000}"/>
    <cellStyle name="Comma 6 3 6 5" xfId="28534" xr:uid="{00000000-0005-0000-0000-0000D22A0000}"/>
    <cellStyle name="Comma 6 3 7" xfId="4241" xr:uid="{00000000-0005-0000-0000-0000D32A0000}"/>
    <cellStyle name="Comma 6 3 7 2" xfId="13079" xr:uid="{00000000-0005-0000-0000-0000D42A0000}"/>
    <cellStyle name="Comma 6 3 7 2 2" xfId="23330" xr:uid="{00000000-0005-0000-0000-0000D52A0000}"/>
    <cellStyle name="Comma 6 3 7 2 2 2" xfId="48883" xr:uid="{00000000-0005-0000-0000-0000D62A0000}"/>
    <cellStyle name="Comma 6 3 7 2 3" xfId="38634" xr:uid="{00000000-0005-0000-0000-0000D72A0000}"/>
    <cellStyle name="Comma 6 3 7 3" xfId="9500" xr:uid="{00000000-0005-0000-0000-0000D82A0000}"/>
    <cellStyle name="Comma 6 3 7 3 2" xfId="35057" xr:uid="{00000000-0005-0000-0000-0000D92A0000}"/>
    <cellStyle name="Comma 6 3 7 4" xfId="18323" xr:uid="{00000000-0005-0000-0000-0000DA2A0000}"/>
    <cellStyle name="Comma 6 3 7 4 2" xfId="43876" xr:uid="{00000000-0005-0000-0000-0000DB2A0000}"/>
    <cellStyle name="Comma 6 3 7 5" xfId="29813" xr:uid="{00000000-0005-0000-0000-0000DC2A0000}"/>
    <cellStyle name="Comma 6 3 8" xfId="1513" xr:uid="{00000000-0005-0000-0000-0000DD2A0000}"/>
    <cellStyle name="Comma 6 3 8 2" xfId="10890" xr:uid="{00000000-0005-0000-0000-0000DE2A0000}"/>
    <cellStyle name="Comma 6 3 8 2 2" xfId="36445" xr:uid="{00000000-0005-0000-0000-0000DF2A0000}"/>
    <cellStyle name="Comma 6 3 8 3" xfId="20894" xr:uid="{00000000-0005-0000-0000-0000E02A0000}"/>
    <cellStyle name="Comma 6 3 8 3 2" xfId="46447" xr:uid="{00000000-0005-0000-0000-0000E12A0000}"/>
    <cellStyle name="Comma 6 3 8 4" xfId="27377" xr:uid="{00000000-0005-0000-0000-0000E22A0000}"/>
    <cellStyle name="Comma 6 3 9" xfId="5697" xr:uid="{00000000-0005-0000-0000-0000E32A0000}"/>
    <cellStyle name="Comma 6 3 9 2" xfId="14524" xr:uid="{00000000-0005-0000-0000-0000E42A0000}"/>
    <cellStyle name="Comma 6 3 9 2 2" xfId="40079" xr:uid="{00000000-0005-0000-0000-0000E52A0000}"/>
    <cellStyle name="Comma 6 3 9 3" xfId="24775" xr:uid="{00000000-0005-0000-0000-0000E62A0000}"/>
    <cellStyle name="Comma 6 3 9 3 2" xfId="50328" xr:uid="{00000000-0005-0000-0000-0000E72A0000}"/>
    <cellStyle name="Comma 6 3 9 4" xfId="31258" xr:uid="{00000000-0005-0000-0000-0000E82A0000}"/>
    <cellStyle name="Comma 6 4" xfId="241" xr:uid="{00000000-0005-0000-0000-0000E92A0000}"/>
    <cellStyle name="Comma 6 4 10" xfId="7079" xr:uid="{00000000-0005-0000-0000-0000EA2A0000}"/>
    <cellStyle name="Comma 6 4 10 2" xfId="19693" xr:uid="{00000000-0005-0000-0000-0000EB2A0000}"/>
    <cellStyle name="Comma 6 4 10 2 2" xfId="45246" xr:uid="{00000000-0005-0000-0000-0000EC2A0000}"/>
    <cellStyle name="Comma 6 4 10 3" xfId="32636" xr:uid="{00000000-0005-0000-0000-0000ED2A0000}"/>
    <cellStyle name="Comma 6 4 11" xfId="15825" xr:uid="{00000000-0005-0000-0000-0000EE2A0000}"/>
    <cellStyle name="Comma 6 4 11 2" xfId="41378" xr:uid="{00000000-0005-0000-0000-0000EF2A0000}"/>
    <cellStyle name="Comma 6 4 12" xfId="26176" xr:uid="{00000000-0005-0000-0000-0000F02A0000}"/>
    <cellStyle name="Comma 6 4 2" xfId="564" xr:uid="{00000000-0005-0000-0000-0000F12A0000}"/>
    <cellStyle name="Comma 6 4 2 10" xfId="26493" xr:uid="{00000000-0005-0000-0000-0000F22A0000}"/>
    <cellStyle name="Comma 6 4 2 2" xfId="694" xr:uid="{00000000-0005-0000-0000-0000F32A0000}"/>
    <cellStyle name="Comma 6 4 2 2 2" xfId="3180" xr:uid="{00000000-0005-0000-0000-0000F42A0000}"/>
    <cellStyle name="Comma 6 4 2 2 2 2" xfId="12323" xr:uid="{00000000-0005-0000-0000-0000F52A0000}"/>
    <cellStyle name="Comma 6 4 2 2 2 2 2" xfId="22541" xr:uid="{00000000-0005-0000-0000-0000F62A0000}"/>
    <cellStyle name="Comma 6 4 2 2 2 2 2 2" xfId="48094" xr:uid="{00000000-0005-0000-0000-0000F72A0000}"/>
    <cellStyle name="Comma 6 4 2 2 2 2 3" xfId="37878" xr:uid="{00000000-0005-0000-0000-0000F82A0000}"/>
    <cellStyle name="Comma 6 4 2 2 2 3" xfId="8745" xr:uid="{00000000-0005-0000-0000-0000F92A0000}"/>
    <cellStyle name="Comma 6 4 2 2 2 3 2" xfId="34302" xr:uid="{00000000-0005-0000-0000-0000FA2A0000}"/>
    <cellStyle name="Comma 6 4 2 2 2 4" xfId="17534" xr:uid="{00000000-0005-0000-0000-0000FB2A0000}"/>
    <cellStyle name="Comma 6 4 2 2 2 4 2" xfId="43087" xr:uid="{00000000-0005-0000-0000-0000FC2A0000}"/>
    <cellStyle name="Comma 6 4 2 2 2 5" xfId="29024" xr:uid="{00000000-0005-0000-0000-0000FD2A0000}"/>
    <cellStyle name="Comma 6 4 2 2 3" xfId="4509" xr:uid="{00000000-0005-0000-0000-0000FE2A0000}"/>
    <cellStyle name="Comma 6 4 2 2 3 2" xfId="13347" xr:uid="{00000000-0005-0000-0000-0000FF2A0000}"/>
    <cellStyle name="Comma 6 4 2 2 3 2 2" xfId="23598" xr:uid="{00000000-0005-0000-0000-0000002B0000}"/>
    <cellStyle name="Comma 6 4 2 2 3 2 2 2" xfId="49151" xr:uid="{00000000-0005-0000-0000-0000012B0000}"/>
    <cellStyle name="Comma 6 4 2 2 3 2 3" xfId="38902" xr:uid="{00000000-0005-0000-0000-0000022B0000}"/>
    <cellStyle name="Comma 6 4 2 2 3 3" xfId="9768" xr:uid="{00000000-0005-0000-0000-0000032B0000}"/>
    <cellStyle name="Comma 6 4 2 2 3 3 2" xfId="35325" xr:uid="{00000000-0005-0000-0000-0000042B0000}"/>
    <cellStyle name="Comma 6 4 2 2 3 4" xfId="18591" xr:uid="{00000000-0005-0000-0000-0000052B0000}"/>
    <cellStyle name="Comma 6 4 2 2 3 4 2" xfId="44144" xr:uid="{00000000-0005-0000-0000-0000062B0000}"/>
    <cellStyle name="Comma 6 4 2 2 3 5" xfId="30081" xr:uid="{00000000-0005-0000-0000-0000072B0000}"/>
    <cellStyle name="Comma 6 4 2 2 4" xfId="2289" xr:uid="{00000000-0005-0000-0000-0000082B0000}"/>
    <cellStyle name="Comma 6 4 2 2 4 2" xfId="11654" xr:uid="{00000000-0005-0000-0000-0000092B0000}"/>
    <cellStyle name="Comma 6 4 2 2 4 2 2" xfId="37209" xr:uid="{00000000-0005-0000-0000-00000A2B0000}"/>
    <cellStyle name="Comma 6 4 2 2 4 3" xfId="21658" xr:uid="{00000000-0005-0000-0000-00000B2B0000}"/>
    <cellStyle name="Comma 6 4 2 2 4 3 2" xfId="47211" xr:uid="{00000000-0005-0000-0000-00000C2B0000}"/>
    <cellStyle name="Comma 6 4 2 2 4 4" xfId="28141" xr:uid="{00000000-0005-0000-0000-00000D2B0000}"/>
    <cellStyle name="Comma 6 4 2 2 5" xfId="5965" xr:uid="{00000000-0005-0000-0000-00000E2B0000}"/>
    <cellStyle name="Comma 6 4 2 2 5 2" xfId="14792" xr:uid="{00000000-0005-0000-0000-00000F2B0000}"/>
    <cellStyle name="Comma 6 4 2 2 5 2 2" xfId="40347" xr:uid="{00000000-0005-0000-0000-0000102B0000}"/>
    <cellStyle name="Comma 6 4 2 2 5 3" xfId="25043" xr:uid="{00000000-0005-0000-0000-0000112B0000}"/>
    <cellStyle name="Comma 6 4 2 2 5 3 2" xfId="50596" xr:uid="{00000000-0005-0000-0000-0000122B0000}"/>
    <cellStyle name="Comma 6 4 2 2 5 4" xfId="31526" xr:uid="{00000000-0005-0000-0000-0000132B0000}"/>
    <cellStyle name="Comma 6 4 2 2 6" xfId="7409" xr:uid="{00000000-0005-0000-0000-0000142B0000}"/>
    <cellStyle name="Comma 6 4 2 2 6 2" xfId="20140" xr:uid="{00000000-0005-0000-0000-0000152B0000}"/>
    <cellStyle name="Comma 6 4 2 2 6 2 2" xfId="45693" xr:uid="{00000000-0005-0000-0000-0000162B0000}"/>
    <cellStyle name="Comma 6 4 2 2 6 3" xfId="32966" xr:uid="{00000000-0005-0000-0000-0000172B0000}"/>
    <cellStyle name="Comma 6 4 2 2 7" xfId="16651" xr:uid="{00000000-0005-0000-0000-0000182B0000}"/>
    <cellStyle name="Comma 6 4 2 2 7 2" xfId="42204" xr:uid="{00000000-0005-0000-0000-0000192B0000}"/>
    <cellStyle name="Comma 6 4 2 2 8" xfId="26623" xr:uid="{00000000-0005-0000-0000-00001A2B0000}"/>
    <cellStyle name="Comma 6 4 2 3" xfId="1336" xr:uid="{00000000-0005-0000-0000-00001B2B0000}"/>
    <cellStyle name="Comma 6 4 2 3 2" xfId="3765" xr:uid="{00000000-0005-0000-0000-00001C2B0000}"/>
    <cellStyle name="Comma 6 4 2 3 2 2" xfId="12901" xr:uid="{00000000-0005-0000-0000-00001D2B0000}"/>
    <cellStyle name="Comma 6 4 2 3 2 2 2" xfId="23120" xr:uid="{00000000-0005-0000-0000-00001E2B0000}"/>
    <cellStyle name="Comma 6 4 2 3 2 2 2 2" xfId="48673" xr:uid="{00000000-0005-0000-0000-00001F2B0000}"/>
    <cellStyle name="Comma 6 4 2 3 2 2 3" xfId="38456" xr:uid="{00000000-0005-0000-0000-0000202B0000}"/>
    <cellStyle name="Comma 6 4 2 3 2 3" xfId="9322" xr:uid="{00000000-0005-0000-0000-0000212B0000}"/>
    <cellStyle name="Comma 6 4 2 3 2 3 2" xfId="34879" xr:uid="{00000000-0005-0000-0000-0000222B0000}"/>
    <cellStyle name="Comma 6 4 2 3 2 4" xfId="18113" xr:uid="{00000000-0005-0000-0000-0000232B0000}"/>
    <cellStyle name="Comma 6 4 2 3 2 4 2" xfId="43666" xr:uid="{00000000-0005-0000-0000-0000242B0000}"/>
    <cellStyle name="Comma 6 4 2 3 2 5" xfId="29603" xr:uid="{00000000-0005-0000-0000-0000252B0000}"/>
    <cellStyle name="Comma 6 4 2 3 3" xfId="4858" xr:uid="{00000000-0005-0000-0000-0000262B0000}"/>
    <cellStyle name="Comma 6 4 2 3 3 2" xfId="13695" xr:uid="{00000000-0005-0000-0000-0000272B0000}"/>
    <cellStyle name="Comma 6 4 2 3 3 2 2" xfId="23946" xr:uid="{00000000-0005-0000-0000-0000282B0000}"/>
    <cellStyle name="Comma 6 4 2 3 3 2 2 2" xfId="49499" xr:uid="{00000000-0005-0000-0000-0000292B0000}"/>
    <cellStyle name="Comma 6 4 2 3 3 2 3" xfId="39250" xr:uid="{00000000-0005-0000-0000-00002A2B0000}"/>
    <cellStyle name="Comma 6 4 2 3 3 3" xfId="10116" xr:uid="{00000000-0005-0000-0000-00002B2B0000}"/>
    <cellStyle name="Comma 6 4 2 3 3 3 2" xfId="35673" xr:uid="{00000000-0005-0000-0000-00002C2B0000}"/>
    <cellStyle name="Comma 6 4 2 3 3 4" xfId="18939" xr:uid="{00000000-0005-0000-0000-00002D2B0000}"/>
    <cellStyle name="Comma 6 4 2 3 3 4 2" xfId="44492" xr:uid="{00000000-0005-0000-0000-00002E2B0000}"/>
    <cellStyle name="Comma 6 4 2 3 3 5" xfId="30429" xr:uid="{00000000-0005-0000-0000-00002F2B0000}"/>
    <cellStyle name="Comma 6 4 2 3 4" xfId="2159" xr:uid="{00000000-0005-0000-0000-0000302B0000}"/>
    <cellStyle name="Comma 6 4 2 3 4 2" xfId="11524" xr:uid="{00000000-0005-0000-0000-0000312B0000}"/>
    <cellStyle name="Comma 6 4 2 3 4 2 2" xfId="37079" xr:uid="{00000000-0005-0000-0000-0000322B0000}"/>
    <cellStyle name="Comma 6 4 2 3 4 3" xfId="21528" xr:uid="{00000000-0005-0000-0000-0000332B0000}"/>
    <cellStyle name="Comma 6 4 2 3 4 3 2" xfId="47081" xr:uid="{00000000-0005-0000-0000-0000342B0000}"/>
    <cellStyle name="Comma 6 4 2 3 4 4" xfId="28011" xr:uid="{00000000-0005-0000-0000-0000352B0000}"/>
    <cellStyle name="Comma 6 4 2 3 5" xfId="6313" xr:uid="{00000000-0005-0000-0000-0000362B0000}"/>
    <cellStyle name="Comma 6 4 2 3 5 2" xfId="15140" xr:uid="{00000000-0005-0000-0000-0000372B0000}"/>
    <cellStyle name="Comma 6 4 2 3 5 2 2" xfId="40695" xr:uid="{00000000-0005-0000-0000-0000382B0000}"/>
    <cellStyle name="Comma 6 4 2 3 5 3" xfId="25391" xr:uid="{00000000-0005-0000-0000-0000392B0000}"/>
    <cellStyle name="Comma 6 4 2 3 5 3 2" xfId="50944" xr:uid="{00000000-0005-0000-0000-00003A2B0000}"/>
    <cellStyle name="Comma 6 4 2 3 5 4" xfId="31874" xr:uid="{00000000-0005-0000-0000-00003B2B0000}"/>
    <cellStyle name="Comma 6 4 2 3 6" xfId="7759" xr:uid="{00000000-0005-0000-0000-00003C2B0000}"/>
    <cellStyle name="Comma 6 4 2 3 6 2" xfId="20719" xr:uid="{00000000-0005-0000-0000-00003D2B0000}"/>
    <cellStyle name="Comma 6 4 2 3 6 2 2" xfId="46272" xr:uid="{00000000-0005-0000-0000-00003E2B0000}"/>
    <cellStyle name="Comma 6 4 2 3 6 3" xfId="33316" xr:uid="{00000000-0005-0000-0000-00003F2B0000}"/>
    <cellStyle name="Comma 6 4 2 3 7" xfId="16521" xr:uid="{00000000-0005-0000-0000-0000402B0000}"/>
    <cellStyle name="Comma 6 4 2 3 7 2" xfId="42074" xr:uid="{00000000-0005-0000-0000-0000412B0000}"/>
    <cellStyle name="Comma 6 4 2 3 8" xfId="27202" xr:uid="{00000000-0005-0000-0000-0000422B0000}"/>
    <cellStyle name="Comma 6 4 2 4" xfId="3050" xr:uid="{00000000-0005-0000-0000-0000432B0000}"/>
    <cellStyle name="Comma 6 4 2 4 2" xfId="5428" xr:uid="{00000000-0005-0000-0000-0000442B0000}"/>
    <cellStyle name="Comma 6 4 2 4 2 2" xfId="14265" xr:uid="{00000000-0005-0000-0000-0000452B0000}"/>
    <cellStyle name="Comma 6 4 2 4 2 2 2" xfId="24516" xr:uid="{00000000-0005-0000-0000-0000462B0000}"/>
    <cellStyle name="Comma 6 4 2 4 2 2 2 2" xfId="50069" xr:uid="{00000000-0005-0000-0000-0000472B0000}"/>
    <cellStyle name="Comma 6 4 2 4 2 2 3" xfId="39820" xr:uid="{00000000-0005-0000-0000-0000482B0000}"/>
    <cellStyle name="Comma 6 4 2 4 2 3" xfId="10686" xr:uid="{00000000-0005-0000-0000-0000492B0000}"/>
    <cellStyle name="Comma 6 4 2 4 2 3 2" xfId="36243" xr:uid="{00000000-0005-0000-0000-00004A2B0000}"/>
    <cellStyle name="Comma 6 4 2 4 2 4" xfId="19509" xr:uid="{00000000-0005-0000-0000-00004B2B0000}"/>
    <cellStyle name="Comma 6 4 2 4 2 4 2" xfId="45062" xr:uid="{00000000-0005-0000-0000-00004C2B0000}"/>
    <cellStyle name="Comma 6 4 2 4 2 5" xfId="30999" xr:uid="{00000000-0005-0000-0000-00004D2B0000}"/>
    <cellStyle name="Comma 6 4 2 4 3" xfId="6883" xr:uid="{00000000-0005-0000-0000-00004E2B0000}"/>
    <cellStyle name="Comma 6 4 2 4 3 2" xfId="15710" xr:uid="{00000000-0005-0000-0000-00004F2B0000}"/>
    <cellStyle name="Comma 6 4 2 4 3 2 2" xfId="41265" xr:uid="{00000000-0005-0000-0000-0000502B0000}"/>
    <cellStyle name="Comma 6 4 2 4 3 3" xfId="25961" xr:uid="{00000000-0005-0000-0000-0000512B0000}"/>
    <cellStyle name="Comma 6 4 2 4 3 3 2" xfId="51514" xr:uid="{00000000-0005-0000-0000-0000522B0000}"/>
    <cellStyle name="Comma 6 4 2 4 3 4" xfId="32444" xr:uid="{00000000-0005-0000-0000-0000532B0000}"/>
    <cellStyle name="Comma 6 4 2 4 4" xfId="8329" xr:uid="{00000000-0005-0000-0000-0000542B0000}"/>
    <cellStyle name="Comma 6 4 2 4 4 2" xfId="22411" xr:uid="{00000000-0005-0000-0000-0000552B0000}"/>
    <cellStyle name="Comma 6 4 2 4 4 2 2" xfId="47964" xr:uid="{00000000-0005-0000-0000-0000562B0000}"/>
    <cellStyle name="Comma 6 4 2 4 4 3" xfId="33886" xr:uid="{00000000-0005-0000-0000-0000572B0000}"/>
    <cellStyle name="Comma 6 4 2 4 5" xfId="17404" xr:uid="{00000000-0005-0000-0000-0000582B0000}"/>
    <cellStyle name="Comma 6 4 2 4 5 2" xfId="42957" xr:uid="{00000000-0005-0000-0000-0000592B0000}"/>
    <cellStyle name="Comma 6 4 2 4 6" xfId="28894" xr:uid="{00000000-0005-0000-0000-00005A2B0000}"/>
    <cellStyle name="Comma 6 4 2 5" xfId="4384" xr:uid="{00000000-0005-0000-0000-00005B2B0000}"/>
    <cellStyle name="Comma 6 4 2 5 2" xfId="13222" xr:uid="{00000000-0005-0000-0000-00005C2B0000}"/>
    <cellStyle name="Comma 6 4 2 5 2 2" xfId="23473" xr:uid="{00000000-0005-0000-0000-00005D2B0000}"/>
    <cellStyle name="Comma 6 4 2 5 2 2 2" xfId="49026" xr:uid="{00000000-0005-0000-0000-00005E2B0000}"/>
    <cellStyle name="Comma 6 4 2 5 2 3" xfId="38777" xr:uid="{00000000-0005-0000-0000-00005F2B0000}"/>
    <cellStyle name="Comma 6 4 2 5 3" xfId="9643" xr:uid="{00000000-0005-0000-0000-0000602B0000}"/>
    <cellStyle name="Comma 6 4 2 5 3 2" xfId="35200" xr:uid="{00000000-0005-0000-0000-0000612B0000}"/>
    <cellStyle name="Comma 6 4 2 5 4" xfId="18466" xr:uid="{00000000-0005-0000-0000-0000622B0000}"/>
    <cellStyle name="Comma 6 4 2 5 4 2" xfId="44019" xr:uid="{00000000-0005-0000-0000-0000632B0000}"/>
    <cellStyle name="Comma 6 4 2 5 5" xfId="29956" xr:uid="{00000000-0005-0000-0000-0000642B0000}"/>
    <cellStyle name="Comma 6 4 2 6" xfId="1656" xr:uid="{00000000-0005-0000-0000-0000652B0000}"/>
    <cellStyle name="Comma 6 4 2 6 2" xfId="11033" xr:uid="{00000000-0005-0000-0000-0000662B0000}"/>
    <cellStyle name="Comma 6 4 2 6 2 2" xfId="36588" xr:uid="{00000000-0005-0000-0000-0000672B0000}"/>
    <cellStyle name="Comma 6 4 2 6 3" xfId="21037" xr:uid="{00000000-0005-0000-0000-0000682B0000}"/>
    <cellStyle name="Comma 6 4 2 6 3 2" xfId="46590" xr:uid="{00000000-0005-0000-0000-0000692B0000}"/>
    <cellStyle name="Comma 6 4 2 6 4" xfId="27520" xr:uid="{00000000-0005-0000-0000-00006A2B0000}"/>
    <cellStyle name="Comma 6 4 2 7" xfId="5840" xr:uid="{00000000-0005-0000-0000-00006B2B0000}"/>
    <cellStyle name="Comma 6 4 2 7 2" xfId="14667" xr:uid="{00000000-0005-0000-0000-00006C2B0000}"/>
    <cellStyle name="Comma 6 4 2 7 2 2" xfId="40222" xr:uid="{00000000-0005-0000-0000-00006D2B0000}"/>
    <cellStyle name="Comma 6 4 2 7 3" xfId="24918" xr:uid="{00000000-0005-0000-0000-00006E2B0000}"/>
    <cellStyle name="Comma 6 4 2 7 3 2" xfId="50471" xr:uid="{00000000-0005-0000-0000-00006F2B0000}"/>
    <cellStyle name="Comma 6 4 2 7 4" xfId="31401" xr:uid="{00000000-0005-0000-0000-0000702B0000}"/>
    <cellStyle name="Comma 6 4 2 8" xfId="7284" xr:uid="{00000000-0005-0000-0000-0000712B0000}"/>
    <cellStyle name="Comma 6 4 2 8 2" xfId="20010" xr:uid="{00000000-0005-0000-0000-0000722B0000}"/>
    <cellStyle name="Comma 6 4 2 8 2 2" xfId="45563" xr:uid="{00000000-0005-0000-0000-0000732B0000}"/>
    <cellStyle name="Comma 6 4 2 8 3" xfId="32841" xr:uid="{00000000-0005-0000-0000-0000742B0000}"/>
    <cellStyle name="Comma 6 4 2 9" xfId="16030" xr:uid="{00000000-0005-0000-0000-0000752B0000}"/>
    <cellStyle name="Comma 6 4 2 9 2" xfId="41583" xr:uid="{00000000-0005-0000-0000-0000762B0000}"/>
    <cellStyle name="Comma 6 4 3" xfId="359" xr:uid="{00000000-0005-0000-0000-0000772B0000}"/>
    <cellStyle name="Comma 6 4 3 2" xfId="2845" xr:uid="{00000000-0005-0000-0000-0000782B0000}"/>
    <cellStyle name="Comma 6 4 3 2 2" xfId="12133" xr:uid="{00000000-0005-0000-0000-0000792B0000}"/>
    <cellStyle name="Comma 6 4 3 2 2 2" xfId="22206" xr:uid="{00000000-0005-0000-0000-00007A2B0000}"/>
    <cellStyle name="Comma 6 4 3 2 2 2 2" xfId="47759" xr:uid="{00000000-0005-0000-0000-00007B2B0000}"/>
    <cellStyle name="Comma 6 4 3 2 2 3" xfId="37688" xr:uid="{00000000-0005-0000-0000-00007C2B0000}"/>
    <cellStyle name="Comma 6 4 3 2 3" xfId="6961" xr:uid="{00000000-0005-0000-0000-00007D2B0000}"/>
    <cellStyle name="Comma 6 4 3 2 3 2" xfId="32519" xr:uid="{00000000-0005-0000-0000-00007E2B0000}"/>
    <cellStyle name="Comma 6 4 3 2 4" xfId="17199" xr:uid="{00000000-0005-0000-0000-00007F2B0000}"/>
    <cellStyle name="Comma 6 4 3 2 4 2" xfId="42752" xr:uid="{00000000-0005-0000-0000-0000802B0000}"/>
    <cellStyle name="Comma 6 4 3 2 5" xfId="28689" xr:uid="{00000000-0005-0000-0000-0000812B0000}"/>
    <cellStyle name="Comma 6 4 3 3" xfId="4508" xr:uid="{00000000-0005-0000-0000-0000822B0000}"/>
    <cellStyle name="Comma 6 4 3 3 2" xfId="13346" xr:uid="{00000000-0005-0000-0000-0000832B0000}"/>
    <cellStyle name="Comma 6 4 3 3 2 2" xfId="23597" xr:uid="{00000000-0005-0000-0000-0000842B0000}"/>
    <cellStyle name="Comma 6 4 3 3 2 2 2" xfId="49150" xr:uid="{00000000-0005-0000-0000-0000852B0000}"/>
    <cellStyle name="Comma 6 4 3 3 2 3" xfId="38901" xr:uid="{00000000-0005-0000-0000-0000862B0000}"/>
    <cellStyle name="Comma 6 4 3 3 3" xfId="9767" xr:uid="{00000000-0005-0000-0000-0000872B0000}"/>
    <cellStyle name="Comma 6 4 3 3 3 2" xfId="35324" xr:uid="{00000000-0005-0000-0000-0000882B0000}"/>
    <cellStyle name="Comma 6 4 3 3 4" xfId="18590" xr:uid="{00000000-0005-0000-0000-0000892B0000}"/>
    <cellStyle name="Comma 6 4 3 3 4 2" xfId="44143" xr:uid="{00000000-0005-0000-0000-00008A2B0000}"/>
    <cellStyle name="Comma 6 4 3 3 5" xfId="30080" xr:uid="{00000000-0005-0000-0000-00008B2B0000}"/>
    <cellStyle name="Comma 6 4 3 4" xfId="1954" xr:uid="{00000000-0005-0000-0000-00008C2B0000}"/>
    <cellStyle name="Comma 6 4 3 4 2" xfId="11319" xr:uid="{00000000-0005-0000-0000-00008D2B0000}"/>
    <cellStyle name="Comma 6 4 3 4 2 2" xfId="36874" xr:uid="{00000000-0005-0000-0000-00008E2B0000}"/>
    <cellStyle name="Comma 6 4 3 4 3" xfId="21323" xr:uid="{00000000-0005-0000-0000-00008F2B0000}"/>
    <cellStyle name="Comma 6 4 3 4 3 2" xfId="46876" xr:uid="{00000000-0005-0000-0000-0000902B0000}"/>
    <cellStyle name="Comma 6 4 3 4 4" xfId="27806" xr:uid="{00000000-0005-0000-0000-0000912B0000}"/>
    <cellStyle name="Comma 6 4 3 5" xfId="5964" xr:uid="{00000000-0005-0000-0000-0000922B0000}"/>
    <cellStyle name="Comma 6 4 3 5 2" xfId="14791" xr:uid="{00000000-0005-0000-0000-0000932B0000}"/>
    <cellStyle name="Comma 6 4 3 5 2 2" xfId="40346" xr:uid="{00000000-0005-0000-0000-0000942B0000}"/>
    <cellStyle name="Comma 6 4 3 5 3" xfId="25042" xr:uid="{00000000-0005-0000-0000-0000952B0000}"/>
    <cellStyle name="Comma 6 4 3 5 3 2" xfId="50595" xr:uid="{00000000-0005-0000-0000-0000962B0000}"/>
    <cellStyle name="Comma 6 4 3 5 4" xfId="31525" xr:uid="{00000000-0005-0000-0000-0000972B0000}"/>
    <cellStyle name="Comma 6 4 3 6" xfId="7408" xr:uid="{00000000-0005-0000-0000-0000982B0000}"/>
    <cellStyle name="Comma 6 4 3 6 2" xfId="19805" xr:uid="{00000000-0005-0000-0000-0000992B0000}"/>
    <cellStyle name="Comma 6 4 3 6 2 2" xfId="45358" xr:uid="{00000000-0005-0000-0000-00009A2B0000}"/>
    <cellStyle name="Comma 6 4 3 6 3" xfId="32965" xr:uid="{00000000-0005-0000-0000-00009B2B0000}"/>
    <cellStyle name="Comma 6 4 3 7" xfId="16316" xr:uid="{00000000-0005-0000-0000-00009C2B0000}"/>
    <cellStyle name="Comma 6 4 3 7 2" xfId="41869" xr:uid="{00000000-0005-0000-0000-00009D2B0000}"/>
    <cellStyle name="Comma 6 4 3 8" xfId="26288" xr:uid="{00000000-0005-0000-0000-00009E2B0000}"/>
    <cellStyle name="Comma 6 4 4" xfId="693" xr:uid="{00000000-0005-0000-0000-00009F2B0000}"/>
    <cellStyle name="Comma 6 4 4 2" xfId="3179" xr:uid="{00000000-0005-0000-0000-0000A02B0000}"/>
    <cellStyle name="Comma 6 4 4 2 2" xfId="12322" xr:uid="{00000000-0005-0000-0000-0000A12B0000}"/>
    <cellStyle name="Comma 6 4 4 2 2 2" xfId="22540" xr:uid="{00000000-0005-0000-0000-0000A22B0000}"/>
    <cellStyle name="Comma 6 4 4 2 2 2 2" xfId="48093" xr:uid="{00000000-0005-0000-0000-0000A32B0000}"/>
    <cellStyle name="Comma 6 4 4 2 2 3" xfId="37877" xr:uid="{00000000-0005-0000-0000-0000A42B0000}"/>
    <cellStyle name="Comma 6 4 4 2 3" xfId="8744" xr:uid="{00000000-0005-0000-0000-0000A52B0000}"/>
    <cellStyle name="Comma 6 4 4 2 3 2" xfId="34301" xr:uid="{00000000-0005-0000-0000-0000A62B0000}"/>
    <cellStyle name="Comma 6 4 4 2 4" xfId="17533" xr:uid="{00000000-0005-0000-0000-0000A72B0000}"/>
    <cellStyle name="Comma 6 4 4 2 4 2" xfId="43086" xr:uid="{00000000-0005-0000-0000-0000A82B0000}"/>
    <cellStyle name="Comma 6 4 4 2 5" xfId="29023" xr:uid="{00000000-0005-0000-0000-0000A92B0000}"/>
    <cellStyle name="Comma 6 4 4 3" xfId="4857" xr:uid="{00000000-0005-0000-0000-0000AA2B0000}"/>
    <cellStyle name="Comma 6 4 4 3 2" xfId="13694" xr:uid="{00000000-0005-0000-0000-0000AB2B0000}"/>
    <cellStyle name="Comma 6 4 4 3 2 2" xfId="23945" xr:uid="{00000000-0005-0000-0000-0000AC2B0000}"/>
    <cellStyle name="Comma 6 4 4 3 2 2 2" xfId="49498" xr:uid="{00000000-0005-0000-0000-0000AD2B0000}"/>
    <cellStyle name="Comma 6 4 4 3 2 3" xfId="39249" xr:uid="{00000000-0005-0000-0000-0000AE2B0000}"/>
    <cellStyle name="Comma 6 4 4 3 3" xfId="10115" xr:uid="{00000000-0005-0000-0000-0000AF2B0000}"/>
    <cellStyle name="Comma 6 4 4 3 3 2" xfId="35672" xr:uid="{00000000-0005-0000-0000-0000B02B0000}"/>
    <cellStyle name="Comma 6 4 4 3 4" xfId="18938" xr:uid="{00000000-0005-0000-0000-0000B12B0000}"/>
    <cellStyle name="Comma 6 4 4 3 4 2" xfId="44491" xr:uid="{00000000-0005-0000-0000-0000B22B0000}"/>
    <cellStyle name="Comma 6 4 4 3 5" xfId="30428" xr:uid="{00000000-0005-0000-0000-0000B32B0000}"/>
    <cellStyle name="Comma 6 4 4 4" xfId="2288" xr:uid="{00000000-0005-0000-0000-0000B42B0000}"/>
    <cellStyle name="Comma 6 4 4 4 2" xfId="11653" xr:uid="{00000000-0005-0000-0000-0000B52B0000}"/>
    <cellStyle name="Comma 6 4 4 4 2 2" xfId="37208" xr:uid="{00000000-0005-0000-0000-0000B62B0000}"/>
    <cellStyle name="Comma 6 4 4 4 3" xfId="21657" xr:uid="{00000000-0005-0000-0000-0000B72B0000}"/>
    <cellStyle name="Comma 6 4 4 4 3 2" xfId="47210" xr:uid="{00000000-0005-0000-0000-0000B82B0000}"/>
    <cellStyle name="Comma 6 4 4 4 4" xfId="28140" xr:uid="{00000000-0005-0000-0000-0000B92B0000}"/>
    <cellStyle name="Comma 6 4 4 5" xfId="6312" xr:uid="{00000000-0005-0000-0000-0000BA2B0000}"/>
    <cellStyle name="Comma 6 4 4 5 2" xfId="15139" xr:uid="{00000000-0005-0000-0000-0000BB2B0000}"/>
    <cellStyle name="Comma 6 4 4 5 2 2" xfId="40694" xr:uid="{00000000-0005-0000-0000-0000BC2B0000}"/>
    <cellStyle name="Comma 6 4 4 5 3" xfId="25390" xr:uid="{00000000-0005-0000-0000-0000BD2B0000}"/>
    <cellStyle name="Comma 6 4 4 5 3 2" xfId="50943" xr:uid="{00000000-0005-0000-0000-0000BE2B0000}"/>
    <cellStyle name="Comma 6 4 4 5 4" xfId="31873" xr:uid="{00000000-0005-0000-0000-0000BF2B0000}"/>
    <cellStyle name="Comma 6 4 4 6" xfId="7758" xr:uid="{00000000-0005-0000-0000-0000C02B0000}"/>
    <cellStyle name="Comma 6 4 4 6 2" xfId="20139" xr:uid="{00000000-0005-0000-0000-0000C12B0000}"/>
    <cellStyle name="Comma 6 4 4 6 2 2" xfId="45692" xr:uid="{00000000-0005-0000-0000-0000C22B0000}"/>
    <cellStyle name="Comma 6 4 4 6 3" xfId="33315" xr:uid="{00000000-0005-0000-0000-0000C32B0000}"/>
    <cellStyle name="Comma 6 4 4 7" xfId="16650" xr:uid="{00000000-0005-0000-0000-0000C42B0000}"/>
    <cellStyle name="Comma 6 4 4 7 2" xfId="42203" xr:uid="{00000000-0005-0000-0000-0000C52B0000}"/>
    <cellStyle name="Comma 6 4 4 8" xfId="26622" xr:uid="{00000000-0005-0000-0000-0000C62B0000}"/>
    <cellStyle name="Comma 6 4 5" xfId="1131" xr:uid="{00000000-0005-0000-0000-0000C72B0000}"/>
    <cellStyle name="Comma 6 4 5 2" xfId="3560" xr:uid="{00000000-0005-0000-0000-0000C82B0000}"/>
    <cellStyle name="Comma 6 4 5 2 2" xfId="12696" xr:uid="{00000000-0005-0000-0000-0000C92B0000}"/>
    <cellStyle name="Comma 6 4 5 2 2 2" xfId="22915" xr:uid="{00000000-0005-0000-0000-0000CA2B0000}"/>
    <cellStyle name="Comma 6 4 5 2 2 2 2" xfId="48468" xr:uid="{00000000-0005-0000-0000-0000CB2B0000}"/>
    <cellStyle name="Comma 6 4 5 2 2 3" xfId="38251" xr:uid="{00000000-0005-0000-0000-0000CC2B0000}"/>
    <cellStyle name="Comma 6 4 5 2 3" xfId="9117" xr:uid="{00000000-0005-0000-0000-0000CD2B0000}"/>
    <cellStyle name="Comma 6 4 5 2 3 2" xfId="34674" xr:uid="{00000000-0005-0000-0000-0000CE2B0000}"/>
    <cellStyle name="Comma 6 4 5 2 4" xfId="17908" xr:uid="{00000000-0005-0000-0000-0000CF2B0000}"/>
    <cellStyle name="Comma 6 4 5 2 4 2" xfId="43461" xr:uid="{00000000-0005-0000-0000-0000D02B0000}"/>
    <cellStyle name="Comma 6 4 5 2 5" xfId="29398" xr:uid="{00000000-0005-0000-0000-0000D12B0000}"/>
    <cellStyle name="Comma 6 4 5 3" xfId="5223" xr:uid="{00000000-0005-0000-0000-0000D22B0000}"/>
    <cellStyle name="Comma 6 4 5 3 2" xfId="14060" xr:uid="{00000000-0005-0000-0000-0000D32B0000}"/>
    <cellStyle name="Comma 6 4 5 3 2 2" xfId="24311" xr:uid="{00000000-0005-0000-0000-0000D42B0000}"/>
    <cellStyle name="Comma 6 4 5 3 2 2 2" xfId="49864" xr:uid="{00000000-0005-0000-0000-0000D52B0000}"/>
    <cellStyle name="Comma 6 4 5 3 2 3" xfId="39615" xr:uid="{00000000-0005-0000-0000-0000D62B0000}"/>
    <cellStyle name="Comma 6 4 5 3 3" xfId="10481" xr:uid="{00000000-0005-0000-0000-0000D72B0000}"/>
    <cellStyle name="Comma 6 4 5 3 3 2" xfId="36038" xr:uid="{00000000-0005-0000-0000-0000D82B0000}"/>
    <cellStyle name="Comma 6 4 5 3 4" xfId="19304" xr:uid="{00000000-0005-0000-0000-0000D92B0000}"/>
    <cellStyle name="Comma 6 4 5 3 4 2" xfId="44857" xr:uid="{00000000-0005-0000-0000-0000DA2B0000}"/>
    <cellStyle name="Comma 6 4 5 3 5" xfId="30794" xr:uid="{00000000-0005-0000-0000-0000DB2B0000}"/>
    <cellStyle name="Comma 6 4 5 4" xfId="1839" xr:uid="{00000000-0005-0000-0000-0000DC2B0000}"/>
    <cellStyle name="Comma 6 4 5 4 2" xfId="11207" xr:uid="{00000000-0005-0000-0000-0000DD2B0000}"/>
    <cellStyle name="Comma 6 4 5 4 2 2" xfId="36762" xr:uid="{00000000-0005-0000-0000-0000DE2B0000}"/>
    <cellStyle name="Comma 6 4 5 4 3" xfId="21211" xr:uid="{00000000-0005-0000-0000-0000DF2B0000}"/>
    <cellStyle name="Comma 6 4 5 4 3 2" xfId="46764" xr:uid="{00000000-0005-0000-0000-0000E02B0000}"/>
    <cellStyle name="Comma 6 4 5 4 4" xfId="27694" xr:uid="{00000000-0005-0000-0000-0000E12B0000}"/>
    <cellStyle name="Comma 6 4 5 5" xfId="6678" xr:uid="{00000000-0005-0000-0000-0000E22B0000}"/>
    <cellStyle name="Comma 6 4 5 5 2" xfId="15505" xr:uid="{00000000-0005-0000-0000-0000E32B0000}"/>
    <cellStyle name="Comma 6 4 5 5 2 2" xfId="41060" xr:uid="{00000000-0005-0000-0000-0000E42B0000}"/>
    <cellStyle name="Comma 6 4 5 5 3" xfId="25756" xr:uid="{00000000-0005-0000-0000-0000E52B0000}"/>
    <cellStyle name="Comma 6 4 5 5 3 2" xfId="51309" xr:uid="{00000000-0005-0000-0000-0000E62B0000}"/>
    <cellStyle name="Comma 6 4 5 5 4" xfId="32239" xr:uid="{00000000-0005-0000-0000-0000E72B0000}"/>
    <cellStyle name="Comma 6 4 5 6" xfId="8124" xr:uid="{00000000-0005-0000-0000-0000E82B0000}"/>
    <cellStyle name="Comma 6 4 5 6 2" xfId="20514" xr:uid="{00000000-0005-0000-0000-0000E92B0000}"/>
    <cellStyle name="Comma 6 4 5 6 2 2" xfId="46067" xr:uid="{00000000-0005-0000-0000-0000EA2B0000}"/>
    <cellStyle name="Comma 6 4 5 6 3" xfId="33681" xr:uid="{00000000-0005-0000-0000-0000EB2B0000}"/>
    <cellStyle name="Comma 6 4 5 7" xfId="16204" xr:uid="{00000000-0005-0000-0000-0000EC2B0000}"/>
    <cellStyle name="Comma 6 4 5 7 2" xfId="41757" xr:uid="{00000000-0005-0000-0000-0000ED2B0000}"/>
    <cellStyle name="Comma 6 4 5 8" xfId="26997" xr:uid="{00000000-0005-0000-0000-0000EE2B0000}"/>
    <cellStyle name="Comma 6 4 6" xfId="2733" xr:uid="{00000000-0005-0000-0000-0000EF2B0000}"/>
    <cellStyle name="Comma 6 4 6 2" xfId="12050" xr:uid="{00000000-0005-0000-0000-0000F02B0000}"/>
    <cellStyle name="Comma 6 4 6 2 2" xfId="22094" xr:uid="{00000000-0005-0000-0000-0000F12B0000}"/>
    <cellStyle name="Comma 6 4 6 2 2 2" xfId="47647" xr:uid="{00000000-0005-0000-0000-0000F22B0000}"/>
    <cellStyle name="Comma 6 4 6 2 3" xfId="37605" xr:uid="{00000000-0005-0000-0000-0000F32B0000}"/>
    <cellStyle name="Comma 6 4 6 3" xfId="8406" xr:uid="{00000000-0005-0000-0000-0000F42B0000}"/>
    <cellStyle name="Comma 6 4 6 3 2" xfId="33963" xr:uid="{00000000-0005-0000-0000-0000F52B0000}"/>
    <cellStyle name="Comma 6 4 6 4" xfId="17087" xr:uid="{00000000-0005-0000-0000-0000F62B0000}"/>
    <cellStyle name="Comma 6 4 6 4 2" xfId="42640" xr:uid="{00000000-0005-0000-0000-0000F72B0000}"/>
    <cellStyle name="Comma 6 4 6 5" xfId="28577" xr:uid="{00000000-0005-0000-0000-0000F82B0000}"/>
    <cellStyle name="Comma 6 4 7" xfId="4179" xr:uid="{00000000-0005-0000-0000-0000F92B0000}"/>
    <cellStyle name="Comma 6 4 7 2" xfId="13017" xr:uid="{00000000-0005-0000-0000-0000FA2B0000}"/>
    <cellStyle name="Comma 6 4 7 2 2" xfId="23268" xr:uid="{00000000-0005-0000-0000-0000FB2B0000}"/>
    <cellStyle name="Comma 6 4 7 2 2 2" xfId="48821" xr:uid="{00000000-0005-0000-0000-0000FC2B0000}"/>
    <cellStyle name="Comma 6 4 7 2 3" xfId="38572" xr:uid="{00000000-0005-0000-0000-0000FD2B0000}"/>
    <cellStyle name="Comma 6 4 7 3" xfId="9438" xr:uid="{00000000-0005-0000-0000-0000FE2B0000}"/>
    <cellStyle name="Comma 6 4 7 3 2" xfId="34995" xr:uid="{00000000-0005-0000-0000-0000FF2B0000}"/>
    <cellStyle name="Comma 6 4 7 4" xfId="18261" xr:uid="{00000000-0005-0000-0000-0000002C0000}"/>
    <cellStyle name="Comma 6 4 7 4 2" xfId="43814" xr:uid="{00000000-0005-0000-0000-0000012C0000}"/>
    <cellStyle name="Comma 6 4 7 5" xfId="29751" xr:uid="{00000000-0005-0000-0000-0000022C0000}"/>
    <cellStyle name="Comma 6 4 8" xfId="1451" xr:uid="{00000000-0005-0000-0000-0000032C0000}"/>
    <cellStyle name="Comma 6 4 8 2" xfId="10828" xr:uid="{00000000-0005-0000-0000-0000042C0000}"/>
    <cellStyle name="Comma 6 4 8 2 2" xfId="36383" xr:uid="{00000000-0005-0000-0000-0000052C0000}"/>
    <cellStyle name="Comma 6 4 8 3" xfId="20832" xr:uid="{00000000-0005-0000-0000-0000062C0000}"/>
    <cellStyle name="Comma 6 4 8 3 2" xfId="46385" xr:uid="{00000000-0005-0000-0000-0000072C0000}"/>
    <cellStyle name="Comma 6 4 8 4" xfId="27315" xr:uid="{00000000-0005-0000-0000-0000082C0000}"/>
    <cellStyle name="Comma 6 4 9" xfId="5635" xr:uid="{00000000-0005-0000-0000-0000092C0000}"/>
    <cellStyle name="Comma 6 4 9 2" xfId="14462" xr:uid="{00000000-0005-0000-0000-00000A2C0000}"/>
    <cellStyle name="Comma 6 4 9 2 2" xfId="40017" xr:uid="{00000000-0005-0000-0000-00000B2C0000}"/>
    <cellStyle name="Comma 6 4 9 3" xfId="24713" xr:uid="{00000000-0005-0000-0000-00000C2C0000}"/>
    <cellStyle name="Comma 6 4 9 3 2" xfId="50266" xr:uid="{00000000-0005-0000-0000-00000D2C0000}"/>
    <cellStyle name="Comma 6 4 9 4" xfId="31196" xr:uid="{00000000-0005-0000-0000-00000E2C0000}"/>
    <cellStyle name="Comma 6 5" xfId="459" xr:uid="{00000000-0005-0000-0000-00000F2C0000}"/>
    <cellStyle name="Comma 6 5 10" xfId="26388" xr:uid="{00000000-0005-0000-0000-0000102C0000}"/>
    <cellStyle name="Comma 6 5 2" xfId="695" xr:uid="{00000000-0005-0000-0000-0000112C0000}"/>
    <cellStyle name="Comma 6 5 2 2" xfId="3181" xr:uid="{00000000-0005-0000-0000-0000122C0000}"/>
    <cellStyle name="Comma 6 5 2 2 2" xfId="12324" xr:uid="{00000000-0005-0000-0000-0000132C0000}"/>
    <cellStyle name="Comma 6 5 2 2 2 2" xfId="22542" xr:uid="{00000000-0005-0000-0000-0000142C0000}"/>
    <cellStyle name="Comma 6 5 2 2 2 2 2" xfId="48095" xr:uid="{00000000-0005-0000-0000-0000152C0000}"/>
    <cellStyle name="Comma 6 5 2 2 2 3" xfId="37879" xr:uid="{00000000-0005-0000-0000-0000162C0000}"/>
    <cellStyle name="Comma 6 5 2 2 3" xfId="8746" xr:uid="{00000000-0005-0000-0000-0000172C0000}"/>
    <cellStyle name="Comma 6 5 2 2 3 2" xfId="34303" xr:uid="{00000000-0005-0000-0000-0000182C0000}"/>
    <cellStyle name="Comma 6 5 2 2 4" xfId="17535" xr:uid="{00000000-0005-0000-0000-0000192C0000}"/>
    <cellStyle name="Comma 6 5 2 2 4 2" xfId="43088" xr:uid="{00000000-0005-0000-0000-00001A2C0000}"/>
    <cellStyle name="Comma 6 5 2 2 5" xfId="29025" xr:uid="{00000000-0005-0000-0000-00001B2C0000}"/>
    <cellStyle name="Comma 6 5 2 3" xfId="4510" xr:uid="{00000000-0005-0000-0000-00001C2C0000}"/>
    <cellStyle name="Comma 6 5 2 3 2" xfId="13348" xr:uid="{00000000-0005-0000-0000-00001D2C0000}"/>
    <cellStyle name="Comma 6 5 2 3 2 2" xfId="23599" xr:uid="{00000000-0005-0000-0000-00001E2C0000}"/>
    <cellStyle name="Comma 6 5 2 3 2 2 2" xfId="49152" xr:uid="{00000000-0005-0000-0000-00001F2C0000}"/>
    <cellStyle name="Comma 6 5 2 3 2 3" xfId="38903" xr:uid="{00000000-0005-0000-0000-0000202C0000}"/>
    <cellStyle name="Comma 6 5 2 3 3" xfId="9769" xr:uid="{00000000-0005-0000-0000-0000212C0000}"/>
    <cellStyle name="Comma 6 5 2 3 3 2" xfId="35326" xr:uid="{00000000-0005-0000-0000-0000222C0000}"/>
    <cellStyle name="Comma 6 5 2 3 4" xfId="18592" xr:uid="{00000000-0005-0000-0000-0000232C0000}"/>
    <cellStyle name="Comma 6 5 2 3 4 2" xfId="44145" xr:uid="{00000000-0005-0000-0000-0000242C0000}"/>
    <cellStyle name="Comma 6 5 2 3 5" xfId="30082" xr:uid="{00000000-0005-0000-0000-0000252C0000}"/>
    <cellStyle name="Comma 6 5 2 4" xfId="2290" xr:uid="{00000000-0005-0000-0000-0000262C0000}"/>
    <cellStyle name="Comma 6 5 2 4 2" xfId="11655" xr:uid="{00000000-0005-0000-0000-0000272C0000}"/>
    <cellStyle name="Comma 6 5 2 4 2 2" xfId="37210" xr:uid="{00000000-0005-0000-0000-0000282C0000}"/>
    <cellStyle name="Comma 6 5 2 4 3" xfId="21659" xr:uid="{00000000-0005-0000-0000-0000292C0000}"/>
    <cellStyle name="Comma 6 5 2 4 3 2" xfId="47212" xr:uid="{00000000-0005-0000-0000-00002A2C0000}"/>
    <cellStyle name="Comma 6 5 2 4 4" xfId="28142" xr:uid="{00000000-0005-0000-0000-00002B2C0000}"/>
    <cellStyle name="Comma 6 5 2 5" xfId="5966" xr:uid="{00000000-0005-0000-0000-00002C2C0000}"/>
    <cellStyle name="Comma 6 5 2 5 2" xfId="14793" xr:uid="{00000000-0005-0000-0000-00002D2C0000}"/>
    <cellStyle name="Comma 6 5 2 5 2 2" xfId="40348" xr:uid="{00000000-0005-0000-0000-00002E2C0000}"/>
    <cellStyle name="Comma 6 5 2 5 3" xfId="25044" xr:uid="{00000000-0005-0000-0000-00002F2C0000}"/>
    <cellStyle name="Comma 6 5 2 5 3 2" xfId="50597" xr:uid="{00000000-0005-0000-0000-0000302C0000}"/>
    <cellStyle name="Comma 6 5 2 5 4" xfId="31527" xr:uid="{00000000-0005-0000-0000-0000312C0000}"/>
    <cellStyle name="Comma 6 5 2 6" xfId="7410" xr:uid="{00000000-0005-0000-0000-0000322C0000}"/>
    <cellStyle name="Comma 6 5 2 6 2" xfId="20141" xr:uid="{00000000-0005-0000-0000-0000332C0000}"/>
    <cellStyle name="Comma 6 5 2 6 2 2" xfId="45694" xr:uid="{00000000-0005-0000-0000-0000342C0000}"/>
    <cellStyle name="Comma 6 5 2 6 3" xfId="32967" xr:uid="{00000000-0005-0000-0000-0000352C0000}"/>
    <cellStyle name="Comma 6 5 2 7" xfId="16652" xr:uid="{00000000-0005-0000-0000-0000362C0000}"/>
    <cellStyle name="Comma 6 5 2 7 2" xfId="42205" xr:uid="{00000000-0005-0000-0000-0000372C0000}"/>
    <cellStyle name="Comma 6 5 2 8" xfId="26624" xr:uid="{00000000-0005-0000-0000-0000382C0000}"/>
    <cellStyle name="Comma 6 5 3" xfId="1231" xr:uid="{00000000-0005-0000-0000-0000392C0000}"/>
    <cellStyle name="Comma 6 5 3 2" xfId="3660" xr:uid="{00000000-0005-0000-0000-00003A2C0000}"/>
    <cellStyle name="Comma 6 5 3 2 2" xfId="12796" xr:uid="{00000000-0005-0000-0000-00003B2C0000}"/>
    <cellStyle name="Comma 6 5 3 2 2 2" xfId="23015" xr:uid="{00000000-0005-0000-0000-00003C2C0000}"/>
    <cellStyle name="Comma 6 5 3 2 2 2 2" xfId="48568" xr:uid="{00000000-0005-0000-0000-00003D2C0000}"/>
    <cellStyle name="Comma 6 5 3 2 2 3" xfId="38351" xr:uid="{00000000-0005-0000-0000-00003E2C0000}"/>
    <cellStyle name="Comma 6 5 3 2 3" xfId="9217" xr:uid="{00000000-0005-0000-0000-00003F2C0000}"/>
    <cellStyle name="Comma 6 5 3 2 3 2" xfId="34774" xr:uid="{00000000-0005-0000-0000-0000402C0000}"/>
    <cellStyle name="Comma 6 5 3 2 4" xfId="18008" xr:uid="{00000000-0005-0000-0000-0000412C0000}"/>
    <cellStyle name="Comma 6 5 3 2 4 2" xfId="43561" xr:uid="{00000000-0005-0000-0000-0000422C0000}"/>
    <cellStyle name="Comma 6 5 3 2 5" xfId="29498" xr:uid="{00000000-0005-0000-0000-0000432C0000}"/>
    <cellStyle name="Comma 6 5 3 3" xfId="4859" xr:uid="{00000000-0005-0000-0000-0000442C0000}"/>
    <cellStyle name="Comma 6 5 3 3 2" xfId="13696" xr:uid="{00000000-0005-0000-0000-0000452C0000}"/>
    <cellStyle name="Comma 6 5 3 3 2 2" xfId="23947" xr:uid="{00000000-0005-0000-0000-0000462C0000}"/>
    <cellStyle name="Comma 6 5 3 3 2 2 2" xfId="49500" xr:uid="{00000000-0005-0000-0000-0000472C0000}"/>
    <cellStyle name="Comma 6 5 3 3 2 3" xfId="39251" xr:uid="{00000000-0005-0000-0000-0000482C0000}"/>
    <cellStyle name="Comma 6 5 3 3 3" xfId="10117" xr:uid="{00000000-0005-0000-0000-0000492C0000}"/>
    <cellStyle name="Comma 6 5 3 3 3 2" xfId="35674" xr:uid="{00000000-0005-0000-0000-00004A2C0000}"/>
    <cellStyle name="Comma 6 5 3 3 4" xfId="18940" xr:uid="{00000000-0005-0000-0000-00004B2C0000}"/>
    <cellStyle name="Comma 6 5 3 3 4 2" xfId="44493" xr:uid="{00000000-0005-0000-0000-00004C2C0000}"/>
    <cellStyle name="Comma 6 5 3 3 5" xfId="30430" xr:uid="{00000000-0005-0000-0000-00004D2C0000}"/>
    <cellStyle name="Comma 6 5 3 4" xfId="2054" xr:uid="{00000000-0005-0000-0000-00004E2C0000}"/>
    <cellStyle name="Comma 6 5 3 4 2" xfId="11419" xr:uid="{00000000-0005-0000-0000-00004F2C0000}"/>
    <cellStyle name="Comma 6 5 3 4 2 2" xfId="36974" xr:uid="{00000000-0005-0000-0000-0000502C0000}"/>
    <cellStyle name="Comma 6 5 3 4 3" xfId="21423" xr:uid="{00000000-0005-0000-0000-0000512C0000}"/>
    <cellStyle name="Comma 6 5 3 4 3 2" xfId="46976" xr:uid="{00000000-0005-0000-0000-0000522C0000}"/>
    <cellStyle name="Comma 6 5 3 4 4" xfId="27906" xr:uid="{00000000-0005-0000-0000-0000532C0000}"/>
    <cellStyle name="Comma 6 5 3 5" xfId="6314" xr:uid="{00000000-0005-0000-0000-0000542C0000}"/>
    <cellStyle name="Comma 6 5 3 5 2" xfId="15141" xr:uid="{00000000-0005-0000-0000-0000552C0000}"/>
    <cellStyle name="Comma 6 5 3 5 2 2" xfId="40696" xr:uid="{00000000-0005-0000-0000-0000562C0000}"/>
    <cellStyle name="Comma 6 5 3 5 3" xfId="25392" xr:uid="{00000000-0005-0000-0000-0000572C0000}"/>
    <cellStyle name="Comma 6 5 3 5 3 2" xfId="50945" xr:uid="{00000000-0005-0000-0000-0000582C0000}"/>
    <cellStyle name="Comma 6 5 3 5 4" xfId="31875" xr:uid="{00000000-0005-0000-0000-0000592C0000}"/>
    <cellStyle name="Comma 6 5 3 6" xfId="7760" xr:uid="{00000000-0005-0000-0000-00005A2C0000}"/>
    <cellStyle name="Comma 6 5 3 6 2" xfId="20614" xr:uid="{00000000-0005-0000-0000-00005B2C0000}"/>
    <cellStyle name="Comma 6 5 3 6 2 2" xfId="46167" xr:uid="{00000000-0005-0000-0000-00005C2C0000}"/>
    <cellStyle name="Comma 6 5 3 6 3" xfId="33317" xr:uid="{00000000-0005-0000-0000-00005D2C0000}"/>
    <cellStyle name="Comma 6 5 3 7" xfId="16416" xr:uid="{00000000-0005-0000-0000-00005E2C0000}"/>
    <cellStyle name="Comma 6 5 3 7 2" xfId="41969" xr:uid="{00000000-0005-0000-0000-00005F2C0000}"/>
    <cellStyle name="Comma 6 5 3 8" xfId="27097" xr:uid="{00000000-0005-0000-0000-0000602C0000}"/>
    <cellStyle name="Comma 6 5 4" xfId="2945" xr:uid="{00000000-0005-0000-0000-0000612C0000}"/>
    <cellStyle name="Comma 6 5 4 2" xfId="5323" xr:uid="{00000000-0005-0000-0000-0000622C0000}"/>
    <cellStyle name="Comma 6 5 4 2 2" xfId="14160" xr:uid="{00000000-0005-0000-0000-0000632C0000}"/>
    <cellStyle name="Comma 6 5 4 2 2 2" xfId="24411" xr:uid="{00000000-0005-0000-0000-0000642C0000}"/>
    <cellStyle name="Comma 6 5 4 2 2 2 2" xfId="49964" xr:uid="{00000000-0005-0000-0000-0000652C0000}"/>
    <cellStyle name="Comma 6 5 4 2 2 3" xfId="39715" xr:uid="{00000000-0005-0000-0000-0000662C0000}"/>
    <cellStyle name="Comma 6 5 4 2 3" xfId="10581" xr:uid="{00000000-0005-0000-0000-0000672C0000}"/>
    <cellStyle name="Comma 6 5 4 2 3 2" xfId="36138" xr:uid="{00000000-0005-0000-0000-0000682C0000}"/>
    <cellStyle name="Comma 6 5 4 2 4" xfId="19404" xr:uid="{00000000-0005-0000-0000-0000692C0000}"/>
    <cellStyle name="Comma 6 5 4 2 4 2" xfId="44957" xr:uid="{00000000-0005-0000-0000-00006A2C0000}"/>
    <cellStyle name="Comma 6 5 4 2 5" xfId="30894" xr:uid="{00000000-0005-0000-0000-00006B2C0000}"/>
    <cellStyle name="Comma 6 5 4 3" xfId="6778" xr:uid="{00000000-0005-0000-0000-00006C2C0000}"/>
    <cellStyle name="Comma 6 5 4 3 2" xfId="15605" xr:uid="{00000000-0005-0000-0000-00006D2C0000}"/>
    <cellStyle name="Comma 6 5 4 3 2 2" xfId="41160" xr:uid="{00000000-0005-0000-0000-00006E2C0000}"/>
    <cellStyle name="Comma 6 5 4 3 3" xfId="25856" xr:uid="{00000000-0005-0000-0000-00006F2C0000}"/>
    <cellStyle name="Comma 6 5 4 3 3 2" xfId="51409" xr:uid="{00000000-0005-0000-0000-0000702C0000}"/>
    <cellStyle name="Comma 6 5 4 3 4" xfId="32339" xr:uid="{00000000-0005-0000-0000-0000712C0000}"/>
    <cellStyle name="Comma 6 5 4 4" xfId="8224" xr:uid="{00000000-0005-0000-0000-0000722C0000}"/>
    <cellStyle name="Comma 6 5 4 4 2" xfId="22306" xr:uid="{00000000-0005-0000-0000-0000732C0000}"/>
    <cellStyle name="Comma 6 5 4 4 2 2" xfId="47859" xr:uid="{00000000-0005-0000-0000-0000742C0000}"/>
    <cellStyle name="Comma 6 5 4 4 3" xfId="33781" xr:uid="{00000000-0005-0000-0000-0000752C0000}"/>
    <cellStyle name="Comma 6 5 4 5" xfId="17299" xr:uid="{00000000-0005-0000-0000-0000762C0000}"/>
    <cellStyle name="Comma 6 5 4 5 2" xfId="42852" xr:uid="{00000000-0005-0000-0000-0000772C0000}"/>
    <cellStyle name="Comma 6 5 4 6" xfId="28789" xr:uid="{00000000-0005-0000-0000-0000782C0000}"/>
    <cellStyle name="Comma 6 5 5" xfId="4279" xr:uid="{00000000-0005-0000-0000-0000792C0000}"/>
    <cellStyle name="Comma 6 5 5 2" xfId="13117" xr:uid="{00000000-0005-0000-0000-00007A2C0000}"/>
    <cellStyle name="Comma 6 5 5 2 2" xfId="23368" xr:uid="{00000000-0005-0000-0000-00007B2C0000}"/>
    <cellStyle name="Comma 6 5 5 2 2 2" xfId="48921" xr:uid="{00000000-0005-0000-0000-00007C2C0000}"/>
    <cellStyle name="Comma 6 5 5 2 3" xfId="38672" xr:uid="{00000000-0005-0000-0000-00007D2C0000}"/>
    <cellStyle name="Comma 6 5 5 3" xfId="9538" xr:uid="{00000000-0005-0000-0000-00007E2C0000}"/>
    <cellStyle name="Comma 6 5 5 3 2" xfId="35095" xr:uid="{00000000-0005-0000-0000-00007F2C0000}"/>
    <cellStyle name="Comma 6 5 5 4" xfId="18361" xr:uid="{00000000-0005-0000-0000-0000802C0000}"/>
    <cellStyle name="Comma 6 5 5 4 2" xfId="43914" xr:uid="{00000000-0005-0000-0000-0000812C0000}"/>
    <cellStyle name="Comma 6 5 5 5" xfId="29851" xr:uid="{00000000-0005-0000-0000-0000822C0000}"/>
    <cellStyle name="Comma 6 5 6" xfId="1551" xr:uid="{00000000-0005-0000-0000-0000832C0000}"/>
    <cellStyle name="Comma 6 5 6 2" xfId="10928" xr:uid="{00000000-0005-0000-0000-0000842C0000}"/>
    <cellStyle name="Comma 6 5 6 2 2" xfId="36483" xr:uid="{00000000-0005-0000-0000-0000852C0000}"/>
    <cellStyle name="Comma 6 5 6 3" xfId="20932" xr:uid="{00000000-0005-0000-0000-0000862C0000}"/>
    <cellStyle name="Comma 6 5 6 3 2" xfId="46485" xr:uid="{00000000-0005-0000-0000-0000872C0000}"/>
    <cellStyle name="Comma 6 5 6 4" xfId="27415" xr:uid="{00000000-0005-0000-0000-0000882C0000}"/>
    <cellStyle name="Comma 6 5 7" xfId="5735" xr:uid="{00000000-0005-0000-0000-0000892C0000}"/>
    <cellStyle name="Comma 6 5 7 2" xfId="14562" xr:uid="{00000000-0005-0000-0000-00008A2C0000}"/>
    <cellStyle name="Comma 6 5 7 2 2" xfId="40117" xr:uid="{00000000-0005-0000-0000-00008B2C0000}"/>
    <cellStyle name="Comma 6 5 7 3" xfId="24813" xr:uid="{00000000-0005-0000-0000-00008C2C0000}"/>
    <cellStyle name="Comma 6 5 7 3 2" xfId="50366" xr:uid="{00000000-0005-0000-0000-00008D2C0000}"/>
    <cellStyle name="Comma 6 5 7 4" xfId="31296" xr:uid="{00000000-0005-0000-0000-00008E2C0000}"/>
    <cellStyle name="Comma 6 5 8" xfId="7179" xr:uid="{00000000-0005-0000-0000-00008F2C0000}"/>
    <cellStyle name="Comma 6 5 8 2" xfId="19905" xr:uid="{00000000-0005-0000-0000-0000902C0000}"/>
    <cellStyle name="Comma 6 5 8 2 2" xfId="45458" xr:uid="{00000000-0005-0000-0000-0000912C0000}"/>
    <cellStyle name="Comma 6 5 8 3" xfId="32736" xr:uid="{00000000-0005-0000-0000-0000922C0000}"/>
    <cellStyle name="Comma 6 5 9" xfId="15925" xr:uid="{00000000-0005-0000-0000-0000932C0000}"/>
    <cellStyle name="Comma 6 5 9 2" xfId="41478" xr:uid="{00000000-0005-0000-0000-0000942C0000}"/>
    <cellStyle name="Comma 6 6" xfId="296" xr:uid="{00000000-0005-0000-0000-0000952C0000}"/>
    <cellStyle name="Comma 6 6 10" xfId="26225" xr:uid="{00000000-0005-0000-0000-0000962C0000}"/>
    <cellStyle name="Comma 6 6 2" xfId="696" xr:uid="{00000000-0005-0000-0000-0000972C0000}"/>
    <cellStyle name="Comma 6 6 2 2" xfId="3182" xr:uid="{00000000-0005-0000-0000-0000982C0000}"/>
    <cellStyle name="Comma 6 6 2 2 2" xfId="12325" xr:uid="{00000000-0005-0000-0000-0000992C0000}"/>
    <cellStyle name="Comma 6 6 2 2 2 2" xfId="22543" xr:uid="{00000000-0005-0000-0000-00009A2C0000}"/>
    <cellStyle name="Comma 6 6 2 2 2 2 2" xfId="48096" xr:uid="{00000000-0005-0000-0000-00009B2C0000}"/>
    <cellStyle name="Comma 6 6 2 2 2 3" xfId="37880" xr:uid="{00000000-0005-0000-0000-00009C2C0000}"/>
    <cellStyle name="Comma 6 6 2 2 3" xfId="8747" xr:uid="{00000000-0005-0000-0000-00009D2C0000}"/>
    <cellStyle name="Comma 6 6 2 2 3 2" xfId="34304" xr:uid="{00000000-0005-0000-0000-00009E2C0000}"/>
    <cellStyle name="Comma 6 6 2 2 4" xfId="17536" xr:uid="{00000000-0005-0000-0000-00009F2C0000}"/>
    <cellStyle name="Comma 6 6 2 2 4 2" xfId="43089" xr:uid="{00000000-0005-0000-0000-0000A02C0000}"/>
    <cellStyle name="Comma 6 6 2 2 5" xfId="29026" xr:uid="{00000000-0005-0000-0000-0000A12C0000}"/>
    <cellStyle name="Comma 6 6 2 3" xfId="4511" xr:uid="{00000000-0005-0000-0000-0000A22C0000}"/>
    <cellStyle name="Comma 6 6 2 3 2" xfId="13349" xr:uid="{00000000-0005-0000-0000-0000A32C0000}"/>
    <cellStyle name="Comma 6 6 2 3 2 2" xfId="23600" xr:uid="{00000000-0005-0000-0000-0000A42C0000}"/>
    <cellStyle name="Comma 6 6 2 3 2 2 2" xfId="49153" xr:uid="{00000000-0005-0000-0000-0000A52C0000}"/>
    <cellStyle name="Comma 6 6 2 3 2 3" xfId="38904" xr:uid="{00000000-0005-0000-0000-0000A62C0000}"/>
    <cellStyle name="Comma 6 6 2 3 3" xfId="9770" xr:uid="{00000000-0005-0000-0000-0000A72C0000}"/>
    <cellStyle name="Comma 6 6 2 3 3 2" xfId="35327" xr:uid="{00000000-0005-0000-0000-0000A82C0000}"/>
    <cellStyle name="Comma 6 6 2 3 4" xfId="18593" xr:uid="{00000000-0005-0000-0000-0000A92C0000}"/>
    <cellStyle name="Comma 6 6 2 3 4 2" xfId="44146" xr:uid="{00000000-0005-0000-0000-0000AA2C0000}"/>
    <cellStyle name="Comma 6 6 2 3 5" xfId="30083" xr:uid="{00000000-0005-0000-0000-0000AB2C0000}"/>
    <cellStyle name="Comma 6 6 2 4" xfId="2291" xr:uid="{00000000-0005-0000-0000-0000AC2C0000}"/>
    <cellStyle name="Comma 6 6 2 4 2" xfId="11656" xr:uid="{00000000-0005-0000-0000-0000AD2C0000}"/>
    <cellStyle name="Comma 6 6 2 4 2 2" xfId="37211" xr:uid="{00000000-0005-0000-0000-0000AE2C0000}"/>
    <cellStyle name="Comma 6 6 2 4 3" xfId="21660" xr:uid="{00000000-0005-0000-0000-0000AF2C0000}"/>
    <cellStyle name="Comma 6 6 2 4 3 2" xfId="47213" xr:uid="{00000000-0005-0000-0000-0000B02C0000}"/>
    <cellStyle name="Comma 6 6 2 4 4" xfId="28143" xr:uid="{00000000-0005-0000-0000-0000B12C0000}"/>
    <cellStyle name="Comma 6 6 2 5" xfId="5967" xr:uid="{00000000-0005-0000-0000-0000B22C0000}"/>
    <cellStyle name="Comma 6 6 2 5 2" xfId="14794" xr:uid="{00000000-0005-0000-0000-0000B32C0000}"/>
    <cellStyle name="Comma 6 6 2 5 2 2" xfId="40349" xr:uid="{00000000-0005-0000-0000-0000B42C0000}"/>
    <cellStyle name="Comma 6 6 2 5 3" xfId="25045" xr:uid="{00000000-0005-0000-0000-0000B52C0000}"/>
    <cellStyle name="Comma 6 6 2 5 3 2" xfId="50598" xr:uid="{00000000-0005-0000-0000-0000B62C0000}"/>
    <cellStyle name="Comma 6 6 2 5 4" xfId="31528" xr:uid="{00000000-0005-0000-0000-0000B72C0000}"/>
    <cellStyle name="Comma 6 6 2 6" xfId="7411" xr:uid="{00000000-0005-0000-0000-0000B82C0000}"/>
    <cellStyle name="Comma 6 6 2 6 2" xfId="20142" xr:uid="{00000000-0005-0000-0000-0000B92C0000}"/>
    <cellStyle name="Comma 6 6 2 6 2 2" xfId="45695" xr:uid="{00000000-0005-0000-0000-0000BA2C0000}"/>
    <cellStyle name="Comma 6 6 2 6 3" xfId="32968" xr:uid="{00000000-0005-0000-0000-0000BB2C0000}"/>
    <cellStyle name="Comma 6 6 2 7" xfId="16653" xr:uid="{00000000-0005-0000-0000-0000BC2C0000}"/>
    <cellStyle name="Comma 6 6 2 7 2" xfId="42206" xr:uid="{00000000-0005-0000-0000-0000BD2C0000}"/>
    <cellStyle name="Comma 6 6 2 8" xfId="26625" xr:uid="{00000000-0005-0000-0000-0000BE2C0000}"/>
    <cellStyle name="Comma 6 6 3" xfId="1068" xr:uid="{00000000-0005-0000-0000-0000BF2C0000}"/>
    <cellStyle name="Comma 6 6 3 2" xfId="3497" xr:uid="{00000000-0005-0000-0000-0000C02C0000}"/>
    <cellStyle name="Comma 6 6 3 2 2" xfId="12633" xr:uid="{00000000-0005-0000-0000-0000C12C0000}"/>
    <cellStyle name="Comma 6 6 3 2 2 2" xfId="22852" xr:uid="{00000000-0005-0000-0000-0000C22C0000}"/>
    <cellStyle name="Comma 6 6 3 2 2 2 2" xfId="48405" xr:uid="{00000000-0005-0000-0000-0000C32C0000}"/>
    <cellStyle name="Comma 6 6 3 2 2 3" xfId="38188" xr:uid="{00000000-0005-0000-0000-0000C42C0000}"/>
    <cellStyle name="Comma 6 6 3 2 3" xfId="9055" xr:uid="{00000000-0005-0000-0000-0000C52C0000}"/>
    <cellStyle name="Comma 6 6 3 2 3 2" xfId="34612" xr:uid="{00000000-0005-0000-0000-0000C62C0000}"/>
    <cellStyle name="Comma 6 6 3 2 4" xfId="17845" xr:uid="{00000000-0005-0000-0000-0000C72C0000}"/>
    <cellStyle name="Comma 6 6 3 2 4 2" xfId="43398" xr:uid="{00000000-0005-0000-0000-0000C82C0000}"/>
    <cellStyle name="Comma 6 6 3 2 5" xfId="29335" xr:uid="{00000000-0005-0000-0000-0000C92C0000}"/>
    <cellStyle name="Comma 6 6 3 3" xfId="4860" xr:uid="{00000000-0005-0000-0000-0000CA2C0000}"/>
    <cellStyle name="Comma 6 6 3 3 2" xfId="13697" xr:uid="{00000000-0005-0000-0000-0000CB2C0000}"/>
    <cellStyle name="Comma 6 6 3 3 2 2" xfId="23948" xr:uid="{00000000-0005-0000-0000-0000CC2C0000}"/>
    <cellStyle name="Comma 6 6 3 3 2 2 2" xfId="49501" xr:uid="{00000000-0005-0000-0000-0000CD2C0000}"/>
    <cellStyle name="Comma 6 6 3 3 2 3" xfId="39252" xr:uid="{00000000-0005-0000-0000-0000CE2C0000}"/>
    <cellStyle name="Comma 6 6 3 3 3" xfId="10118" xr:uid="{00000000-0005-0000-0000-0000CF2C0000}"/>
    <cellStyle name="Comma 6 6 3 3 3 2" xfId="35675" xr:uid="{00000000-0005-0000-0000-0000D02C0000}"/>
    <cellStyle name="Comma 6 6 3 3 4" xfId="18941" xr:uid="{00000000-0005-0000-0000-0000D12C0000}"/>
    <cellStyle name="Comma 6 6 3 3 4 2" xfId="44494" xr:uid="{00000000-0005-0000-0000-0000D22C0000}"/>
    <cellStyle name="Comma 6 6 3 3 5" xfId="30431" xr:uid="{00000000-0005-0000-0000-0000D32C0000}"/>
    <cellStyle name="Comma 6 6 3 4" xfId="2589" xr:uid="{00000000-0005-0000-0000-0000D42C0000}"/>
    <cellStyle name="Comma 6 6 3 4 2" xfId="11953" xr:uid="{00000000-0005-0000-0000-0000D52C0000}"/>
    <cellStyle name="Comma 6 6 3 4 2 2" xfId="37508" xr:uid="{00000000-0005-0000-0000-0000D62C0000}"/>
    <cellStyle name="Comma 6 6 3 4 3" xfId="21957" xr:uid="{00000000-0005-0000-0000-0000D72C0000}"/>
    <cellStyle name="Comma 6 6 3 4 3 2" xfId="47510" xr:uid="{00000000-0005-0000-0000-0000D82C0000}"/>
    <cellStyle name="Comma 6 6 3 4 4" xfId="28440" xr:uid="{00000000-0005-0000-0000-0000D92C0000}"/>
    <cellStyle name="Comma 6 6 3 5" xfId="6315" xr:uid="{00000000-0005-0000-0000-0000DA2C0000}"/>
    <cellStyle name="Comma 6 6 3 5 2" xfId="15142" xr:uid="{00000000-0005-0000-0000-0000DB2C0000}"/>
    <cellStyle name="Comma 6 6 3 5 2 2" xfId="40697" xr:uid="{00000000-0005-0000-0000-0000DC2C0000}"/>
    <cellStyle name="Comma 6 6 3 5 3" xfId="25393" xr:uid="{00000000-0005-0000-0000-0000DD2C0000}"/>
    <cellStyle name="Comma 6 6 3 5 3 2" xfId="50946" xr:uid="{00000000-0005-0000-0000-0000DE2C0000}"/>
    <cellStyle name="Comma 6 6 3 5 4" xfId="31876" xr:uid="{00000000-0005-0000-0000-0000DF2C0000}"/>
    <cellStyle name="Comma 6 6 3 6" xfId="7761" xr:uid="{00000000-0005-0000-0000-0000E02C0000}"/>
    <cellStyle name="Comma 6 6 3 6 2" xfId="20451" xr:uid="{00000000-0005-0000-0000-0000E12C0000}"/>
    <cellStyle name="Comma 6 6 3 6 2 2" xfId="46004" xr:uid="{00000000-0005-0000-0000-0000E22C0000}"/>
    <cellStyle name="Comma 6 6 3 6 3" xfId="33318" xr:uid="{00000000-0005-0000-0000-0000E32C0000}"/>
    <cellStyle name="Comma 6 6 3 7" xfId="16950" xr:uid="{00000000-0005-0000-0000-0000E42C0000}"/>
    <cellStyle name="Comma 6 6 3 7 2" xfId="42503" xr:uid="{00000000-0005-0000-0000-0000E52C0000}"/>
    <cellStyle name="Comma 6 6 3 8" xfId="26934" xr:uid="{00000000-0005-0000-0000-0000E62C0000}"/>
    <cellStyle name="Comma 6 6 4" xfId="2782" xr:uid="{00000000-0005-0000-0000-0000E72C0000}"/>
    <cellStyle name="Comma 6 6 4 2" xfId="5160" xr:uid="{00000000-0005-0000-0000-0000E82C0000}"/>
    <cellStyle name="Comma 6 6 4 2 2" xfId="13997" xr:uid="{00000000-0005-0000-0000-0000E92C0000}"/>
    <cellStyle name="Comma 6 6 4 2 2 2" xfId="24248" xr:uid="{00000000-0005-0000-0000-0000EA2C0000}"/>
    <cellStyle name="Comma 6 6 4 2 2 2 2" xfId="49801" xr:uid="{00000000-0005-0000-0000-0000EB2C0000}"/>
    <cellStyle name="Comma 6 6 4 2 2 3" xfId="39552" xr:uid="{00000000-0005-0000-0000-0000EC2C0000}"/>
    <cellStyle name="Comma 6 6 4 2 3" xfId="10418" xr:uid="{00000000-0005-0000-0000-0000ED2C0000}"/>
    <cellStyle name="Comma 6 6 4 2 3 2" xfId="35975" xr:uid="{00000000-0005-0000-0000-0000EE2C0000}"/>
    <cellStyle name="Comma 6 6 4 2 4" xfId="19241" xr:uid="{00000000-0005-0000-0000-0000EF2C0000}"/>
    <cellStyle name="Comma 6 6 4 2 4 2" xfId="44794" xr:uid="{00000000-0005-0000-0000-0000F02C0000}"/>
    <cellStyle name="Comma 6 6 4 2 5" xfId="30731" xr:uid="{00000000-0005-0000-0000-0000F12C0000}"/>
    <cellStyle name="Comma 6 6 4 3" xfId="6615" xr:uid="{00000000-0005-0000-0000-0000F22C0000}"/>
    <cellStyle name="Comma 6 6 4 3 2" xfId="15442" xr:uid="{00000000-0005-0000-0000-0000F32C0000}"/>
    <cellStyle name="Comma 6 6 4 3 2 2" xfId="40997" xr:uid="{00000000-0005-0000-0000-0000F42C0000}"/>
    <cellStyle name="Comma 6 6 4 3 3" xfId="25693" xr:uid="{00000000-0005-0000-0000-0000F52C0000}"/>
    <cellStyle name="Comma 6 6 4 3 3 2" xfId="51246" xr:uid="{00000000-0005-0000-0000-0000F62C0000}"/>
    <cellStyle name="Comma 6 6 4 3 4" xfId="32176" xr:uid="{00000000-0005-0000-0000-0000F72C0000}"/>
    <cellStyle name="Comma 6 6 4 4" xfId="8061" xr:uid="{00000000-0005-0000-0000-0000F82C0000}"/>
    <cellStyle name="Comma 6 6 4 4 2" xfId="22143" xr:uid="{00000000-0005-0000-0000-0000F92C0000}"/>
    <cellStyle name="Comma 6 6 4 4 2 2" xfId="47696" xr:uid="{00000000-0005-0000-0000-0000FA2C0000}"/>
    <cellStyle name="Comma 6 6 4 4 3" xfId="33618" xr:uid="{00000000-0005-0000-0000-0000FB2C0000}"/>
    <cellStyle name="Comma 6 6 4 5" xfId="17136" xr:uid="{00000000-0005-0000-0000-0000FC2C0000}"/>
    <cellStyle name="Comma 6 6 4 5 2" xfId="42689" xr:uid="{00000000-0005-0000-0000-0000FD2C0000}"/>
    <cellStyle name="Comma 6 6 4 6" xfId="28626" xr:uid="{00000000-0005-0000-0000-0000FE2C0000}"/>
    <cellStyle name="Comma 6 6 5" xfId="4114" xr:uid="{00000000-0005-0000-0000-0000FF2C0000}"/>
    <cellStyle name="Comma 6 6 5 2" xfId="12952" xr:uid="{00000000-0005-0000-0000-0000002D0000}"/>
    <cellStyle name="Comma 6 6 5 2 2" xfId="23203" xr:uid="{00000000-0005-0000-0000-0000012D0000}"/>
    <cellStyle name="Comma 6 6 5 2 2 2" xfId="48756" xr:uid="{00000000-0005-0000-0000-0000022D0000}"/>
    <cellStyle name="Comma 6 6 5 2 3" xfId="38507" xr:uid="{00000000-0005-0000-0000-0000032D0000}"/>
    <cellStyle name="Comma 6 6 5 3" xfId="9373" xr:uid="{00000000-0005-0000-0000-0000042D0000}"/>
    <cellStyle name="Comma 6 6 5 3 2" xfId="34930" xr:uid="{00000000-0005-0000-0000-0000052D0000}"/>
    <cellStyle name="Comma 6 6 5 4" xfId="18196" xr:uid="{00000000-0005-0000-0000-0000062D0000}"/>
    <cellStyle name="Comma 6 6 5 4 2" xfId="43749" xr:uid="{00000000-0005-0000-0000-0000072D0000}"/>
    <cellStyle name="Comma 6 6 5 5" xfId="29686" xr:uid="{00000000-0005-0000-0000-0000082D0000}"/>
    <cellStyle name="Comma 6 6 6" xfId="1891" xr:uid="{00000000-0005-0000-0000-0000092D0000}"/>
    <cellStyle name="Comma 6 6 6 2" xfId="11256" xr:uid="{00000000-0005-0000-0000-00000A2D0000}"/>
    <cellStyle name="Comma 6 6 6 2 2" xfId="36811" xr:uid="{00000000-0005-0000-0000-00000B2D0000}"/>
    <cellStyle name="Comma 6 6 6 3" xfId="21260" xr:uid="{00000000-0005-0000-0000-00000C2D0000}"/>
    <cellStyle name="Comma 6 6 6 3 2" xfId="46813" xr:uid="{00000000-0005-0000-0000-00000D2D0000}"/>
    <cellStyle name="Comma 6 6 6 4" xfId="27743" xr:uid="{00000000-0005-0000-0000-00000E2D0000}"/>
    <cellStyle name="Comma 6 6 7" xfId="5572" xr:uid="{00000000-0005-0000-0000-00000F2D0000}"/>
    <cellStyle name="Comma 6 6 7 2" xfId="14399" xr:uid="{00000000-0005-0000-0000-0000102D0000}"/>
    <cellStyle name="Comma 6 6 7 2 2" xfId="39954" xr:uid="{00000000-0005-0000-0000-0000112D0000}"/>
    <cellStyle name="Comma 6 6 7 3" xfId="24650" xr:uid="{00000000-0005-0000-0000-0000122D0000}"/>
    <cellStyle name="Comma 6 6 7 3 2" xfId="50203" xr:uid="{00000000-0005-0000-0000-0000132D0000}"/>
    <cellStyle name="Comma 6 6 7 4" xfId="31133" xr:uid="{00000000-0005-0000-0000-0000142D0000}"/>
    <cellStyle name="Comma 6 6 8" xfId="7016" xr:uid="{00000000-0005-0000-0000-0000152D0000}"/>
    <cellStyle name="Comma 6 6 8 2" xfId="19742" xr:uid="{00000000-0005-0000-0000-0000162D0000}"/>
    <cellStyle name="Comma 6 6 8 2 2" xfId="45295" xr:uid="{00000000-0005-0000-0000-0000172D0000}"/>
    <cellStyle name="Comma 6 6 8 3" xfId="32573" xr:uid="{00000000-0005-0000-0000-0000182D0000}"/>
    <cellStyle name="Comma 6 6 9" xfId="16253" xr:uid="{00000000-0005-0000-0000-0000192D0000}"/>
    <cellStyle name="Comma 6 6 9 2" xfId="41806" xr:uid="{00000000-0005-0000-0000-00001A2D0000}"/>
    <cellStyle name="Comma 6 7" xfId="685" xr:uid="{00000000-0005-0000-0000-00001B2D0000}"/>
    <cellStyle name="Comma 6 7 2" xfId="3171" xr:uid="{00000000-0005-0000-0000-00001C2D0000}"/>
    <cellStyle name="Comma 6 7 2 2" xfId="12314" xr:uid="{00000000-0005-0000-0000-00001D2D0000}"/>
    <cellStyle name="Comma 6 7 2 2 2" xfId="22532" xr:uid="{00000000-0005-0000-0000-00001E2D0000}"/>
    <cellStyle name="Comma 6 7 2 2 2 2" xfId="48085" xr:uid="{00000000-0005-0000-0000-00001F2D0000}"/>
    <cellStyle name="Comma 6 7 2 2 3" xfId="37869" xr:uid="{00000000-0005-0000-0000-0000202D0000}"/>
    <cellStyle name="Comma 6 7 2 3" xfId="8736" xr:uid="{00000000-0005-0000-0000-0000212D0000}"/>
    <cellStyle name="Comma 6 7 2 3 2" xfId="34293" xr:uid="{00000000-0005-0000-0000-0000222D0000}"/>
    <cellStyle name="Comma 6 7 2 4" xfId="17525" xr:uid="{00000000-0005-0000-0000-0000232D0000}"/>
    <cellStyle name="Comma 6 7 2 4 2" xfId="43078" xr:uid="{00000000-0005-0000-0000-0000242D0000}"/>
    <cellStyle name="Comma 6 7 2 5" xfId="29015" xr:uid="{00000000-0005-0000-0000-0000252D0000}"/>
    <cellStyle name="Comma 6 7 3" xfId="4500" xr:uid="{00000000-0005-0000-0000-0000262D0000}"/>
    <cellStyle name="Comma 6 7 3 2" xfId="13338" xr:uid="{00000000-0005-0000-0000-0000272D0000}"/>
    <cellStyle name="Comma 6 7 3 2 2" xfId="23589" xr:uid="{00000000-0005-0000-0000-0000282D0000}"/>
    <cellStyle name="Comma 6 7 3 2 2 2" xfId="49142" xr:uid="{00000000-0005-0000-0000-0000292D0000}"/>
    <cellStyle name="Comma 6 7 3 2 3" xfId="38893" xr:uid="{00000000-0005-0000-0000-00002A2D0000}"/>
    <cellStyle name="Comma 6 7 3 3" xfId="9759" xr:uid="{00000000-0005-0000-0000-00002B2D0000}"/>
    <cellStyle name="Comma 6 7 3 3 2" xfId="35316" xr:uid="{00000000-0005-0000-0000-00002C2D0000}"/>
    <cellStyle name="Comma 6 7 3 4" xfId="18582" xr:uid="{00000000-0005-0000-0000-00002D2D0000}"/>
    <cellStyle name="Comma 6 7 3 4 2" xfId="44135" xr:uid="{00000000-0005-0000-0000-00002E2D0000}"/>
    <cellStyle name="Comma 6 7 3 5" xfId="30072" xr:uid="{00000000-0005-0000-0000-00002F2D0000}"/>
    <cellStyle name="Comma 6 7 4" xfId="2280" xr:uid="{00000000-0005-0000-0000-0000302D0000}"/>
    <cellStyle name="Comma 6 7 4 2" xfId="11645" xr:uid="{00000000-0005-0000-0000-0000312D0000}"/>
    <cellStyle name="Comma 6 7 4 2 2" xfId="37200" xr:uid="{00000000-0005-0000-0000-0000322D0000}"/>
    <cellStyle name="Comma 6 7 4 3" xfId="21649" xr:uid="{00000000-0005-0000-0000-0000332D0000}"/>
    <cellStyle name="Comma 6 7 4 3 2" xfId="47202" xr:uid="{00000000-0005-0000-0000-0000342D0000}"/>
    <cellStyle name="Comma 6 7 4 4" xfId="28132" xr:uid="{00000000-0005-0000-0000-0000352D0000}"/>
    <cellStyle name="Comma 6 7 5" xfId="5956" xr:uid="{00000000-0005-0000-0000-0000362D0000}"/>
    <cellStyle name="Comma 6 7 5 2" xfId="14783" xr:uid="{00000000-0005-0000-0000-0000372D0000}"/>
    <cellStyle name="Comma 6 7 5 2 2" xfId="40338" xr:uid="{00000000-0005-0000-0000-0000382D0000}"/>
    <cellStyle name="Comma 6 7 5 3" xfId="25034" xr:uid="{00000000-0005-0000-0000-0000392D0000}"/>
    <cellStyle name="Comma 6 7 5 3 2" xfId="50587" xr:uid="{00000000-0005-0000-0000-00003A2D0000}"/>
    <cellStyle name="Comma 6 7 5 4" xfId="31517" xr:uid="{00000000-0005-0000-0000-00003B2D0000}"/>
    <cellStyle name="Comma 6 7 6" xfId="7400" xr:uid="{00000000-0005-0000-0000-00003C2D0000}"/>
    <cellStyle name="Comma 6 7 6 2" xfId="20131" xr:uid="{00000000-0005-0000-0000-00003D2D0000}"/>
    <cellStyle name="Comma 6 7 6 2 2" xfId="45684" xr:uid="{00000000-0005-0000-0000-00003E2D0000}"/>
    <cellStyle name="Comma 6 7 6 3" xfId="32957" xr:uid="{00000000-0005-0000-0000-00003F2D0000}"/>
    <cellStyle name="Comma 6 7 7" xfId="16642" xr:uid="{00000000-0005-0000-0000-0000402D0000}"/>
    <cellStyle name="Comma 6 7 7 2" xfId="42195" xr:uid="{00000000-0005-0000-0000-0000412D0000}"/>
    <cellStyle name="Comma 6 7 8" xfId="26614" xr:uid="{00000000-0005-0000-0000-0000422D0000}"/>
    <cellStyle name="Comma 6 8" xfId="1048" xr:uid="{00000000-0005-0000-0000-0000432D0000}"/>
    <cellStyle name="Comma 6 8 2" xfId="3477" xr:uid="{00000000-0005-0000-0000-0000442D0000}"/>
    <cellStyle name="Comma 6 8 2 2" xfId="12613" xr:uid="{00000000-0005-0000-0000-0000452D0000}"/>
    <cellStyle name="Comma 6 8 2 2 2" xfId="22832" xr:uid="{00000000-0005-0000-0000-0000462D0000}"/>
    <cellStyle name="Comma 6 8 2 2 2 2" xfId="48385" xr:uid="{00000000-0005-0000-0000-0000472D0000}"/>
    <cellStyle name="Comma 6 8 2 2 3" xfId="38168" xr:uid="{00000000-0005-0000-0000-0000482D0000}"/>
    <cellStyle name="Comma 6 8 2 3" xfId="9035" xr:uid="{00000000-0005-0000-0000-0000492D0000}"/>
    <cellStyle name="Comma 6 8 2 3 2" xfId="34592" xr:uid="{00000000-0005-0000-0000-00004A2D0000}"/>
    <cellStyle name="Comma 6 8 2 4" xfId="17825" xr:uid="{00000000-0005-0000-0000-00004B2D0000}"/>
    <cellStyle name="Comma 6 8 2 4 2" xfId="43378" xr:uid="{00000000-0005-0000-0000-00004C2D0000}"/>
    <cellStyle name="Comma 6 8 2 5" xfId="29315" xr:uid="{00000000-0005-0000-0000-00004D2D0000}"/>
    <cellStyle name="Comma 6 8 3" xfId="4849" xr:uid="{00000000-0005-0000-0000-00004E2D0000}"/>
    <cellStyle name="Comma 6 8 3 2" xfId="13686" xr:uid="{00000000-0005-0000-0000-00004F2D0000}"/>
    <cellStyle name="Comma 6 8 3 2 2" xfId="23937" xr:uid="{00000000-0005-0000-0000-0000502D0000}"/>
    <cellStyle name="Comma 6 8 3 2 2 2" xfId="49490" xr:uid="{00000000-0005-0000-0000-0000512D0000}"/>
    <cellStyle name="Comma 6 8 3 2 3" xfId="39241" xr:uid="{00000000-0005-0000-0000-0000522D0000}"/>
    <cellStyle name="Comma 6 8 3 3" xfId="10107" xr:uid="{00000000-0005-0000-0000-0000532D0000}"/>
    <cellStyle name="Comma 6 8 3 3 2" xfId="35664" xr:uid="{00000000-0005-0000-0000-0000542D0000}"/>
    <cellStyle name="Comma 6 8 3 4" xfId="18930" xr:uid="{00000000-0005-0000-0000-0000552D0000}"/>
    <cellStyle name="Comma 6 8 3 4 2" xfId="44483" xr:uid="{00000000-0005-0000-0000-0000562D0000}"/>
    <cellStyle name="Comma 6 8 3 5" xfId="30420" xr:uid="{00000000-0005-0000-0000-0000572D0000}"/>
    <cellStyle name="Comma 6 8 4" xfId="1727" xr:uid="{00000000-0005-0000-0000-0000582D0000}"/>
    <cellStyle name="Comma 6 8 4 2" xfId="11101" xr:uid="{00000000-0005-0000-0000-0000592D0000}"/>
    <cellStyle name="Comma 6 8 4 2 2" xfId="36656" xr:uid="{00000000-0005-0000-0000-00005A2D0000}"/>
    <cellStyle name="Comma 6 8 4 3" xfId="21105" xr:uid="{00000000-0005-0000-0000-00005B2D0000}"/>
    <cellStyle name="Comma 6 8 4 3 2" xfId="46658" xr:uid="{00000000-0005-0000-0000-00005C2D0000}"/>
    <cellStyle name="Comma 6 8 4 4" xfId="27588" xr:uid="{00000000-0005-0000-0000-00005D2D0000}"/>
    <cellStyle name="Comma 6 8 5" xfId="6304" xr:uid="{00000000-0005-0000-0000-00005E2D0000}"/>
    <cellStyle name="Comma 6 8 5 2" xfId="15131" xr:uid="{00000000-0005-0000-0000-00005F2D0000}"/>
    <cellStyle name="Comma 6 8 5 2 2" xfId="40686" xr:uid="{00000000-0005-0000-0000-0000602D0000}"/>
    <cellStyle name="Comma 6 8 5 3" xfId="25382" xr:uid="{00000000-0005-0000-0000-0000612D0000}"/>
    <cellStyle name="Comma 6 8 5 3 2" xfId="50935" xr:uid="{00000000-0005-0000-0000-0000622D0000}"/>
    <cellStyle name="Comma 6 8 5 4" xfId="31865" xr:uid="{00000000-0005-0000-0000-0000632D0000}"/>
    <cellStyle name="Comma 6 8 6" xfId="7750" xr:uid="{00000000-0005-0000-0000-0000642D0000}"/>
    <cellStyle name="Comma 6 8 6 2" xfId="20431" xr:uid="{00000000-0005-0000-0000-0000652D0000}"/>
    <cellStyle name="Comma 6 8 6 2 2" xfId="45984" xr:uid="{00000000-0005-0000-0000-0000662D0000}"/>
    <cellStyle name="Comma 6 8 6 3" xfId="33307" xr:uid="{00000000-0005-0000-0000-0000672D0000}"/>
    <cellStyle name="Comma 6 8 7" xfId="16098" xr:uid="{00000000-0005-0000-0000-0000682D0000}"/>
    <cellStyle name="Comma 6 8 7 2" xfId="41651" xr:uid="{00000000-0005-0000-0000-0000692D0000}"/>
    <cellStyle name="Comma 6 8 8" xfId="26914" xr:uid="{00000000-0005-0000-0000-00006A2D0000}"/>
    <cellStyle name="Comma 6 9" xfId="2625" xr:uid="{00000000-0005-0000-0000-00006B2D0000}"/>
    <cellStyle name="Comma 6 9 2" xfId="5140" xr:uid="{00000000-0005-0000-0000-00006C2D0000}"/>
    <cellStyle name="Comma 6 9 2 2" xfId="13977" xr:uid="{00000000-0005-0000-0000-00006D2D0000}"/>
    <cellStyle name="Comma 6 9 2 2 2" xfId="24228" xr:uid="{00000000-0005-0000-0000-00006E2D0000}"/>
    <cellStyle name="Comma 6 9 2 2 2 2" xfId="49781" xr:uid="{00000000-0005-0000-0000-00006F2D0000}"/>
    <cellStyle name="Comma 6 9 2 2 3" xfId="39532" xr:uid="{00000000-0005-0000-0000-0000702D0000}"/>
    <cellStyle name="Comma 6 9 2 3" xfId="10398" xr:uid="{00000000-0005-0000-0000-0000712D0000}"/>
    <cellStyle name="Comma 6 9 2 3 2" xfId="35955" xr:uid="{00000000-0005-0000-0000-0000722D0000}"/>
    <cellStyle name="Comma 6 9 2 4" xfId="19221" xr:uid="{00000000-0005-0000-0000-0000732D0000}"/>
    <cellStyle name="Comma 6 9 2 4 2" xfId="44774" xr:uid="{00000000-0005-0000-0000-0000742D0000}"/>
    <cellStyle name="Comma 6 9 2 5" xfId="30711" xr:uid="{00000000-0005-0000-0000-0000752D0000}"/>
    <cellStyle name="Comma 6 9 3" xfId="6595" xr:uid="{00000000-0005-0000-0000-0000762D0000}"/>
    <cellStyle name="Comma 6 9 3 2" xfId="15422" xr:uid="{00000000-0005-0000-0000-0000772D0000}"/>
    <cellStyle name="Comma 6 9 3 2 2" xfId="40977" xr:uid="{00000000-0005-0000-0000-0000782D0000}"/>
    <cellStyle name="Comma 6 9 3 3" xfId="25673" xr:uid="{00000000-0005-0000-0000-0000792D0000}"/>
    <cellStyle name="Comma 6 9 3 3 2" xfId="51226" xr:uid="{00000000-0005-0000-0000-00007A2D0000}"/>
    <cellStyle name="Comma 6 9 3 4" xfId="32156" xr:uid="{00000000-0005-0000-0000-00007B2D0000}"/>
    <cellStyle name="Comma 6 9 4" xfId="8041" xr:uid="{00000000-0005-0000-0000-00007C2D0000}"/>
    <cellStyle name="Comma 6 9 4 2" xfId="21988" xr:uid="{00000000-0005-0000-0000-00007D2D0000}"/>
    <cellStyle name="Comma 6 9 4 2 2" xfId="47541" xr:uid="{00000000-0005-0000-0000-00007E2D0000}"/>
    <cellStyle name="Comma 6 9 4 3" xfId="33598" xr:uid="{00000000-0005-0000-0000-00007F2D0000}"/>
    <cellStyle name="Comma 6 9 5" xfId="16981" xr:uid="{00000000-0005-0000-0000-0000802D0000}"/>
    <cellStyle name="Comma 6 9 5 2" xfId="42534" xr:uid="{00000000-0005-0000-0000-0000812D0000}"/>
    <cellStyle name="Comma 6 9 6" xfId="28471" xr:uid="{00000000-0005-0000-0000-0000822D0000}"/>
    <cellStyle name="Comma 7" xfId="117" xr:uid="{00000000-0005-0000-0000-0000832D0000}"/>
    <cellStyle name="DataNew" xfId="51602" xr:uid="{F35A38D5-2C9F-4B01-B402-5116FA1C80C6}"/>
    <cellStyle name="DataOld" xfId="51601" xr:uid="{3EC78CC2-822B-4D51-9C81-58E3C30FB748}"/>
    <cellStyle name="Explanatory Text 2" xfId="1012" xr:uid="{00000000-0005-0000-0000-0000842D0000}"/>
    <cellStyle name="Good 2" xfId="1013" xr:uid="{00000000-0005-0000-0000-0000852D0000}"/>
    <cellStyle name="Heading 1 2" xfId="1014" xr:uid="{00000000-0005-0000-0000-0000862D0000}"/>
    <cellStyle name="Heading 2 2" xfId="1015" xr:uid="{00000000-0005-0000-0000-0000872D0000}"/>
    <cellStyle name="Heading 3 2" xfId="1016" xr:uid="{00000000-0005-0000-0000-0000882D0000}"/>
    <cellStyle name="Heading 4 2" xfId="1017" xr:uid="{00000000-0005-0000-0000-0000892D0000}"/>
    <cellStyle name="Input 2" xfId="1018" xr:uid="{00000000-0005-0000-0000-00008A2D0000}"/>
    <cellStyle name="Input 3" xfId="1032" xr:uid="{00000000-0005-0000-0000-00008B2D0000}"/>
    <cellStyle name="Linked Cell 2" xfId="1019" xr:uid="{00000000-0005-0000-0000-00008C2D0000}"/>
    <cellStyle name="Neutral 2" xfId="1020" xr:uid="{00000000-0005-0000-0000-00008D2D0000}"/>
    <cellStyle name="Normal" xfId="0" builtinId="0"/>
    <cellStyle name="Normal 10" xfId="16" xr:uid="{00000000-0005-0000-0000-00008F2D0000}"/>
    <cellStyle name="Normal 10 10" xfId="5500" xr:uid="{00000000-0005-0000-0000-0000902D0000}"/>
    <cellStyle name="Normal 10 10 2" xfId="14327" xr:uid="{00000000-0005-0000-0000-0000912D0000}"/>
    <cellStyle name="Normal 10 10 2 2" xfId="39882" xr:uid="{00000000-0005-0000-0000-0000922D0000}"/>
    <cellStyle name="Normal 10 10 3" xfId="24578" xr:uid="{00000000-0005-0000-0000-0000932D0000}"/>
    <cellStyle name="Normal 10 10 3 2" xfId="50131" xr:uid="{00000000-0005-0000-0000-0000942D0000}"/>
    <cellStyle name="Normal 10 10 4" xfId="31061" xr:uid="{00000000-0005-0000-0000-0000952D0000}"/>
    <cellStyle name="Normal 10 11" xfId="6938" xr:uid="{00000000-0005-0000-0000-0000962D0000}"/>
    <cellStyle name="Normal 10 11 2" xfId="32496" xr:uid="{00000000-0005-0000-0000-0000972D0000}"/>
    <cellStyle name="Normal 10 2" xfId="106" xr:uid="{00000000-0005-0000-0000-0000982D0000}"/>
    <cellStyle name="Normal 10 2 10" xfId="4105" xr:uid="{00000000-0005-0000-0000-0000992D0000}"/>
    <cellStyle name="Normal 10 2 10 2" xfId="5563" xr:uid="{00000000-0005-0000-0000-00009A2D0000}"/>
    <cellStyle name="Normal 10 2 10 2 2" xfId="14390" xr:uid="{00000000-0005-0000-0000-00009B2D0000}"/>
    <cellStyle name="Normal 10 2 10 2 2 2" xfId="39945" xr:uid="{00000000-0005-0000-0000-00009C2D0000}"/>
    <cellStyle name="Normal 10 2 10 2 3" xfId="24641" xr:uid="{00000000-0005-0000-0000-00009D2D0000}"/>
    <cellStyle name="Normal 10 2 10 2 3 2" xfId="50194" xr:uid="{00000000-0005-0000-0000-00009E2D0000}"/>
    <cellStyle name="Normal 10 2 10 2 4" xfId="31124" xr:uid="{00000000-0005-0000-0000-00009F2D0000}"/>
    <cellStyle name="Normal 10 2 10 3" xfId="7007" xr:uid="{00000000-0005-0000-0000-0000A02D0000}"/>
    <cellStyle name="Normal 10 2 10 3 2" xfId="23194" xr:uid="{00000000-0005-0000-0000-0000A12D0000}"/>
    <cellStyle name="Normal 10 2 10 3 2 2" xfId="48747" xr:uid="{00000000-0005-0000-0000-0000A22D0000}"/>
    <cellStyle name="Normal 10 2 10 3 3" xfId="32564" xr:uid="{00000000-0005-0000-0000-0000A32D0000}"/>
    <cellStyle name="Normal 10 2 10 4" xfId="18187" xr:uid="{00000000-0005-0000-0000-0000A42D0000}"/>
    <cellStyle name="Normal 10 2 10 4 2" xfId="43740" xr:uid="{00000000-0005-0000-0000-0000A52D0000}"/>
    <cellStyle name="Normal 10 2 10 5" xfId="29677" xr:uid="{00000000-0005-0000-0000-0000A62D0000}"/>
    <cellStyle name="Normal 10 2 11" xfId="1399" xr:uid="{00000000-0005-0000-0000-0000A72D0000}"/>
    <cellStyle name="Normal 10 2 11 2" xfId="10776" xr:uid="{00000000-0005-0000-0000-0000A82D0000}"/>
    <cellStyle name="Normal 10 2 11 2 2" xfId="36331" xr:uid="{00000000-0005-0000-0000-0000A92D0000}"/>
    <cellStyle name="Normal 10 2 11 3" xfId="20780" xr:uid="{00000000-0005-0000-0000-0000AA2D0000}"/>
    <cellStyle name="Normal 10 2 11 3 2" xfId="46333" xr:uid="{00000000-0005-0000-0000-0000AB2D0000}"/>
    <cellStyle name="Normal 10 2 11 4" xfId="27263" xr:uid="{00000000-0005-0000-0000-0000AC2D0000}"/>
    <cellStyle name="Normal 10 2 12" xfId="5504" xr:uid="{00000000-0005-0000-0000-0000AD2D0000}"/>
    <cellStyle name="Normal 10 2 12 2" xfId="14331" xr:uid="{00000000-0005-0000-0000-0000AE2D0000}"/>
    <cellStyle name="Normal 10 2 12 2 2" xfId="39886" xr:uid="{00000000-0005-0000-0000-0000AF2D0000}"/>
    <cellStyle name="Normal 10 2 12 3" xfId="24582" xr:uid="{00000000-0005-0000-0000-0000B02D0000}"/>
    <cellStyle name="Normal 10 2 12 3 2" xfId="50135" xr:uid="{00000000-0005-0000-0000-0000B12D0000}"/>
    <cellStyle name="Normal 10 2 12 4" xfId="31065" xr:uid="{00000000-0005-0000-0000-0000B22D0000}"/>
    <cellStyle name="Normal 10 2 13" xfId="6943" xr:uid="{00000000-0005-0000-0000-0000B32D0000}"/>
    <cellStyle name="Normal 10 2 13 2" xfId="19581" xr:uid="{00000000-0005-0000-0000-0000B42D0000}"/>
    <cellStyle name="Normal 10 2 13 2 2" xfId="45134" xr:uid="{00000000-0005-0000-0000-0000B52D0000}"/>
    <cellStyle name="Normal 10 2 13 3" xfId="32501" xr:uid="{00000000-0005-0000-0000-0000B62D0000}"/>
    <cellStyle name="Normal 10 2 14" xfId="15773" xr:uid="{00000000-0005-0000-0000-0000B72D0000}"/>
    <cellStyle name="Normal 10 2 14 2" xfId="41326" xr:uid="{00000000-0005-0000-0000-0000B82D0000}"/>
    <cellStyle name="Normal 10 2 15" xfId="26064" xr:uid="{00000000-0005-0000-0000-0000B92D0000}"/>
    <cellStyle name="Normal 10 2 2" xfId="159" xr:uid="{00000000-0005-0000-0000-0000BA2D0000}"/>
    <cellStyle name="Normal 10 2 2 10" xfId="1424" xr:uid="{00000000-0005-0000-0000-0000BB2D0000}"/>
    <cellStyle name="Normal 10 2 2 10 2" xfId="10801" xr:uid="{00000000-0005-0000-0000-0000BC2D0000}"/>
    <cellStyle name="Normal 10 2 2 10 2 2" xfId="36356" xr:uid="{00000000-0005-0000-0000-0000BD2D0000}"/>
    <cellStyle name="Normal 10 2 2 10 3" xfId="20805" xr:uid="{00000000-0005-0000-0000-0000BE2D0000}"/>
    <cellStyle name="Normal 10 2 2 10 3 2" xfId="46358" xr:uid="{00000000-0005-0000-0000-0000BF2D0000}"/>
    <cellStyle name="Normal 10 2 2 10 4" xfId="27288" xr:uid="{00000000-0005-0000-0000-0000C02D0000}"/>
    <cellStyle name="Normal 10 2 2 11" xfId="5533" xr:uid="{00000000-0005-0000-0000-0000C12D0000}"/>
    <cellStyle name="Normal 10 2 2 11 2" xfId="14360" xr:uid="{00000000-0005-0000-0000-0000C22D0000}"/>
    <cellStyle name="Normal 10 2 2 11 2 2" xfId="39915" xr:uid="{00000000-0005-0000-0000-0000C32D0000}"/>
    <cellStyle name="Normal 10 2 2 11 3" xfId="24611" xr:uid="{00000000-0005-0000-0000-0000C42D0000}"/>
    <cellStyle name="Normal 10 2 2 11 3 2" xfId="50164" xr:uid="{00000000-0005-0000-0000-0000C52D0000}"/>
    <cellStyle name="Normal 10 2 2 11 4" xfId="31094" xr:uid="{00000000-0005-0000-0000-0000C62D0000}"/>
    <cellStyle name="Normal 10 2 2 12" xfId="6977" xr:uid="{00000000-0005-0000-0000-0000C72D0000}"/>
    <cellStyle name="Normal 10 2 2 12 2" xfId="19618" xr:uid="{00000000-0005-0000-0000-0000C82D0000}"/>
    <cellStyle name="Normal 10 2 2 12 2 2" xfId="45171" xr:uid="{00000000-0005-0000-0000-0000C92D0000}"/>
    <cellStyle name="Normal 10 2 2 12 3" xfId="32534" xr:uid="{00000000-0005-0000-0000-0000CA2D0000}"/>
    <cellStyle name="Normal 10 2 2 13" xfId="15798" xr:uid="{00000000-0005-0000-0000-0000CB2D0000}"/>
    <cellStyle name="Normal 10 2 2 13 2" xfId="41351" xr:uid="{00000000-0005-0000-0000-0000CC2D0000}"/>
    <cellStyle name="Normal 10 2 2 14" xfId="26101" xr:uid="{00000000-0005-0000-0000-0000CD2D0000}"/>
    <cellStyle name="Normal 10 2 2 2" xfId="206" xr:uid="{00000000-0005-0000-0000-0000CE2D0000}"/>
    <cellStyle name="Normal 10 2 2 2 10" xfId="7152" xr:uid="{00000000-0005-0000-0000-0000CF2D0000}"/>
    <cellStyle name="Normal 10 2 2 2 10 2" xfId="19661" xr:uid="{00000000-0005-0000-0000-0000D02D0000}"/>
    <cellStyle name="Normal 10 2 2 2 10 2 2" xfId="45214" xr:uid="{00000000-0005-0000-0000-0000D12D0000}"/>
    <cellStyle name="Normal 10 2 2 2 10 3" xfId="32709" xr:uid="{00000000-0005-0000-0000-0000D22D0000}"/>
    <cellStyle name="Normal 10 2 2 2 11" xfId="15898" xr:uid="{00000000-0005-0000-0000-0000D32D0000}"/>
    <cellStyle name="Normal 10 2 2 2 11 2" xfId="41451" xr:uid="{00000000-0005-0000-0000-0000D42D0000}"/>
    <cellStyle name="Normal 10 2 2 2 12" xfId="26144" xr:uid="{00000000-0005-0000-0000-0000D52D0000}"/>
    <cellStyle name="Normal 10 2 2 2 2" xfId="532" xr:uid="{00000000-0005-0000-0000-0000D62D0000}"/>
    <cellStyle name="Normal 10 2 2 2 2 10" xfId="26461" xr:uid="{00000000-0005-0000-0000-0000D72D0000}"/>
    <cellStyle name="Normal 10 2 2 2 2 2" xfId="701" xr:uid="{00000000-0005-0000-0000-0000D82D0000}"/>
    <cellStyle name="Normal 10 2 2 2 2 2 2" xfId="3187" xr:uid="{00000000-0005-0000-0000-0000D92D0000}"/>
    <cellStyle name="Normal 10 2 2 2 2 2 2 2" xfId="12330" xr:uid="{00000000-0005-0000-0000-0000DA2D0000}"/>
    <cellStyle name="Normal 10 2 2 2 2 2 2 2 2" xfId="22548" xr:uid="{00000000-0005-0000-0000-0000DB2D0000}"/>
    <cellStyle name="Normal 10 2 2 2 2 2 2 2 2 2" xfId="48101" xr:uid="{00000000-0005-0000-0000-0000DC2D0000}"/>
    <cellStyle name="Normal 10 2 2 2 2 2 2 2 3" xfId="37885" xr:uid="{00000000-0005-0000-0000-0000DD2D0000}"/>
    <cellStyle name="Normal 10 2 2 2 2 2 2 3" xfId="8752" xr:uid="{00000000-0005-0000-0000-0000DE2D0000}"/>
    <cellStyle name="Normal 10 2 2 2 2 2 2 3 2" xfId="34309" xr:uid="{00000000-0005-0000-0000-0000DF2D0000}"/>
    <cellStyle name="Normal 10 2 2 2 2 2 2 4" xfId="17541" xr:uid="{00000000-0005-0000-0000-0000E02D0000}"/>
    <cellStyle name="Normal 10 2 2 2 2 2 2 4 2" xfId="43094" xr:uid="{00000000-0005-0000-0000-0000E12D0000}"/>
    <cellStyle name="Normal 10 2 2 2 2 2 2 5" xfId="29031" xr:uid="{00000000-0005-0000-0000-0000E22D0000}"/>
    <cellStyle name="Normal 10 2 2 2 2 2 3" xfId="4516" xr:uid="{00000000-0005-0000-0000-0000E32D0000}"/>
    <cellStyle name="Normal 10 2 2 2 2 2 3 2" xfId="13354" xr:uid="{00000000-0005-0000-0000-0000E42D0000}"/>
    <cellStyle name="Normal 10 2 2 2 2 2 3 2 2" xfId="23605" xr:uid="{00000000-0005-0000-0000-0000E52D0000}"/>
    <cellStyle name="Normal 10 2 2 2 2 2 3 2 2 2" xfId="49158" xr:uid="{00000000-0005-0000-0000-0000E62D0000}"/>
    <cellStyle name="Normal 10 2 2 2 2 2 3 2 3" xfId="38909" xr:uid="{00000000-0005-0000-0000-0000E72D0000}"/>
    <cellStyle name="Normal 10 2 2 2 2 2 3 3" xfId="9775" xr:uid="{00000000-0005-0000-0000-0000E82D0000}"/>
    <cellStyle name="Normal 10 2 2 2 2 2 3 3 2" xfId="35332" xr:uid="{00000000-0005-0000-0000-0000E92D0000}"/>
    <cellStyle name="Normal 10 2 2 2 2 2 3 4" xfId="18598" xr:uid="{00000000-0005-0000-0000-0000EA2D0000}"/>
    <cellStyle name="Normal 10 2 2 2 2 2 3 4 2" xfId="44151" xr:uid="{00000000-0005-0000-0000-0000EB2D0000}"/>
    <cellStyle name="Normal 10 2 2 2 2 2 3 5" xfId="30088" xr:uid="{00000000-0005-0000-0000-0000EC2D0000}"/>
    <cellStyle name="Normal 10 2 2 2 2 2 4" xfId="2296" xr:uid="{00000000-0005-0000-0000-0000ED2D0000}"/>
    <cellStyle name="Normal 10 2 2 2 2 2 4 2" xfId="11661" xr:uid="{00000000-0005-0000-0000-0000EE2D0000}"/>
    <cellStyle name="Normal 10 2 2 2 2 2 4 2 2" xfId="37216" xr:uid="{00000000-0005-0000-0000-0000EF2D0000}"/>
    <cellStyle name="Normal 10 2 2 2 2 2 4 3" xfId="21665" xr:uid="{00000000-0005-0000-0000-0000F02D0000}"/>
    <cellStyle name="Normal 10 2 2 2 2 2 4 3 2" xfId="47218" xr:uid="{00000000-0005-0000-0000-0000F12D0000}"/>
    <cellStyle name="Normal 10 2 2 2 2 2 4 4" xfId="28148" xr:uid="{00000000-0005-0000-0000-0000F22D0000}"/>
    <cellStyle name="Normal 10 2 2 2 2 2 5" xfId="5972" xr:uid="{00000000-0005-0000-0000-0000F32D0000}"/>
    <cellStyle name="Normal 10 2 2 2 2 2 5 2" xfId="14799" xr:uid="{00000000-0005-0000-0000-0000F42D0000}"/>
    <cellStyle name="Normal 10 2 2 2 2 2 5 2 2" xfId="40354" xr:uid="{00000000-0005-0000-0000-0000F52D0000}"/>
    <cellStyle name="Normal 10 2 2 2 2 2 5 3" xfId="25050" xr:uid="{00000000-0005-0000-0000-0000F62D0000}"/>
    <cellStyle name="Normal 10 2 2 2 2 2 5 3 2" xfId="50603" xr:uid="{00000000-0005-0000-0000-0000F72D0000}"/>
    <cellStyle name="Normal 10 2 2 2 2 2 5 4" xfId="31533" xr:uid="{00000000-0005-0000-0000-0000F82D0000}"/>
    <cellStyle name="Normal 10 2 2 2 2 2 6" xfId="7416" xr:uid="{00000000-0005-0000-0000-0000F92D0000}"/>
    <cellStyle name="Normal 10 2 2 2 2 2 6 2" xfId="20147" xr:uid="{00000000-0005-0000-0000-0000FA2D0000}"/>
    <cellStyle name="Normal 10 2 2 2 2 2 6 2 2" xfId="45700" xr:uid="{00000000-0005-0000-0000-0000FB2D0000}"/>
    <cellStyle name="Normal 10 2 2 2 2 2 6 3" xfId="32973" xr:uid="{00000000-0005-0000-0000-0000FC2D0000}"/>
    <cellStyle name="Normal 10 2 2 2 2 2 7" xfId="16658" xr:uid="{00000000-0005-0000-0000-0000FD2D0000}"/>
    <cellStyle name="Normal 10 2 2 2 2 2 7 2" xfId="42211" xr:uid="{00000000-0005-0000-0000-0000FE2D0000}"/>
    <cellStyle name="Normal 10 2 2 2 2 2 8" xfId="26630" xr:uid="{00000000-0005-0000-0000-0000FF2D0000}"/>
    <cellStyle name="Normal 10 2 2 2 2 3" xfId="1304" xr:uid="{00000000-0005-0000-0000-0000002E0000}"/>
    <cellStyle name="Normal 10 2 2 2 2 3 2" xfId="3733" xr:uid="{00000000-0005-0000-0000-0000012E0000}"/>
    <cellStyle name="Normal 10 2 2 2 2 3 2 2" xfId="12869" xr:uid="{00000000-0005-0000-0000-0000022E0000}"/>
    <cellStyle name="Normal 10 2 2 2 2 3 2 2 2" xfId="23088" xr:uid="{00000000-0005-0000-0000-0000032E0000}"/>
    <cellStyle name="Normal 10 2 2 2 2 3 2 2 2 2" xfId="48641" xr:uid="{00000000-0005-0000-0000-0000042E0000}"/>
    <cellStyle name="Normal 10 2 2 2 2 3 2 2 3" xfId="38424" xr:uid="{00000000-0005-0000-0000-0000052E0000}"/>
    <cellStyle name="Normal 10 2 2 2 2 3 2 3" xfId="9290" xr:uid="{00000000-0005-0000-0000-0000062E0000}"/>
    <cellStyle name="Normal 10 2 2 2 2 3 2 3 2" xfId="34847" xr:uid="{00000000-0005-0000-0000-0000072E0000}"/>
    <cellStyle name="Normal 10 2 2 2 2 3 2 4" xfId="18081" xr:uid="{00000000-0005-0000-0000-0000082E0000}"/>
    <cellStyle name="Normal 10 2 2 2 2 3 2 4 2" xfId="43634" xr:uid="{00000000-0005-0000-0000-0000092E0000}"/>
    <cellStyle name="Normal 10 2 2 2 2 3 2 5" xfId="29571" xr:uid="{00000000-0005-0000-0000-00000A2E0000}"/>
    <cellStyle name="Normal 10 2 2 2 2 3 3" xfId="4865" xr:uid="{00000000-0005-0000-0000-00000B2E0000}"/>
    <cellStyle name="Normal 10 2 2 2 2 3 3 2" xfId="13702" xr:uid="{00000000-0005-0000-0000-00000C2E0000}"/>
    <cellStyle name="Normal 10 2 2 2 2 3 3 2 2" xfId="23953" xr:uid="{00000000-0005-0000-0000-00000D2E0000}"/>
    <cellStyle name="Normal 10 2 2 2 2 3 3 2 2 2" xfId="49506" xr:uid="{00000000-0005-0000-0000-00000E2E0000}"/>
    <cellStyle name="Normal 10 2 2 2 2 3 3 2 3" xfId="39257" xr:uid="{00000000-0005-0000-0000-00000F2E0000}"/>
    <cellStyle name="Normal 10 2 2 2 2 3 3 3" xfId="10123" xr:uid="{00000000-0005-0000-0000-0000102E0000}"/>
    <cellStyle name="Normal 10 2 2 2 2 3 3 3 2" xfId="35680" xr:uid="{00000000-0005-0000-0000-0000112E0000}"/>
    <cellStyle name="Normal 10 2 2 2 2 3 3 4" xfId="18946" xr:uid="{00000000-0005-0000-0000-0000122E0000}"/>
    <cellStyle name="Normal 10 2 2 2 2 3 3 4 2" xfId="44499" xr:uid="{00000000-0005-0000-0000-0000132E0000}"/>
    <cellStyle name="Normal 10 2 2 2 2 3 3 5" xfId="30436" xr:uid="{00000000-0005-0000-0000-0000142E0000}"/>
    <cellStyle name="Normal 10 2 2 2 2 3 4" xfId="2127" xr:uid="{00000000-0005-0000-0000-0000152E0000}"/>
    <cellStyle name="Normal 10 2 2 2 2 3 4 2" xfId="11492" xr:uid="{00000000-0005-0000-0000-0000162E0000}"/>
    <cellStyle name="Normal 10 2 2 2 2 3 4 2 2" xfId="37047" xr:uid="{00000000-0005-0000-0000-0000172E0000}"/>
    <cellStyle name="Normal 10 2 2 2 2 3 4 3" xfId="21496" xr:uid="{00000000-0005-0000-0000-0000182E0000}"/>
    <cellStyle name="Normal 10 2 2 2 2 3 4 3 2" xfId="47049" xr:uid="{00000000-0005-0000-0000-0000192E0000}"/>
    <cellStyle name="Normal 10 2 2 2 2 3 4 4" xfId="27979" xr:uid="{00000000-0005-0000-0000-00001A2E0000}"/>
    <cellStyle name="Normal 10 2 2 2 2 3 5" xfId="6320" xr:uid="{00000000-0005-0000-0000-00001B2E0000}"/>
    <cellStyle name="Normal 10 2 2 2 2 3 5 2" xfId="15147" xr:uid="{00000000-0005-0000-0000-00001C2E0000}"/>
    <cellStyle name="Normal 10 2 2 2 2 3 5 2 2" xfId="40702" xr:uid="{00000000-0005-0000-0000-00001D2E0000}"/>
    <cellStyle name="Normal 10 2 2 2 2 3 5 3" xfId="25398" xr:uid="{00000000-0005-0000-0000-00001E2E0000}"/>
    <cellStyle name="Normal 10 2 2 2 2 3 5 3 2" xfId="50951" xr:uid="{00000000-0005-0000-0000-00001F2E0000}"/>
    <cellStyle name="Normal 10 2 2 2 2 3 5 4" xfId="31881" xr:uid="{00000000-0005-0000-0000-0000202E0000}"/>
    <cellStyle name="Normal 10 2 2 2 2 3 6" xfId="7766" xr:uid="{00000000-0005-0000-0000-0000212E0000}"/>
    <cellStyle name="Normal 10 2 2 2 2 3 6 2" xfId="20687" xr:uid="{00000000-0005-0000-0000-0000222E0000}"/>
    <cellStyle name="Normal 10 2 2 2 2 3 6 2 2" xfId="46240" xr:uid="{00000000-0005-0000-0000-0000232E0000}"/>
    <cellStyle name="Normal 10 2 2 2 2 3 6 3" xfId="33323" xr:uid="{00000000-0005-0000-0000-0000242E0000}"/>
    <cellStyle name="Normal 10 2 2 2 2 3 7" xfId="16489" xr:uid="{00000000-0005-0000-0000-0000252E0000}"/>
    <cellStyle name="Normal 10 2 2 2 2 3 7 2" xfId="42042" xr:uid="{00000000-0005-0000-0000-0000262E0000}"/>
    <cellStyle name="Normal 10 2 2 2 2 3 8" xfId="27170" xr:uid="{00000000-0005-0000-0000-0000272E0000}"/>
    <cellStyle name="Normal 10 2 2 2 2 4" xfId="3018" xr:uid="{00000000-0005-0000-0000-0000282E0000}"/>
    <cellStyle name="Normal 10 2 2 2 2 4 2" xfId="5396" xr:uid="{00000000-0005-0000-0000-0000292E0000}"/>
    <cellStyle name="Normal 10 2 2 2 2 4 2 2" xfId="14233" xr:uid="{00000000-0005-0000-0000-00002A2E0000}"/>
    <cellStyle name="Normal 10 2 2 2 2 4 2 2 2" xfId="24484" xr:uid="{00000000-0005-0000-0000-00002B2E0000}"/>
    <cellStyle name="Normal 10 2 2 2 2 4 2 2 2 2" xfId="50037" xr:uid="{00000000-0005-0000-0000-00002C2E0000}"/>
    <cellStyle name="Normal 10 2 2 2 2 4 2 2 3" xfId="39788" xr:uid="{00000000-0005-0000-0000-00002D2E0000}"/>
    <cellStyle name="Normal 10 2 2 2 2 4 2 3" xfId="10654" xr:uid="{00000000-0005-0000-0000-00002E2E0000}"/>
    <cellStyle name="Normal 10 2 2 2 2 4 2 3 2" xfId="36211" xr:uid="{00000000-0005-0000-0000-00002F2E0000}"/>
    <cellStyle name="Normal 10 2 2 2 2 4 2 4" xfId="19477" xr:uid="{00000000-0005-0000-0000-0000302E0000}"/>
    <cellStyle name="Normal 10 2 2 2 2 4 2 4 2" xfId="45030" xr:uid="{00000000-0005-0000-0000-0000312E0000}"/>
    <cellStyle name="Normal 10 2 2 2 2 4 2 5" xfId="30967" xr:uid="{00000000-0005-0000-0000-0000322E0000}"/>
    <cellStyle name="Normal 10 2 2 2 2 4 3" xfId="6851" xr:uid="{00000000-0005-0000-0000-0000332E0000}"/>
    <cellStyle name="Normal 10 2 2 2 2 4 3 2" xfId="15678" xr:uid="{00000000-0005-0000-0000-0000342E0000}"/>
    <cellStyle name="Normal 10 2 2 2 2 4 3 2 2" xfId="41233" xr:uid="{00000000-0005-0000-0000-0000352E0000}"/>
    <cellStyle name="Normal 10 2 2 2 2 4 3 3" xfId="25929" xr:uid="{00000000-0005-0000-0000-0000362E0000}"/>
    <cellStyle name="Normal 10 2 2 2 2 4 3 3 2" xfId="51482" xr:uid="{00000000-0005-0000-0000-0000372E0000}"/>
    <cellStyle name="Normal 10 2 2 2 2 4 3 4" xfId="32412" xr:uid="{00000000-0005-0000-0000-0000382E0000}"/>
    <cellStyle name="Normal 10 2 2 2 2 4 4" xfId="8297" xr:uid="{00000000-0005-0000-0000-0000392E0000}"/>
    <cellStyle name="Normal 10 2 2 2 2 4 4 2" xfId="22379" xr:uid="{00000000-0005-0000-0000-00003A2E0000}"/>
    <cellStyle name="Normal 10 2 2 2 2 4 4 2 2" xfId="47932" xr:uid="{00000000-0005-0000-0000-00003B2E0000}"/>
    <cellStyle name="Normal 10 2 2 2 2 4 4 3" xfId="33854" xr:uid="{00000000-0005-0000-0000-00003C2E0000}"/>
    <cellStyle name="Normal 10 2 2 2 2 4 5" xfId="17372" xr:uid="{00000000-0005-0000-0000-00003D2E0000}"/>
    <cellStyle name="Normal 10 2 2 2 2 4 5 2" xfId="42925" xr:uid="{00000000-0005-0000-0000-00003E2E0000}"/>
    <cellStyle name="Normal 10 2 2 2 2 4 6" xfId="28862" xr:uid="{00000000-0005-0000-0000-00003F2E0000}"/>
    <cellStyle name="Normal 10 2 2 2 2 5" xfId="4352" xr:uid="{00000000-0005-0000-0000-0000402E0000}"/>
    <cellStyle name="Normal 10 2 2 2 2 5 2" xfId="13190" xr:uid="{00000000-0005-0000-0000-0000412E0000}"/>
    <cellStyle name="Normal 10 2 2 2 2 5 2 2" xfId="23441" xr:uid="{00000000-0005-0000-0000-0000422E0000}"/>
    <cellStyle name="Normal 10 2 2 2 2 5 2 2 2" xfId="48994" xr:uid="{00000000-0005-0000-0000-0000432E0000}"/>
    <cellStyle name="Normal 10 2 2 2 2 5 2 3" xfId="38745" xr:uid="{00000000-0005-0000-0000-0000442E0000}"/>
    <cellStyle name="Normal 10 2 2 2 2 5 3" xfId="9611" xr:uid="{00000000-0005-0000-0000-0000452E0000}"/>
    <cellStyle name="Normal 10 2 2 2 2 5 3 2" xfId="35168" xr:uid="{00000000-0005-0000-0000-0000462E0000}"/>
    <cellStyle name="Normal 10 2 2 2 2 5 4" xfId="18434" xr:uid="{00000000-0005-0000-0000-0000472E0000}"/>
    <cellStyle name="Normal 10 2 2 2 2 5 4 2" xfId="43987" xr:uid="{00000000-0005-0000-0000-0000482E0000}"/>
    <cellStyle name="Normal 10 2 2 2 2 5 5" xfId="29924" xr:uid="{00000000-0005-0000-0000-0000492E0000}"/>
    <cellStyle name="Normal 10 2 2 2 2 6" xfId="1624" xr:uid="{00000000-0005-0000-0000-00004A2E0000}"/>
    <cellStyle name="Normal 10 2 2 2 2 6 2" xfId="11001" xr:uid="{00000000-0005-0000-0000-00004B2E0000}"/>
    <cellStyle name="Normal 10 2 2 2 2 6 2 2" xfId="36556" xr:uid="{00000000-0005-0000-0000-00004C2E0000}"/>
    <cellStyle name="Normal 10 2 2 2 2 6 3" xfId="21005" xr:uid="{00000000-0005-0000-0000-00004D2E0000}"/>
    <cellStyle name="Normal 10 2 2 2 2 6 3 2" xfId="46558" xr:uid="{00000000-0005-0000-0000-00004E2E0000}"/>
    <cellStyle name="Normal 10 2 2 2 2 6 4" xfId="27488" xr:uid="{00000000-0005-0000-0000-00004F2E0000}"/>
    <cellStyle name="Normal 10 2 2 2 2 7" xfId="5808" xr:uid="{00000000-0005-0000-0000-0000502E0000}"/>
    <cellStyle name="Normal 10 2 2 2 2 7 2" xfId="14635" xr:uid="{00000000-0005-0000-0000-0000512E0000}"/>
    <cellStyle name="Normal 10 2 2 2 2 7 2 2" xfId="40190" xr:uid="{00000000-0005-0000-0000-0000522E0000}"/>
    <cellStyle name="Normal 10 2 2 2 2 7 3" xfId="24886" xr:uid="{00000000-0005-0000-0000-0000532E0000}"/>
    <cellStyle name="Normal 10 2 2 2 2 7 3 2" xfId="50439" xr:uid="{00000000-0005-0000-0000-0000542E0000}"/>
    <cellStyle name="Normal 10 2 2 2 2 7 4" xfId="31369" xr:uid="{00000000-0005-0000-0000-0000552E0000}"/>
    <cellStyle name="Normal 10 2 2 2 2 8" xfId="7252" xr:uid="{00000000-0005-0000-0000-0000562E0000}"/>
    <cellStyle name="Normal 10 2 2 2 2 8 2" xfId="19978" xr:uid="{00000000-0005-0000-0000-0000572E0000}"/>
    <cellStyle name="Normal 10 2 2 2 2 8 2 2" xfId="45531" xr:uid="{00000000-0005-0000-0000-0000582E0000}"/>
    <cellStyle name="Normal 10 2 2 2 2 8 3" xfId="32809" xr:uid="{00000000-0005-0000-0000-0000592E0000}"/>
    <cellStyle name="Normal 10 2 2 2 2 9" xfId="15998" xr:uid="{00000000-0005-0000-0000-00005A2E0000}"/>
    <cellStyle name="Normal 10 2 2 2 2 9 2" xfId="41551" xr:uid="{00000000-0005-0000-0000-00005B2E0000}"/>
    <cellStyle name="Normal 10 2 2 2 2_Degree data" xfId="3898" xr:uid="{00000000-0005-0000-0000-00005C2E0000}"/>
    <cellStyle name="Normal 10 2 2 2 3" xfId="432" xr:uid="{00000000-0005-0000-0000-00005D2E0000}"/>
    <cellStyle name="Normal 10 2 2 2 3 2" xfId="2918" xr:uid="{00000000-0005-0000-0000-00005E2E0000}"/>
    <cellStyle name="Normal 10 2 2 2 3 2 2" xfId="12206" xr:uid="{00000000-0005-0000-0000-00005F2E0000}"/>
    <cellStyle name="Normal 10 2 2 2 3 2 2 2" xfId="22279" xr:uid="{00000000-0005-0000-0000-0000602E0000}"/>
    <cellStyle name="Normal 10 2 2 2 3 2 2 2 2" xfId="47832" xr:uid="{00000000-0005-0000-0000-0000612E0000}"/>
    <cellStyle name="Normal 10 2 2 2 3 2 2 3" xfId="37761" xr:uid="{00000000-0005-0000-0000-0000622E0000}"/>
    <cellStyle name="Normal 10 2 2 2 3 2 3" xfId="8444" xr:uid="{00000000-0005-0000-0000-0000632E0000}"/>
    <cellStyle name="Normal 10 2 2 2 3 2 3 2" xfId="34001" xr:uid="{00000000-0005-0000-0000-0000642E0000}"/>
    <cellStyle name="Normal 10 2 2 2 3 2 4" xfId="17272" xr:uid="{00000000-0005-0000-0000-0000652E0000}"/>
    <cellStyle name="Normal 10 2 2 2 3 2 4 2" xfId="42825" xr:uid="{00000000-0005-0000-0000-0000662E0000}"/>
    <cellStyle name="Normal 10 2 2 2 3 2 5" xfId="28762" xr:uid="{00000000-0005-0000-0000-0000672E0000}"/>
    <cellStyle name="Normal 10 2 2 2 3 3" xfId="4515" xr:uid="{00000000-0005-0000-0000-0000682E0000}"/>
    <cellStyle name="Normal 10 2 2 2 3 3 2" xfId="13353" xr:uid="{00000000-0005-0000-0000-0000692E0000}"/>
    <cellStyle name="Normal 10 2 2 2 3 3 2 2" xfId="23604" xr:uid="{00000000-0005-0000-0000-00006A2E0000}"/>
    <cellStyle name="Normal 10 2 2 2 3 3 2 2 2" xfId="49157" xr:uid="{00000000-0005-0000-0000-00006B2E0000}"/>
    <cellStyle name="Normal 10 2 2 2 3 3 2 3" xfId="38908" xr:uid="{00000000-0005-0000-0000-00006C2E0000}"/>
    <cellStyle name="Normal 10 2 2 2 3 3 3" xfId="9774" xr:uid="{00000000-0005-0000-0000-00006D2E0000}"/>
    <cellStyle name="Normal 10 2 2 2 3 3 3 2" xfId="35331" xr:uid="{00000000-0005-0000-0000-00006E2E0000}"/>
    <cellStyle name="Normal 10 2 2 2 3 3 4" xfId="18597" xr:uid="{00000000-0005-0000-0000-00006F2E0000}"/>
    <cellStyle name="Normal 10 2 2 2 3 3 4 2" xfId="44150" xr:uid="{00000000-0005-0000-0000-0000702E0000}"/>
    <cellStyle name="Normal 10 2 2 2 3 3 5" xfId="30087" xr:uid="{00000000-0005-0000-0000-0000712E0000}"/>
    <cellStyle name="Normal 10 2 2 2 3 4" xfId="2027" xr:uid="{00000000-0005-0000-0000-0000722E0000}"/>
    <cellStyle name="Normal 10 2 2 2 3 4 2" xfId="11392" xr:uid="{00000000-0005-0000-0000-0000732E0000}"/>
    <cellStyle name="Normal 10 2 2 2 3 4 2 2" xfId="36947" xr:uid="{00000000-0005-0000-0000-0000742E0000}"/>
    <cellStyle name="Normal 10 2 2 2 3 4 3" xfId="21396" xr:uid="{00000000-0005-0000-0000-0000752E0000}"/>
    <cellStyle name="Normal 10 2 2 2 3 4 3 2" xfId="46949" xr:uid="{00000000-0005-0000-0000-0000762E0000}"/>
    <cellStyle name="Normal 10 2 2 2 3 4 4" xfId="27879" xr:uid="{00000000-0005-0000-0000-0000772E0000}"/>
    <cellStyle name="Normal 10 2 2 2 3 5" xfId="5971" xr:uid="{00000000-0005-0000-0000-0000782E0000}"/>
    <cellStyle name="Normal 10 2 2 2 3 5 2" xfId="14798" xr:uid="{00000000-0005-0000-0000-0000792E0000}"/>
    <cellStyle name="Normal 10 2 2 2 3 5 2 2" xfId="40353" xr:uid="{00000000-0005-0000-0000-00007A2E0000}"/>
    <cellStyle name="Normal 10 2 2 2 3 5 3" xfId="25049" xr:uid="{00000000-0005-0000-0000-00007B2E0000}"/>
    <cellStyle name="Normal 10 2 2 2 3 5 3 2" xfId="50602" xr:uid="{00000000-0005-0000-0000-00007C2E0000}"/>
    <cellStyle name="Normal 10 2 2 2 3 5 4" xfId="31532" xr:uid="{00000000-0005-0000-0000-00007D2E0000}"/>
    <cellStyle name="Normal 10 2 2 2 3 6" xfId="7415" xr:uid="{00000000-0005-0000-0000-00007E2E0000}"/>
    <cellStyle name="Normal 10 2 2 2 3 6 2" xfId="19878" xr:uid="{00000000-0005-0000-0000-00007F2E0000}"/>
    <cellStyle name="Normal 10 2 2 2 3 6 2 2" xfId="45431" xr:uid="{00000000-0005-0000-0000-0000802E0000}"/>
    <cellStyle name="Normal 10 2 2 2 3 6 3" xfId="32972" xr:uid="{00000000-0005-0000-0000-0000812E0000}"/>
    <cellStyle name="Normal 10 2 2 2 3 7" xfId="16389" xr:uid="{00000000-0005-0000-0000-0000822E0000}"/>
    <cellStyle name="Normal 10 2 2 2 3 7 2" xfId="41942" xr:uid="{00000000-0005-0000-0000-0000832E0000}"/>
    <cellStyle name="Normal 10 2 2 2 3 8" xfId="26361" xr:uid="{00000000-0005-0000-0000-0000842E0000}"/>
    <cellStyle name="Normal 10 2 2 2 4" xfId="700" xr:uid="{00000000-0005-0000-0000-0000852E0000}"/>
    <cellStyle name="Normal 10 2 2 2 4 2" xfId="3186" xr:uid="{00000000-0005-0000-0000-0000862E0000}"/>
    <cellStyle name="Normal 10 2 2 2 4 2 2" xfId="12329" xr:uid="{00000000-0005-0000-0000-0000872E0000}"/>
    <cellStyle name="Normal 10 2 2 2 4 2 2 2" xfId="22547" xr:uid="{00000000-0005-0000-0000-0000882E0000}"/>
    <cellStyle name="Normal 10 2 2 2 4 2 2 2 2" xfId="48100" xr:uid="{00000000-0005-0000-0000-0000892E0000}"/>
    <cellStyle name="Normal 10 2 2 2 4 2 2 3" xfId="37884" xr:uid="{00000000-0005-0000-0000-00008A2E0000}"/>
    <cellStyle name="Normal 10 2 2 2 4 2 3" xfId="8751" xr:uid="{00000000-0005-0000-0000-00008B2E0000}"/>
    <cellStyle name="Normal 10 2 2 2 4 2 3 2" xfId="34308" xr:uid="{00000000-0005-0000-0000-00008C2E0000}"/>
    <cellStyle name="Normal 10 2 2 2 4 2 4" xfId="17540" xr:uid="{00000000-0005-0000-0000-00008D2E0000}"/>
    <cellStyle name="Normal 10 2 2 2 4 2 4 2" xfId="43093" xr:uid="{00000000-0005-0000-0000-00008E2E0000}"/>
    <cellStyle name="Normal 10 2 2 2 4 2 5" xfId="29030" xr:uid="{00000000-0005-0000-0000-00008F2E0000}"/>
    <cellStyle name="Normal 10 2 2 2 4 3" xfId="4864" xr:uid="{00000000-0005-0000-0000-0000902E0000}"/>
    <cellStyle name="Normal 10 2 2 2 4 3 2" xfId="13701" xr:uid="{00000000-0005-0000-0000-0000912E0000}"/>
    <cellStyle name="Normal 10 2 2 2 4 3 2 2" xfId="23952" xr:uid="{00000000-0005-0000-0000-0000922E0000}"/>
    <cellStyle name="Normal 10 2 2 2 4 3 2 2 2" xfId="49505" xr:uid="{00000000-0005-0000-0000-0000932E0000}"/>
    <cellStyle name="Normal 10 2 2 2 4 3 2 3" xfId="39256" xr:uid="{00000000-0005-0000-0000-0000942E0000}"/>
    <cellStyle name="Normal 10 2 2 2 4 3 3" xfId="10122" xr:uid="{00000000-0005-0000-0000-0000952E0000}"/>
    <cellStyle name="Normal 10 2 2 2 4 3 3 2" xfId="35679" xr:uid="{00000000-0005-0000-0000-0000962E0000}"/>
    <cellStyle name="Normal 10 2 2 2 4 3 4" xfId="18945" xr:uid="{00000000-0005-0000-0000-0000972E0000}"/>
    <cellStyle name="Normal 10 2 2 2 4 3 4 2" xfId="44498" xr:uid="{00000000-0005-0000-0000-0000982E0000}"/>
    <cellStyle name="Normal 10 2 2 2 4 3 5" xfId="30435" xr:uid="{00000000-0005-0000-0000-0000992E0000}"/>
    <cellStyle name="Normal 10 2 2 2 4 4" xfId="2295" xr:uid="{00000000-0005-0000-0000-00009A2E0000}"/>
    <cellStyle name="Normal 10 2 2 2 4 4 2" xfId="11660" xr:uid="{00000000-0005-0000-0000-00009B2E0000}"/>
    <cellStyle name="Normal 10 2 2 2 4 4 2 2" xfId="37215" xr:uid="{00000000-0005-0000-0000-00009C2E0000}"/>
    <cellStyle name="Normal 10 2 2 2 4 4 3" xfId="21664" xr:uid="{00000000-0005-0000-0000-00009D2E0000}"/>
    <cellStyle name="Normal 10 2 2 2 4 4 3 2" xfId="47217" xr:uid="{00000000-0005-0000-0000-00009E2E0000}"/>
    <cellStyle name="Normal 10 2 2 2 4 4 4" xfId="28147" xr:uid="{00000000-0005-0000-0000-00009F2E0000}"/>
    <cellStyle name="Normal 10 2 2 2 4 5" xfId="6319" xr:uid="{00000000-0005-0000-0000-0000A02E0000}"/>
    <cellStyle name="Normal 10 2 2 2 4 5 2" xfId="15146" xr:uid="{00000000-0005-0000-0000-0000A12E0000}"/>
    <cellStyle name="Normal 10 2 2 2 4 5 2 2" xfId="40701" xr:uid="{00000000-0005-0000-0000-0000A22E0000}"/>
    <cellStyle name="Normal 10 2 2 2 4 5 3" xfId="25397" xr:uid="{00000000-0005-0000-0000-0000A32E0000}"/>
    <cellStyle name="Normal 10 2 2 2 4 5 3 2" xfId="50950" xr:uid="{00000000-0005-0000-0000-0000A42E0000}"/>
    <cellStyle name="Normal 10 2 2 2 4 5 4" xfId="31880" xr:uid="{00000000-0005-0000-0000-0000A52E0000}"/>
    <cellStyle name="Normal 10 2 2 2 4 6" xfId="7765" xr:uid="{00000000-0005-0000-0000-0000A62E0000}"/>
    <cellStyle name="Normal 10 2 2 2 4 6 2" xfId="20146" xr:uid="{00000000-0005-0000-0000-0000A72E0000}"/>
    <cellStyle name="Normal 10 2 2 2 4 6 2 2" xfId="45699" xr:uid="{00000000-0005-0000-0000-0000A82E0000}"/>
    <cellStyle name="Normal 10 2 2 2 4 6 3" xfId="33322" xr:uid="{00000000-0005-0000-0000-0000A92E0000}"/>
    <cellStyle name="Normal 10 2 2 2 4 7" xfId="16657" xr:uid="{00000000-0005-0000-0000-0000AA2E0000}"/>
    <cellStyle name="Normal 10 2 2 2 4 7 2" xfId="42210" xr:uid="{00000000-0005-0000-0000-0000AB2E0000}"/>
    <cellStyle name="Normal 10 2 2 2 4 8" xfId="26629" xr:uid="{00000000-0005-0000-0000-0000AC2E0000}"/>
    <cellStyle name="Normal 10 2 2 2 5" xfId="1204" xr:uid="{00000000-0005-0000-0000-0000AD2E0000}"/>
    <cellStyle name="Normal 10 2 2 2 5 2" xfId="3633" xr:uid="{00000000-0005-0000-0000-0000AE2E0000}"/>
    <cellStyle name="Normal 10 2 2 2 5 2 2" xfId="12769" xr:uid="{00000000-0005-0000-0000-0000AF2E0000}"/>
    <cellStyle name="Normal 10 2 2 2 5 2 2 2" xfId="22988" xr:uid="{00000000-0005-0000-0000-0000B02E0000}"/>
    <cellStyle name="Normal 10 2 2 2 5 2 2 2 2" xfId="48541" xr:uid="{00000000-0005-0000-0000-0000B12E0000}"/>
    <cellStyle name="Normal 10 2 2 2 5 2 2 3" xfId="38324" xr:uid="{00000000-0005-0000-0000-0000B22E0000}"/>
    <cellStyle name="Normal 10 2 2 2 5 2 3" xfId="9190" xr:uid="{00000000-0005-0000-0000-0000B32E0000}"/>
    <cellStyle name="Normal 10 2 2 2 5 2 3 2" xfId="34747" xr:uid="{00000000-0005-0000-0000-0000B42E0000}"/>
    <cellStyle name="Normal 10 2 2 2 5 2 4" xfId="17981" xr:uid="{00000000-0005-0000-0000-0000B52E0000}"/>
    <cellStyle name="Normal 10 2 2 2 5 2 4 2" xfId="43534" xr:uid="{00000000-0005-0000-0000-0000B62E0000}"/>
    <cellStyle name="Normal 10 2 2 2 5 2 5" xfId="29471" xr:uid="{00000000-0005-0000-0000-0000B72E0000}"/>
    <cellStyle name="Normal 10 2 2 2 5 3" xfId="5296" xr:uid="{00000000-0005-0000-0000-0000B82E0000}"/>
    <cellStyle name="Normal 10 2 2 2 5 3 2" xfId="14133" xr:uid="{00000000-0005-0000-0000-0000B92E0000}"/>
    <cellStyle name="Normal 10 2 2 2 5 3 2 2" xfId="24384" xr:uid="{00000000-0005-0000-0000-0000BA2E0000}"/>
    <cellStyle name="Normal 10 2 2 2 5 3 2 2 2" xfId="49937" xr:uid="{00000000-0005-0000-0000-0000BB2E0000}"/>
    <cellStyle name="Normal 10 2 2 2 5 3 2 3" xfId="39688" xr:uid="{00000000-0005-0000-0000-0000BC2E0000}"/>
    <cellStyle name="Normal 10 2 2 2 5 3 3" xfId="10554" xr:uid="{00000000-0005-0000-0000-0000BD2E0000}"/>
    <cellStyle name="Normal 10 2 2 2 5 3 3 2" xfId="36111" xr:uid="{00000000-0005-0000-0000-0000BE2E0000}"/>
    <cellStyle name="Normal 10 2 2 2 5 3 4" xfId="19377" xr:uid="{00000000-0005-0000-0000-0000BF2E0000}"/>
    <cellStyle name="Normal 10 2 2 2 5 3 4 2" xfId="44930" xr:uid="{00000000-0005-0000-0000-0000C02E0000}"/>
    <cellStyle name="Normal 10 2 2 2 5 3 5" xfId="30867" xr:uid="{00000000-0005-0000-0000-0000C12E0000}"/>
    <cellStyle name="Normal 10 2 2 2 5 4" xfId="1807" xr:uid="{00000000-0005-0000-0000-0000C22E0000}"/>
    <cellStyle name="Normal 10 2 2 2 5 4 2" xfId="11175" xr:uid="{00000000-0005-0000-0000-0000C32E0000}"/>
    <cellStyle name="Normal 10 2 2 2 5 4 2 2" xfId="36730" xr:uid="{00000000-0005-0000-0000-0000C42E0000}"/>
    <cellStyle name="Normal 10 2 2 2 5 4 3" xfId="21179" xr:uid="{00000000-0005-0000-0000-0000C52E0000}"/>
    <cellStyle name="Normal 10 2 2 2 5 4 3 2" xfId="46732" xr:uid="{00000000-0005-0000-0000-0000C62E0000}"/>
    <cellStyle name="Normal 10 2 2 2 5 4 4" xfId="27662" xr:uid="{00000000-0005-0000-0000-0000C72E0000}"/>
    <cellStyle name="Normal 10 2 2 2 5 5" xfId="6751" xr:uid="{00000000-0005-0000-0000-0000C82E0000}"/>
    <cellStyle name="Normal 10 2 2 2 5 5 2" xfId="15578" xr:uid="{00000000-0005-0000-0000-0000C92E0000}"/>
    <cellStyle name="Normal 10 2 2 2 5 5 2 2" xfId="41133" xr:uid="{00000000-0005-0000-0000-0000CA2E0000}"/>
    <cellStyle name="Normal 10 2 2 2 5 5 3" xfId="25829" xr:uid="{00000000-0005-0000-0000-0000CB2E0000}"/>
    <cellStyle name="Normal 10 2 2 2 5 5 3 2" xfId="51382" xr:uid="{00000000-0005-0000-0000-0000CC2E0000}"/>
    <cellStyle name="Normal 10 2 2 2 5 5 4" xfId="32312" xr:uid="{00000000-0005-0000-0000-0000CD2E0000}"/>
    <cellStyle name="Normal 10 2 2 2 5 6" xfId="8197" xr:uid="{00000000-0005-0000-0000-0000CE2E0000}"/>
    <cellStyle name="Normal 10 2 2 2 5 6 2" xfId="20587" xr:uid="{00000000-0005-0000-0000-0000CF2E0000}"/>
    <cellStyle name="Normal 10 2 2 2 5 6 2 2" xfId="46140" xr:uid="{00000000-0005-0000-0000-0000D02E0000}"/>
    <cellStyle name="Normal 10 2 2 2 5 6 3" xfId="33754" xr:uid="{00000000-0005-0000-0000-0000D12E0000}"/>
    <cellStyle name="Normal 10 2 2 2 5 7" xfId="16172" xr:uid="{00000000-0005-0000-0000-0000D22E0000}"/>
    <cellStyle name="Normal 10 2 2 2 5 7 2" xfId="41725" xr:uid="{00000000-0005-0000-0000-0000D32E0000}"/>
    <cellStyle name="Normal 10 2 2 2 5 8" xfId="27070" xr:uid="{00000000-0005-0000-0000-0000D42E0000}"/>
    <cellStyle name="Normal 10 2 2 2 6" xfId="2701" xr:uid="{00000000-0005-0000-0000-0000D52E0000}"/>
    <cellStyle name="Normal 10 2 2 2 6 2" xfId="12018" xr:uid="{00000000-0005-0000-0000-0000D62E0000}"/>
    <cellStyle name="Normal 10 2 2 2 6 2 2" xfId="22062" xr:uid="{00000000-0005-0000-0000-0000D72E0000}"/>
    <cellStyle name="Normal 10 2 2 2 6 2 2 2" xfId="47615" xr:uid="{00000000-0005-0000-0000-0000D82E0000}"/>
    <cellStyle name="Normal 10 2 2 2 6 2 3" xfId="37573" xr:uid="{00000000-0005-0000-0000-0000D92E0000}"/>
    <cellStyle name="Normal 10 2 2 2 6 3" xfId="8408" xr:uid="{00000000-0005-0000-0000-0000DA2E0000}"/>
    <cellStyle name="Normal 10 2 2 2 6 3 2" xfId="33965" xr:uid="{00000000-0005-0000-0000-0000DB2E0000}"/>
    <cellStyle name="Normal 10 2 2 2 6 4" xfId="17055" xr:uid="{00000000-0005-0000-0000-0000DC2E0000}"/>
    <cellStyle name="Normal 10 2 2 2 6 4 2" xfId="42608" xr:uid="{00000000-0005-0000-0000-0000DD2E0000}"/>
    <cellStyle name="Normal 10 2 2 2 6 5" xfId="28545" xr:uid="{00000000-0005-0000-0000-0000DE2E0000}"/>
    <cellStyle name="Normal 10 2 2 2 7" xfId="4252" xr:uid="{00000000-0005-0000-0000-0000DF2E0000}"/>
    <cellStyle name="Normal 10 2 2 2 7 2" xfId="13090" xr:uid="{00000000-0005-0000-0000-0000E02E0000}"/>
    <cellStyle name="Normal 10 2 2 2 7 2 2" xfId="23341" xr:uid="{00000000-0005-0000-0000-0000E12E0000}"/>
    <cellStyle name="Normal 10 2 2 2 7 2 2 2" xfId="48894" xr:uid="{00000000-0005-0000-0000-0000E22E0000}"/>
    <cellStyle name="Normal 10 2 2 2 7 2 3" xfId="38645" xr:uid="{00000000-0005-0000-0000-0000E32E0000}"/>
    <cellStyle name="Normal 10 2 2 2 7 3" xfId="9511" xr:uid="{00000000-0005-0000-0000-0000E42E0000}"/>
    <cellStyle name="Normal 10 2 2 2 7 3 2" xfId="35068" xr:uid="{00000000-0005-0000-0000-0000E52E0000}"/>
    <cellStyle name="Normal 10 2 2 2 7 4" xfId="18334" xr:uid="{00000000-0005-0000-0000-0000E62E0000}"/>
    <cellStyle name="Normal 10 2 2 2 7 4 2" xfId="43887" xr:uid="{00000000-0005-0000-0000-0000E72E0000}"/>
    <cellStyle name="Normal 10 2 2 2 7 5" xfId="29824" xr:uid="{00000000-0005-0000-0000-0000E82E0000}"/>
    <cellStyle name="Normal 10 2 2 2 8" xfId="1524" xr:uid="{00000000-0005-0000-0000-0000E92E0000}"/>
    <cellStyle name="Normal 10 2 2 2 8 2" xfId="10901" xr:uid="{00000000-0005-0000-0000-0000EA2E0000}"/>
    <cellStyle name="Normal 10 2 2 2 8 2 2" xfId="36456" xr:uid="{00000000-0005-0000-0000-0000EB2E0000}"/>
    <cellStyle name="Normal 10 2 2 2 8 3" xfId="20905" xr:uid="{00000000-0005-0000-0000-0000EC2E0000}"/>
    <cellStyle name="Normal 10 2 2 2 8 3 2" xfId="46458" xr:uid="{00000000-0005-0000-0000-0000ED2E0000}"/>
    <cellStyle name="Normal 10 2 2 2 8 4" xfId="27388" xr:uid="{00000000-0005-0000-0000-0000EE2E0000}"/>
    <cellStyle name="Normal 10 2 2 2 9" xfId="5708" xr:uid="{00000000-0005-0000-0000-0000EF2E0000}"/>
    <cellStyle name="Normal 10 2 2 2 9 2" xfId="14535" xr:uid="{00000000-0005-0000-0000-0000F02E0000}"/>
    <cellStyle name="Normal 10 2 2 2 9 2 2" xfId="40090" xr:uid="{00000000-0005-0000-0000-0000F12E0000}"/>
    <cellStyle name="Normal 10 2 2 2 9 3" xfId="24786" xr:uid="{00000000-0005-0000-0000-0000F22E0000}"/>
    <cellStyle name="Normal 10 2 2 2 9 3 2" xfId="50339" xr:uid="{00000000-0005-0000-0000-0000F32E0000}"/>
    <cellStyle name="Normal 10 2 2 2 9 4" xfId="31269" xr:uid="{00000000-0005-0000-0000-0000F42E0000}"/>
    <cellStyle name="Normal 10 2 2 2_Degree data" xfId="3894" xr:uid="{00000000-0005-0000-0000-0000F52E0000}"/>
    <cellStyle name="Normal 10 2 2 3" xfId="271" xr:uid="{00000000-0005-0000-0000-0000F62E0000}"/>
    <cellStyle name="Normal 10 2 2 3 10" xfId="7109" xr:uid="{00000000-0005-0000-0000-0000F72E0000}"/>
    <cellStyle name="Normal 10 2 2 3 10 2" xfId="19722" xr:uid="{00000000-0005-0000-0000-0000F82E0000}"/>
    <cellStyle name="Normal 10 2 2 3 10 2 2" xfId="45275" xr:uid="{00000000-0005-0000-0000-0000F92E0000}"/>
    <cellStyle name="Normal 10 2 2 3 10 3" xfId="32666" xr:uid="{00000000-0005-0000-0000-0000FA2E0000}"/>
    <cellStyle name="Normal 10 2 2 3 11" xfId="15855" xr:uid="{00000000-0005-0000-0000-0000FB2E0000}"/>
    <cellStyle name="Normal 10 2 2 3 11 2" xfId="41408" xr:uid="{00000000-0005-0000-0000-0000FC2E0000}"/>
    <cellStyle name="Normal 10 2 2 3 12" xfId="26205" xr:uid="{00000000-0005-0000-0000-0000FD2E0000}"/>
    <cellStyle name="Normal 10 2 2 3 2" xfId="593" xr:uid="{00000000-0005-0000-0000-0000FE2E0000}"/>
    <cellStyle name="Normal 10 2 2 3 2 10" xfId="26522" xr:uid="{00000000-0005-0000-0000-0000FF2E0000}"/>
    <cellStyle name="Normal 10 2 2 3 2 2" xfId="703" xr:uid="{00000000-0005-0000-0000-0000002F0000}"/>
    <cellStyle name="Normal 10 2 2 3 2 2 2" xfId="3189" xr:uid="{00000000-0005-0000-0000-0000012F0000}"/>
    <cellStyle name="Normal 10 2 2 3 2 2 2 2" xfId="12332" xr:uid="{00000000-0005-0000-0000-0000022F0000}"/>
    <cellStyle name="Normal 10 2 2 3 2 2 2 2 2" xfId="22550" xr:uid="{00000000-0005-0000-0000-0000032F0000}"/>
    <cellStyle name="Normal 10 2 2 3 2 2 2 2 2 2" xfId="48103" xr:uid="{00000000-0005-0000-0000-0000042F0000}"/>
    <cellStyle name="Normal 10 2 2 3 2 2 2 2 3" xfId="37887" xr:uid="{00000000-0005-0000-0000-0000052F0000}"/>
    <cellStyle name="Normal 10 2 2 3 2 2 2 3" xfId="8754" xr:uid="{00000000-0005-0000-0000-0000062F0000}"/>
    <cellStyle name="Normal 10 2 2 3 2 2 2 3 2" xfId="34311" xr:uid="{00000000-0005-0000-0000-0000072F0000}"/>
    <cellStyle name="Normal 10 2 2 3 2 2 2 4" xfId="17543" xr:uid="{00000000-0005-0000-0000-0000082F0000}"/>
    <cellStyle name="Normal 10 2 2 3 2 2 2 4 2" xfId="43096" xr:uid="{00000000-0005-0000-0000-0000092F0000}"/>
    <cellStyle name="Normal 10 2 2 3 2 2 2 5" xfId="29033" xr:uid="{00000000-0005-0000-0000-00000A2F0000}"/>
    <cellStyle name="Normal 10 2 2 3 2 2 3" xfId="4518" xr:uid="{00000000-0005-0000-0000-00000B2F0000}"/>
    <cellStyle name="Normal 10 2 2 3 2 2 3 2" xfId="13356" xr:uid="{00000000-0005-0000-0000-00000C2F0000}"/>
    <cellStyle name="Normal 10 2 2 3 2 2 3 2 2" xfId="23607" xr:uid="{00000000-0005-0000-0000-00000D2F0000}"/>
    <cellStyle name="Normal 10 2 2 3 2 2 3 2 2 2" xfId="49160" xr:uid="{00000000-0005-0000-0000-00000E2F0000}"/>
    <cellStyle name="Normal 10 2 2 3 2 2 3 2 3" xfId="38911" xr:uid="{00000000-0005-0000-0000-00000F2F0000}"/>
    <cellStyle name="Normal 10 2 2 3 2 2 3 3" xfId="9777" xr:uid="{00000000-0005-0000-0000-0000102F0000}"/>
    <cellStyle name="Normal 10 2 2 3 2 2 3 3 2" xfId="35334" xr:uid="{00000000-0005-0000-0000-0000112F0000}"/>
    <cellStyle name="Normal 10 2 2 3 2 2 3 4" xfId="18600" xr:uid="{00000000-0005-0000-0000-0000122F0000}"/>
    <cellStyle name="Normal 10 2 2 3 2 2 3 4 2" xfId="44153" xr:uid="{00000000-0005-0000-0000-0000132F0000}"/>
    <cellStyle name="Normal 10 2 2 3 2 2 3 5" xfId="30090" xr:uid="{00000000-0005-0000-0000-0000142F0000}"/>
    <cellStyle name="Normal 10 2 2 3 2 2 4" xfId="2298" xr:uid="{00000000-0005-0000-0000-0000152F0000}"/>
    <cellStyle name="Normal 10 2 2 3 2 2 4 2" xfId="11663" xr:uid="{00000000-0005-0000-0000-0000162F0000}"/>
    <cellStyle name="Normal 10 2 2 3 2 2 4 2 2" xfId="37218" xr:uid="{00000000-0005-0000-0000-0000172F0000}"/>
    <cellStyle name="Normal 10 2 2 3 2 2 4 3" xfId="21667" xr:uid="{00000000-0005-0000-0000-0000182F0000}"/>
    <cellStyle name="Normal 10 2 2 3 2 2 4 3 2" xfId="47220" xr:uid="{00000000-0005-0000-0000-0000192F0000}"/>
    <cellStyle name="Normal 10 2 2 3 2 2 4 4" xfId="28150" xr:uid="{00000000-0005-0000-0000-00001A2F0000}"/>
    <cellStyle name="Normal 10 2 2 3 2 2 5" xfId="5974" xr:uid="{00000000-0005-0000-0000-00001B2F0000}"/>
    <cellStyle name="Normal 10 2 2 3 2 2 5 2" xfId="14801" xr:uid="{00000000-0005-0000-0000-00001C2F0000}"/>
    <cellStyle name="Normal 10 2 2 3 2 2 5 2 2" xfId="40356" xr:uid="{00000000-0005-0000-0000-00001D2F0000}"/>
    <cellStyle name="Normal 10 2 2 3 2 2 5 3" xfId="25052" xr:uid="{00000000-0005-0000-0000-00001E2F0000}"/>
    <cellStyle name="Normal 10 2 2 3 2 2 5 3 2" xfId="50605" xr:uid="{00000000-0005-0000-0000-00001F2F0000}"/>
    <cellStyle name="Normal 10 2 2 3 2 2 5 4" xfId="31535" xr:uid="{00000000-0005-0000-0000-0000202F0000}"/>
    <cellStyle name="Normal 10 2 2 3 2 2 6" xfId="7418" xr:uid="{00000000-0005-0000-0000-0000212F0000}"/>
    <cellStyle name="Normal 10 2 2 3 2 2 6 2" xfId="20149" xr:uid="{00000000-0005-0000-0000-0000222F0000}"/>
    <cellStyle name="Normal 10 2 2 3 2 2 6 2 2" xfId="45702" xr:uid="{00000000-0005-0000-0000-0000232F0000}"/>
    <cellStyle name="Normal 10 2 2 3 2 2 6 3" xfId="32975" xr:uid="{00000000-0005-0000-0000-0000242F0000}"/>
    <cellStyle name="Normal 10 2 2 3 2 2 7" xfId="16660" xr:uid="{00000000-0005-0000-0000-0000252F0000}"/>
    <cellStyle name="Normal 10 2 2 3 2 2 7 2" xfId="42213" xr:uid="{00000000-0005-0000-0000-0000262F0000}"/>
    <cellStyle name="Normal 10 2 2 3 2 2 8" xfId="26632" xr:uid="{00000000-0005-0000-0000-0000272F0000}"/>
    <cellStyle name="Normal 10 2 2 3 2 3" xfId="1365" xr:uid="{00000000-0005-0000-0000-0000282F0000}"/>
    <cellStyle name="Normal 10 2 2 3 2 3 2" xfId="3794" xr:uid="{00000000-0005-0000-0000-0000292F0000}"/>
    <cellStyle name="Normal 10 2 2 3 2 3 2 2" xfId="12930" xr:uid="{00000000-0005-0000-0000-00002A2F0000}"/>
    <cellStyle name="Normal 10 2 2 3 2 3 2 2 2" xfId="23149" xr:uid="{00000000-0005-0000-0000-00002B2F0000}"/>
    <cellStyle name="Normal 10 2 2 3 2 3 2 2 2 2" xfId="48702" xr:uid="{00000000-0005-0000-0000-00002C2F0000}"/>
    <cellStyle name="Normal 10 2 2 3 2 3 2 2 3" xfId="38485" xr:uid="{00000000-0005-0000-0000-00002D2F0000}"/>
    <cellStyle name="Normal 10 2 2 3 2 3 2 3" xfId="9351" xr:uid="{00000000-0005-0000-0000-00002E2F0000}"/>
    <cellStyle name="Normal 10 2 2 3 2 3 2 3 2" xfId="34908" xr:uid="{00000000-0005-0000-0000-00002F2F0000}"/>
    <cellStyle name="Normal 10 2 2 3 2 3 2 4" xfId="18142" xr:uid="{00000000-0005-0000-0000-0000302F0000}"/>
    <cellStyle name="Normal 10 2 2 3 2 3 2 4 2" xfId="43695" xr:uid="{00000000-0005-0000-0000-0000312F0000}"/>
    <cellStyle name="Normal 10 2 2 3 2 3 2 5" xfId="29632" xr:uid="{00000000-0005-0000-0000-0000322F0000}"/>
    <cellStyle name="Normal 10 2 2 3 2 3 3" xfId="4867" xr:uid="{00000000-0005-0000-0000-0000332F0000}"/>
    <cellStyle name="Normal 10 2 2 3 2 3 3 2" xfId="13704" xr:uid="{00000000-0005-0000-0000-0000342F0000}"/>
    <cellStyle name="Normal 10 2 2 3 2 3 3 2 2" xfId="23955" xr:uid="{00000000-0005-0000-0000-0000352F0000}"/>
    <cellStyle name="Normal 10 2 2 3 2 3 3 2 2 2" xfId="49508" xr:uid="{00000000-0005-0000-0000-0000362F0000}"/>
    <cellStyle name="Normal 10 2 2 3 2 3 3 2 3" xfId="39259" xr:uid="{00000000-0005-0000-0000-0000372F0000}"/>
    <cellStyle name="Normal 10 2 2 3 2 3 3 3" xfId="10125" xr:uid="{00000000-0005-0000-0000-0000382F0000}"/>
    <cellStyle name="Normal 10 2 2 3 2 3 3 3 2" xfId="35682" xr:uid="{00000000-0005-0000-0000-0000392F0000}"/>
    <cellStyle name="Normal 10 2 2 3 2 3 3 4" xfId="18948" xr:uid="{00000000-0005-0000-0000-00003A2F0000}"/>
    <cellStyle name="Normal 10 2 2 3 2 3 3 4 2" xfId="44501" xr:uid="{00000000-0005-0000-0000-00003B2F0000}"/>
    <cellStyle name="Normal 10 2 2 3 2 3 3 5" xfId="30438" xr:uid="{00000000-0005-0000-0000-00003C2F0000}"/>
    <cellStyle name="Normal 10 2 2 3 2 3 4" xfId="2188" xr:uid="{00000000-0005-0000-0000-00003D2F0000}"/>
    <cellStyle name="Normal 10 2 2 3 2 3 4 2" xfId="11553" xr:uid="{00000000-0005-0000-0000-00003E2F0000}"/>
    <cellStyle name="Normal 10 2 2 3 2 3 4 2 2" xfId="37108" xr:uid="{00000000-0005-0000-0000-00003F2F0000}"/>
    <cellStyle name="Normal 10 2 2 3 2 3 4 3" xfId="21557" xr:uid="{00000000-0005-0000-0000-0000402F0000}"/>
    <cellStyle name="Normal 10 2 2 3 2 3 4 3 2" xfId="47110" xr:uid="{00000000-0005-0000-0000-0000412F0000}"/>
    <cellStyle name="Normal 10 2 2 3 2 3 4 4" xfId="28040" xr:uid="{00000000-0005-0000-0000-0000422F0000}"/>
    <cellStyle name="Normal 10 2 2 3 2 3 5" xfId="6322" xr:uid="{00000000-0005-0000-0000-0000432F0000}"/>
    <cellStyle name="Normal 10 2 2 3 2 3 5 2" xfId="15149" xr:uid="{00000000-0005-0000-0000-0000442F0000}"/>
    <cellStyle name="Normal 10 2 2 3 2 3 5 2 2" xfId="40704" xr:uid="{00000000-0005-0000-0000-0000452F0000}"/>
    <cellStyle name="Normal 10 2 2 3 2 3 5 3" xfId="25400" xr:uid="{00000000-0005-0000-0000-0000462F0000}"/>
    <cellStyle name="Normal 10 2 2 3 2 3 5 3 2" xfId="50953" xr:uid="{00000000-0005-0000-0000-0000472F0000}"/>
    <cellStyle name="Normal 10 2 2 3 2 3 5 4" xfId="31883" xr:uid="{00000000-0005-0000-0000-0000482F0000}"/>
    <cellStyle name="Normal 10 2 2 3 2 3 6" xfId="7768" xr:uid="{00000000-0005-0000-0000-0000492F0000}"/>
    <cellStyle name="Normal 10 2 2 3 2 3 6 2" xfId="20748" xr:uid="{00000000-0005-0000-0000-00004A2F0000}"/>
    <cellStyle name="Normal 10 2 2 3 2 3 6 2 2" xfId="46301" xr:uid="{00000000-0005-0000-0000-00004B2F0000}"/>
    <cellStyle name="Normal 10 2 2 3 2 3 6 3" xfId="33325" xr:uid="{00000000-0005-0000-0000-00004C2F0000}"/>
    <cellStyle name="Normal 10 2 2 3 2 3 7" xfId="16550" xr:uid="{00000000-0005-0000-0000-00004D2F0000}"/>
    <cellStyle name="Normal 10 2 2 3 2 3 7 2" xfId="42103" xr:uid="{00000000-0005-0000-0000-00004E2F0000}"/>
    <cellStyle name="Normal 10 2 2 3 2 3 8" xfId="27231" xr:uid="{00000000-0005-0000-0000-00004F2F0000}"/>
    <cellStyle name="Normal 10 2 2 3 2 4" xfId="3079" xr:uid="{00000000-0005-0000-0000-0000502F0000}"/>
    <cellStyle name="Normal 10 2 2 3 2 4 2" xfId="5457" xr:uid="{00000000-0005-0000-0000-0000512F0000}"/>
    <cellStyle name="Normal 10 2 2 3 2 4 2 2" xfId="14294" xr:uid="{00000000-0005-0000-0000-0000522F0000}"/>
    <cellStyle name="Normal 10 2 2 3 2 4 2 2 2" xfId="24545" xr:uid="{00000000-0005-0000-0000-0000532F0000}"/>
    <cellStyle name="Normal 10 2 2 3 2 4 2 2 2 2" xfId="50098" xr:uid="{00000000-0005-0000-0000-0000542F0000}"/>
    <cellStyle name="Normal 10 2 2 3 2 4 2 2 3" xfId="39849" xr:uid="{00000000-0005-0000-0000-0000552F0000}"/>
    <cellStyle name="Normal 10 2 2 3 2 4 2 3" xfId="10715" xr:uid="{00000000-0005-0000-0000-0000562F0000}"/>
    <cellStyle name="Normal 10 2 2 3 2 4 2 3 2" xfId="36272" xr:uid="{00000000-0005-0000-0000-0000572F0000}"/>
    <cellStyle name="Normal 10 2 2 3 2 4 2 4" xfId="19538" xr:uid="{00000000-0005-0000-0000-0000582F0000}"/>
    <cellStyle name="Normal 10 2 2 3 2 4 2 4 2" xfId="45091" xr:uid="{00000000-0005-0000-0000-0000592F0000}"/>
    <cellStyle name="Normal 10 2 2 3 2 4 2 5" xfId="31028" xr:uid="{00000000-0005-0000-0000-00005A2F0000}"/>
    <cellStyle name="Normal 10 2 2 3 2 4 3" xfId="6912" xr:uid="{00000000-0005-0000-0000-00005B2F0000}"/>
    <cellStyle name="Normal 10 2 2 3 2 4 3 2" xfId="15739" xr:uid="{00000000-0005-0000-0000-00005C2F0000}"/>
    <cellStyle name="Normal 10 2 2 3 2 4 3 2 2" xfId="41294" xr:uid="{00000000-0005-0000-0000-00005D2F0000}"/>
    <cellStyle name="Normal 10 2 2 3 2 4 3 3" xfId="25990" xr:uid="{00000000-0005-0000-0000-00005E2F0000}"/>
    <cellStyle name="Normal 10 2 2 3 2 4 3 3 2" xfId="51543" xr:uid="{00000000-0005-0000-0000-00005F2F0000}"/>
    <cellStyle name="Normal 10 2 2 3 2 4 3 4" xfId="32473" xr:uid="{00000000-0005-0000-0000-0000602F0000}"/>
    <cellStyle name="Normal 10 2 2 3 2 4 4" xfId="8358" xr:uid="{00000000-0005-0000-0000-0000612F0000}"/>
    <cellStyle name="Normal 10 2 2 3 2 4 4 2" xfId="22440" xr:uid="{00000000-0005-0000-0000-0000622F0000}"/>
    <cellStyle name="Normal 10 2 2 3 2 4 4 2 2" xfId="47993" xr:uid="{00000000-0005-0000-0000-0000632F0000}"/>
    <cellStyle name="Normal 10 2 2 3 2 4 4 3" xfId="33915" xr:uid="{00000000-0005-0000-0000-0000642F0000}"/>
    <cellStyle name="Normal 10 2 2 3 2 4 5" xfId="17433" xr:uid="{00000000-0005-0000-0000-0000652F0000}"/>
    <cellStyle name="Normal 10 2 2 3 2 4 5 2" xfId="42986" xr:uid="{00000000-0005-0000-0000-0000662F0000}"/>
    <cellStyle name="Normal 10 2 2 3 2 4 6" xfId="28923" xr:uid="{00000000-0005-0000-0000-0000672F0000}"/>
    <cellStyle name="Normal 10 2 2 3 2 5" xfId="4413" xr:uid="{00000000-0005-0000-0000-0000682F0000}"/>
    <cellStyle name="Normal 10 2 2 3 2 5 2" xfId="13251" xr:uid="{00000000-0005-0000-0000-0000692F0000}"/>
    <cellStyle name="Normal 10 2 2 3 2 5 2 2" xfId="23502" xr:uid="{00000000-0005-0000-0000-00006A2F0000}"/>
    <cellStyle name="Normal 10 2 2 3 2 5 2 2 2" xfId="49055" xr:uid="{00000000-0005-0000-0000-00006B2F0000}"/>
    <cellStyle name="Normal 10 2 2 3 2 5 2 3" xfId="38806" xr:uid="{00000000-0005-0000-0000-00006C2F0000}"/>
    <cellStyle name="Normal 10 2 2 3 2 5 3" xfId="9672" xr:uid="{00000000-0005-0000-0000-00006D2F0000}"/>
    <cellStyle name="Normal 10 2 2 3 2 5 3 2" xfId="35229" xr:uid="{00000000-0005-0000-0000-00006E2F0000}"/>
    <cellStyle name="Normal 10 2 2 3 2 5 4" xfId="18495" xr:uid="{00000000-0005-0000-0000-00006F2F0000}"/>
    <cellStyle name="Normal 10 2 2 3 2 5 4 2" xfId="44048" xr:uid="{00000000-0005-0000-0000-0000702F0000}"/>
    <cellStyle name="Normal 10 2 2 3 2 5 5" xfId="29985" xr:uid="{00000000-0005-0000-0000-0000712F0000}"/>
    <cellStyle name="Normal 10 2 2 3 2 6" xfId="1685" xr:uid="{00000000-0005-0000-0000-0000722F0000}"/>
    <cellStyle name="Normal 10 2 2 3 2 6 2" xfId="11062" xr:uid="{00000000-0005-0000-0000-0000732F0000}"/>
    <cellStyle name="Normal 10 2 2 3 2 6 2 2" xfId="36617" xr:uid="{00000000-0005-0000-0000-0000742F0000}"/>
    <cellStyle name="Normal 10 2 2 3 2 6 3" xfId="21066" xr:uid="{00000000-0005-0000-0000-0000752F0000}"/>
    <cellStyle name="Normal 10 2 2 3 2 6 3 2" xfId="46619" xr:uid="{00000000-0005-0000-0000-0000762F0000}"/>
    <cellStyle name="Normal 10 2 2 3 2 6 4" xfId="27549" xr:uid="{00000000-0005-0000-0000-0000772F0000}"/>
    <cellStyle name="Normal 10 2 2 3 2 7" xfId="5869" xr:uid="{00000000-0005-0000-0000-0000782F0000}"/>
    <cellStyle name="Normal 10 2 2 3 2 7 2" xfId="14696" xr:uid="{00000000-0005-0000-0000-0000792F0000}"/>
    <cellStyle name="Normal 10 2 2 3 2 7 2 2" xfId="40251" xr:uid="{00000000-0005-0000-0000-00007A2F0000}"/>
    <cellStyle name="Normal 10 2 2 3 2 7 3" xfId="24947" xr:uid="{00000000-0005-0000-0000-00007B2F0000}"/>
    <cellStyle name="Normal 10 2 2 3 2 7 3 2" xfId="50500" xr:uid="{00000000-0005-0000-0000-00007C2F0000}"/>
    <cellStyle name="Normal 10 2 2 3 2 7 4" xfId="31430" xr:uid="{00000000-0005-0000-0000-00007D2F0000}"/>
    <cellStyle name="Normal 10 2 2 3 2 8" xfId="7313" xr:uid="{00000000-0005-0000-0000-00007E2F0000}"/>
    <cellStyle name="Normal 10 2 2 3 2 8 2" xfId="20039" xr:uid="{00000000-0005-0000-0000-00007F2F0000}"/>
    <cellStyle name="Normal 10 2 2 3 2 8 2 2" xfId="45592" xr:uid="{00000000-0005-0000-0000-0000802F0000}"/>
    <cellStyle name="Normal 10 2 2 3 2 8 3" xfId="32870" xr:uid="{00000000-0005-0000-0000-0000812F0000}"/>
    <cellStyle name="Normal 10 2 2 3 2 9" xfId="16059" xr:uid="{00000000-0005-0000-0000-0000822F0000}"/>
    <cellStyle name="Normal 10 2 2 3 2 9 2" xfId="41612" xr:uid="{00000000-0005-0000-0000-0000832F0000}"/>
    <cellStyle name="Normal 10 2 2 3 2_Degree data" xfId="2605" xr:uid="{00000000-0005-0000-0000-0000842F0000}"/>
    <cellStyle name="Normal 10 2 2 3 3" xfId="389" xr:uid="{00000000-0005-0000-0000-0000852F0000}"/>
    <cellStyle name="Normal 10 2 2 3 3 2" xfId="2875" xr:uid="{00000000-0005-0000-0000-0000862F0000}"/>
    <cellStyle name="Normal 10 2 2 3 3 2 2" xfId="12163" xr:uid="{00000000-0005-0000-0000-0000872F0000}"/>
    <cellStyle name="Normal 10 2 2 3 3 2 2 2" xfId="22236" xr:uid="{00000000-0005-0000-0000-0000882F0000}"/>
    <cellStyle name="Normal 10 2 2 3 3 2 2 2 2" xfId="47789" xr:uid="{00000000-0005-0000-0000-0000892F0000}"/>
    <cellStyle name="Normal 10 2 2 3 3 2 2 3" xfId="37718" xr:uid="{00000000-0005-0000-0000-00008A2F0000}"/>
    <cellStyle name="Normal 10 2 2 3 3 2 3" xfId="8455" xr:uid="{00000000-0005-0000-0000-00008B2F0000}"/>
    <cellStyle name="Normal 10 2 2 3 3 2 3 2" xfId="34012" xr:uid="{00000000-0005-0000-0000-00008C2F0000}"/>
    <cellStyle name="Normal 10 2 2 3 3 2 4" xfId="17229" xr:uid="{00000000-0005-0000-0000-00008D2F0000}"/>
    <cellStyle name="Normal 10 2 2 3 3 2 4 2" xfId="42782" xr:uid="{00000000-0005-0000-0000-00008E2F0000}"/>
    <cellStyle name="Normal 10 2 2 3 3 2 5" xfId="28719" xr:uid="{00000000-0005-0000-0000-00008F2F0000}"/>
    <cellStyle name="Normal 10 2 2 3 3 3" xfId="4517" xr:uid="{00000000-0005-0000-0000-0000902F0000}"/>
    <cellStyle name="Normal 10 2 2 3 3 3 2" xfId="13355" xr:uid="{00000000-0005-0000-0000-0000912F0000}"/>
    <cellStyle name="Normal 10 2 2 3 3 3 2 2" xfId="23606" xr:uid="{00000000-0005-0000-0000-0000922F0000}"/>
    <cellStyle name="Normal 10 2 2 3 3 3 2 2 2" xfId="49159" xr:uid="{00000000-0005-0000-0000-0000932F0000}"/>
    <cellStyle name="Normal 10 2 2 3 3 3 2 3" xfId="38910" xr:uid="{00000000-0005-0000-0000-0000942F0000}"/>
    <cellStyle name="Normal 10 2 2 3 3 3 3" xfId="9776" xr:uid="{00000000-0005-0000-0000-0000952F0000}"/>
    <cellStyle name="Normal 10 2 2 3 3 3 3 2" xfId="35333" xr:uid="{00000000-0005-0000-0000-0000962F0000}"/>
    <cellStyle name="Normal 10 2 2 3 3 3 4" xfId="18599" xr:uid="{00000000-0005-0000-0000-0000972F0000}"/>
    <cellStyle name="Normal 10 2 2 3 3 3 4 2" xfId="44152" xr:uid="{00000000-0005-0000-0000-0000982F0000}"/>
    <cellStyle name="Normal 10 2 2 3 3 3 5" xfId="30089" xr:uid="{00000000-0005-0000-0000-0000992F0000}"/>
    <cellStyle name="Normal 10 2 2 3 3 4" xfId="1984" xr:uid="{00000000-0005-0000-0000-00009A2F0000}"/>
    <cellStyle name="Normal 10 2 2 3 3 4 2" xfId="11349" xr:uid="{00000000-0005-0000-0000-00009B2F0000}"/>
    <cellStyle name="Normal 10 2 2 3 3 4 2 2" xfId="36904" xr:uid="{00000000-0005-0000-0000-00009C2F0000}"/>
    <cellStyle name="Normal 10 2 2 3 3 4 3" xfId="21353" xr:uid="{00000000-0005-0000-0000-00009D2F0000}"/>
    <cellStyle name="Normal 10 2 2 3 3 4 3 2" xfId="46906" xr:uid="{00000000-0005-0000-0000-00009E2F0000}"/>
    <cellStyle name="Normal 10 2 2 3 3 4 4" xfId="27836" xr:uid="{00000000-0005-0000-0000-00009F2F0000}"/>
    <cellStyle name="Normal 10 2 2 3 3 5" xfId="5973" xr:uid="{00000000-0005-0000-0000-0000A02F0000}"/>
    <cellStyle name="Normal 10 2 2 3 3 5 2" xfId="14800" xr:uid="{00000000-0005-0000-0000-0000A12F0000}"/>
    <cellStyle name="Normal 10 2 2 3 3 5 2 2" xfId="40355" xr:uid="{00000000-0005-0000-0000-0000A22F0000}"/>
    <cellStyle name="Normal 10 2 2 3 3 5 3" xfId="25051" xr:uid="{00000000-0005-0000-0000-0000A32F0000}"/>
    <cellStyle name="Normal 10 2 2 3 3 5 3 2" xfId="50604" xr:uid="{00000000-0005-0000-0000-0000A42F0000}"/>
    <cellStyle name="Normal 10 2 2 3 3 5 4" xfId="31534" xr:uid="{00000000-0005-0000-0000-0000A52F0000}"/>
    <cellStyle name="Normal 10 2 2 3 3 6" xfId="7417" xr:uid="{00000000-0005-0000-0000-0000A62F0000}"/>
    <cellStyle name="Normal 10 2 2 3 3 6 2" xfId="19835" xr:uid="{00000000-0005-0000-0000-0000A72F0000}"/>
    <cellStyle name="Normal 10 2 2 3 3 6 2 2" xfId="45388" xr:uid="{00000000-0005-0000-0000-0000A82F0000}"/>
    <cellStyle name="Normal 10 2 2 3 3 6 3" xfId="32974" xr:uid="{00000000-0005-0000-0000-0000A92F0000}"/>
    <cellStyle name="Normal 10 2 2 3 3 7" xfId="16346" xr:uid="{00000000-0005-0000-0000-0000AA2F0000}"/>
    <cellStyle name="Normal 10 2 2 3 3 7 2" xfId="41899" xr:uid="{00000000-0005-0000-0000-0000AB2F0000}"/>
    <cellStyle name="Normal 10 2 2 3 3 8" xfId="26318" xr:uid="{00000000-0005-0000-0000-0000AC2F0000}"/>
    <cellStyle name="Normal 10 2 2 3 4" xfId="702" xr:uid="{00000000-0005-0000-0000-0000AD2F0000}"/>
    <cellStyle name="Normal 10 2 2 3 4 2" xfId="3188" xr:uid="{00000000-0005-0000-0000-0000AE2F0000}"/>
    <cellStyle name="Normal 10 2 2 3 4 2 2" xfId="12331" xr:uid="{00000000-0005-0000-0000-0000AF2F0000}"/>
    <cellStyle name="Normal 10 2 2 3 4 2 2 2" xfId="22549" xr:uid="{00000000-0005-0000-0000-0000B02F0000}"/>
    <cellStyle name="Normal 10 2 2 3 4 2 2 2 2" xfId="48102" xr:uid="{00000000-0005-0000-0000-0000B12F0000}"/>
    <cellStyle name="Normal 10 2 2 3 4 2 2 3" xfId="37886" xr:uid="{00000000-0005-0000-0000-0000B22F0000}"/>
    <cellStyle name="Normal 10 2 2 3 4 2 3" xfId="8753" xr:uid="{00000000-0005-0000-0000-0000B32F0000}"/>
    <cellStyle name="Normal 10 2 2 3 4 2 3 2" xfId="34310" xr:uid="{00000000-0005-0000-0000-0000B42F0000}"/>
    <cellStyle name="Normal 10 2 2 3 4 2 4" xfId="17542" xr:uid="{00000000-0005-0000-0000-0000B52F0000}"/>
    <cellStyle name="Normal 10 2 2 3 4 2 4 2" xfId="43095" xr:uid="{00000000-0005-0000-0000-0000B62F0000}"/>
    <cellStyle name="Normal 10 2 2 3 4 2 5" xfId="29032" xr:uid="{00000000-0005-0000-0000-0000B72F0000}"/>
    <cellStyle name="Normal 10 2 2 3 4 3" xfId="4866" xr:uid="{00000000-0005-0000-0000-0000B82F0000}"/>
    <cellStyle name="Normal 10 2 2 3 4 3 2" xfId="13703" xr:uid="{00000000-0005-0000-0000-0000B92F0000}"/>
    <cellStyle name="Normal 10 2 2 3 4 3 2 2" xfId="23954" xr:uid="{00000000-0005-0000-0000-0000BA2F0000}"/>
    <cellStyle name="Normal 10 2 2 3 4 3 2 2 2" xfId="49507" xr:uid="{00000000-0005-0000-0000-0000BB2F0000}"/>
    <cellStyle name="Normal 10 2 2 3 4 3 2 3" xfId="39258" xr:uid="{00000000-0005-0000-0000-0000BC2F0000}"/>
    <cellStyle name="Normal 10 2 2 3 4 3 3" xfId="10124" xr:uid="{00000000-0005-0000-0000-0000BD2F0000}"/>
    <cellStyle name="Normal 10 2 2 3 4 3 3 2" xfId="35681" xr:uid="{00000000-0005-0000-0000-0000BE2F0000}"/>
    <cellStyle name="Normal 10 2 2 3 4 3 4" xfId="18947" xr:uid="{00000000-0005-0000-0000-0000BF2F0000}"/>
    <cellStyle name="Normal 10 2 2 3 4 3 4 2" xfId="44500" xr:uid="{00000000-0005-0000-0000-0000C02F0000}"/>
    <cellStyle name="Normal 10 2 2 3 4 3 5" xfId="30437" xr:uid="{00000000-0005-0000-0000-0000C12F0000}"/>
    <cellStyle name="Normal 10 2 2 3 4 4" xfId="2297" xr:uid="{00000000-0005-0000-0000-0000C22F0000}"/>
    <cellStyle name="Normal 10 2 2 3 4 4 2" xfId="11662" xr:uid="{00000000-0005-0000-0000-0000C32F0000}"/>
    <cellStyle name="Normal 10 2 2 3 4 4 2 2" xfId="37217" xr:uid="{00000000-0005-0000-0000-0000C42F0000}"/>
    <cellStyle name="Normal 10 2 2 3 4 4 3" xfId="21666" xr:uid="{00000000-0005-0000-0000-0000C52F0000}"/>
    <cellStyle name="Normal 10 2 2 3 4 4 3 2" xfId="47219" xr:uid="{00000000-0005-0000-0000-0000C62F0000}"/>
    <cellStyle name="Normal 10 2 2 3 4 4 4" xfId="28149" xr:uid="{00000000-0005-0000-0000-0000C72F0000}"/>
    <cellStyle name="Normal 10 2 2 3 4 5" xfId="6321" xr:uid="{00000000-0005-0000-0000-0000C82F0000}"/>
    <cellStyle name="Normal 10 2 2 3 4 5 2" xfId="15148" xr:uid="{00000000-0005-0000-0000-0000C92F0000}"/>
    <cellStyle name="Normal 10 2 2 3 4 5 2 2" xfId="40703" xr:uid="{00000000-0005-0000-0000-0000CA2F0000}"/>
    <cellStyle name="Normal 10 2 2 3 4 5 3" xfId="25399" xr:uid="{00000000-0005-0000-0000-0000CB2F0000}"/>
    <cellStyle name="Normal 10 2 2 3 4 5 3 2" xfId="50952" xr:uid="{00000000-0005-0000-0000-0000CC2F0000}"/>
    <cellStyle name="Normal 10 2 2 3 4 5 4" xfId="31882" xr:uid="{00000000-0005-0000-0000-0000CD2F0000}"/>
    <cellStyle name="Normal 10 2 2 3 4 6" xfId="7767" xr:uid="{00000000-0005-0000-0000-0000CE2F0000}"/>
    <cellStyle name="Normal 10 2 2 3 4 6 2" xfId="20148" xr:uid="{00000000-0005-0000-0000-0000CF2F0000}"/>
    <cellStyle name="Normal 10 2 2 3 4 6 2 2" xfId="45701" xr:uid="{00000000-0005-0000-0000-0000D02F0000}"/>
    <cellStyle name="Normal 10 2 2 3 4 6 3" xfId="33324" xr:uid="{00000000-0005-0000-0000-0000D12F0000}"/>
    <cellStyle name="Normal 10 2 2 3 4 7" xfId="16659" xr:uid="{00000000-0005-0000-0000-0000D22F0000}"/>
    <cellStyle name="Normal 10 2 2 3 4 7 2" xfId="42212" xr:uid="{00000000-0005-0000-0000-0000D32F0000}"/>
    <cellStyle name="Normal 10 2 2 3 4 8" xfId="26631" xr:uid="{00000000-0005-0000-0000-0000D42F0000}"/>
    <cellStyle name="Normal 10 2 2 3 5" xfId="1161" xr:uid="{00000000-0005-0000-0000-0000D52F0000}"/>
    <cellStyle name="Normal 10 2 2 3 5 2" xfId="3590" xr:uid="{00000000-0005-0000-0000-0000D62F0000}"/>
    <cellStyle name="Normal 10 2 2 3 5 2 2" xfId="12726" xr:uid="{00000000-0005-0000-0000-0000D72F0000}"/>
    <cellStyle name="Normal 10 2 2 3 5 2 2 2" xfId="22945" xr:uid="{00000000-0005-0000-0000-0000D82F0000}"/>
    <cellStyle name="Normal 10 2 2 3 5 2 2 2 2" xfId="48498" xr:uid="{00000000-0005-0000-0000-0000D92F0000}"/>
    <cellStyle name="Normal 10 2 2 3 5 2 2 3" xfId="38281" xr:uid="{00000000-0005-0000-0000-0000DA2F0000}"/>
    <cellStyle name="Normal 10 2 2 3 5 2 3" xfId="9147" xr:uid="{00000000-0005-0000-0000-0000DB2F0000}"/>
    <cellStyle name="Normal 10 2 2 3 5 2 3 2" xfId="34704" xr:uid="{00000000-0005-0000-0000-0000DC2F0000}"/>
    <cellStyle name="Normal 10 2 2 3 5 2 4" xfId="17938" xr:uid="{00000000-0005-0000-0000-0000DD2F0000}"/>
    <cellStyle name="Normal 10 2 2 3 5 2 4 2" xfId="43491" xr:uid="{00000000-0005-0000-0000-0000DE2F0000}"/>
    <cellStyle name="Normal 10 2 2 3 5 2 5" xfId="29428" xr:uid="{00000000-0005-0000-0000-0000DF2F0000}"/>
    <cellStyle name="Normal 10 2 2 3 5 3" xfId="5253" xr:uid="{00000000-0005-0000-0000-0000E02F0000}"/>
    <cellStyle name="Normal 10 2 2 3 5 3 2" xfId="14090" xr:uid="{00000000-0005-0000-0000-0000E12F0000}"/>
    <cellStyle name="Normal 10 2 2 3 5 3 2 2" xfId="24341" xr:uid="{00000000-0005-0000-0000-0000E22F0000}"/>
    <cellStyle name="Normal 10 2 2 3 5 3 2 2 2" xfId="49894" xr:uid="{00000000-0005-0000-0000-0000E32F0000}"/>
    <cellStyle name="Normal 10 2 2 3 5 3 2 3" xfId="39645" xr:uid="{00000000-0005-0000-0000-0000E42F0000}"/>
    <cellStyle name="Normal 10 2 2 3 5 3 3" xfId="10511" xr:uid="{00000000-0005-0000-0000-0000E52F0000}"/>
    <cellStyle name="Normal 10 2 2 3 5 3 3 2" xfId="36068" xr:uid="{00000000-0005-0000-0000-0000E62F0000}"/>
    <cellStyle name="Normal 10 2 2 3 5 3 4" xfId="19334" xr:uid="{00000000-0005-0000-0000-0000E72F0000}"/>
    <cellStyle name="Normal 10 2 2 3 5 3 4 2" xfId="44887" xr:uid="{00000000-0005-0000-0000-0000E82F0000}"/>
    <cellStyle name="Normal 10 2 2 3 5 3 5" xfId="30824" xr:uid="{00000000-0005-0000-0000-0000E92F0000}"/>
    <cellStyle name="Normal 10 2 2 3 5 4" xfId="1868" xr:uid="{00000000-0005-0000-0000-0000EA2F0000}"/>
    <cellStyle name="Normal 10 2 2 3 5 4 2" xfId="11236" xr:uid="{00000000-0005-0000-0000-0000EB2F0000}"/>
    <cellStyle name="Normal 10 2 2 3 5 4 2 2" xfId="36791" xr:uid="{00000000-0005-0000-0000-0000EC2F0000}"/>
    <cellStyle name="Normal 10 2 2 3 5 4 3" xfId="21240" xr:uid="{00000000-0005-0000-0000-0000ED2F0000}"/>
    <cellStyle name="Normal 10 2 2 3 5 4 3 2" xfId="46793" xr:uid="{00000000-0005-0000-0000-0000EE2F0000}"/>
    <cellStyle name="Normal 10 2 2 3 5 4 4" xfId="27723" xr:uid="{00000000-0005-0000-0000-0000EF2F0000}"/>
    <cellStyle name="Normal 10 2 2 3 5 5" xfId="6708" xr:uid="{00000000-0005-0000-0000-0000F02F0000}"/>
    <cellStyle name="Normal 10 2 2 3 5 5 2" xfId="15535" xr:uid="{00000000-0005-0000-0000-0000F12F0000}"/>
    <cellStyle name="Normal 10 2 2 3 5 5 2 2" xfId="41090" xr:uid="{00000000-0005-0000-0000-0000F22F0000}"/>
    <cellStyle name="Normal 10 2 2 3 5 5 3" xfId="25786" xr:uid="{00000000-0005-0000-0000-0000F32F0000}"/>
    <cellStyle name="Normal 10 2 2 3 5 5 3 2" xfId="51339" xr:uid="{00000000-0005-0000-0000-0000F42F0000}"/>
    <cellStyle name="Normal 10 2 2 3 5 5 4" xfId="32269" xr:uid="{00000000-0005-0000-0000-0000F52F0000}"/>
    <cellStyle name="Normal 10 2 2 3 5 6" xfId="8154" xr:uid="{00000000-0005-0000-0000-0000F62F0000}"/>
    <cellStyle name="Normal 10 2 2 3 5 6 2" xfId="20544" xr:uid="{00000000-0005-0000-0000-0000F72F0000}"/>
    <cellStyle name="Normal 10 2 2 3 5 6 2 2" xfId="46097" xr:uid="{00000000-0005-0000-0000-0000F82F0000}"/>
    <cellStyle name="Normal 10 2 2 3 5 6 3" xfId="33711" xr:uid="{00000000-0005-0000-0000-0000F92F0000}"/>
    <cellStyle name="Normal 10 2 2 3 5 7" xfId="16233" xr:uid="{00000000-0005-0000-0000-0000FA2F0000}"/>
    <cellStyle name="Normal 10 2 2 3 5 7 2" xfId="41786" xr:uid="{00000000-0005-0000-0000-0000FB2F0000}"/>
    <cellStyle name="Normal 10 2 2 3 5 8" xfId="27027" xr:uid="{00000000-0005-0000-0000-0000FC2F0000}"/>
    <cellStyle name="Normal 10 2 2 3 6" xfId="2762" xr:uid="{00000000-0005-0000-0000-0000FD2F0000}"/>
    <cellStyle name="Normal 10 2 2 3 6 2" xfId="12079" xr:uid="{00000000-0005-0000-0000-0000FE2F0000}"/>
    <cellStyle name="Normal 10 2 2 3 6 2 2" xfId="22123" xr:uid="{00000000-0005-0000-0000-0000FF2F0000}"/>
    <cellStyle name="Normal 10 2 2 3 6 2 2 2" xfId="47676" xr:uid="{00000000-0005-0000-0000-000000300000}"/>
    <cellStyle name="Normal 10 2 2 3 6 2 3" xfId="37634" xr:uid="{00000000-0005-0000-0000-000001300000}"/>
    <cellStyle name="Normal 10 2 2 3 6 3" xfId="8477" xr:uid="{00000000-0005-0000-0000-000002300000}"/>
    <cellStyle name="Normal 10 2 2 3 6 3 2" xfId="34034" xr:uid="{00000000-0005-0000-0000-000003300000}"/>
    <cellStyle name="Normal 10 2 2 3 6 4" xfId="17116" xr:uid="{00000000-0005-0000-0000-000004300000}"/>
    <cellStyle name="Normal 10 2 2 3 6 4 2" xfId="42669" xr:uid="{00000000-0005-0000-0000-000005300000}"/>
    <cellStyle name="Normal 10 2 2 3 6 5" xfId="28606" xr:uid="{00000000-0005-0000-0000-000006300000}"/>
    <cellStyle name="Normal 10 2 2 3 7" xfId="4209" xr:uid="{00000000-0005-0000-0000-000007300000}"/>
    <cellStyle name="Normal 10 2 2 3 7 2" xfId="13047" xr:uid="{00000000-0005-0000-0000-000008300000}"/>
    <cellStyle name="Normal 10 2 2 3 7 2 2" xfId="23298" xr:uid="{00000000-0005-0000-0000-000009300000}"/>
    <cellStyle name="Normal 10 2 2 3 7 2 2 2" xfId="48851" xr:uid="{00000000-0005-0000-0000-00000A300000}"/>
    <cellStyle name="Normal 10 2 2 3 7 2 3" xfId="38602" xr:uid="{00000000-0005-0000-0000-00000B300000}"/>
    <cellStyle name="Normal 10 2 2 3 7 3" xfId="9468" xr:uid="{00000000-0005-0000-0000-00000C300000}"/>
    <cellStyle name="Normal 10 2 2 3 7 3 2" xfId="35025" xr:uid="{00000000-0005-0000-0000-00000D300000}"/>
    <cellStyle name="Normal 10 2 2 3 7 4" xfId="18291" xr:uid="{00000000-0005-0000-0000-00000E300000}"/>
    <cellStyle name="Normal 10 2 2 3 7 4 2" xfId="43844" xr:uid="{00000000-0005-0000-0000-00000F300000}"/>
    <cellStyle name="Normal 10 2 2 3 7 5" xfId="29781" xr:uid="{00000000-0005-0000-0000-000010300000}"/>
    <cellStyle name="Normal 10 2 2 3 8" xfId="1481" xr:uid="{00000000-0005-0000-0000-000011300000}"/>
    <cellStyle name="Normal 10 2 2 3 8 2" xfId="10858" xr:uid="{00000000-0005-0000-0000-000012300000}"/>
    <cellStyle name="Normal 10 2 2 3 8 2 2" xfId="36413" xr:uid="{00000000-0005-0000-0000-000013300000}"/>
    <cellStyle name="Normal 10 2 2 3 8 3" xfId="20862" xr:uid="{00000000-0005-0000-0000-000014300000}"/>
    <cellStyle name="Normal 10 2 2 3 8 3 2" xfId="46415" xr:uid="{00000000-0005-0000-0000-000015300000}"/>
    <cellStyle name="Normal 10 2 2 3 8 4" xfId="27345" xr:uid="{00000000-0005-0000-0000-000016300000}"/>
    <cellStyle name="Normal 10 2 2 3 9" xfId="5665" xr:uid="{00000000-0005-0000-0000-000017300000}"/>
    <cellStyle name="Normal 10 2 2 3 9 2" xfId="14492" xr:uid="{00000000-0005-0000-0000-000018300000}"/>
    <cellStyle name="Normal 10 2 2 3 9 2 2" xfId="40047" xr:uid="{00000000-0005-0000-0000-000019300000}"/>
    <cellStyle name="Normal 10 2 2 3 9 3" xfId="24743" xr:uid="{00000000-0005-0000-0000-00001A300000}"/>
    <cellStyle name="Normal 10 2 2 3 9 3 2" xfId="50296" xr:uid="{00000000-0005-0000-0000-00001B300000}"/>
    <cellStyle name="Normal 10 2 2 3 9 4" xfId="31226" xr:uid="{00000000-0005-0000-0000-00001C300000}"/>
    <cellStyle name="Normal 10 2 2 3_Degree data" xfId="3848" xr:uid="{00000000-0005-0000-0000-00001D300000}"/>
    <cellStyle name="Normal 10 2 2 4" xfId="489" xr:uid="{00000000-0005-0000-0000-00001E300000}"/>
    <cellStyle name="Normal 10 2 2 4 10" xfId="26418" xr:uid="{00000000-0005-0000-0000-00001F300000}"/>
    <cellStyle name="Normal 10 2 2 4 2" xfId="704" xr:uid="{00000000-0005-0000-0000-000020300000}"/>
    <cellStyle name="Normal 10 2 2 4 2 2" xfId="3190" xr:uid="{00000000-0005-0000-0000-000021300000}"/>
    <cellStyle name="Normal 10 2 2 4 2 2 2" xfId="12333" xr:uid="{00000000-0005-0000-0000-000022300000}"/>
    <cellStyle name="Normal 10 2 2 4 2 2 2 2" xfId="22551" xr:uid="{00000000-0005-0000-0000-000023300000}"/>
    <cellStyle name="Normal 10 2 2 4 2 2 2 2 2" xfId="48104" xr:uid="{00000000-0005-0000-0000-000024300000}"/>
    <cellStyle name="Normal 10 2 2 4 2 2 2 3" xfId="37888" xr:uid="{00000000-0005-0000-0000-000025300000}"/>
    <cellStyle name="Normal 10 2 2 4 2 2 3" xfId="8755" xr:uid="{00000000-0005-0000-0000-000026300000}"/>
    <cellStyle name="Normal 10 2 2 4 2 2 3 2" xfId="34312" xr:uid="{00000000-0005-0000-0000-000027300000}"/>
    <cellStyle name="Normal 10 2 2 4 2 2 4" xfId="17544" xr:uid="{00000000-0005-0000-0000-000028300000}"/>
    <cellStyle name="Normal 10 2 2 4 2 2 4 2" xfId="43097" xr:uid="{00000000-0005-0000-0000-000029300000}"/>
    <cellStyle name="Normal 10 2 2 4 2 2 5" xfId="29034" xr:uid="{00000000-0005-0000-0000-00002A300000}"/>
    <cellStyle name="Normal 10 2 2 4 2 3" xfId="4519" xr:uid="{00000000-0005-0000-0000-00002B300000}"/>
    <cellStyle name="Normal 10 2 2 4 2 3 2" xfId="13357" xr:uid="{00000000-0005-0000-0000-00002C300000}"/>
    <cellStyle name="Normal 10 2 2 4 2 3 2 2" xfId="23608" xr:uid="{00000000-0005-0000-0000-00002D300000}"/>
    <cellStyle name="Normal 10 2 2 4 2 3 2 2 2" xfId="49161" xr:uid="{00000000-0005-0000-0000-00002E300000}"/>
    <cellStyle name="Normal 10 2 2 4 2 3 2 3" xfId="38912" xr:uid="{00000000-0005-0000-0000-00002F300000}"/>
    <cellStyle name="Normal 10 2 2 4 2 3 3" xfId="9778" xr:uid="{00000000-0005-0000-0000-000030300000}"/>
    <cellStyle name="Normal 10 2 2 4 2 3 3 2" xfId="35335" xr:uid="{00000000-0005-0000-0000-000031300000}"/>
    <cellStyle name="Normal 10 2 2 4 2 3 4" xfId="18601" xr:uid="{00000000-0005-0000-0000-000032300000}"/>
    <cellStyle name="Normal 10 2 2 4 2 3 4 2" xfId="44154" xr:uid="{00000000-0005-0000-0000-000033300000}"/>
    <cellStyle name="Normal 10 2 2 4 2 3 5" xfId="30091" xr:uid="{00000000-0005-0000-0000-000034300000}"/>
    <cellStyle name="Normal 10 2 2 4 2 4" xfId="2299" xr:uid="{00000000-0005-0000-0000-000035300000}"/>
    <cellStyle name="Normal 10 2 2 4 2 4 2" xfId="11664" xr:uid="{00000000-0005-0000-0000-000036300000}"/>
    <cellStyle name="Normal 10 2 2 4 2 4 2 2" xfId="37219" xr:uid="{00000000-0005-0000-0000-000037300000}"/>
    <cellStyle name="Normal 10 2 2 4 2 4 3" xfId="21668" xr:uid="{00000000-0005-0000-0000-000038300000}"/>
    <cellStyle name="Normal 10 2 2 4 2 4 3 2" xfId="47221" xr:uid="{00000000-0005-0000-0000-000039300000}"/>
    <cellStyle name="Normal 10 2 2 4 2 4 4" xfId="28151" xr:uid="{00000000-0005-0000-0000-00003A300000}"/>
    <cellStyle name="Normal 10 2 2 4 2 5" xfId="5975" xr:uid="{00000000-0005-0000-0000-00003B300000}"/>
    <cellStyle name="Normal 10 2 2 4 2 5 2" xfId="14802" xr:uid="{00000000-0005-0000-0000-00003C300000}"/>
    <cellStyle name="Normal 10 2 2 4 2 5 2 2" xfId="40357" xr:uid="{00000000-0005-0000-0000-00003D300000}"/>
    <cellStyle name="Normal 10 2 2 4 2 5 3" xfId="25053" xr:uid="{00000000-0005-0000-0000-00003E300000}"/>
    <cellStyle name="Normal 10 2 2 4 2 5 3 2" xfId="50606" xr:uid="{00000000-0005-0000-0000-00003F300000}"/>
    <cellStyle name="Normal 10 2 2 4 2 5 4" xfId="31536" xr:uid="{00000000-0005-0000-0000-000040300000}"/>
    <cellStyle name="Normal 10 2 2 4 2 6" xfId="7419" xr:uid="{00000000-0005-0000-0000-000041300000}"/>
    <cellStyle name="Normal 10 2 2 4 2 6 2" xfId="20150" xr:uid="{00000000-0005-0000-0000-000042300000}"/>
    <cellStyle name="Normal 10 2 2 4 2 6 2 2" xfId="45703" xr:uid="{00000000-0005-0000-0000-000043300000}"/>
    <cellStyle name="Normal 10 2 2 4 2 6 3" xfId="32976" xr:uid="{00000000-0005-0000-0000-000044300000}"/>
    <cellStyle name="Normal 10 2 2 4 2 7" xfId="16661" xr:uid="{00000000-0005-0000-0000-000045300000}"/>
    <cellStyle name="Normal 10 2 2 4 2 7 2" xfId="42214" xr:uid="{00000000-0005-0000-0000-000046300000}"/>
    <cellStyle name="Normal 10 2 2 4 2 8" xfId="26633" xr:uid="{00000000-0005-0000-0000-000047300000}"/>
    <cellStyle name="Normal 10 2 2 4 3" xfId="1261" xr:uid="{00000000-0005-0000-0000-000048300000}"/>
    <cellStyle name="Normal 10 2 2 4 3 2" xfId="3690" xr:uid="{00000000-0005-0000-0000-000049300000}"/>
    <cellStyle name="Normal 10 2 2 4 3 2 2" xfId="12826" xr:uid="{00000000-0005-0000-0000-00004A300000}"/>
    <cellStyle name="Normal 10 2 2 4 3 2 2 2" xfId="23045" xr:uid="{00000000-0005-0000-0000-00004B300000}"/>
    <cellStyle name="Normal 10 2 2 4 3 2 2 2 2" xfId="48598" xr:uid="{00000000-0005-0000-0000-00004C300000}"/>
    <cellStyle name="Normal 10 2 2 4 3 2 2 3" xfId="38381" xr:uid="{00000000-0005-0000-0000-00004D300000}"/>
    <cellStyle name="Normal 10 2 2 4 3 2 3" xfId="9247" xr:uid="{00000000-0005-0000-0000-00004E300000}"/>
    <cellStyle name="Normal 10 2 2 4 3 2 3 2" xfId="34804" xr:uid="{00000000-0005-0000-0000-00004F300000}"/>
    <cellStyle name="Normal 10 2 2 4 3 2 4" xfId="18038" xr:uid="{00000000-0005-0000-0000-000050300000}"/>
    <cellStyle name="Normal 10 2 2 4 3 2 4 2" xfId="43591" xr:uid="{00000000-0005-0000-0000-000051300000}"/>
    <cellStyle name="Normal 10 2 2 4 3 2 5" xfId="29528" xr:uid="{00000000-0005-0000-0000-000052300000}"/>
    <cellStyle name="Normal 10 2 2 4 3 3" xfId="4868" xr:uid="{00000000-0005-0000-0000-000053300000}"/>
    <cellStyle name="Normal 10 2 2 4 3 3 2" xfId="13705" xr:uid="{00000000-0005-0000-0000-000054300000}"/>
    <cellStyle name="Normal 10 2 2 4 3 3 2 2" xfId="23956" xr:uid="{00000000-0005-0000-0000-000055300000}"/>
    <cellStyle name="Normal 10 2 2 4 3 3 2 2 2" xfId="49509" xr:uid="{00000000-0005-0000-0000-000056300000}"/>
    <cellStyle name="Normal 10 2 2 4 3 3 2 3" xfId="39260" xr:uid="{00000000-0005-0000-0000-000057300000}"/>
    <cellStyle name="Normal 10 2 2 4 3 3 3" xfId="10126" xr:uid="{00000000-0005-0000-0000-000058300000}"/>
    <cellStyle name="Normal 10 2 2 4 3 3 3 2" xfId="35683" xr:uid="{00000000-0005-0000-0000-000059300000}"/>
    <cellStyle name="Normal 10 2 2 4 3 3 4" xfId="18949" xr:uid="{00000000-0005-0000-0000-00005A300000}"/>
    <cellStyle name="Normal 10 2 2 4 3 3 4 2" xfId="44502" xr:uid="{00000000-0005-0000-0000-00005B300000}"/>
    <cellStyle name="Normal 10 2 2 4 3 3 5" xfId="30439" xr:uid="{00000000-0005-0000-0000-00005C300000}"/>
    <cellStyle name="Normal 10 2 2 4 3 4" xfId="2084" xr:uid="{00000000-0005-0000-0000-00005D300000}"/>
    <cellStyle name="Normal 10 2 2 4 3 4 2" xfId="11449" xr:uid="{00000000-0005-0000-0000-00005E300000}"/>
    <cellStyle name="Normal 10 2 2 4 3 4 2 2" xfId="37004" xr:uid="{00000000-0005-0000-0000-00005F300000}"/>
    <cellStyle name="Normal 10 2 2 4 3 4 3" xfId="21453" xr:uid="{00000000-0005-0000-0000-000060300000}"/>
    <cellStyle name="Normal 10 2 2 4 3 4 3 2" xfId="47006" xr:uid="{00000000-0005-0000-0000-000061300000}"/>
    <cellStyle name="Normal 10 2 2 4 3 4 4" xfId="27936" xr:uid="{00000000-0005-0000-0000-000062300000}"/>
    <cellStyle name="Normal 10 2 2 4 3 5" xfId="6323" xr:uid="{00000000-0005-0000-0000-000063300000}"/>
    <cellStyle name="Normal 10 2 2 4 3 5 2" xfId="15150" xr:uid="{00000000-0005-0000-0000-000064300000}"/>
    <cellStyle name="Normal 10 2 2 4 3 5 2 2" xfId="40705" xr:uid="{00000000-0005-0000-0000-000065300000}"/>
    <cellStyle name="Normal 10 2 2 4 3 5 3" xfId="25401" xr:uid="{00000000-0005-0000-0000-000066300000}"/>
    <cellStyle name="Normal 10 2 2 4 3 5 3 2" xfId="50954" xr:uid="{00000000-0005-0000-0000-000067300000}"/>
    <cellStyle name="Normal 10 2 2 4 3 5 4" xfId="31884" xr:uid="{00000000-0005-0000-0000-000068300000}"/>
    <cellStyle name="Normal 10 2 2 4 3 6" xfId="7769" xr:uid="{00000000-0005-0000-0000-000069300000}"/>
    <cellStyle name="Normal 10 2 2 4 3 6 2" xfId="20644" xr:uid="{00000000-0005-0000-0000-00006A300000}"/>
    <cellStyle name="Normal 10 2 2 4 3 6 2 2" xfId="46197" xr:uid="{00000000-0005-0000-0000-00006B300000}"/>
    <cellStyle name="Normal 10 2 2 4 3 6 3" xfId="33326" xr:uid="{00000000-0005-0000-0000-00006C300000}"/>
    <cellStyle name="Normal 10 2 2 4 3 7" xfId="16446" xr:uid="{00000000-0005-0000-0000-00006D300000}"/>
    <cellStyle name="Normal 10 2 2 4 3 7 2" xfId="41999" xr:uid="{00000000-0005-0000-0000-00006E300000}"/>
    <cellStyle name="Normal 10 2 2 4 3 8" xfId="27127" xr:uid="{00000000-0005-0000-0000-00006F300000}"/>
    <cellStyle name="Normal 10 2 2 4 4" xfId="2975" xr:uid="{00000000-0005-0000-0000-000070300000}"/>
    <cellStyle name="Normal 10 2 2 4 4 2" xfId="5353" xr:uid="{00000000-0005-0000-0000-000071300000}"/>
    <cellStyle name="Normal 10 2 2 4 4 2 2" xfId="14190" xr:uid="{00000000-0005-0000-0000-000072300000}"/>
    <cellStyle name="Normal 10 2 2 4 4 2 2 2" xfId="24441" xr:uid="{00000000-0005-0000-0000-000073300000}"/>
    <cellStyle name="Normal 10 2 2 4 4 2 2 2 2" xfId="49994" xr:uid="{00000000-0005-0000-0000-000074300000}"/>
    <cellStyle name="Normal 10 2 2 4 4 2 2 3" xfId="39745" xr:uid="{00000000-0005-0000-0000-000075300000}"/>
    <cellStyle name="Normal 10 2 2 4 4 2 3" xfId="10611" xr:uid="{00000000-0005-0000-0000-000076300000}"/>
    <cellStyle name="Normal 10 2 2 4 4 2 3 2" xfId="36168" xr:uid="{00000000-0005-0000-0000-000077300000}"/>
    <cellStyle name="Normal 10 2 2 4 4 2 4" xfId="19434" xr:uid="{00000000-0005-0000-0000-000078300000}"/>
    <cellStyle name="Normal 10 2 2 4 4 2 4 2" xfId="44987" xr:uid="{00000000-0005-0000-0000-000079300000}"/>
    <cellStyle name="Normal 10 2 2 4 4 2 5" xfId="30924" xr:uid="{00000000-0005-0000-0000-00007A300000}"/>
    <cellStyle name="Normal 10 2 2 4 4 3" xfId="6808" xr:uid="{00000000-0005-0000-0000-00007B300000}"/>
    <cellStyle name="Normal 10 2 2 4 4 3 2" xfId="15635" xr:uid="{00000000-0005-0000-0000-00007C300000}"/>
    <cellStyle name="Normal 10 2 2 4 4 3 2 2" xfId="41190" xr:uid="{00000000-0005-0000-0000-00007D300000}"/>
    <cellStyle name="Normal 10 2 2 4 4 3 3" xfId="25886" xr:uid="{00000000-0005-0000-0000-00007E300000}"/>
    <cellStyle name="Normal 10 2 2 4 4 3 3 2" xfId="51439" xr:uid="{00000000-0005-0000-0000-00007F300000}"/>
    <cellStyle name="Normal 10 2 2 4 4 3 4" xfId="32369" xr:uid="{00000000-0005-0000-0000-000080300000}"/>
    <cellStyle name="Normal 10 2 2 4 4 4" xfId="8254" xr:uid="{00000000-0005-0000-0000-000081300000}"/>
    <cellStyle name="Normal 10 2 2 4 4 4 2" xfId="22336" xr:uid="{00000000-0005-0000-0000-000082300000}"/>
    <cellStyle name="Normal 10 2 2 4 4 4 2 2" xfId="47889" xr:uid="{00000000-0005-0000-0000-000083300000}"/>
    <cellStyle name="Normal 10 2 2 4 4 4 3" xfId="33811" xr:uid="{00000000-0005-0000-0000-000084300000}"/>
    <cellStyle name="Normal 10 2 2 4 4 5" xfId="17329" xr:uid="{00000000-0005-0000-0000-000085300000}"/>
    <cellStyle name="Normal 10 2 2 4 4 5 2" xfId="42882" xr:uid="{00000000-0005-0000-0000-000086300000}"/>
    <cellStyle name="Normal 10 2 2 4 4 6" xfId="28819" xr:uid="{00000000-0005-0000-0000-000087300000}"/>
    <cellStyle name="Normal 10 2 2 4 5" xfId="4309" xr:uid="{00000000-0005-0000-0000-000088300000}"/>
    <cellStyle name="Normal 10 2 2 4 5 2" xfId="13147" xr:uid="{00000000-0005-0000-0000-000089300000}"/>
    <cellStyle name="Normal 10 2 2 4 5 2 2" xfId="23398" xr:uid="{00000000-0005-0000-0000-00008A300000}"/>
    <cellStyle name="Normal 10 2 2 4 5 2 2 2" xfId="48951" xr:uid="{00000000-0005-0000-0000-00008B300000}"/>
    <cellStyle name="Normal 10 2 2 4 5 2 3" xfId="38702" xr:uid="{00000000-0005-0000-0000-00008C300000}"/>
    <cellStyle name="Normal 10 2 2 4 5 3" xfId="9568" xr:uid="{00000000-0005-0000-0000-00008D300000}"/>
    <cellStyle name="Normal 10 2 2 4 5 3 2" xfId="35125" xr:uid="{00000000-0005-0000-0000-00008E300000}"/>
    <cellStyle name="Normal 10 2 2 4 5 4" xfId="18391" xr:uid="{00000000-0005-0000-0000-00008F300000}"/>
    <cellStyle name="Normal 10 2 2 4 5 4 2" xfId="43944" xr:uid="{00000000-0005-0000-0000-000090300000}"/>
    <cellStyle name="Normal 10 2 2 4 5 5" xfId="29881" xr:uid="{00000000-0005-0000-0000-000091300000}"/>
    <cellStyle name="Normal 10 2 2 4 6" xfId="1581" xr:uid="{00000000-0005-0000-0000-000092300000}"/>
    <cellStyle name="Normal 10 2 2 4 6 2" xfId="10958" xr:uid="{00000000-0005-0000-0000-000093300000}"/>
    <cellStyle name="Normal 10 2 2 4 6 2 2" xfId="36513" xr:uid="{00000000-0005-0000-0000-000094300000}"/>
    <cellStyle name="Normal 10 2 2 4 6 3" xfId="20962" xr:uid="{00000000-0005-0000-0000-000095300000}"/>
    <cellStyle name="Normal 10 2 2 4 6 3 2" xfId="46515" xr:uid="{00000000-0005-0000-0000-000096300000}"/>
    <cellStyle name="Normal 10 2 2 4 6 4" xfId="27445" xr:uid="{00000000-0005-0000-0000-000097300000}"/>
    <cellStyle name="Normal 10 2 2 4 7" xfId="5765" xr:uid="{00000000-0005-0000-0000-000098300000}"/>
    <cellStyle name="Normal 10 2 2 4 7 2" xfId="14592" xr:uid="{00000000-0005-0000-0000-000099300000}"/>
    <cellStyle name="Normal 10 2 2 4 7 2 2" xfId="40147" xr:uid="{00000000-0005-0000-0000-00009A300000}"/>
    <cellStyle name="Normal 10 2 2 4 7 3" xfId="24843" xr:uid="{00000000-0005-0000-0000-00009B300000}"/>
    <cellStyle name="Normal 10 2 2 4 7 3 2" xfId="50396" xr:uid="{00000000-0005-0000-0000-00009C300000}"/>
    <cellStyle name="Normal 10 2 2 4 7 4" xfId="31326" xr:uid="{00000000-0005-0000-0000-00009D300000}"/>
    <cellStyle name="Normal 10 2 2 4 8" xfId="7209" xr:uid="{00000000-0005-0000-0000-00009E300000}"/>
    <cellStyle name="Normal 10 2 2 4 8 2" xfId="19935" xr:uid="{00000000-0005-0000-0000-00009F300000}"/>
    <cellStyle name="Normal 10 2 2 4 8 2 2" xfId="45488" xr:uid="{00000000-0005-0000-0000-0000A0300000}"/>
    <cellStyle name="Normal 10 2 2 4 8 3" xfId="32766" xr:uid="{00000000-0005-0000-0000-0000A1300000}"/>
    <cellStyle name="Normal 10 2 2 4 9" xfId="15955" xr:uid="{00000000-0005-0000-0000-0000A2300000}"/>
    <cellStyle name="Normal 10 2 2 4 9 2" xfId="41508" xr:uid="{00000000-0005-0000-0000-0000A3300000}"/>
    <cellStyle name="Normal 10 2 2 4_Degree data" xfId="3847" xr:uid="{00000000-0005-0000-0000-0000A4300000}"/>
    <cellStyle name="Normal 10 2 2 5" xfId="332" xr:uid="{00000000-0005-0000-0000-0000A5300000}"/>
    <cellStyle name="Normal 10 2 2 5 2" xfId="2818" xr:uid="{00000000-0005-0000-0000-0000A6300000}"/>
    <cellStyle name="Normal 10 2 2 5 2 2" xfId="12113" xr:uid="{00000000-0005-0000-0000-0000A7300000}"/>
    <cellStyle name="Normal 10 2 2 5 2 2 2" xfId="22179" xr:uid="{00000000-0005-0000-0000-0000A8300000}"/>
    <cellStyle name="Normal 10 2 2 5 2 2 2 2" xfId="47732" xr:uid="{00000000-0005-0000-0000-0000A9300000}"/>
    <cellStyle name="Normal 10 2 2 5 2 2 3" xfId="37668" xr:uid="{00000000-0005-0000-0000-0000AA300000}"/>
    <cellStyle name="Normal 10 2 2 5 2 3" xfId="8469" xr:uid="{00000000-0005-0000-0000-0000AB300000}"/>
    <cellStyle name="Normal 10 2 2 5 2 3 2" xfId="34026" xr:uid="{00000000-0005-0000-0000-0000AC300000}"/>
    <cellStyle name="Normal 10 2 2 5 2 4" xfId="17172" xr:uid="{00000000-0005-0000-0000-0000AD300000}"/>
    <cellStyle name="Normal 10 2 2 5 2 4 2" xfId="42725" xr:uid="{00000000-0005-0000-0000-0000AE300000}"/>
    <cellStyle name="Normal 10 2 2 5 2 5" xfId="28662" xr:uid="{00000000-0005-0000-0000-0000AF300000}"/>
    <cellStyle name="Normal 10 2 2 5 3" xfId="4514" xr:uid="{00000000-0005-0000-0000-0000B0300000}"/>
    <cellStyle name="Normal 10 2 2 5 3 2" xfId="13352" xr:uid="{00000000-0005-0000-0000-0000B1300000}"/>
    <cellStyle name="Normal 10 2 2 5 3 2 2" xfId="23603" xr:uid="{00000000-0005-0000-0000-0000B2300000}"/>
    <cellStyle name="Normal 10 2 2 5 3 2 2 2" xfId="49156" xr:uid="{00000000-0005-0000-0000-0000B3300000}"/>
    <cellStyle name="Normal 10 2 2 5 3 2 3" xfId="38907" xr:uid="{00000000-0005-0000-0000-0000B4300000}"/>
    <cellStyle name="Normal 10 2 2 5 3 3" xfId="9773" xr:uid="{00000000-0005-0000-0000-0000B5300000}"/>
    <cellStyle name="Normal 10 2 2 5 3 3 2" xfId="35330" xr:uid="{00000000-0005-0000-0000-0000B6300000}"/>
    <cellStyle name="Normal 10 2 2 5 3 4" xfId="18596" xr:uid="{00000000-0005-0000-0000-0000B7300000}"/>
    <cellStyle name="Normal 10 2 2 5 3 4 2" xfId="44149" xr:uid="{00000000-0005-0000-0000-0000B8300000}"/>
    <cellStyle name="Normal 10 2 2 5 3 5" xfId="30086" xr:uid="{00000000-0005-0000-0000-0000B9300000}"/>
    <cellStyle name="Normal 10 2 2 5 4" xfId="1927" xr:uid="{00000000-0005-0000-0000-0000BA300000}"/>
    <cellStyle name="Normal 10 2 2 5 4 2" xfId="11292" xr:uid="{00000000-0005-0000-0000-0000BB300000}"/>
    <cellStyle name="Normal 10 2 2 5 4 2 2" xfId="36847" xr:uid="{00000000-0005-0000-0000-0000BC300000}"/>
    <cellStyle name="Normal 10 2 2 5 4 3" xfId="21296" xr:uid="{00000000-0005-0000-0000-0000BD300000}"/>
    <cellStyle name="Normal 10 2 2 5 4 3 2" xfId="46849" xr:uid="{00000000-0005-0000-0000-0000BE300000}"/>
    <cellStyle name="Normal 10 2 2 5 4 4" xfId="27779" xr:uid="{00000000-0005-0000-0000-0000BF300000}"/>
    <cellStyle name="Normal 10 2 2 5 5" xfId="5970" xr:uid="{00000000-0005-0000-0000-0000C0300000}"/>
    <cellStyle name="Normal 10 2 2 5 5 2" xfId="14797" xr:uid="{00000000-0005-0000-0000-0000C1300000}"/>
    <cellStyle name="Normal 10 2 2 5 5 2 2" xfId="40352" xr:uid="{00000000-0005-0000-0000-0000C2300000}"/>
    <cellStyle name="Normal 10 2 2 5 5 3" xfId="25048" xr:uid="{00000000-0005-0000-0000-0000C3300000}"/>
    <cellStyle name="Normal 10 2 2 5 5 3 2" xfId="50601" xr:uid="{00000000-0005-0000-0000-0000C4300000}"/>
    <cellStyle name="Normal 10 2 2 5 5 4" xfId="31531" xr:uid="{00000000-0005-0000-0000-0000C5300000}"/>
    <cellStyle name="Normal 10 2 2 5 6" xfId="7414" xr:uid="{00000000-0005-0000-0000-0000C6300000}"/>
    <cellStyle name="Normal 10 2 2 5 6 2" xfId="19778" xr:uid="{00000000-0005-0000-0000-0000C7300000}"/>
    <cellStyle name="Normal 10 2 2 5 6 2 2" xfId="45331" xr:uid="{00000000-0005-0000-0000-0000C8300000}"/>
    <cellStyle name="Normal 10 2 2 5 6 3" xfId="32971" xr:uid="{00000000-0005-0000-0000-0000C9300000}"/>
    <cellStyle name="Normal 10 2 2 5 7" xfId="16289" xr:uid="{00000000-0005-0000-0000-0000CA300000}"/>
    <cellStyle name="Normal 10 2 2 5 7 2" xfId="41842" xr:uid="{00000000-0005-0000-0000-0000CB300000}"/>
    <cellStyle name="Normal 10 2 2 5 8" xfId="26261" xr:uid="{00000000-0005-0000-0000-0000CC300000}"/>
    <cellStyle name="Normal 10 2 2 6" xfId="699" xr:uid="{00000000-0005-0000-0000-0000CD300000}"/>
    <cellStyle name="Normal 10 2 2 6 2" xfId="3185" xr:uid="{00000000-0005-0000-0000-0000CE300000}"/>
    <cellStyle name="Normal 10 2 2 6 2 2" xfId="12328" xr:uid="{00000000-0005-0000-0000-0000CF300000}"/>
    <cellStyle name="Normal 10 2 2 6 2 2 2" xfId="22546" xr:uid="{00000000-0005-0000-0000-0000D0300000}"/>
    <cellStyle name="Normal 10 2 2 6 2 2 2 2" xfId="48099" xr:uid="{00000000-0005-0000-0000-0000D1300000}"/>
    <cellStyle name="Normal 10 2 2 6 2 2 3" xfId="37883" xr:uid="{00000000-0005-0000-0000-0000D2300000}"/>
    <cellStyle name="Normal 10 2 2 6 2 3" xfId="8750" xr:uid="{00000000-0005-0000-0000-0000D3300000}"/>
    <cellStyle name="Normal 10 2 2 6 2 3 2" xfId="34307" xr:uid="{00000000-0005-0000-0000-0000D4300000}"/>
    <cellStyle name="Normal 10 2 2 6 2 4" xfId="17539" xr:uid="{00000000-0005-0000-0000-0000D5300000}"/>
    <cellStyle name="Normal 10 2 2 6 2 4 2" xfId="43092" xr:uid="{00000000-0005-0000-0000-0000D6300000}"/>
    <cellStyle name="Normal 10 2 2 6 2 5" xfId="29029" xr:uid="{00000000-0005-0000-0000-0000D7300000}"/>
    <cellStyle name="Normal 10 2 2 6 3" xfId="4863" xr:uid="{00000000-0005-0000-0000-0000D8300000}"/>
    <cellStyle name="Normal 10 2 2 6 3 2" xfId="13700" xr:uid="{00000000-0005-0000-0000-0000D9300000}"/>
    <cellStyle name="Normal 10 2 2 6 3 2 2" xfId="23951" xr:uid="{00000000-0005-0000-0000-0000DA300000}"/>
    <cellStyle name="Normal 10 2 2 6 3 2 2 2" xfId="49504" xr:uid="{00000000-0005-0000-0000-0000DB300000}"/>
    <cellStyle name="Normal 10 2 2 6 3 2 3" xfId="39255" xr:uid="{00000000-0005-0000-0000-0000DC300000}"/>
    <cellStyle name="Normal 10 2 2 6 3 3" xfId="10121" xr:uid="{00000000-0005-0000-0000-0000DD300000}"/>
    <cellStyle name="Normal 10 2 2 6 3 3 2" xfId="35678" xr:uid="{00000000-0005-0000-0000-0000DE300000}"/>
    <cellStyle name="Normal 10 2 2 6 3 4" xfId="18944" xr:uid="{00000000-0005-0000-0000-0000DF300000}"/>
    <cellStyle name="Normal 10 2 2 6 3 4 2" xfId="44497" xr:uid="{00000000-0005-0000-0000-0000E0300000}"/>
    <cellStyle name="Normal 10 2 2 6 3 5" xfId="30434" xr:uid="{00000000-0005-0000-0000-0000E1300000}"/>
    <cellStyle name="Normal 10 2 2 6 4" xfId="2294" xr:uid="{00000000-0005-0000-0000-0000E2300000}"/>
    <cellStyle name="Normal 10 2 2 6 4 2" xfId="11659" xr:uid="{00000000-0005-0000-0000-0000E3300000}"/>
    <cellStyle name="Normal 10 2 2 6 4 2 2" xfId="37214" xr:uid="{00000000-0005-0000-0000-0000E4300000}"/>
    <cellStyle name="Normal 10 2 2 6 4 3" xfId="21663" xr:uid="{00000000-0005-0000-0000-0000E5300000}"/>
    <cellStyle name="Normal 10 2 2 6 4 3 2" xfId="47216" xr:uid="{00000000-0005-0000-0000-0000E6300000}"/>
    <cellStyle name="Normal 10 2 2 6 4 4" xfId="28146" xr:uid="{00000000-0005-0000-0000-0000E7300000}"/>
    <cellStyle name="Normal 10 2 2 6 5" xfId="6318" xr:uid="{00000000-0005-0000-0000-0000E8300000}"/>
    <cellStyle name="Normal 10 2 2 6 5 2" xfId="15145" xr:uid="{00000000-0005-0000-0000-0000E9300000}"/>
    <cellStyle name="Normal 10 2 2 6 5 2 2" xfId="40700" xr:uid="{00000000-0005-0000-0000-0000EA300000}"/>
    <cellStyle name="Normal 10 2 2 6 5 3" xfId="25396" xr:uid="{00000000-0005-0000-0000-0000EB300000}"/>
    <cellStyle name="Normal 10 2 2 6 5 3 2" xfId="50949" xr:uid="{00000000-0005-0000-0000-0000EC300000}"/>
    <cellStyle name="Normal 10 2 2 6 5 4" xfId="31879" xr:uid="{00000000-0005-0000-0000-0000ED300000}"/>
    <cellStyle name="Normal 10 2 2 6 6" xfId="7764" xr:uid="{00000000-0005-0000-0000-0000EE300000}"/>
    <cellStyle name="Normal 10 2 2 6 6 2" xfId="20145" xr:uid="{00000000-0005-0000-0000-0000EF300000}"/>
    <cellStyle name="Normal 10 2 2 6 6 2 2" xfId="45698" xr:uid="{00000000-0005-0000-0000-0000F0300000}"/>
    <cellStyle name="Normal 10 2 2 6 6 3" xfId="33321" xr:uid="{00000000-0005-0000-0000-0000F1300000}"/>
    <cellStyle name="Normal 10 2 2 6 7" xfId="16656" xr:uid="{00000000-0005-0000-0000-0000F2300000}"/>
    <cellStyle name="Normal 10 2 2 6 7 2" xfId="42209" xr:uid="{00000000-0005-0000-0000-0000F3300000}"/>
    <cellStyle name="Normal 10 2 2 6 8" xfId="26628" xr:uid="{00000000-0005-0000-0000-0000F4300000}"/>
    <cellStyle name="Normal 10 2 2 7" xfId="1104" xr:uid="{00000000-0005-0000-0000-0000F5300000}"/>
    <cellStyle name="Normal 10 2 2 7 2" xfId="3533" xr:uid="{00000000-0005-0000-0000-0000F6300000}"/>
    <cellStyle name="Normal 10 2 2 7 2 2" xfId="12669" xr:uid="{00000000-0005-0000-0000-0000F7300000}"/>
    <cellStyle name="Normal 10 2 2 7 2 2 2" xfId="22888" xr:uid="{00000000-0005-0000-0000-0000F8300000}"/>
    <cellStyle name="Normal 10 2 2 7 2 2 2 2" xfId="48441" xr:uid="{00000000-0005-0000-0000-0000F9300000}"/>
    <cellStyle name="Normal 10 2 2 7 2 2 3" xfId="38224" xr:uid="{00000000-0005-0000-0000-0000FA300000}"/>
    <cellStyle name="Normal 10 2 2 7 2 3" xfId="9090" xr:uid="{00000000-0005-0000-0000-0000FB300000}"/>
    <cellStyle name="Normal 10 2 2 7 2 3 2" xfId="34647" xr:uid="{00000000-0005-0000-0000-0000FC300000}"/>
    <cellStyle name="Normal 10 2 2 7 2 4" xfId="17881" xr:uid="{00000000-0005-0000-0000-0000FD300000}"/>
    <cellStyle name="Normal 10 2 2 7 2 4 2" xfId="43434" xr:uid="{00000000-0005-0000-0000-0000FE300000}"/>
    <cellStyle name="Normal 10 2 2 7 2 5" xfId="29371" xr:uid="{00000000-0005-0000-0000-0000FF300000}"/>
    <cellStyle name="Normal 10 2 2 7 3" xfId="5196" xr:uid="{00000000-0005-0000-0000-000000310000}"/>
    <cellStyle name="Normal 10 2 2 7 3 2" xfId="14033" xr:uid="{00000000-0005-0000-0000-000001310000}"/>
    <cellStyle name="Normal 10 2 2 7 3 2 2" xfId="24284" xr:uid="{00000000-0005-0000-0000-000002310000}"/>
    <cellStyle name="Normal 10 2 2 7 3 2 2 2" xfId="49837" xr:uid="{00000000-0005-0000-0000-000003310000}"/>
    <cellStyle name="Normal 10 2 2 7 3 2 3" xfId="39588" xr:uid="{00000000-0005-0000-0000-000004310000}"/>
    <cellStyle name="Normal 10 2 2 7 3 3" xfId="10454" xr:uid="{00000000-0005-0000-0000-000005310000}"/>
    <cellStyle name="Normal 10 2 2 7 3 3 2" xfId="36011" xr:uid="{00000000-0005-0000-0000-000006310000}"/>
    <cellStyle name="Normal 10 2 2 7 3 4" xfId="19277" xr:uid="{00000000-0005-0000-0000-000007310000}"/>
    <cellStyle name="Normal 10 2 2 7 3 4 2" xfId="44830" xr:uid="{00000000-0005-0000-0000-000008310000}"/>
    <cellStyle name="Normal 10 2 2 7 3 5" xfId="30767" xr:uid="{00000000-0005-0000-0000-000009310000}"/>
    <cellStyle name="Normal 10 2 2 7 4" xfId="1761" xr:uid="{00000000-0005-0000-0000-00000A310000}"/>
    <cellStyle name="Normal 10 2 2 7 4 2" xfId="11132" xr:uid="{00000000-0005-0000-0000-00000B310000}"/>
    <cellStyle name="Normal 10 2 2 7 4 2 2" xfId="36687" xr:uid="{00000000-0005-0000-0000-00000C310000}"/>
    <cellStyle name="Normal 10 2 2 7 4 3" xfId="21136" xr:uid="{00000000-0005-0000-0000-00000D310000}"/>
    <cellStyle name="Normal 10 2 2 7 4 3 2" xfId="46689" xr:uid="{00000000-0005-0000-0000-00000E310000}"/>
    <cellStyle name="Normal 10 2 2 7 4 4" xfId="27619" xr:uid="{00000000-0005-0000-0000-00000F310000}"/>
    <cellStyle name="Normal 10 2 2 7 5" xfId="6651" xr:uid="{00000000-0005-0000-0000-000010310000}"/>
    <cellStyle name="Normal 10 2 2 7 5 2" xfId="15478" xr:uid="{00000000-0005-0000-0000-000011310000}"/>
    <cellStyle name="Normal 10 2 2 7 5 2 2" xfId="41033" xr:uid="{00000000-0005-0000-0000-000012310000}"/>
    <cellStyle name="Normal 10 2 2 7 5 3" xfId="25729" xr:uid="{00000000-0005-0000-0000-000013310000}"/>
    <cellStyle name="Normal 10 2 2 7 5 3 2" xfId="51282" xr:uid="{00000000-0005-0000-0000-000014310000}"/>
    <cellStyle name="Normal 10 2 2 7 5 4" xfId="32212" xr:uid="{00000000-0005-0000-0000-000015310000}"/>
    <cellStyle name="Normal 10 2 2 7 6" xfId="8097" xr:uid="{00000000-0005-0000-0000-000016310000}"/>
    <cellStyle name="Normal 10 2 2 7 6 2" xfId="20487" xr:uid="{00000000-0005-0000-0000-000017310000}"/>
    <cellStyle name="Normal 10 2 2 7 6 2 2" xfId="46040" xr:uid="{00000000-0005-0000-0000-000018310000}"/>
    <cellStyle name="Normal 10 2 2 7 6 3" xfId="33654" xr:uid="{00000000-0005-0000-0000-000019310000}"/>
    <cellStyle name="Normal 10 2 2 7 7" xfId="16129" xr:uid="{00000000-0005-0000-0000-00001A310000}"/>
    <cellStyle name="Normal 10 2 2 7 7 2" xfId="41682" xr:uid="{00000000-0005-0000-0000-00001B310000}"/>
    <cellStyle name="Normal 10 2 2 7 8" xfId="26970" xr:uid="{00000000-0005-0000-0000-00001C310000}"/>
    <cellStyle name="Normal 10 2 2 8" xfId="2658" xr:uid="{00000000-0005-0000-0000-00001D310000}"/>
    <cellStyle name="Normal 10 2 2 8 2" xfId="5608" xr:uid="{00000000-0005-0000-0000-00001E310000}"/>
    <cellStyle name="Normal 10 2 2 8 2 2" xfId="14435" xr:uid="{00000000-0005-0000-0000-00001F310000}"/>
    <cellStyle name="Normal 10 2 2 8 2 2 2" xfId="39990" xr:uid="{00000000-0005-0000-0000-000020310000}"/>
    <cellStyle name="Normal 10 2 2 8 2 3" xfId="24686" xr:uid="{00000000-0005-0000-0000-000021310000}"/>
    <cellStyle name="Normal 10 2 2 8 2 3 2" xfId="50239" xr:uid="{00000000-0005-0000-0000-000022310000}"/>
    <cellStyle name="Normal 10 2 2 8 2 4" xfId="31169" xr:uid="{00000000-0005-0000-0000-000023310000}"/>
    <cellStyle name="Normal 10 2 2 8 3" xfId="7052" xr:uid="{00000000-0005-0000-0000-000024310000}"/>
    <cellStyle name="Normal 10 2 2 8 3 2" xfId="22019" xr:uid="{00000000-0005-0000-0000-000025310000}"/>
    <cellStyle name="Normal 10 2 2 8 3 2 2" xfId="47572" xr:uid="{00000000-0005-0000-0000-000026310000}"/>
    <cellStyle name="Normal 10 2 2 8 3 3" xfId="32609" xr:uid="{00000000-0005-0000-0000-000027310000}"/>
    <cellStyle name="Normal 10 2 2 8 4" xfId="17012" xr:uid="{00000000-0005-0000-0000-000028310000}"/>
    <cellStyle name="Normal 10 2 2 8 4 2" xfId="42565" xr:uid="{00000000-0005-0000-0000-000029310000}"/>
    <cellStyle name="Normal 10 2 2 8 5" xfId="28502" xr:uid="{00000000-0005-0000-0000-00002A310000}"/>
    <cellStyle name="Normal 10 2 2 9" xfId="4150" xr:uid="{00000000-0005-0000-0000-00002B310000}"/>
    <cellStyle name="Normal 10 2 2 9 2" xfId="12988" xr:uid="{00000000-0005-0000-0000-00002C310000}"/>
    <cellStyle name="Normal 10 2 2 9 2 2" xfId="23239" xr:uid="{00000000-0005-0000-0000-00002D310000}"/>
    <cellStyle name="Normal 10 2 2 9 2 2 2" xfId="48792" xr:uid="{00000000-0005-0000-0000-00002E310000}"/>
    <cellStyle name="Normal 10 2 2 9 2 3" xfId="38543" xr:uid="{00000000-0005-0000-0000-00002F310000}"/>
    <cellStyle name="Normal 10 2 2 9 3" xfId="9409" xr:uid="{00000000-0005-0000-0000-000030310000}"/>
    <cellStyle name="Normal 10 2 2 9 3 2" xfId="34966" xr:uid="{00000000-0005-0000-0000-000031310000}"/>
    <cellStyle name="Normal 10 2 2 9 4" xfId="18232" xr:uid="{00000000-0005-0000-0000-000032310000}"/>
    <cellStyle name="Normal 10 2 2 9 4 2" xfId="43785" xr:uid="{00000000-0005-0000-0000-000033310000}"/>
    <cellStyle name="Normal 10 2 2 9 5" xfId="29722" xr:uid="{00000000-0005-0000-0000-000034310000}"/>
    <cellStyle name="Normal 10 2 2_Degree data" xfId="3866" xr:uid="{00000000-0005-0000-0000-000035310000}"/>
    <cellStyle name="Normal 10 2 3" xfId="179" xr:uid="{00000000-0005-0000-0000-000036310000}"/>
    <cellStyle name="Normal 10 2 3 10" xfId="7127" xr:uid="{00000000-0005-0000-0000-000037310000}"/>
    <cellStyle name="Normal 10 2 3 10 2" xfId="19636" xr:uid="{00000000-0005-0000-0000-000038310000}"/>
    <cellStyle name="Normal 10 2 3 10 2 2" xfId="45189" xr:uid="{00000000-0005-0000-0000-000039310000}"/>
    <cellStyle name="Normal 10 2 3 10 3" xfId="32684" xr:uid="{00000000-0005-0000-0000-00003A310000}"/>
    <cellStyle name="Normal 10 2 3 11" xfId="15873" xr:uid="{00000000-0005-0000-0000-00003B310000}"/>
    <cellStyle name="Normal 10 2 3 11 2" xfId="41426" xr:uid="{00000000-0005-0000-0000-00003C310000}"/>
    <cellStyle name="Normal 10 2 3 12" xfId="26119" xr:uid="{00000000-0005-0000-0000-00003D310000}"/>
    <cellStyle name="Normal 10 2 3 2" xfId="507" xr:uid="{00000000-0005-0000-0000-00003E310000}"/>
    <cellStyle name="Normal 10 2 3 2 10" xfId="26436" xr:uid="{00000000-0005-0000-0000-00003F310000}"/>
    <cellStyle name="Normal 10 2 3 2 2" xfId="706" xr:uid="{00000000-0005-0000-0000-000040310000}"/>
    <cellStyle name="Normal 10 2 3 2 2 2" xfId="3192" xr:uid="{00000000-0005-0000-0000-000041310000}"/>
    <cellStyle name="Normal 10 2 3 2 2 2 2" xfId="12335" xr:uid="{00000000-0005-0000-0000-000042310000}"/>
    <cellStyle name="Normal 10 2 3 2 2 2 2 2" xfId="22553" xr:uid="{00000000-0005-0000-0000-000043310000}"/>
    <cellStyle name="Normal 10 2 3 2 2 2 2 2 2" xfId="48106" xr:uid="{00000000-0005-0000-0000-000044310000}"/>
    <cellStyle name="Normal 10 2 3 2 2 2 2 3" xfId="37890" xr:uid="{00000000-0005-0000-0000-000045310000}"/>
    <cellStyle name="Normal 10 2 3 2 2 2 3" xfId="8757" xr:uid="{00000000-0005-0000-0000-000046310000}"/>
    <cellStyle name="Normal 10 2 3 2 2 2 3 2" xfId="34314" xr:uid="{00000000-0005-0000-0000-000047310000}"/>
    <cellStyle name="Normal 10 2 3 2 2 2 4" xfId="17546" xr:uid="{00000000-0005-0000-0000-000048310000}"/>
    <cellStyle name="Normal 10 2 3 2 2 2 4 2" xfId="43099" xr:uid="{00000000-0005-0000-0000-000049310000}"/>
    <cellStyle name="Normal 10 2 3 2 2 2 5" xfId="29036" xr:uid="{00000000-0005-0000-0000-00004A310000}"/>
    <cellStyle name="Normal 10 2 3 2 2 3" xfId="4521" xr:uid="{00000000-0005-0000-0000-00004B310000}"/>
    <cellStyle name="Normal 10 2 3 2 2 3 2" xfId="13359" xr:uid="{00000000-0005-0000-0000-00004C310000}"/>
    <cellStyle name="Normal 10 2 3 2 2 3 2 2" xfId="23610" xr:uid="{00000000-0005-0000-0000-00004D310000}"/>
    <cellStyle name="Normal 10 2 3 2 2 3 2 2 2" xfId="49163" xr:uid="{00000000-0005-0000-0000-00004E310000}"/>
    <cellStyle name="Normal 10 2 3 2 2 3 2 3" xfId="38914" xr:uid="{00000000-0005-0000-0000-00004F310000}"/>
    <cellStyle name="Normal 10 2 3 2 2 3 3" xfId="9780" xr:uid="{00000000-0005-0000-0000-000050310000}"/>
    <cellStyle name="Normal 10 2 3 2 2 3 3 2" xfId="35337" xr:uid="{00000000-0005-0000-0000-000051310000}"/>
    <cellStyle name="Normal 10 2 3 2 2 3 4" xfId="18603" xr:uid="{00000000-0005-0000-0000-000052310000}"/>
    <cellStyle name="Normal 10 2 3 2 2 3 4 2" xfId="44156" xr:uid="{00000000-0005-0000-0000-000053310000}"/>
    <cellStyle name="Normal 10 2 3 2 2 3 5" xfId="30093" xr:uid="{00000000-0005-0000-0000-000054310000}"/>
    <cellStyle name="Normal 10 2 3 2 2 4" xfId="2301" xr:uid="{00000000-0005-0000-0000-000055310000}"/>
    <cellStyle name="Normal 10 2 3 2 2 4 2" xfId="11666" xr:uid="{00000000-0005-0000-0000-000056310000}"/>
    <cellStyle name="Normal 10 2 3 2 2 4 2 2" xfId="37221" xr:uid="{00000000-0005-0000-0000-000057310000}"/>
    <cellStyle name="Normal 10 2 3 2 2 4 3" xfId="21670" xr:uid="{00000000-0005-0000-0000-000058310000}"/>
    <cellStyle name="Normal 10 2 3 2 2 4 3 2" xfId="47223" xr:uid="{00000000-0005-0000-0000-000059310000}"/>
    <cellStyle name="Normal 10 2 3 2 2 4 4" xfId="28153" xr:uid="{00000000-0005-0000-0000-00005A310000}"/>
    <cellStyle name="Normal 10 2 3 2 2 5" xfId="5977" xr:uid="{00000000-0005-0000-0000-00005B310000}"/>
    <cellStyle name="Normal 10 2 3 2 2 5 2" xfId="14804" xr:uid="{00000000-0005-0000-0000-00005C310000}"/>
    <cellStyle name="Normal 10 2 3 2 2 5 2 2" xfId="40359" xr:uid="{00000000-0005-0000-0000-00005D310000}"/>
    <cellStyle name="Normal 10 2 3 2 2 5 3" xfId="25055" xr:uid="{00000000-0005-0000-0000-00005E310000}"/>
    <cellStyle name="Normal 10 2 3 2 2 5 3 2" xfId="50608" xr:uid="{00000000-0005-0000-0000-00005F310000}"/>
    <cellStyle name="Normal 10 2 3 2 2 5 4" xfId="31538" xr:uid="{00000000-0005-0000-0000-000060310000}"/>
    <cellStyle name="Normal 10 2 3 2 2 6" xfId="7421" xr:uid="{00000000-0005-0000-0000-000061310000}"/>
    <cellStyle name="Normal 10 2 3 2 2 6 2" xfId="20152" xr:uid="{00000000-0005-0000-0000-000062310000}"/>
    <cellStyle name="Normal 10 2 3 2 2 6 2 2" xfId="45705" xr:uid="{00000000-0005-0000-0000-000063310000}"/>
    <cellStyle name="Normal 10 2 3 2 2 6 3" xfId="32978" xr:uid="{00000000-0005-0000-0000-000064310000}"/>
    <cellStyle name="Normal 10 2 3 2 2 7" xfId="16663" xr:uid="{00000000-0005-0000-0000-000065310000}"/>
    <cellStyle name="Normal 10 2 3 2 2 7 2" xfId="42216" xr:uid="{00000000-0005-0000-0000-000066310000}"/>
    <cellStyle name="Normal 10 2 3 2 2 8" xfId="26635" xr:uid="{00000000-0005-0000-0000-000067310000}"/>
    <cellStyle name="Normal 10 2 3 2 3" xfId="1279" xr:uid="{00000000-0005-0000-0000-000068310000}"/>
    <cellStyle name="Normal 10 2 3 2 3 2" xfId="3708" xr:uid="{00000000-0005-0000-0000-000069310000}"/>
    <cellStyle name="Normal 10 2 3 2 3 2 2" xfId="12844" xr:uid="{00000000-0005-0000-0000-00006A310000}"/>
    <cellStyle name="Normal 10 2 3 2 3 2 2 2" xfId="23063" xr:uid="{00000000-0005-0000-0000-00006B310000}"/>
    <cellStyle name="Normal 10 2 3 2 3 2 2 2 2" xfId="48616" xr:uid="{00000000-0005-0000-0000-00006C310000}"/>
    <cellStyle name="Normal 10 2 3 2 3 2 2 3" xfId="38399" xr:uid="{00000000-0005-0000-0000-00006D310000}"/>
    <cellStyle name="Normal 10 2 3 2 3 2 3" xfId="9265" xr:uid="{00000000-0005-0000-0000-00006E310000}"/>
    <cellStyle name="Normal 10 2 3 2 3 2 3 2" xfId="34822" xr:uid="{00000000-0005-0000-0000-00006F310000}"/>
    <cellStyle name="Normal 10 2 3 2 3 2 4" xfId="18056" xr:uid="{00000000-0005-0000-0000-000070310000}"/>
    <cellStyle name="Normal 10 2 3 2 3 2 4 2" xfId="43609" xr:uid="{00000000-0005-0000-0000-000071310000}"/>
    <cellStyle name="Normal 10 2 3 2 3 2 5" xfId="29546" xr:uid="{00000000-0005-0000-0000-000072310000}"/>
    <cellStyle name="Normal 10 2 3 2 3 3" xfId="4870" xr:uid="{00000000-0005-0000-0000-000073310000}"/>
    <cellStyle name="Normal 10 2 3 2 3 3 2" xfId="13707" xr:uid="{00000000-0005-0000-0000-000074310000}"/>
    <cellStyle name="Normal 10 2 3 2 3 3 2 2" xfId="23958" xr:uid="{00000000-0005-0000-0000-000075310000}"/>
    <cellStyle name="Normal 10 2 3 2 3 3 2 2 2" xfId="49511" xr:uid="{00000000-0005-0000-0000-000076310000}"/>
    <cellStyle name="Normal 10 2 3 2 3 3 2 3" xfId="39262" xr:uid="{00000000-0005-0000-0000-000077310000}"/>
    <cellStyle name="Normal 10 2 3 2 3 3 3" xfId="10128" xr:uid="{00000000-0005-0000-0000-000078310000}"/>
    <cellStyle name="Normal 10 2 3 2 3 3 3 2" xfId="35685" xr:uid="{00000000-0005-0000-0000-000079310000}"/>
    <cellStyle name="Normal 10 2 3 2 3 3 4" xfId="18951" xr:uid="{00000000-0005-0000-0000-00007A310000}"/>
    <cellStyle name="Normal 10 2 3 2 3 3 4 2" xfId="44504" xr:uid="{00000000-0005-0000-0000-00007B310000}"/>
    <cellStyle name="Normal 10 2 3 2 3 3 5" xfId="30441" xr:uid="{00000000-0005-0000-0000-00007C310000}"/>
    <cellStyle name="Normal 10 2 3 2 3 4" xfId="2102" xr:uid="{00000000-0005-0000-0000-00007D310000}"/>
    <cellStyle name="Normal 10 2 3 2 3 4 2" xfId="11467" xr:uid="{00000000-0005-0000-0000-00007E310000}"/>
    <cellStyle name="Normal 10 2 3 2 3 4 2 2" xfId="37022" xr:uid="{00000000-0005-0000-0000-00007F310000}"/>
    <cellStyle name="Normal 10 2 3 2 3 4 3" xfId="21471" xr:uid="{00000000-0005-0000-0000-000080310000}"/>
    <cellStyle name="Normal 10 2 3 2 3 4 3 2" xfId="47024" xr:uid="{00000000-0005-0000-0000-000081310000}"/>
    <cellStyle name="Normal 10 2 3 2 3 4 4" xfId="27954" xr:uid="{00000000-0005-0000-0000-000082310000}"/>
    <cellStyle name="Normal 10 2 3 2 3 5" xfId="6325" xr:uid="{00000000-0005-0000-0000-000083310000}"/>
    <cellStyle name="Normal 10 2 3 2 3 5 2" xfId="15152" xr:uid="{00000000-0005-0000-0000-000084310000}"/>
    <cellStyle name="Normal 10 2 3 2 3 5 2 2" xfId="40707" xr:uid="{00000000-0005-0000-0000-000085310000}"/>
    <cellStyle name="Normal 10 2 3 2 3 5 3" xfId="25403" xr:uid="{00000000-0005-0000-0000-000086310000}"/>
    <cellStyle name="Normal 10 2 3 2 3 5 3 2" xfId="50956" xr:uid="{00000000-0005-0000-0000-000087310000}"/>
    <cellStyle name="Normal 10 2 3 2 3 5 4" xfId="31886" xr:uid="{00000000-0005-0000-0000-000088310000}"/>
    <cellStyle name="Normal 10 2 3 2 3 6" xfId="7771" xr:uid="{00000000-0005-0000-0000-000089310000}"/>
    <cellStyle name="Normal 10 2 3 2 3 6 2" xfId="20662" xr:uid="{00000000-0005-0000-0000-00008A310000}"/>
    <cellStyle name="Normal 10 2 3 2 3 6 2 2" xfId="46215" xr:uid="{00000000-0005-0000-0000-00008B310000}"/>
    <cellStyle name="Normal 10 2 3 2 3 6 3" xfId="33328" xr:uid="{00000000-0005-0000-0000-00008C310000}"/>
    <cellStyle name="Normal 10 2 3 2 3 7" xfId="16464" xr:uid="{00000000-0005-0000-0000-00008D310000}"/>
    <cellStyle name="Normal 10 2 3 2 3 7 2" xfId="42017" xr:uid="{00000000-0005-0000-0000-00008E310000}"/>
    <cellStyle name="Normal 10 2 3 2 3 8" xfId="27145" xr:uid="{00000000-0005-0000-0000-00008F310000}"/>
    <cellStyle name="Normal 10 2 3 2 4" xfId="2993" xr:uid="{00000000-0005-0000-0000-000090310000}"/>
    <cellStyle name="Normal 10 2 3 2 4 2" xfId="5371" xr:uid="{00000000-0005-0000-0000-000091310000}"/>
    <cellStyle name="Normal 10 2 3 2 4 2 2" xfId="14208" xr:uid="{00000000-0005-0000-0000-000092310000}"/>
    <cellStyle name="Normal 10 2 3 2 4 2 2 2" xfId="24459" xr:uid="{00000000-0005-0000-0000-000093310000}"/>
    <cellStyle name="Normal 10 2 3 2 4 2 2 2 2" xfId="50012" xr:uid="{00000000-0005-0000-0000-000094310000}"/>
    <cellStyle name="Normal 10 2 3 2 4 2 2 3" xfId="39763" xr:uid="{00000000-0005-0000-0000-000095310000}"/>
    <cellStyle name="Normal 10 2 3 2 4 2 3" xfId="10629" xr:uid="{00000000-0005-0000-0000-000096310000}"/>
    <cellStyle name="Normal 10 2 3 2 4 2 3 2" xfId="36186" xr:uid="{00000000-0005-0000-0000-000097310000}"/>
    <cellStyle name="Normal 10 2 3 2 4 2 4" xfId="19452" xr:uid="{00000000-0005-0000-0000-000098310000}"/>
    <cellStyle name="Normal 10 2 3 2 4 2 4 2" xfId="45005" xr:uid="{00000000-0005-0000-0000-000099310000}"/>
    <cellStyle name="Normal 10 2 3 2 4 2 5" xfId="30942" xr:uid="{00000000-0005-0000-0000-00009A310000}"/>
    <cellStyle name="Normal 10 2 3 2 4 3" xfId="6826" xr:uid="{00000000-0005-0000-0000-00009B310000}"/>
    <cellStyle name="Normal 10 2 3 2 4 3 2" xfId="15653" xr:uid="{00000000-0005-0000-0000-00009C310000}"/>
    <cellStyle name="Normal 10 2 3 2 4 3 2 2" xfId="41208" xr:uid="{00000000-0005-0000-0000-00009D310000}"/>
    <cellStyle name="Normal 10 2 3 2 4 3 3" xfId="25904" xr:uid="{00000000-0005-0000-0000-00009E310000}"/>
    <cellStyle name="Normal 10 2 3 2 4 3 3 2" xfId="51457" xr:uid="{00000000-0005-0000-0000-00009F310000}"/>
    <cellStyle name="Normal 10 2 3 2 4 3 4" xfId="32387" xr:uid="{00000000-0005-0000-0000-0000A0310000}"/>
    <cellStyle name="Normal 10 2 3 2 4 4" xfId="8272" xr:uid="{00000000-0005-0000-0000-0000A1310000}"/>
    <cellStyle name="Normal 10 2 3 2 4 4 2" xfId="22354" xr:uid="{00000000-0005-0000-0000-0000A2310000}"/>
    <cellStyle name="Normal 10 2 3 2 4 4 2 2" xfId="47907" xr:uid="{00000000-0005-0000-0000-0000A3310000}"/>
    <cellStyle name="Normal 10 2 3 2 4 4 3" xfId="33829" xr:uid="{00000000-0005-0000-0000-0000A4310000}"/>
    <cellStyle name="Normal 10 2 3 2 4 5" xfId="17347" xr:uid="{00000000-0005-0000-0000-0000A5310000}"/>
    <cellStyle name="Normal 10 2 3 2 4 5 2" xfId="42900" xr:uid="{00000000-0005-0000-0000-0000A6310000}"/>
    <cellStyle name="Normal 10 2 3 2 4 6" xfId="28837" xr:uid="{00000000-0005-0000-0000-0000A7310000}"/>
    <cellStyle name="Normal 10 2 3 2 5" xfId="4327" xr:uid="{00000000-0005-0000-0000-0000A8310000}"/>
    <cellStyle name="Normal 10 2 3 2 5 2" xfId="13165" xr:uid="{00000000-0005-0000-0000-0000A9310000}"/>
    <cellStyle name="Normal 10 2 3 2 5 2 2" xfId="23416" xr:uid="{00000000-0005-0000-0000-0000AA310000}"/>
    <cellStyle name="Normal 10 2 3 2 5 2 2 2" xfId="48969" xr:uid="{00000000-0005-0000-0000-0000AB310000}"/>
    <cellStyle name="Normal 10 2 3 2 5 2 3" xfId="38720" xr:uid="{00000000-0005-0000-0000-0000AC310000}"/>
    <cellStyle name="Normal 10 2 3 2 5 3" xfId="9586" xr:uid="{00000000-0005-0000-0000-0000AD310000}"/>
    <cellStyle name="Normal 10 2 3 2 5 3 2" xfId="35143" xr:uid="{00000000-0005-0000-0000-0000AE310000}"/>
    <cellStyle name="Normal 10 2 3 2 5 4" xfId="18409" xr:uid="{00000000-0005-0000-0000-0000AF310000}"/>
    <cellStyle name="Normal 10 2 3 2 5 4 2" xfId="43962" xr:uid="{00000000-0005-0000-0000-0000B0310000}"/>
    <cellStyle name="Normal 10 2 3 2 5 5" xfId="29899" xr:uid="{00000000-0005-0000-0000-0000B1310000}"/>
    <cellStyle name="Normal 10 2 3 2 6" xfId="1599" xr:uid="{00000000-0005-0000-0000-0000B2310000}"/>
    <cellStyle name="Normal 10 2 3 2 6 2" xfId="10976" xr:uid="{00000000-0005-0000-0000-0000B3310000}"/>
    <cellStyle name="Normal 10 2 3 2 6 2 2" xfId="36531" xr:uid="{00000000-0005-0000-0000-0000B4310000}"/>
    <cellStyle name="Normal 10 2 3 2 6 3" xfId="20980" xr:uid="{00000000-0005-0000-0000-0000B5310000}"/>
    <cellStyle name="Normal 10 2 3 2 6 3 2" xfId="46533" xr:uid="{00000000-0005-0000-0000-0000B6310000}"/>
    <cellStyle name="Normal 10 2 3 2 6 4" xfId="27463" xr:uid="{00000000-0005-0000-0000-0000B7310000}"/>
    <cellStyle name="Normal 10 2 3 2 7" xfId="5783" xr:uid="{00000000-0005-0000-0000-0000B8310000}"/>
    <cellStyle name="Normal 10 2 3 2 7 2" xfId="14610" xr:uid="{00000000-0005-0000-0000-0000B9310000}"/>
    <cellStyle name="Normal 10 2 3 2 7 2 2" xfId="40165" xr:uid="{00000000-0005-0000-0000-0000BA310000}"/>
    <cellStyle name="Normal 10 2 3 2 7 3" xfId="24861" xr:uid="{00000000-0005-0000-0000-0000BB310000}"/>
    <cellStyle name="Normal 10 2 3 2 7 3 2" xfId="50414" xr:uid="{00000000-0005-0000-0000-0000BC310000}"/>
    <cellStyle name="Normal 10 2 3 2 7 4" xfId="31344" xr:uid="{00000000-0005-0000-0000-0000BD310000}"/>
    <cellStyle name="Normal 10 2 3 2 8" xfId="7227" xr:uid="{00000000-0005-0000-0000-0000BE310000}"/>
    <cellStyle name="Normal 10 2 3 2 8 2" xfId="19953" xr:uid="{00000000-0005-0000-0000-0000BF310000}"/>
    <cellStyle name="Normal 10 2 3 2 8 2 2" xfId="45506" xr:uid="{00000000-0005-0000-0000-0000C0310000}"/>
    <cellStyle name="Normal 10 2 3 2 8 3" xfId="32784" xr:uid="{00000000-0005-0000-0000-0000C1310000}"/>
    <cellStyle name="Normal 10 2 3 2 9" xfId="15973" xr:uid="{00000000-0005-0000-0000-0000C2310000}"/>
    <cellStyle name="Normal 10 2 3 2 9 2" xfId="41526" xr:uid="{00000000-0005-0000-0000-0000C3310000}"/>
    <cellStyle name="Normal 10 2 3 2_Degree data" xfId="3837" xr:uid="{00000000-0005-0000-0000-0000C4310000}"/>
    <cellStyle name="Normal 10 2 3 3" xfId="407" xr:uid="{00000000-0005-0000-0000-0000C5310000}"/>
    <cellStyle name="Normal 10 2 3 3 2" xfId="2893" xr:uid="{00000000-0005-0000-0000-0000C6310000}"/>
    <cellStyle name="Normal 10 2 3 3 2 2" xfId="12181" xr:uid="{00000000-0005-0000-0000-0000C7310000}"/>
    <cellStyle name="Normal 10 2 3 3 2 2 2" xfId="22254" xr:uid="{00000000-0005-0000-0000-0000C8310000}"/>
    <cellStyle name="Normal 10 2 3 3 2 2 2 2" xfId="47807" xr:uid="{00000000-0005-0000-0000-0000C9310000}"/>
    <cellStyle name="Normal 10 2 3 3 2 2 3" xfId="37736" xr:uid="{00000000-0005-0000-0000-0000CA310000}"/>
    <cellStyle name="Normal 10 2 3 3 2 3" xfId="8452" xr:uid="{00000000-0005-0000-0000-0000CB310000}"/>
    <cellStyle name="Normal 10 2 3 3 2 3 2" xfId="34009" xr:uid="{00000000-0005-0000-0000-0000CC310000}"/>
    <cellStyle name="Normal 10 2 3 3 2 4" xfId="17247" xr:uid="{00000000-0005-0000-0000-0000CD310000}"/>
    <cellStyle name="Normal 10 2 3 3 2 4 2" xfId="42800" xr:uid="{00000000-0005-0000-0000-0000CE310000}"/>
    <cellStyle name="Normal 10 2 3 3 2 5" xfId="28737" xr:uid="{00000000-0005-0000-0000-0000CF310000}"/>
    <cellStyle name="Normal 10 2 3 3 3" xfId="4520" xr:uid="{00000000-0005-0000-0000-0000D0310000}"/>
    <cellStyle name="Normal 10 2 3 3 3 2" xfId="13358" xr:uid="{00000000-0005-0000-0000-0000D1310000}"/>
    <cellStyle name="Normal 10 2 3 3 3 2 2" xfId="23609" xr:uid="{00000000-0005-0000-0000-0000D2310000}"/>
    <cellStyle name="Normal 10 2 3 3 3 2 2 2" xfId="49162" xr:uid="{00000000-0005-0000-0000-0000D3310000}"/>
    <cellStyle name="Normal 10 2 3 3 3 2 3" xfId="38913" xr:uid="{00000000-0005-0000-0000-0000D4310000}"/>
    <cellStyle name="Normal 10 2 3 3 3 3" xfId="9779" xr:uid="{00000000-0005-0000-0000-0000D5310000}"/>
    <cellStyle name="Normal 10 2 3 3 3 3 2" xfId="35336" xr:uid="{00000000-0005-0000-0000-0000D6310000}"/>
    <cellStyle name="Normal 10 2 3 3 3 4" xfId="18602" xr:uid="{00000000-0005-0000-0000-0000D7310000}"/>
    <cellStyle name="Normal 10 2 3 3 3 4 2" xfId="44155" xr:uid="{00000000-0005-0000-0000-0000D8310000}"/>
    <cellStyle name="Normal 10 2 3 3 3 5" xfId="30092" xr:uid="{00000000-0005-0000-0000-0000D9310000}"/>
    <cellStyle name="Normal 10 2 3 3 4" xfId="2002" xr:uid="{00000000-0005-0000-0000-0000DA310000}"/>
    <cellStyle name="Normal 10 2 3 3 4 2" xfId="11367" xr:uid="{00000000-0005-0000-0000-0000DB310000}"/>
    <cellStyle name="Normal 10 2 3 3 4 2 2" xfId="36922" xr:uid="{00000000-0005-0000-0000-0000DC310000}"/>
    <cellStyle name="Normal 10 2 3 3 4 3" xfId="21371" xr:uid="{00000000-0005-0000-0000-0000DD310000}"/>
    <cellStyle name="Normal 10 2 3 3 4 3 2" xfId="46924" xr:uid="{00000000-0005-0000-0000-0000DE310000}"/>
    <cellStyle name="Normal 10 2 3 3 4 4" xfId="27854" xr:uid="{00000000-0005-0000-0000-0000DF310000}"/>
    <cellStyle name="Normal 10 2 3 3 5" xfId="5976" xr:uid="{00000000-0005-0000-0000-0000E0310000}"/>
    <cellStyle name="Normal 10 2 3 3 5 2" xfId="14803" xr:uid="{00000000-0005-0000-0000-0000E1310000}"/>
    <cellStyle name="Normal 10 2 3 3 5 2 2" xfId="40358" xr:uid="{00000000-0005-0000-0000-0000E2310000}"/>
    <cellStyle name="Normal 10 2 3 3 5 3" xfId="25054" xr:uid="{00000000-0005-0000-0000-0000E3310000}"/>
    <cellStyle name="Normal 10 2 3 3 5 3 2" xfId="50607" xr:uid="{00000000-0005-0000-0000-0000E4310000}"/>
    <cellStyle name="Normal 10 2 3 3 5 4" xfId="31537" xr:uid="{00000000-0005-0000-0000-0000E5310000}"/>
    <cellStyle name="Normal 10 2 3 3 6" xfId="7420" xr:uid="{00000000-0005-0000-0000-0000E6310000}"/>
    <cellStyle name="Normal 10 2 3 3 6 2" xfId="19853" xr:uid="{00000000-0005-0000-0000-0000E7310000}"/>
    <cellStyle name="Normal 10 2 3 3 6 2 2" xfId="45406" xr:uid="{00000000-0005-0000-0000-0000E8310000}"/>
    <cellStyle name="Normal 10 2 3 3 6 3" xfId="32977" xr:uid="{00000000-0005-0000-0000-0000E9310000}"/>
    <cellStyle name="Normal 10 2 3 3 7" xfId="16364" xr:uid="{00000000-0005-0000-0000-0000EA310000}"/>
    <cellStyle name="Normal 10 2 3 3 7 2" xfId="41917" xr:uid="{00000000-0005-0000-0000-0000EB310000}"/>
    <cellStyle name="Normal 10 2 3 3 8" xfId="26336" xr:uid="{00000000-0005-0000-0000-0000EC310000}"/>
    <cellStyle name="Normal 10 2 3 4" xfId="705" xr:uid="{00000000-0005-0000-0000-0000ED310000}"/>
    <cellStyle name="Normal 10 2 3 4 2" xfId="3191" xr:uid="{00000000-0005-0000-0000-0000EE310000}"/>
    <cellStyle name="Normal 10 2 3 4 2 2" xfId="12334" xr:uid="{00000000-0005-0000-0000-0000EF310000}"/>
    <cellStyle name="Normal 10 2 3 4 2 2 2" xfId="22552" xr:uid="{00000000-0005-0000-0000-0000F0310000}"/>
    <cellStyle name="Normal 10 2 3 4 2 2 2 2" xfId="48105" xr:uid="{00000000-0005-0000-0000-0000F1310000}"/>
    <cellStyle name="Normal 10 2 3 4 2 2 3" xfId="37889" xr:uid="{00000000-0005-0000-0000-0000F2310000}"/>
    <cellStyle name="Normal 10 2 3 4 2 3" xfId="8756" xr:uid="{00000000-0005-0000-0000-0000F3310000}"/>
    <cellStyle name="Normal 10 2 3 4 2 3 2" xfId="34313" xr:uid="{00000000-0005-0000-0000-0000F4310000}"/>
    <cellStyle name="Normal 10 2 3 4 2 4" xfId="17545" xr:uid="{00000000-0005-0000-0000-0000F5310000}"/>
    <cellStyle name="Normal 10 2 3 4 2 4 2" xfId="43098" xr:uid="{00000000-0005-0000-0000-0000F6310000}"/>
    <cellStyle name="Normal 10 2 3 4 2 5" xfId="29035" xr:uid="{00000000-0005-0000-0000-0000F7310000}"/>
    <cellStyle name="Normal 10 2 3 4 3" xfId="4869" xr:uid="{00000000-0005-0000-0000-0000F8310000}"/>
    <cellStyle name="Normal 10 2 3 4 3 2" xfId="13706" xr:uid="{00000000-0005-0000-0000-0000F9310000}"/>
    <cellStyle name="Normal 10 2 3 4 3 2 2" xfId="23957" xr:uid="{00000000-0005-0000-0000-0000FA310000}"/>
    <cellStyle name="Normal 10 2 3 4 3 2 2 2" xfId="49510" xr:uid="{00000000-0005-0000-0000-0000FB310000}"/>
    <cellStyle name="Normal 10 2 3 4 3 2 3" xfId="39261" xr:uid="{00000000-0005-0000-0000-0000FC310000}"/>
    <cellStyle name="Normal 10 2 3 4 3 3" xfId="10127" xr:uid="{00000000-0005-0000-0000-0000FD310000}"/>
    <cellStyle name="Normal 10 2 3 4 3 3 2" xfId="35684" xr:uid="{00000000-0005-0000-0000-0000FE310000}"/>
    <cellStyle name="Normal 10 2 3 4 3 4" xfId="18950" xr:uid="{00000000-0005-0000-0000-0000FF310000}"/>
    <cellStyle name="Normal 10 2 3 4 3 4 2" xfId="44503" xr:uid="{00000000-0005-0000-0000-000000320000}"/>
    <cellStyle name="Normal 10 2 3 4 3 5" xfId="30440" xr:uid="{00000000-0005-0000-0000-000001320000}"/>
    <cellStyle name="Normal 10 2 3 4 4" xfId="2300" xr:uid="{00000000-0005-0000-0000-000002320000}"/>
    <cellStyle name="Normal 10 2 3 4 4 2" xfId="11665" xr:uid="{00000000-0005-0000-0000-000003320000}"/>
    <cellStyle name="Normal 10 2 3 4 4 2 2" xfId="37220" xr:uid="{00000000-0005-0000-0000-000004320000}"/>
    <cellStyle name="Normal 10 2 3 4 4 3" xfId="21669" xr:uid="{00000000-0005-0000-0000-000005320000}"/>
    <cellStyle name="Normal 10 2 3 4 4 3 2" xfId="47222" xr:uid="{00000000-0005-0000-0000-000006320000}"/>
    <cellStyle name="Normal 10 2 3 4 4 4" xfId="28152" xr:uid="{00000000-0005-0000-0000-000007320000}"/>
    <cellStyle name="Normal 10 2 3 4 5" xfId="6324" xr:uid="{00000000-0005-0000-0000-000008320000}"/>
    <cellStyle name="Normal 10 2 3 4 5 2" xfId="15151" xr:uid="{00000000-0005-0000-0000-000009320000}"/>
    <cellStyle name="Normal 10 2 3 4 5 2 2" xfId="40706" xr:uid="{00000000-0005-0000-0000-00000A320000}"/>
    <cellStyle name="Normal 10 2 3 4 5 3" xfId="25402" xr:uid="{00000000-0005-0000-0000-00000B320000}"/>
    <cellStyle name="Normal 10 2 3 4 5 3 2" xfId="50955" xr:uid="{00000000-0005-0000-0000-00000C320000}"/>
    <cellStyle name="Normal 10 2 3 4 5 4" xfId="31885" xr:uid="{00000000-0005-0000-0000-00000D320000}"/>
    <cellStyle name="Normal 10 2 3 4 6" xfId="7770" xr:uid="{00000000-0005-0000-0000-00000E320000}"/>
    <cellStyle name="Normal 10 2 3 4 6 2" xfId="20151" xr:uid="{00000000-0005-0000-0000-00000F320000}"/>
    <cellStyle name="Normal 10 2 3 4 6 2 2" xfId="45704" xr:uid="{00000000-0005-0000-0000-000010320000}"/>
    <cellStyle name="Normal 10 2 3 4 6 3" xfId="33327" xr:uid="{00000000-0005-0000-0000-000011320000}"/>
    <cellStyle name="Normal 10 2 3 4 7" xfId="16662" xr:uid="{00000000-0005-0000-0000-000012320000}"/>
    <cellStyle name="Normal 10 2 3 4 7 2" xfId="42215" xr:uid="{00000000-0005-0000-0000-000013320000}"/>
    <cellStyle name="Normal 10 2 3 4 8" xfId="26634" xr:uid="{00000000-0005-0000-0000-000014320000}"/>
    <cellStyle name="Normal 10 2 3 5" xfId="1179" xr:uid="{00000000-0005-0000-0000-000015320000}"/>
    <cellStyle name="Normal 10 2 3 5 2" xfId="3608" xr:uid="{00000000-0005-0000-0000-000016320000}"/>
    <cellStyle name="Normal 10 2 3 5 2 2" xfId="12744" xr:uid="{00000000-0005-0000-0000-000017320000}"/>
    <cellStyle name="Normal 10 2 3 5 2 2 2" xfId="22963" xr:uid="{00000000-0005-0000-0000-000018320000}"/>
    <cellStyle name="Normal 10 2 3 5 2 2 2 2" xfId="48516" xr:uid="{00000000-0005-0000-0000-000019320000}"/>
    <cellStyle name="Normal 10 2 3 5 2 2 3" xfId="38299" xr:uid="{00000000-0005-0000-0000-00001A320000}"/>
    <cellStyle name="Normal 10 2 3 5 2 3" xfId="9165" xr:uid="{00000000-0005-0000-0000-00001B320000}"/>
    <cellStyle name="Normal 10 2 3 5 2 3 2" xfId="34722" xr:uid="{00000000-0005-0000-0000-00001C320000}"/>
    <cellStyle name="Normal 10 2 3 5 2 4" xfId="17956" xr:uid="{00000000-0005-0000-0000-00001D320000}"/>
    <cellStyle name="Normal 10 2 3 5 2 4 2" xfId="43509" xr:uid="{00000000-0005-0000-0000-00001E320000}"/>
    <cellStyle name="Normal 10 2 3 5 2 5" xfId="29446" xr:uid="{00000000-0005-0000-0000-00001F320000}"/>
    <cellStyle name="Normal 10 2 3 5 3" xfId="5271" xr:uid="{00000000-0005-0000-0000-000020320000}"/>
    <cellStyle name="Normal 10 2 3 5 3 2" xfId="14108" xr:uid="{00000000-0005-0000-0000-000021320000}"/>
    <cellStyle name="Normal 10 2 3 5 3 2 2" xfId="24359" xr:uid="{00000000-0005-0000-0000-000022320000}"/>
    <cellStyle name="Normal 10 2 3 5 3 2 2 2" xfId="49912" xr:uid="{00000000-0005-0000-0000-000023320000}"/>
    <cellStyle name="Normal 10 2 3 5 3 2 3" xfId="39663" xr:uid="{00000000-0005-0000-0000-000024320000}"/>
    <cellStyle name="Normal 10 2 3 5 3 3" xfId="10529" xr:uid="{00000000-0005-0000-0000-000025320000}"/>
    <cellStyle name="Normal 10 2 3 5 3 3 2" xfId="36086" xr:uid="{00000000-0005-0000-0000-000026320000}"/>
    <cellStyle name="Normal 10 2 3 5 3 4" xfId="19352" xr:uid="{00000000-0005-0000-0000-000027320000}"/>
    <cellStyle name="Normal 10 2 3 5 3 4 2" xfId="44905" xr:uid="{00000000-0005-0000-0000-000028320000}"/>
    <cellStyle name="Normal 10 2 3 5 3 5" xfId="30842" xr:uid="{00000000-0005-0000-0000-000029320000}"/>
    <cellStyle name="Normal 10 2 3 5 4" xfId="1781" xr:uid="{00000000-0005-0000-0000-00002A320000}"/>
    <cellStyle name="Normal 10 2 3 5 4 2" xfId="11150" xr:uid="{00000000-0005-0000-0000-00002B320000}"/>
    <cellStyle name="Normal 10 2 3 5 4 2 2" xfId="36705" xr:uid="{00000000-0005-0000-0000-00002C320000}"/>
    <cellStyle name="Normal 10 2 3 5 4 3" xfId="21154" xr:uid="{00000000-0005-0000-0000-00002D320000}"/>
    <cellStyle name="Normal 10 2 3 5 4 3 2" xfId="46707" xr:uid="{00000000-0005-0000-0000-00002E320000}"/>
    <cellStyle name="Normal 10 2 3 5 4 4" xfId="27637" xr:uid="{00000000-0005-0000-0000-00002F320000}"/>
    <cellStyle name="Normal 10 2 3 5 5" xfId="6726" xr:uid="{00000000-0005-0000-0000-000030320000}"/>
    <cellStyle name="Normal 10 2 3 5 5 2" xfId="15553" xr:uid="{00000000-0005-0000-0000-000031320000}"/>
    <cellStyle name="Normal 10 2 3 5 5 2 2" xfId="41108" xr:uid="{00000000-0005-0000-0000-000032320000}"/>
    <cellStyle name="Normal 10 2 3 5 5 3" xfId="25804" xr:uid="{00000000-0005-0000-0000-000033320000}"/>
    <cellStyle name="Normal 10 2 3 5 5 3 2" xfId="51357" xr:uid="{00000000-0005-0000-0000-000034320000}"/>
    <cellStyle name="Normal 10 2 3 5 5 4" xfId="32287" xr:uid="{00000000-0005-0000-0000-000035320000}"/>
    <cellStyle name="Normal 10 2 3 5 6" xfId="8172" xr:uid="{00000000-0005-0000-0000-000036320000}"/>
    <cellStyle name="Normal 10 2 3 5 6 2" xfId="20562" xr:uid="{00000000-0005-0000-0000-000037320000}"/>
    <cellStyle name="Normal 10 2 3 5 6 2 2" xfId="46115" xr:uid="{00000000-0005-0000-0000-000038320000}"/>
    <cellStyle name="Normal 10 2 3 5 6 3" xfId="33729" xr:uid="{00000000-0005-0000-0000-000039320000}"/>
    <cellStyle name="Normal 10 2 3 5 7" xfId="16147" xr:uid="{00000000-0005-0000-0000-00003A320000}"/>
    <cellStyle name="Normal 10 2 3 5 7 2" xfId="41700" xr:uid="{00000000-0005-0000-0000-00003B320000}"/>
    <cellStyle name="Normal 10 2 3 5 8" xfId="27045" xr:uid="{00000000-0005-0000-0000-00003C320000}"/>
    <cellStyle name="Normal 10 2 3 6" xfId="2676" xr:uid="{00000000-0005-0000-0000-00003D320000}"/>
    <cellStyle name="Normal 10 2 3 6 2" xfId="11993" xr:uid="{00000000-0005-0000-0000-00003E320000}"/>
    <cellStyle name="Normal 10 2 3 6 2 2" xfId="22037" xr:uid="{00000000-0005-0000-0000-00003F320000}"/>
    <cellStyle name="Normal 10 2 3 6 2 2 2" xfId="47590" xr:uid="{00000000-0005-0000-0000-000040320000}"/>
    <cellStyle name="Normal 10 2 3 6 2 3" xfId="37548" xr:uid="{00000000-0005-0000-0000-000041320000}"/>
    <cellStyle name="Normal 10 2 3 6 3" xfId="8491" xr:uid="{00000000-0005-0000-0000-000042320000}"/>
    <cellStyle name="Normal 10 2 3 6 3 2" xfId="34048" xr:uid="{00000000-0005-0000-0000-000043320000}"/>
    <cellStyle name="Normal 10 2 3 6 4" xfId="17030" xr:uid="{00000000-0005-0000-0000-000044320000}"/>
    <cellStyle name="Normal 10 2 3 6 4 2" xfId="42583" xr:uid="{00000000-0005-0000-0000-000045320000}"/>
    <cellStyle name="Normal 10 2 3 6 5" xfId="28520" xr:uid="{00000000-0005-0000-0000-000046320000}"/>
    <cellStyle name="Normal 10 2 3 7" xfId="4227" xr:uid="{00000000-0005-0000-0000-000047320000}"/>
    <cellStyle name="Normal 10 2 3 7 2" xfId="13065" xr:uid="{00000000-0005-0000-0000-000048320000}"/>
    <cellStyle name="Normal 10 2 3 7 2 2" xfId="23316" xr:uid="{00000000-0005-0000-0000-000049320000}"/>
    <cellStyle name="Normal 10 2 3 7 2 2 2" xfId="48869" xr:uid="{00000000-0005-0000-0000-00004A320000}"/>
    <cellStyle name="Normal 10 2 3 7 2 3" xfId="38620" xr:uid="{00000000-0005-0000-0000-00004B320000}"/>
    <cellStyle name="Normal 10 2 3 7 3" xfId="9486" xr:uid="{00000000-0005-0000-0000-00004C320000}"/>
    <cellStyle name="Normal 10 2 3 7 3 2" xfId="35043" xr:uid="{00000000-0005-0000-0000-00004D320000}"/>
    <cellStyle name="Normal 10 2 3 7 4" xfId="18309" xr:uid="{00000000-0005-0000-0000-00004E320000}"/>
    <cellStyle name="Normal 10 2 3 7 4 2" xfId="43862" xr:uid="{00000000-0005-0000-0000-00004F320000}"/>
    <cellStyle name="Normal 10 2 3 7 5" xfId="29799" xr:uid="{00000000-0005-0000-0000-000050320000}"/>
    <cellStyle name="Normal 10 2 3 8" xfId="1499" xr:uid="{00000000-0005-0000-0000-000051320000}"/>
    <cellStyle name="Normal 10 2 3 8 2" xfId="10876" xr:uid="{00000000-0005-0000-0000-000052320000}"/>
    <cellStyle name="Normal 10 2 3 8 2 2" xfId="36431" xr:uid="{00000000-0005-0000-0000-000053320000}"/>
    <cellStyle name="Normal 10 2 3 8 3" xfId="20880" xr:uid="{00000000-0005-0000-0000-000054320000}"/>
    <cellStyle name="Normal 10 2 3 8 3 2" xfId="46433" xr:uid="{00000000-0005-0000-0000-000055320000}"/>
    <cellStyle name="Normal 10 2 3 8 4" xfId="27363" xr:uid="{00000000-0005-0000-0000-000056320000}"/>
    <cellStyle name="Normal 10 2 3 9" xfId="5683" xr:uid="{00000000-0005-0000-0000-000057320000}"/>
    <cellStyle name="Normal 10 2 3 9 2" xfId="14510" xr:uid="{00000000-0005-0000-0000-000058320000}"/>
    <cellStyle name="Normal 10 2 3 9 2 2" xfId="40065" xr:uid="{00000000-0005-0000-0000-000059320000}"/>
    <cellStyle name="Normal 10 2 3 9 3" xfId="24761" xr:uid="{00000000-0005-0000-0000-00005A320000}"/>
    <cellStyle name="Normal 10 2 3 9 3 2" xfId="50314" xr:uid="{00000000-0005-0000-0000-00005B320000}"/>
    <cellStyle name="Normal 10 2 3 9 4" xfId="31244" xr:uid="{00000000-0005-0000-0000-00005C320000}"/>
    <cellStyle name="Normal 10 2 3_Degree data" xfId="3891" xr:uid="{00000000-0005-0000-0000-00005D320000}"/>
    <cellStyle name="Normal 10 2 4" xfId="234" xr:uid="{00000000-0005-0000-0000-00005E320000}"/>
    <cellStyle name="Normal 10 2 4 10" xfId="7072" xr:uid="{00000000-0005-0000-0000-00005F320000}"/>
    <cellStyle name="Normal 10 2 4 10 2" xfId="19686" xr:uid="{00000000-0005-0000-0000-000060320000}"/>
    <cellStyle name="Normal 10 2 4 10 2 2" xfId="45239" xr:uid="{00000000-0005-0000-0000-000061320000}"/>
    <cellStyle name="Normal 10 2 4 10 3" xfId="32629" xr:uid="{00000000-0005-0000-0000-000062320000}"/>
    <cellStyle name="Normal 10 2 4 11" xfId="15818" xr:uid="{00000000-0005-0000-0000-000063320000}"/>
    <cellStyle name="Normal 10 2 4 11 2" xfId="41371" xr:uid="{00000000-0005-0000-0000-000064320000}"/>
    <cellStyle name="Normal 10 2 4 12" xfId="26169" xr:uid="{00000000-0005-0000-0000-000065320000}"/>
    <cellStyle name="Normal 10 2 4 2" xfId="557" xr:uid="{00000000-0005-0000-0000-000066320000}"/>
    <cellStyle name="Normal 10 2 4 2 10" xfId="26486" xr:uid="{00000000-0005-0000-0000-000067320000}"/>
    <cellStyle name="Normal 10 2 4 2 2" xfId="708" xr:uid="{00000000-0005-0000-0000-000068320000}"/>
    <cellStyle name="Normal 10 2 4 2 2 2" xfId="3194" xr:uid="{00000000-0005-0000-0000-000069320000}"/>
    <cellStyle name="Normal 10 2 4 2 2 2 2" xfId="12337" xr:uid="{00000000-0005-0000-0000-00006A320000}"/>
    <cellStyle name="Normal 10 2 4 2 2 2 2 2" xfId="22555" xr:uid="{00000000-0005-0000-0000-00006B320000}"/>
    <cellStyle name="Normal 10 2 4 2 2 2 2 2 2" xfId="48108" xr:uid="{00000000-0005-0000-0000-00006C320000}"/>
    <cellStyle name="Normal 10 2 4 2 2 2 2 3" xfId="37892" xr:uid="{00000000-0005-0000-0000-00006D320000}"/>
    <cellStyle name="Normal 10 2 4 2 2 2 3" xfId="8759" xr:uid="{00000000-0005-0000-0000-00006E320000}"/>
    <cellStyle name="Normal 10 2 4 2 2 2 3 2" xfId="34316" xr:uid="{00000000-0005-0000-0000-00006F320000}"/>
    <cellStyle name="Normal 10 2 4 2 2 2 4" xfId="17548" xr:uid="{00000000-0005-0000-0000-000070320000}"/>
    <cellStyle name="Normal 10 2 4 2 2 2 4 2" xfId="43101" xr:uid="{00000000-0005-0000-0000-000071320000}"/>
    <cellStyle name="Normal 10 2 4 2 2 2 5" xfId="29038" xr:uid="{00000000-0005-0000-0000-000072320000}"/>
    <cellStyle name="Normal 10 2 4 2 2 3" xfId="4523" xr:uid="{00000000-0005-0000-0000-000073320000}"/>
    <cellStyle name="Normal 10 2 4 2 2 3 2" xfId="13361" xr:uid="{00000000-0005-0000-0000-000074320000}"/>
    <cellStyle name="Normal 10 2 4 2 2 3 2 2" xfId="23612" xr:uid="{00000000-0005-0000-0000-000075320000}"/>
    <cellStyle name="Normal 10 2 4 2 2 3 2 2 2" xfId="49165" xr:uid="{00000000-0005-0000-0000-000076320000}"/>
    <cellStyle name="Normal 10 2 4 2 2 3 2 3" xfId="38916" xr:uid="{00000000-0005-0000-0000-000077320000}"/>
    <cellStyle name="Normal 10 2 4 2 2 3 3" xfId="9782" xr:uid="{00000000-0005-0000-0000-000078320000}"/>
    <cellStyle name="Normal 10 2 4 2 2 3 3 2" xfId="35339" xr:uid="{00000000-0005-0000-0000-000079320000}"/>
    <cellStyle name="Normal 10 2 4 2 2 3 4" xfId="18605" xr:uid="{00000000-0005-0000-0000-00007A320000}"/>
    <cellStyle name="Normal 10 2 4 2 2 3 4 2" xfId="44158" xr:uid="{00000000-0005-0000-0000-00007B320000}"/>
    <cellStyle name="Normal 10 2 4 2 2 3 5" xfId="30095" xr:uid="{00000000-0005-0000-0000-00007C320000}"/>
    <cellStyle name="Normal 10 2 4 2 2 4" xfId="2303" xr:uid="{00000000-0005-0000-0000-00007D320000}"/>
    <cellStyle name="Normal 10 2 4 2 2 4 2" xfId="11668" xr:uid="{00000000-0005-0000-0000-00007E320000}"/>
    <cellStyle name="Normal 10 2 4 2 2 4 2 2" xfId="37223" xr:uid="{00000000-0005-0000-0000-00007F320000}"/>
    <cellStyle name="Normal 10 2 4 2 2 4 3" xfId="21672" xr:uid="{00000000-0005-0000-0000-000080320000}"/>
    <cellStyle name="Normal 10 2 4 2 2 4 3 2" xfId="47225" xr:uid="{00000000-0005-0000-0000-000081320000}"/>
    <cellStyle name="Normal 10 2 4 2 2 4 4" xfId="28155" xr:uid="{00000000-0005-0000-0000-000082320000}"/>
    <cellStyle name="Normal 10 2 4 2 2 5" xfId="5979" xr:uid="{00000000-0005-0000-0000-000083320000}"/>
    <cellStyle name="Normal 10 2 4 2 2 5 2" xfId="14806" xr:uid="{00000000-0005-0000-0000-000084320000}"/>
    <cellStyle name="Normal 10 2 4 2 2 5 2 2" xfId="40361" xr:uid="{00000000-0005-0000-0000-000085320000}"/>
    <cellStyle name="Normal 10 2 4 2 2 5 3" xfId="25057" xr:uid="{00000000-0005-0000-0000-000086320000}"/>
    <cellStyle name="Normal 10 2 4 2 2 5 3 2" xfId="50610" xr:uid="{00000000-0005-0000-0000-000087320000}"/>
    <cellStyle name="Normal 10 2 4 2 2 5 4" xfId="31540" xr:uid="{00000000-0005-0000-0000-000088320000}"/>
    <cellStyle name="Normal 10 2 4 2 2 6" xfId="7423" xr:uid="{00000000-0005-0000-0000-000089320000}"/>
    <cellStyle name="Normal 10 2 4 2 2 6 2" xfId="20154" xr:uid="{00000000-0005-0000-0000-00008A320000}"/>
    <cellStyle name="Normal 10 2 4 2 2 6 2 2" xfId="45707" xr:uid="{00000000-0005-0000-0000-00008B320000}"/>
    <cellStyle name="Normal 10 2 4 2 2 6 3" xfId="32980" xr:uid="{00000000-0005-0000-0000-00008C320000}"/>
    <cellStyle name="Normal 10 2 4 2 2 7" xfId="16665" xr:uid="{00000000-0005-0000-0000-00008D320000}"/>
    <cellStyle name="Normal 10 2 4 2 2 7 2" xfId="42218" xr:uid="{00000000-0005-0000-0000-00008E320000}"/>
    <cellStyle name="Normal 10 2 4 2 2 8" xfId="26637" xr:uid="{00000000-0005-0000-0000-00008F320000}"/>
    <cellStyle name="Normal 10 2 4 2 3" xfId="1329" xr:uid="{00000000-0005-0000-0000-000090320000}"/>
    <cellStyle name="Normal 10 2 4 2 3 2" xfId="3758" xr:uid="{00000000-0005-0000-0000-000091320000}"/>
    <cellStyle name="Normal 10 2 4 2 3 2 2" xfId="12894" xr:uid="{00000000-0005-0000-0000-000092320000}"/>
    <cellStyle name="Normal 10 2 4 2 3 2 2 2" xfId="23113" xr:uid="{00000000-0005-0000-0000-000093320000}"/>
    <cellStyle name="Normal 10 2 4 2 3 2 2 2 2" xfId="48666" xr:uid="{00000000-0005-0000-0000-000094320000}"/>
    <cellStyle name="Normal 10 2 4 2 3 2 2 3" xfId="38449" xr:uid="{00000000-0005-0000-0000-000095320000}"/>
    <cellStyle name="Normal 10 2 4 2 3 2 3" xfId="9315" xr:uid="{00000000-0005-0000-0000-000096320000}"/>
    <cellStyle name="Normal 10 2 4 2 3 2 3 2" xfId="34872" xr:uid="{00000000-0005-0000-0000-000097320000}"/>
    <cellStyle name="Normal 10 2 4 2 3 2 4" xfId="18106" xr:uid="{00000000-0005-0000-0000-000098320000}"/>
    <cellStyle name="Normal 10 2 4 2 3 2 4 2" xfId="43659" xr:uid="{00000000-0005-0000-0000-000099320000}"/>
    <cellStyle name="Normal 10 2 4 2 3 2 5" xfId="29596" xr:uid="{00000000-0005-0000-0000-00009A320000}"/>
    <cellStyle name="Normal 10 2 4 2 3 3" xfId="4872" xr:uid="{00000000-0005-0000-0000-00009B320000}"/>
    <cellStyle name="Normal 10 2 4 2 3 3 2" xfId="13709" xr:uid="{00000000-0005-0000-0000-00009C320000}"/>
    <cellStyle name="Normal 10 2 4 2 3 3 2 2" xfId="23960" xr:uid="{00000000-0005-0000-0000-00009D320000}"/>
    <cellStyle name="Normal 10 2 4 2 3 3 2 2 2" xfId="49513" xr:uid="{00000000-0005-0000-0000-00009E320000}"/>
    <cellStyle name="Normal 10 2 4 2 3 3 2 3" xfId="39264" xr:uid="{00000000-0005-0000-0000-00009F320000}"/>
    <cellStyle name="Normal 10 2 4 2 3 3 3" xfId="10130" xr:uid="{00000000-0005-0000-0000-0000A0320000}"/>
    <cellStyle name="Normal 10 2 4 2 3 3 3 2" xfId="35687" xr:uid="{00000000-0005-0000-0000-0000A1320000}"/>
    <cellStyle name="Normal 10 2 4 2 3 3 4" xfId="18953" xr:uid="{00000000-0005-0000-0000-0000A2320000}"/>
    <cellStyle name="Normal 10 2 4 2 3 3 4 2" xfId="44506" xr:uid="{00000000-0005-0000-0000-0000A3320000}"/>
    <cellStyle name="Normal 10 2 4 2 3 3 5" xfId="30443" xr:uid="{00000000-0005-0000-0000-0000A4320000}"/>
    <cellStyle name="Normal 10 2 4 2 3 4" xfId="2152" xr:uid="{00000000-0005-0000-0000-0000A5320000}"/>
    <cellStyle name="Normal 10 2 4 2 3 4 2" xfId="11517" xr:uid="{00000000-0005-0000-0000-0000A6320000}"/>
    <cellStyle name="Normal 10 2 4 2 3 4 2 2" xfId="37072" xr:uid="{00000000-0005-0000-0000-0000A7320000}"/>
    <cellStyle name="Normal 10 2 4 2 3 4 3" xfId="21521" xr:uid="{00000000-0005-0000-0000-0000A8320000}"/>
    <cellStyle name="Normal 10 2 4 2 3 4 3 2" xfId="47074" xr:uid="{00000000-0005-0000-0000-0000A9320000}"/>
    <cellStyle name="Normal 10 2 4 2 3 4 4" xfId="28004" xr:uid="{00000000-0005-0000-0000-0000AA320000}"/>
    <cellStyle name="Normal 10 2 4 2 3 5" xfId="6327" xr:uid="{00000000-0005-0000-0000-0000AB320000}"/>
    <cellStyle name="Normal 10 2 4 2 3 5 2" xfId="15154" xr:uid="{00000000-0005-0000-0000-0000AC320000}"/>
    <cellStyle name="Normal 10 2 4 2 3 5 2 2" xfId="40709" xr:uid="{00000000-0005-0000-0000-0000AD320000}"/>
    <cellStyle name="Normal 10 2 4 2 3 5 3" xfId="25405" xr:uid="{00000000-0005-0000-0000-0000AE320000}"/>
    <cellStyle name="Normal 10 2 4 2 3 5 3 2" xfId="50958" xr:uid="{00000000-0005-0000-0000-0000AF320000}"/>
    <cellStyle name="Normal 10 2 4 2 3 5 4" xfId="31888" xr:uid="{00000000-0005-0000-0000-0000B0320000}"/>
    <cellStyle name="Normal 10 2 4 2 3 6" xfId="7773" xr:uid="{00000000-0005-0000-0000-0000B1320000}"/>
    <cellStyle name="Normal 10 2 4 2 3 6 2" xfId="20712" xr:uid="{00000000-0005-0000-0000-0000B2320000}"/>
    <cellStyle name="Normal 10 2 4 2 3 6 2 2" xfId="46265" xr:uid="{00000000-0005-0000-0000-0000B3320000}"/>
    <cellStyle name="Normal 10 2 4 2 3 6 3" xfId="33330" xr:uid="{00000000-0005-0000-0000-0000B4320000}"/>
    <cellStyle name="Normal 10 2 4 2 3 7" xfId="16514" xr:uid="{00000000-0005-0000-0000-0000B5320000}"/>
    <cellStyle name="Normal 10 2 4 2 3 7 2" xfId="42067" xr:uid="{00000000-0005-0000-0000-0000B6320000}"/>
    <cellStyle name="Normal 10 2 4 2 3 8" xfId="27195" xr:uid="{00000000-0005-0000-0000-0000B7320000}"/>
    <cellStyle name="Normal 10 2 4 2 4" xfId="3043" xr:uid="{00000000-0005-0000-0000-0000B8320000}"/>
    <cellStyle name="Normal 10 2 4 2 4 2" xfId="5421" xr:uid="{00000000-0005-0000-0000-0000B9320000}"/>
    <cellStyle name="Normal 10 2 4 2 4 2 2" xfId="14258" xr:uid="{00000000-0005-0000-0000-0000BA320000}"/>
    <cellStyle name="Normal 10 2 4 2 4 2 2 2" xfId="24509" xr:uid="{00000000-0005-0000-0000-0000BB320000}"/>
    <cellStyle name="Normal 10 2 4 2 4 2 2 2 2" xfId="50062" xr:uid="{00000000-0005-0000-0000-0000BC320000}"/>
    <cellStyle name="Normal 10 2 4 2 4 2 2 3" xfId="39813" xr:uid="{00000000-0005-0000-0000-0000BD320000}"/>
    <cellStyle name="Normal 10 2 4 2 4 2 3" xfId="10679" xr:uid="{00000000-0005-0000-0000-0000BE320000}"/>
    <cellStyle name="Normal 10 2 4 2 4 2 3 2" xfId="36236" xr:uid="{00000000-0005-0000-0000-0000BF320000}"/>
    <cellStyle name="Normal 10 2 4 2 4 2 4" xfId="19502" xr:uid="{00000000-0005-0000-0000-0000C0320000}"/>
    <cellStyle name="Normal 10 2 4 2 4 2 4 2" xfId="45055" xr:uid="{00000000-0005-0000-0000-0000C1320000}"/>
    <cellStyle name="Normal 10 2 4 2 4 2 5" xfId="30992" xr:uid="{00000000-0005-0000-0000-0000C2320000}"/>
    <cellStyle name="Normal 10 2 4 2 4 3" xfId="6876" xr:uid="{00000000-0005-0000-0000-0000C3320000}"/>
    <cellStyle name="Normal 10 2 4 2 4 3 2" xfId="15703" xr:uid="{00000000-0005-0000-0000-0000C4320000}"/>
    <cellStyle name="Normal 10 2 4 2 4 3 2 2" xfId="41258" xr:uid="{00000000-0005-0000-0000-0000C5320000}"/>
    <cellStyle name="Normal 10 2 4 2 4 3 3" xfId="25954" xr:uid="{00000000-0005-0000-0000-0000C6320000}"/>
    <cellStyle name="Normal 10 2 4 2 4 3 3 2" xfId="51507" xr:uid="{00000000-0005-0000-0000-0000C7320000}"/>
    <cellStyle name="Normal 10 2 4 2 4 3 4" xfId="32437" xr:uid="{00000000-0005-0000-0000-0000C8320000}"/>
    <cellStyle name="Normal 10 2 4 2 4 4" xfId="8322" xr:uid="{00000000-0005-0000-0000-0000C9320000}"/>
    <cellStyle name="Normal 10 2 4 2 4 4 2" xfId="22404" xr:uid="{00000000-0005-0000-0000-0000CA320000}"/>
    <cellStyle name="Normal 10 2 4 2 4 4 2 2" xfId="47957" xr:uid="{00000000-0005-0000-0000-0000CB320000}"/>
    <cellStyle name="Normal 10 2 4 2 4 4 3" xfId="33879" xr:uid="{00000000-0005-0000-0000-0000CC320000}"/>
    <cellStyle name="Normal 10 2 4 2 4 5" xfId="17397" xr:uid="{00000000-0005-0000-0000-0000CD320000}"/>
    <cellStyle name="Normal 10 2 4 2 4 5 2" xfId="42950" xr:uid="{00000000-0005-0000-0000-0000CE320000}"/>
    <cellStyle name="Normal 10 2 4 2 4 6" xfId="28887" xr:uid="{00000000-0005-0000-0000-0000CF320000}"/>
    <cellStyle name="Normal 10 2 4 2 5" xfId="4377" xr:uid="{00000000-0005-0000-0000-0000D0320000}"/>
    <cellStyle name="Normal 10 2 4 2 5 2" xfId="13215" xr:uid="{00000000-0005-0000-0000-0000D1320000}"/>
    <cellStyle name="Normal 10 2 4 2 5 2 2" xfId="23466" xr:uid="{00000000-0005-0000-0000-0000D2320000}"/>
    <cellStyle name="Normal 10 2 4 2 5 2 2 2" xfId="49019" xr:uid="{00000000-0005-0000-0000-0000D3320000}"/>
    <cellStyle name="Normal 10 2 4 2 5 2 3" xfId="38770" xr:uid="{00000000-0005-0000-0000-0000D4320000}"/>
    <cellStyle name="Normal 10 2 4 2 5 3" xfId="9636" xr:uid="{00000000-0005-0000-0000-0000D5320000}"/>
    <cellStyle name="Normal 10 2 4 2 5 3 2" xfId="35193" xr:uid="{00000000-0005-0000-0000-0000D6320000}"/>
    <cellStyle name="Normal 10 2 4 2 5 4" xfId="18459" xr:uid="{00000000-0005-0000-0000-0000D7320000}"/>
    <cellStyle name="Normal 10 2 4 2 5 4 2" xfId="44012" xr:uid="{00000000-0005-0000-0000-0000D8320000}"/>
    <cellStyle name="Normal 10 2 4 2 5 5" xfId="29949" xr:uid="{00000000-0005-0000-0000-0000D9320000}"/>
    <cellStyle name="Normal 10 2 4 2 6" xfId="1649" xr:uid="{00000000-0005-0000-0000-0000DA320000}"/>
    <cellStyle name="Normal 10 2 4 2 6 2" xfId="11026" xr:uid="{00000000-0005-0000-0000-0000DB320000}"/>
    <cellStyle name="Normal 10 2 4 2 6 2 2" xfId="36581" xr:uid="{00000000-0005-0000-0000-0000DC320000}"/>
    <cellStyle name="Normal 10 2 4 2 6 3" xfId="21030" xr:uid="{00000000-0005-0000-0000-0000DD320000}"/>
    <cellStyle name="Normal 10 2 4 2 6 3 2" xfId="46583" xr:uid="{00000000-0005-0000-0000-0000DE320000}"/>
    <cellStyle name="Normal 10 2 4 2 6 4" xfId="27513" xr:uid="{00000000-0005-0000-0000-0000DF320000}"/>
    <cellStyle name="Normal 10 2 4 2 7" xfId="5833" xr:uid="{00000000-0005-0000-0000-0000E0320000}"/>
    <cellStyle name="Normal 10 2 4 2 7 2" xfId="14660" xr:uid="{00000000-0005-0000-0000-0000E1320000}"/>
    <cellStyle name="Normal 10 2 4 2 7 2 2" xfId="40215" xr:uid="{00000000-0005-0000-0000-0000E2320000}"/>
    <cellStyle name="Normal 10 2 4 2 7 3" xfId="24911" xr:uid="{00000000-0005-0000-0000-0000E3320000}"/>
    <cellStyle name="Normal 10 2 4 2 7 3 2" xfId="50464" xr:uid="{00000000-0005-0000-0000-0000E4320000}"/>
    <cellStyle name="Normal 10 2 4 2 7 4" xfId="31394" xr:uid="{00000000-0005-0000-0000-0000E5320000}"/>
    <cellStyle name="Normal 10 2 4 2 8" xfId="7277" xr:uid="{00000000-0005-0000-0000-0000E6320000}"/>
    <cellStyle name="Normal 10 2 4 2 8 2" xfId="20003" xr:uid="{00000000-0005-0000-0000-0000E7320000}"/>
    <cellStyle name="Normal 10 2 4 2 8 2 2" xfId="45556" xr:uid="{00000000-0005-0000-0000-0000E8320000}"/>
    <cellStyle name="Normal 10 2 4 2 8 3" xfId="32834" xr:uid="{00000000-0005-0000-0000-0000E9320000}"/>
    <cellStyle name="Normal 10 2 4 2 9" xfId="16023" xr:uid="{00000000-0005-0000-0000-0000EA320000}"/>
    <cellStyle name="Normal 10 2 4 2 9 2" xfId="41576" xr:uid="{00000000-0005-0000-0000-0000EB320000}"/>
    <cellStyle name="Normal 10 2 4 2_Degree data" xfId="3870" xr:uid="{00000000-0005-0000-0000-0000EC320000}"/>
    <cellStyle name="Normal 10 2 4 3" xfId="352" xr:uid="{00000000-0005-0000-0000-0000ED320000}"/>
    <cellStyle name="Normal 10 2 4 3 2" xfId="2838" xr:uid="{00000000-0005-0000-0000-0000EE320000}"/>
    <cellStyle name="Normal 10 2 4 3 2 2" xfId="12126" xr:uid="{00000000-0005-0000-0000-0000EF320000}"/>
    <cellStyle name="Normal 10 2 4 3 2 2 2" xfId="22199" xr:uid="{00000000-0005-0000-0000-0000F0320000}"/>
    <cellStyle name="Normal 10 2 4 3 2 2 2 2" xfId="47752" xr:uid="{00000000-0005-0000-0000-0000F1320000}"/>
    <cellStyle name="Normal 10 2 4 3 2 2 3" xfId="37681" xr:uid="{00000000-0005-0000-0000-0000F2320000}"/>
    <cellStyle name="Normal 10 2 4 3 2 3" xfId="8419" xr:uid="{00000000-0005-0000-0000-0000F3320000}"/>
    <cellStyle name="Normal 10 2 4 3 2 3 2" xfId="33976" xr:uid="{00000000-0005-0000-0000-0000F4320000}"/>
    <cellStyle name="Normal 10 2 4 3 2 4" xfId="17192" xr:uid="{00000000-0005-0000-0000-0000F5320000}"/>
    <cellStyle name="Normal 10 2 4 3 2 4 2" xfId="42745" xr:uid="{00000000-0005-0000-0000-0000F6320000}"/>
    <cellStyle name="Normal 10 2 4 3 2 5" xfId="28682" xr:uid="{00000000-0005-0000-0000-0000F7320000}"/>
    <cellStyle name="Normal 10 2 4 3 3" xfId="4522" xr:uid="{00000000-0005-0000-0000-0000F8320000}"/>
    <cellStyle name="Normal 10 2 4 3 3 2" xfId="13360" xr:uid="{00000000-0005-0000-0000-0000F9320000}"/>
    <cellStyle name="Normal 10 2 4 3 3 2 2" xfId="23611" xr:uid="{00000000-0005-0000-0000-0000FA320000}"/>
    <cellStyle name="Normal 10 2 4 3 3 2 2 2" xfId="49164" xr:uid="{00000000-0005-0000-0000-0000FB320000}"/>
    <cellStyle name="Normal 10 2 4 3 3 2 3" xfId="38915" xr:uid="{00000000-0005-0000-0000-0000FC320000}"/>
    <cellStyle name="Normal 10 2 4 3 3 3" xfId="9781" xr:uid="{00000000-0005-0000-0000-0000FD320000}"/>
    <cellStyle name="Normal 10 2 4 3 3 3 2" xfId="35338" xr:uid="{00000000-0005-0000-0000-0000FE320000}"/>
    <cellStyle name="Normal 10 2 4 3 3 4" xfId="18604" xr:uid="{00000000-0005-0000-0000-0000FF320000}"/>
    <cellStyle name="Normal 10 2 4 3 3 4 2" xfId="44157" xr:uid="{00000000-0005-0000-0000-000000330000}"/>
    <cellStyle name="Normal 10 2 4 3 3 5" xfId="30094" xr:uid="{00000000-0005-0000-0000-000001330000}"/>
    <cellStyle name="Normal 10 2 4 3 4" xfId="1947" xr:uid="{00000000-0005-0000-0000-000002330000}"/>
    <cellStyle name="Normal 10 2 4 3 4 2" xfId="11312" xr:uid="{00000000-0005-0000-0000-000003330000}"/>
    <cellStyle name="Normal 10 2 4 3 4 2 2" xfId="36867" xr:uid="{00000000-0005-0000-0000-000004330000}"/>
    <cellStyle name="Normal 10 2 4 3 4 3" xfId="21316" xr:uid="{00000000-0005-0000-0000-000005330000}"/>
    <cellStyle name="Normal 10 2 4 3 4 3 2" xfId="46869" xr:uid="{00000000-0005-0000-0000-000006330000}"/>
    <cellStyle name="Normal 10 2 4 3 4 4" xfId="27799" xr:uid="{00000000-0005-0000-0000-000007330000}"/>
    <cellStyle name="Normal 10 2 4 3 5" xfId="5978" xr:uid="{00000000-0005-0000-0000-000008330000}"/>
    <cellStyle name="Normal 10 2 4 3 5 2" xfId="14805" xr:uid="{00000000-0005-0000-0000-000009330000}"/>
    <cellStyle name="Normal 10 2 4 3 5 2 2" xfId="40360" xr:uid="{00000000-0005-0000-0000-00000A330000}"/>
    <cellStyle name="Normal 10 2 4 3 5 3" xfId="25056" xr:uid="{00000000-0005-0000-0000-00000B330000}"/>
    <cellStyle name="Normal 10 2 4 3 5 3 2" xfId="50609" xr:uid="{00000000-0005-0000-0000-00000C330000}"/>
    <cellStyle name="Normal 10 2 4 3 5 4" xfId="31539" xr:uid="{00000000-0005-0000-0000-00000D330000}"/>
    <cellStyle name="Normal 10 2 4 3 6" xfId="7422" xr:uid="{00000000-0005-0000-0000-00000E330000}"/>
    <cellStyle name="Normal 10 2 4 3 6 2" xfId="19798" xr:uid="{00000000-0005-0000-0000-00000F330000}"/>
    <cellStyle name="Normal 10 2 4 3 6 2 2" xfId="45351" xr:uid="{00000000-0005-0000-0000-000010330000}"/>
    <cellStyle name="Normal 10 2 4 3 6 3" xfId="32979" xr:uid="{00000000-0005-0000-0000-000011330000}"/>
    <cellStyle name="Normal 10 2 4 3 7" xfId="16309" xr:uid="{00000000-0005-0000-0000-000012330000}"/>
    <cellStyle name="Normal 10 2 4 3 7 2" xfId="41862" xr:uid="{00000000-0005-0000-0000-000013330000}"/>
    <cellStyle name="Normal 10 2 4 3 8" xfId="26281" xr:uid="{00000000-0005-0000-0000-000014330000}"/>
    <cellStyle name="Normal 10 2 4 4" xfId="707" xr:uid="{00000000-0005-0000-0000-000015330000}"/>
    <cellStyle name="Normal 10 2 4 4 2" xfId="3193" xr:uid="{00000000-0005-0000-0000-000016330000}"/>
    <cellStyle name="Normal 10 2 4 4 2 2" xfId="12336" xr:uid="{00000000-0005-0000-0000-000017330000}"/>
    <cellStyle name="Normal 10 2 4 4 2 2 2" xfId="22554" xr:uid="{00000000-0005-0000-0000-000018330000}"/>
    <cellStyle name="Normal 10 2 4 4 2 2 2 2" xfId="48107" xr:uid="{00000000-0005-0000-0000-000019330000}"/>
    <cellStyle name="Normal 10 2 4 4 2 2 3" xfId="37891" xr:uid="{00000000-0005-0000-0000-00001A330000}"/>
    <cellStyle name="Normal 10 2 4 4 2 3" xfId="8758" xr:uid="{00000000-0005-0000-0000-00001B330000}"/>
    <cellStyle name="Normal 10 2 4 4 2 3 2" xfId="34315" xr:uid="{00000000-0005-0000-0000-00001C330000}"/>
    <cellStyle name="Normal 10 2 4 4 2 4" xfId="17547" xr:uid="{00000000-0005-0000-0000-00001D330000}"/>
    <cellStyle name="Normal 10 2 4 4 2 4 2" xfId="43100" xr:uid="{00000000-0005-0000-0000-00001E330000}"/>
    <cellStyle name="Normal 10 2 4 4 2 5" xfId="29037" xr:uid="{00000000-0005-0000-0000-00001F330000}"/>
    <cellStyle name="Normal 10 2 4 4 3" xfId="4871" xr:uid="{00000000-0005-0000-0000-000020330000}"/>
    <cellStyle name="Normal 10 2 4 4 3 2" xfId="13708" xr:uid="{00000000-0005-0000-0000-000021330000}"/>
    <cellStyle name="Normal 10 2 4 4 3 2 2" xfId="23959" xr:uid="{00000000-0005-0000-0000-000022330000}"/>
    <cellStyle name="Normal 10 2 4 4 3 2 2 2" xfId="49512" xr:uid="{00000000-0005-0000-0000-000023330000}"/>
    <cellStyle name="Normal 10 2 4 4 3 2 3" xfId="39263" xr:uid="{00000000-0005-0000-0000-000024330000}"/>
    <cellStyle name="Normal 10 2 4 4 3 3" xfId="10129" xr:uid="{00000000-0005-0000-0000-000025330000}"/>
    <cellStyle name="Normal 10 2 4 4 3 3 2" xfId="35686" xr:uid="{00000000-0005-0000-0000-000026330000}"/>
    <cellStyle name="Normal 10 2 4 4 3 4" xfId="18952" xr:uid="{00000000-0005-0000-0000-000027330000}"/>
    <cellStyle name="Normal 10 2 4 4 3 4 2" xfId="44505" xr:uid="{00000000-0005-0000-0000-000028330000}"/>
    <cellStyle name="Normal 10 2 4 4 3 5" xfId="30442" xr:uid="{00000000-0005-0000-0000-000029330000}"/>
    <cellStyle name="Normal 10 2 4 4 4" xfId="2302" xr:uid="{00000000-0005-0000-0000-00002A330000}"/>
    <cellStyle name="Normal 10 2 4 4 4 2" xfId="11667" xr:uid="{00000000-0005-0000-0000-00002B330000}"/>
    <cellStyle name="Normal 10 2 4 4 4 2 2" xfId="37222" xr:uid="{00000000-0005-0000-0000-00002C330000}"/>
    <cellStyle name="Normal 10 2 4 4 4 3" xfId="21671" xr:uid="{00000000-0005-0000-0000-00002D330000}"/>
    <cellStyle name="Normal 10 2 4 4 4 3 2" xfId="47224" xr:uid="{00000000-0005-0000-0000-00002E330000}"/>
    <cellStyle name="Normal 10 2 4 4 4 4" xfId="28154" xr:uid="{00000000-0005-0000-0000-00002F330000}"/>
    <cellStyle name="Normal 10 2 4 4 5" xfId="6326" xr:uid="{00000000-0005-0000-0000-000030330000}"/>
    <cellStyle name="Normal 10 2 4 4 5 2" xfId="15153" xr:uid="{00000000-0005-0000-0000-000031330000}"/>
    <cellStyle name="Normal 10 2 4 4 5 2 2" xfId="40708" xr:uid="{00000000-0005-0000-0000-000032330000}"/>
    <cellStyle name="Normal 10 2 4 4 5 3" xfId="25404" xr:uid="{00000000-0005-0000-0000-000033330000}"/>
    <cellStyle name="Normal 10 2 4 4 5 3 2" xfId="50957" xr:uid="{00000000-0005-0000-0000-000034330000}"/>
    <cellStyle name="Normal 10 2 4 4 5 4" xfId="31887" xr:uid="{00000000-0005-0000-0000-000035330000}"/>
    <cellStyle name="Normal 10 2 4 4 6" xfId="7772" xr:uid="{00000000-0005-0000-0000-000036330000}"/>
    <cellStyle name="Normal 10 2 4 4 6 2" xfId="20153" xr:uid="{00000000-0005-0000-0000-000037330000}"/>
    <cellStyle name="Normal 10 2 4 4 6 2 2" xfId="45706" xr:uid="{00000000-0005-0000-0000-000038330000}"/>
    <cellStyle name="Normal 10 2 4 4 6 3" xfId="33329" xr:uid="{00000000-0005-0000-0000-000039330000}"/>
    <cellStyle name="Normal 10 2 4 4 7" xfId="16664" xr:uid="{00000000-0005-0000-0000-00003A330000}"/>
    <cellStyle name="Normal 10 2 4 4 7 2" xfId="42217" xr:uid="{00000000-0005-0000-0000-00003B330000}"/>
    <cellStyle name="Normal 10 2 4 4 8" xfId="26636" xr:uid="{00000000-0005-0000-0000-00003C330000}"/>
    <cellStyle name="Normal 10 2 4 5" xfId="1124" xr:uid="{00000000-0005-0000-0000-00003D330000}"/>
    <cellStyle name="Normal 10 2 4 5 2" xfId="3553" xr:uid="{00000000-0005-0000-0000-00003E330000}"/>
    <cellStyle name="Normal 10 2 4 5 2 2" xfId="12689" xr:uid="{00000000-0005-0000-0000-00003F330000}"/>
    <cellStyle name="Normal 10 2 4 5 2 2 2" xfId="22908" xr:uid="{00000000-0005-0000-0000-000040330000}"/>
    <cellStyle name="Normal 10 2 4 5 2 2 2 2" xfId="48461" xr:uid="{00000000-0005-0000-0000-000041330000}"/>
    <cellStyle name="Normal 10 2 4 5 2 2 3" xfId="38244" xr:uid="{00000000-0005-0000-0000-000042330000}"/>
    <cellStyle name="Normal 10 2 4 5 2 3" xfId="9110" xr:uid="{00000000-0005-0000-0000-000043330000}"/>
    <cellStyle name="Normal 10 2 4 5 2 3 2" xfId="34667" xr:uid="{00000000-0005-0000-0000-000044330000}"/>
    <cellStyle name="Normal 10 2 4 5 2 4" xfId="17901" xr:uid="{00000000-0005-0000-0000-000045330000}"/>
    <cellStyle name="Normal 10 2 4 5 2 4 2" xfId="43454" xr:uid="{00000000-0005-0000-0000-000046330000}"/>
    <cellStyle name="Normal 10 2 4 5 2 5" xfId="29391" xr:uid="{00000000-0005-0000-0000-000047330000}"/>
    <cellStyle name="Normal 10 2 4 5 3" xfId="5216" xr:uid="{00000000-0005-0000-0000-000048330000}"/>
    <cellStyle name="Normal 10 2 4 5 3 2" xfId="14053" xr:uid="{00000000-0005-0000-0000-000049330000}"/>
    <cellStyle name="Normal 10 2 4 5 3 2 2" xfId="24304" xr:uid="{00000000-0005-0000-0000-00004A330000}"/>
    <cellStyle name="Normal 10 2 4 5 3 2 2 2" xfId="49857" xr:uid="{00000000-0005-0000-0000-00004B330000}"/>
    <cellStyle name="Normal 10 2 4 5 3 2 3" xfId="39608" xr:uid="{00000000-0005-0000-0000-00004C330000}"/>
    <cellStyle name="Normal 10 2 4 5 3 3" xfId="10474" xr:uid="{00000000-0005-0000-0000-00004D330000}"/>
    <cellStyle name="Normal 10 2 4 5 3 3 2" xfId="36031" xr:uid="{00000000-0005-0000-0000-00004E330000}"/>
    <cellStyle name="Normal 10 2 4 5 3 4" xfId="19297" xr:uid="{00000000-0005-0000-0000-00004F330000}"/>
    <cellStyle name="Normal 10 2 4 5 3 4 2" xfId="44850" xr:uid="{00000000-0005-0000-0000-000050330000}"/>
    <cellStyle name="Normal 10 2 4 5 3 5" xfId="30787" xr:uid="{00000000-0005-0000-0000-000051330000}"/>
    <cellStyle name="Normal 10 2 4 5 4" xfId="1832" xr:uid="{00000000-0005-0000-0000-000052330000}"/>
    <cellStyle name="Normal 10 2 4 5 4 2" xfId="11200" xr:uid="{00000000-0005-0000-0000-000053330000}"/>
    <cellStyle name="Normal 10 2 4 5 4 2 2" xfId="36755" xr:uid="{00000000-0005-0000-0000-000054330000}"/>
    <cellStyle name="Normal 10 2 4 5 4 3" xfId="21204" xr:uid="{00000000-0005-0000-0000-000055330000}"/>
    <cellStyle name="Normal 10 2 4 5 4 3 2" xfId="46757" xr:uid="{00000000-0005-0000-0000-000056330000}"/>
    <cellStyle name="Normal 10 2 4 5 4 4" xfId="27687" xr:uid="{00000000-0005-0000-0000-000057330000}"/>
    <cellStyle name="Normal 10 2 4 5 5" xfId="6671" xr:uid="{00000000-0005-0000-0000-000058330000}"/>
    <cellStyle name="Normal 10 2 4 5 5 2" xfId="15498" xr:uid="{00000000-0005-0000-0000-000059330000}"/>
    <cellStyle name="Normal 10 2 4 5 5 2 2" xfId="41053" xr:uid="{00000000-0005-0000-0000-00005A330000}"/>
    <cellStyle name="Normal 10 2 4 5 5 3" xfId="25749" xr:uid="{00000000-0005-0000-0000-00005B330000}"/>
    <cellStyle name="Normal 10 2 4 5 5 3 2" xfId="51302" xr:uid="{00000000-0005-0000-0000-00005C330000}"/>
    <cellStyle name="Normal 10 2 4 5 5 4" xfId="32232" xr:uid="{00000000-0005-0000-0000-00005D330000}"/>
    <cellStyle name="Normal 10 2 4 5 6" xfId="8117" xr:uid="{00000000-0005-0000-0000-00005E330000}"/>
    <cellStyle name="Normal 10 2 4 5 6 2" xfId="20507" xr:uid="{00000000-0005-0000-0000-00005F330000}"/>
    <cellStyle name="Normal 10 2 4 5 6 2 2" xfId="46060" xr:uid="{00000000-0005-0000-0000-000060330000}"/>
    <cellStyle name="Normal 10 2 4 5 6 3" xfId="33674" xr:uid="{00000000-0005-0000-0000-000061330000}"/>
    <cellStyle name="Normal 10 2 4 5 7" xfId="16197" xr:uid="{00000000-0005-0000-0000-000062330000}"/>
    <cellStyle name="Normal 10 2 4 5 7 2" xfId="41750" xr:uid="{00000000-0005-0000-0000-000063330000}"/>
    <cellStyle name="Normal 10 2 4 5 8" xfId="26990" xr:uid="{00000000-0005-0000-0000-000064330000}"/>
    <cellStyle name="Normal 10 2 4 6" xfId="2726" xr:uid="{00000000-0005-0000-0000-000065330000}"/>
    <cellStyle name="Normal 10 2 4 6 2" xfId="12043" xr:uid="{00000000-0005-0000-0000-000066330000}"/>
    <cellStyle name="Normal 10 2 4 6 2 2" xfId="22087" xr:uid="{00000000-0005-0000-0000-000067330000}"/>
    <cellStyle name="Normal 10 2 4 6 2 2 2" xfId="47640" xr:uid="{00000000-0005-0000-0000-000068330000}"/>
    <cellStyle name="Normal 10 2 4 6 2 3" xfId="37598" xr:uid="{00000000-0005-0000-0000-000069330000}"/>
    <cellStyle name="Normal 10 2 4 6 3" xfId="8605" xr:uid="{00000000-0005-0000-0000-00006A330000}"/>
    <cellStyle name="Normal 10 2 4 6 3 2" xfId="34162" xr:uid="{00000000-0005-0000-0000-00006B330000}"/>
    <cellStyle name="Normal 10 2 4 6 4" xfId="17080" xr:uid="{00000000-0005-0000-0000-00006C330000}"/>
    <cellStyle name="Normal 10 2 4 6 4 2" xfId="42633" xr:uid="{00000000-0005-0000-0000-00006D330000}"/>
    <cellStyle name="Normal 10 2 4 6 5" xfId="28570" xr:uid="{00000000-0005-0000-0000-00006E330000}"/>
    <cellStyle name="Normal 10 2 4 7" xfId="4172" xr:uid="{00000000-0005-0000-0000-00006F330000}"/>
    <cellStyle name="Normal 10 2 4 7 2" xfId="13010" xr:uid="{00000000-0005-0000-0000-000070330000}"/>
    <cellStyle name="Normal 10 2 4 7 2 2" xfId="23261" xr:uid="{00000000-0005-0000-0000-000071330000}"/>
    <cellStyle name="Normal 10 2 4 7 2 2 2" xfId="48814" xr:uid="{00000000-0005-0000-0000-000072330000}"/>
    <cellStyle name="Normal 10 2 4 7 2 3" xfId="38565" xr:uid="{00000000-0005-0000-0000-000073330000}"/>
    <cellStyle name="Normal 10 2 4 7 3" xfId="9431" xr:uid="{00000000-0005-0000-0000-000074330000}"/>
    <cellStyle name="Normal 10 2 4 7 3 2" xfId="34988" xr:uid="{00000000-0005-0000-0000-000075330000}"/>
    <cellStyle name="Normal 10 2 4 7 4" xfId="18254" xr:uid="{00000000-0005-0000-0000-000076330000}"/>
    <cellStyle name="Normal 10 2 4 7 4 2" xfId="43807" xr:uid="{00000000-0005-0000-0000-000077330000}"/>
    <cellStyle name="Normal 10 2 4 7 5" xfId="29744" xr:uid="{00000000-0005-0000-0000-000078330000}"/>
    <cellStyle name="Normal 10 2 4 8" xfId="1444" xr:uid="{00000000-0005-0000-0000-000079330000}"/>
    <cellStyle name="Normal 10 2 4 8 2" xfId="10821" xr:uid="{00000000-0005-0000-0000-00007A330000}"/>
    <cellStyle name="Normal 10 2 4 8 2 2" xfId="36376" xr:uid="{00000000-0005-0000-0000-00007B330000}"/>
    <cellStyle name="Normal 10 2 4 8 3" xfId="20825" xr:uid="{00000000-0005-0000-0000-00007C330000}"/>
    <cellStyle name="Normal 10 2 4 8 3 2" xfId="46378" xr:uid="{00000000-0005-0000-0000-00007D330000}"/>
    <cellStyle name="Normal 10 2 4 8 4" xfId="27308" xr:uid="{00000000-0005-0000-0000-00007E330000}"/>
    <cellStyle name="Normal 10 2 4 9" xfId="5628" xr:uid="{00000000-0005-0000-0000-00007F330000}"/>
    <cellStyle name="Normal 10 2 4 9 2" xfId="14455" xr:uid="{00000000-0005-0000-0000-000080330000}"/>
    <cellStyle name="Normal 10 2 4 9 2 2" xfId="40010" xr:uid="{00000000-0005-0000-0000-000081330000}"/>
    <cellStyle name="Normal 10 2 4 9 3" xfId="24706" xr:uid="{00000000-0005-0000-0000-000082330000}"/>
    <cellStyle name="Normal 10 2 4 9 3 2" xfId="50259" xr:uid="{00000000-0005-0000-0000-000083330000}"/>
    <cellStyle name="Normal 10 2 4 9 4" xfId="31189" xr:uid="{00000000-0005-0000-0000-000084330000}"/>
    <cellStyle name="Normal 10 2 4_Degree data" xfId="3878" xr:uid="{00000000-0005-0000-0000-000085330000}"/>
    <cellStyle name="Normal 10 2 5" xfId="452" xr:uid="{00000000-0005-0000-0000-000086330000}"/>
    <cellStyle name="Normal 10 2 5 10" xfId="26381" xr:uid="{00000000-0005-0000-0000-000087330000}"/>
    <cellStyle name="Normal 10 2 5 2" xfId="709" xr:uid="{00000000-0005-0000-0000-000088330000}"/>
    <cellStyle name="Normal 10 2 5 2 2" xfId="3195" xr:uid="{00000000-0005-0000-0000-000089330000}"/>
    <cellStyle name="Normal 10 2 5 2 2 2" xfId="12338" xr:uid="{00000000-0005-0000-0000-00008A330000}"/>
    <cellStyle name="Normal 10 2 5 2 2 2 2" xfId="22556" xr:uid="{00000000-0005-0000-0000-00008B330000}"/>
    <cellStyle name="Normal 10 2 5 2 2 2 2 2" xfId="48109" xr:uid="{00000000-0005-0000-0000-00008C330000}"/>
    <cellStyle name="Normal 10 2 5 2 2 2 3" xfId="37893" xr:uid="{00000000-0005-0000-0000-00008D330000}"/>
    <cellStyle name="Normal 10 2 5 2 2 3" xfId="8760" xr:uid="{00000000-0005-0000-0000-00008E330000}"/>
    <cellStyle name="Normal 10 2 5 2 2 3 2" xfId="34317" xr:uid="{00000000-0005-0000-0000-00008F330000}"/>
    <cellStyle name="Normal 10 2 5 2 2 4" xfId="17549" xr:uid="{00000000-0005-0000-0000-000090330000}"/>
    <cellStyle name="Normal 10 2 5 2 2 4 2" xfId="43102" xr:uid="{00000000-0005-0000-0000-000091330000}"/>
    <cellStyle name="Normal 10 2 5 2 2 5" xfId="29039" xr:uid="{00000000-0005-0000-0000-000092330000}"/>
    <cellStyle name="Normal 10 2 5 2 3" xfId="4524" xr:uid="{00000000-0005-0000-0000-000093330000}"/>
    <cellStyle name="Normal 10 2 5 2 3 2" xfId="13362" xr:uid="{00000000-0005-0000-0000-000094330000}"/>
    <cellStyle name="Normal 10 2 5 2 3 2 2" xfId="23613" xr:uid="{00000000-0005-0000-0000-000095330000}"/>
    <cellStyle name="Normal 10 2 5 2 3 2 2 2" xfId="49166" xr:uid="{00000000-0005-0000-0000-000096330000}"/>
    <cellStyle name="Normal 10 2 5 2 3 2 3" xfId="38917" xr:uid="{00000000-0005-0000-0000-000097330000}"/>
    <cellStyle name="Normal 10 2 5 2 3 3" xfId="9783" xr:uid="{00000000-0005-0000-0000-000098330000}"/>
    <cellStyle name="Normal 10 2 5 2 3 3 2" xfId="35340" xr:uid="{00000000-0005-0000-0000-000099330000}"/>
    <cellStyle name="Normal 10 2 5 2 3 4" xfId="18606" xr:uid="{00000000-0005-0000-0000-00009A330000}"/>
    <cellStyle name="Normal 10 2 5 2 3 4 2" xfId="44159" xr:uid="{00000000-0005-0000-0000-00009B330000}"/>
    <cellStyle name="Normal 10 2 5 2 3 5" xfId="30096" xr:uid="{00000000-0005-0000-0000-00009C330000}"/>
    <cellStyle name="Normal 10 2 5 2 4" xfId="2304" xr:uid="{00000000-0005-0000-0000-00009D330000}"/>
    <cellStyle name="Normal 10 2 5 2 4 2" xfId="11669" xr:uid="{00000000-0005-0000-0000-00009E330000}"/>
    <cellStyle name="Normal 10 2 5 2 4 2 2" xfId="37224" xr:uid="{00000000-0005-0000-0000-00009F330000}"/>
    <cellStyle name="Normal 10 2 5 2 4 3" xfId="21673" xr:uid="{00000000-0005-0000-0000-0000A0330000}"/>
    <cellStyle name="Normal 10 2 5 2 4 3 2" xfId="47226" xr:uid="{00000000-0005-0000-0000-0000A1330000}"/>
    <cellStyle name="Normal 10 2 5 2 4 4" xfId="28156" xr:uid="{00000000-0005-0000-0000-0000A2330000}"/>
    <cellStyle name="Normal 10 2 5 2 5" xfId="5980" xr:uid="{00000000-0005-0000-0000-0000A3330000}"/>
    <cellStyle name="Normal 10 2 5 2 5 2" xfId="14807" xr:uid="{00000000-0005-0000-0000-0000A4330000}"/>
    <cellStyle name="Normal 10 2 5 2 5 2 2" xfId="40362" xr:uid="{00000000-0005-0000-0000-0000A5330000}"/>
    <cellStyle name="Normal 10 2 5 2 5 3" xfId="25058" xr:uid="{00000000-0005-0000-0000-0000A6330000}"/>
    <cellStyle name="Normal 10 2 5 2 5 3 2" xfId="50611" xr:uid="{00000000-0005-0000-0000-0000A7330000}"/>
    <cellStyle name="Normal 10 2 5 2 5 4" xfId="31541" xr:uid="{00000000-0005-0000-0000-0000A8330000}"/>
    <cellStyle name="Normal 10 2 5 2 6" xfId="7424" xr:uid="{00000000-0005-0000-0000-0000A9330000}"/>
    <cellStyle name="Normal 10 2 5 2 6 2" xfId="20155" xr:uid="{00000000-0005-0000-0000-0000AA330000}"/>
    <cellStyle name="Normal 10 2 5 2 6 2 2" xfId="45708" xr:uid="{00000000-0005-0000-0000-0000AB330000}"/>
    <cellStyle name="Normal 10 2 5 2 6 3" xfId="32981" xr:uid="{00000000-0005-0000-0000-0000AC330000}"/>
    <cellStyle name="Normal 10 2 5 2 7" xfId="16666" xr:uid="{00000000-0005-0000-0000-0000AD330000}"/>
    <cellStyle name="Normal 10 2 5 2 7 2" xfId="42219" xr:uid="{00000000-0005-0000-0000-0000AE330000}"/>
    <cellStyle name="Normal 10 2 5 2 8" xfId="26638" xr:uid="{00000000-0005-0000-0000-0000AF330000}"/>
    <cellStyle name="Normal 10 2 5 3" xfId="1224" xr:uid="{00000000-0005-0000-0000-0000B0330000}"/>
    <cellStyle name="Normal 10 2 5 3 2" xfId="3653" xr:uid="{00000000-0005-0000-0000-0000B1330000}"/>
    <cellStyle name="Normal 10 2 5 3 2 2" xfId="12789" xr:uid="{00000000-0005-0000-0000-0000B2330000}"/>
    <cellStyle name="Normal 10 2 5 3 2 2 2" xfId="23008" xr:uid="{00000000-0005-0000-0000-0000B3330000}"/>
    <cellStyle name="Normal 10 2 5 3 2 2 2 2" xfId="48561" xr:uid="{00000000-0005-0000-0000-0000B4330000}"/>
    <cellStyle name="Normal 10 2 5 3 2 2 3" xfId="38344" xr:uid="{00000000-0005-0000-0000-0000B5330000}"/>
    <cellStyle name="Normal 10 2 5 3 2 3" xfId="9210" xr:uid="{00000000-0005-0000-0000-0000B6330000}"/>
    <cellStyle name="Normal 10 2 5 3 2 3 2" xfId="34767" xr:uid="{00000000-0005-0000-0000-0000B7330000}"/>
    <cellStyle name="Normal 10 2 5 3 2 4" xfId="18001" xr:uid="{00000000-0005-0000-0000-0000B8330000}"/>
    <cellStyle name="Normal 10 2 5 3 2 4 2" xfId="43554" xr:uid="{00000000-0005-0000-0000-0000B9330000}"/>
    <cellStyle name="Normal 10 2 5 3 2 5" xfId="29491" xr:uid="{00000000-0005-0000-0000-0000BA330000}"/>
    <cellStyle name="Normal 10 2 5 3 3" xfId="4873" xr:uid="{00000000-0005-0000-0000-0000BB330000}"/>
    <cellStyle name="Normal 10 2 5 3 3 2" xfId="13710" xr:uid="{00000000-0005-0000-0000-0000BC330000}"/>
    <cellStyle name="Normal 10 2 5 3 3 2 2" xfId="23961" xr:uid="{00000000-0005-0000-0000-0000BD330000}"/>
    <cellStyle name="Normal 10 2 5 3 3 2 2 2" xfId="49514" xr:uid="{00000000-0005-0000-0000-0000BE330000}"/>
    <cellStyle name="Normal 10 2 5 3 3 2 3" xfId="39265" xr:uid="{00000000-0005-0000-0000-0000BF330000}"/>
    <cellStyle name="Normal 10 2 5 3 3 3" xfId="10131" xr:uid="{00000000-0005-0000-0000-0000C0330000}"/>
    <cellStyle name="Normal 10 2 5 3 3 3 2" xfId="35688" xr:uid="{00000000-0005-0000-0000-0000C1330000}"/>
    <cellStyle name="Normal 10 2 5 3 3 4" xfId="18954" xr:uid="{00000000-0005-0000-0000-0000C2330000}"/>
    <cellStyle name="Normal 10 2 5 3 3 4 2" xfId="44507" xr:uid="{00000000-0005-0000-0000-0000C3330000}"/>
    <cellStyle name="Normal 10 2 5 3 3 5" xfId="30444" xr:uid="{00000000-0005-0000-0000-0000C4330000}"/>
    <cellStyle name="Normal 10 2 5 3 4" xfId="2047" xr:uid="{00000000-0005-0000-0000-0000C5330000}"/>
    <cellStyle name="Normal 10 2 5 3 4 2" xfId="11412" xr:uid="{00000000-0005-0000-0000-0000C6330000}"/>
    <cellStyle name="Normal 10 2 5 3 4 2 2" xfId="36967" xr:uid="{00000000-0005-0000-0000-0000C7330000}"/>
    <cellStyle name="Normal 10 2 5 3 4 3" xfId="21416" xr:uid="{00000000-0005-0000-0000-0000C8330000}"/>
    <cellStyle name="Normal 10 2 5 3 4 3 2" xfId="46969" xr:uid="{00000000-0005-0000-0000-0000C9330000}"/>
    <cellStyle name="Normal 10 2 5 3 4 4" xfId="27899" xr:uid="{00000000-0005-0000-0000-0000CA330000}"/>
    <cellStyle name="Normal 10 2 5 3 5" xfId="6328" xr:uid="{00000000-0005-0000-0000-0000CB330000}"/>
    <cellStyle name="Normal 10 2 5 3 5 2" xfId="15155" xr:uid="{00000000-0005-0000-0000-0000CC330000}"/>
    <cellStyle name="Normal 10 2 5 3 5 2 2" xfId="40710" xr:uid="{00000000-0005-0000-0000-0000CD330000}"/>
    <cellStyle name="Normal 10 2 5 3 5 3" xfId="25406" xr:uid="{00000000-0005-0000-0000-0000CE330000}"/>
    <cellStyle name="Normal 10 2 5 3 5 3 2" xfId="50959" xr:uid="{00000000-0005-0000-0000-0000CF330000}"/>
    <cellStyle name="Normal 10 2 5 3 5 4" xfId="31889" xr:uid="{00000000-0005-0000-0000-0000D0330000}"/>
    <cellStyle name="Normal 10 2 5 3 6" xfId="7774" xr:uid="{00000000-0005-0000-0000-0000D1330000}"/>
    <cellStyle name="Normal 10 2 5 3 6 2" xfId="20607" xr:uid="{00000000-0005-0000-0000-0000D2330000}"/>
    <cellStyle name="Normal 10 2 5 3 6 2 2" xfId="46160" xr:uid="{00000000-0005-0000-0000-0000D3330000}"/>
    <cellStyle name="Normal 10 2 5 3 6 3" xfId="33331" xr:uid="{00000000-0005-0000-0000-0000D4330000}"/>
    <cellStyle name="Normal 10 2 5 3 7" xfId="16409" xr:uid="{00000000-0005-0000-0000-0000D5330000}"/>
    <cellStyle name="Normal 10 2 5 3 7 2" xfId="41962" xr:uid="{00000000-0005-0000-0000-0000D6330000}"/>
    <cellStyle name="Normal 10 2 5 3 8" xfId="27090" xr:uid="{00000000-0005-0000-0000-0000D7330000}"/>
    <cellStyle name="Normal 10 2 5 4" xfId="2938" xr:uid="{00000000-0005-0000-0000-0000D8330000}"/>
    <cellStyle name="Normal 10 2 5 4 2" xfId="5316" xr:uid="{00000000-0005-0000-0000-0000D9330000}"/>
    <cellStyle name="Normal 10 2 5 4 2 2" xfId="14153" xr:uid="{00000000-0005-0000-0000-0000DA330000}"/>
    <cellStyle name="Normal 10 2 5 4 2 2 2" xfId="24404" xr:uid="{00000000-0005-0000-0000-0000DB330000}"/>
    <cellStyle name="Normal 10 2 5 4 2 2 2 2" xfId="49957" xr:uid="{00000000-0005-0000-0000-0000DC330000}"/>
    <cellStyle name="Normal 10 2 5 4 2 2 3" xfId="39708" xr:uid="{00000000-0005-0000-0000-0000DD330000}"/>
    <cellStyle name="Normal 10 2 5 4 2 3" xfId="10574" xr:uid="{00000000-0005-0000-0000-0000DE330000}"/>
    <cellStyle name="Normal 10 2 5 4 2 3 2" xfId="36131" xr:uid="{00000000-0005-0000-0000-0000DF330000}"/>
    <cellStyle name="Normal 10 2 5 4 2 4" xfId="19397" xr:uid="{00000000-0005-0000-0000-0000E0330000}"/>
    <cellStyle name="Normal 10 2 5 4 2 4 2" xfId="44950" xr:uid="{00000000-0005-0000-0000-0000E1330000}"/>
    <cellStyle name="Normal 10 2 5 4 2 5" xfId="30887" xr:uid="{00000000-0005-0000-0000-0000E2330000}"/>
    <cellStyle name="Normal 10 2 5 4 3" xfId="6771" xr:uid="{00000000-0005-0000-0000-0000E3330000}"/>
    <cellStyle name="Normal 10 2 5 4 3 2" xfId="15598" xr:uid="{00000000-0005-0000-0000-0000E4330000}"/>
    <cellStyle name="Normal 10 2 5 4 3 2 2" xfId="41153" xr:uid="{00000000-0005-0000-0000-0000E5330000}"/>
    <cellStyle name="Normal 10 2 5 4 3 3" xfId="25849" xr:uid="{00000000-0005-0000-0000-0000E6330000}"/>
    <cellStyle name="Normal 10 2 5 4 3 3 2" xfId="51402" xr:uid="{00000000-0005-0000-0000-0000E7330000}"/>
    <cellStyle name="Normal 10 2 5 4 3 4" xfId="32332" xr:uid="{00000000-0005-0000-0000-0000E8330000}"/>
    <cellStyle name="Normal 10 2 5 4 4" xfId="8217" xr:uid="{00000000-0005-0000-0000-0000E9330000}"/>
    <cellStyle name="Normal 10 2 5 4 4 2" xfId="22299" xr:uid="{00000000-0005-0000-0000-0000EA330000}"/>
    <cellStyle name="Normal 10 2 5 4 4 2 2" xfId="47852" xr:uid="{00000000-0005-0000-0000-0000EB330000}"/>
    <cellStyle name="Normal 10 2 5 4 4 3" xfId="33774" xr:uid="{00000000-0005-0000-0000-0000EC330000}"/>
    <cellStyle name="Normal 10 2 5 4 5" xfId="17292" xr:uid="{00000000-0005-0000-0000-0000ED330000}"/>
    <cellStyle name="Normal 10 2 5 4 5 2" xfId="42845" xr:uid="{00000000-0005-0000-0000-0000EE330000}"/>
    <cellStyle name="Normal 10 2 5 4 6" xfId="28782" xr:uid="{00000000-0005-0000-0000-0000EF330000}"/>
    <cellStyle name="Normal 10 2 5 5" xfId="4272" xr:uid="{00000000-0005-0000-0000-0000F0330000}"/>
    <cellStyle name="Normal 10 2 5 5 2" xfId="13110" xr:uid="{00000000-0005-0000-0000-0000F1330000}"/>
    <cellStyle name="Normal 10 2 5 5 2 2" xfId="23361" xr:uid="{00000000-0005-0000-0000-0000F2330000}"/>
    <cellStyle name="Normal 10 2 5 5 2 2 2" xfId="48914" xr:uid="{00000000-0005-0000-0000-0000F3330000}"/>
    <cellStyle name="Normal 10 2 5 5 2 3" xfId="38665" xr:uid="{00000000-0005-0000-0000-0000F4330000}"/>
    <cellStyle name="Normal 10 2 5 5 3" xfId="9531" xr:uid="{00000000-0005-0000-0000-0000F5330000}"/>
    <cellStyle name="Normal 10 2 5 5 3 2" xfId="35088" xr:uid="{00000000-0005-0000-0000-0000F6330000}"/>
    <cellStyle name="Normal 10 2 5 5 4" xfId="18354" xr:uid="{00000000-0005-0000-0000-0000F7330000}"/>
    <cellStyle name="Normal 10 2 5 5 4 2" xfId="43907" xr:uid="{00000000-0005-0000-0000-0000F8330000}"/>
    <cellStyle name="Normal 10 2 5 5 5" xfId="29844" xr:uid="{00000000-0005-0000-0000-0000F9330000}"/>
    <cellStyle name="Normal 10 2 5 6" xfId="1544" xr:uid="{00000000-0005-0000-0000-0000FA330000}"/>
    <cellStyle name="Normal 10 2 5 6 2" xfId="10921" xr:uid="{00000000-0005-0000-0000-0000FB330000}"/>
    <cellStyle name="Normal 10 2 5 6 2 2" xfId="36476" xr:uid="{00000000-0005-0000-0000-0000FC330000}"/>
    <cellStyle name="Normal 10 2 5 6 3" xfId="20925" xr:uid="{00000000-0005-0000-0000-0000FD330000}"/>
    <cellStyle name="Normal 10 2 5 6 3 2" xfId="46478" xr:uid="{00000000-0005-0000-0000-0000FE330000}"/>
    <cellStyle name="Normal 10 2 5 6 4" xfId="27408" xr:uid="{00000000-0005-0000-0000-0000FF330000}"/>
    <cellStyle name="Normal 10 2 5 7" xfId="5728" xr:uid="{00000000-0005-0000-0000-000000340000}"/>
    <cellStyle name="Normal 10 2 5 7 2" xfId="14555" xr:uid="{00000000-0005-0000-0000-000001340000}"/>
    <cellStyle name="Normal 10 2 5 7 2 2" xfId="40110" xr:uid="{00000000-0005-0000-0000-000002340000}"/>
    <cellStyle name="Normal 10 2 5 7 3" xfId="24806" xr:uid="{00000000-0005-0000-0000-000003340000}"/>
    <cellStyle name="Normal 10 2 5 7 3 2" xfId="50359" xr:uid="{00000000-0005-0000-0000-000004340000}"/>
    <cellStyle name="Normal 10 2 5 7 4" xfId="31289" xr:uid="{00000000-0005-0000-0000-000005340000}"/>
    <cellStyle name="Normal 10 2 5 8" xfId="7172" xr:uid="{00000000-0005-0000-0000-000006340000}"/>
    <cellStyle name="Normal 10 2 5 8 2" xfId="19898" xr:uid="{00000000-0005-0000-0000-000007340000}"/>
    <cellStyle name="Normal 10 2 5 8 2 2" xfId="45451" xr:uid="{00000000-0005-0000-0000-000008340000}"/>
    <cellStyle name="Normal 10 2 5 8 3" xfId="32729" xr:uid="{00000000-0005-0000-0000-000009340000}"/>
    <cellStyle name="Normal 10 2 5 9" xfId="15918" xr:uid="{00000000-0005-0000-0000-00000A340000}"/>
    <cellStyle name="Normal 10 2 5 9 2" xfId="41471" xr:uid="{00000000-0005-0000-0000-00000B340000}"/>
    <cellStyle name="Normal 10 2 5_Degree data" xfId="3821" xr:uid="{00000000-0005-0000-0000-00000C340000}"/>
    <cellStyle name="Normal 10 2 6" xfId="307" xr:uid="{00000000-0005-0000-0000-00000D340000}"/>
    <cellStyle name="Normal 10 2 6 10" xfId="26236" xr:uid="{00000000-0005-0000-0000-00000E340000}"/>
    <cellStyle name="Normal 10 2 6 2" xfId="710" xr:uid="{00000000-0005-0000-0000-00000F340000}"/>
    <cellStyle name="Normal 10 2 6 2 2" xfId="3196" xr:uid="{00000000-0005-0000-0000-000010340000}"/>
    <cellStyle name="Normal 10 2 6 2 2 2" xfId="12339" xr:uid="{00000000-0005-0000-0000-000011340000}"/>
    <cellStyle name="Normal 10 2 6 2 2 2 2" xfId="22557" xr:uid="{00000000-0005-0000-0000-000012340000}"/>
    <cellStyle name="Normal 10 2 6 2 2 2 2 2" xfId="48110" xr:uid="{00000000-0005-0000-0000-000013340000}"/>
    <cellStyle name="Normal 10 2 6 2 2 2 3" xfId="37894" xr:uid="{00000000-0005-0000-0000-000014340000}"/>
    <cellStyle name="Normal 10 2 6 2 2 3" xfId="8761" xr:uid="{00000000-0005-0000-0000-000015340000}"/>
    <cellStyle name="Normal 10 2 6 2 2 3 2" xfId="34318" xr:uid="{00000000-0005-0000-0000-000016340000}"/>
    <cellStyle name="Normal 10 2 6 2 2 4" xfId="17550" xr:uid="{00000000-0005-0000-0000-000017340000}"/>
    <cellStyle name="Normal 10 2 6 2 2 4 2" xfId="43103" xr:uid="{00000000-0005-0000-0000-000018340000}"/>
    <cellStyle name="Normal 10 2 6 2 2 5" xfId="29040" xr:uid="{00000000-0005-0000-0000-000019340000}"/>
    <cellStyle name="Normal 10 2 6 2 3" xfId="4525" xr:uid="{00000000-0005-0000-0000-00001A340000}"/>
    <cellStyle name="Normal 10 2 6 2 3 2" xfId="13363" xr:uid="{00000000-0005-0000-0000-00001B340000}"/>
    <cellStyle name="Normal 10 2 6 2 3 2 2" xfId="23614" xr:uid="{00000000-0005-0000-0000-00001C340000}"/>
    <cellStyle name="Normal 10 2 6 2 3 2 2 2" xfId="49167" xr:uid="{00000000-0005-0000-0000-00001D340000}"/>
    <cellStyle name="Normal 10 2 6 2 3 2 3" xfId="38918" xr:uid="{00000000-0005-0000-0000-00001E340000}"/>
    <cellStyle name="Normal 10 2 6 2 3 3" xfId="9784" xr:uid="{00000000-0005-0000-0000-00001F340000}"/>
    <cellStyle name="Normal 10 2 6 2 3 3 2" xfId="35341" xr:uid="{00000000-0005-0000-0000-000020340000}"/>
    <cellStyle name="Normal 10 2 6 2 3 4" xfId="18607" xr:uid="{00000000-0005-0000-0000-000021340000}"/>
    <cellStyle name="Normal 10 2 6 2 3 4 2" xfId="44160" xr:uid="{00000000-0005-0000-0000-000022340000}"/>
    <cellStyle name="Normal 10 2 6 2 3 5" xfId="30097" xr:uid="{00000000-0005-0000-0000-000023340000}"/>
    <cellStyle name="Normal 10 2 6 2 4" xfId="2305" xr:uid="{00000000-0005-0000-0000-000024340000}"/>
    <cellStyle name="Normal 10 2 6 2 4 2" xfId="11670" xr:uid="{00000000-0005-0000-0000-000025340000}"/>
    <cellStyle name="Normal 10 2 6 2 4 2 2" xfId="37225" xr:uid="{00000000-0005-0000-0000-000026340000}"/>
    <cellStyle name="Normal 10 2 6 2 4 3" xfId="21674" xr:uid="{00000000-0005-0000-0000-000027340000}"/>
    <cellStyle name="Normal 10 2 6 2 4 3 2" xfId="47227" xr:uid="{00000000-0005-0000-0000-000028340000}"/>
    <cellStyle name="Normal 10 2 6 2 4 4" xfId="28157" xr:uid="{00000000-0005-0000-0000-000029340000}"/>
    <cellStyle name="Normal 10 2 6 2 5" xfId="5981" xr:uid="{00000000-0005-0000-0000-00002A340000}"/>
    <cellStyle name="Normal 10 2 6 2 5 2" xfId="14808" xr:uid="{00000000-0005-0000-0000-00002B340000}"/>
    <cellStyle name="Normal 10 2 6 2 5 2 2" xfId="40363" xr:uid="{00000000-0005-0000-0000-00002C340000}"/>
    <cellStyle name="Normal 10 2 6 2 5 3" xfId="25059" xr:uid="{00000000-0005-0000-0000-00002D340000}"/>
    <cellStyle name="Normal 10 2 6 2 5 3 2" xfId="50612" xr:uid="{00000000-0005-0000-0000-00002E340000}"/>
    <cellStyle name="Normal 10 2 6 2 5 4" xfId="31542" xr:uid="{00000000-0005-0000-0000-00002F340000}"/>
    <cellStyle name="Normal 10 2 6 2 6" xfId="7425" xr:uid="{00000000-0005-0000-0000-000030340000}"/>
    <cellStyle name="Normal 10 2 6 2 6 2" xfId="20156" xr:uid="{00000000-0005-0000-0000-000031340000}"/>
    <cellStyle name="Normal 10 2 6 2 6 2 2" xfId="45709" xr:uid="{00000000-0005-0000-0000-000032340000}"/>
    <cellStyle name="Normal 10 2 6 2 6 3" xfId="32982" xr:uid="{00000000-0005-0000-0000-000033340000}"/>
    <cellStyle name="Normal 10 2 6 2 7" xfId="16667" xr:uid="{00000000-0005-0000-0000-000034340000}"/>
    <cellStyle name="Normal 10 2 6 2 7 2" xfId="42220" xr:uid="{00000000-0005-0000-0000-000035340000}"/>
    <cellStyle name="Normal 10 2 6 2 8" xfId="26639" xr:uid="{00000000-0005-0000-0000-000036340000}"/>
    <cellStyle name="Normal 10 2 6 3" xfId="1079" xr:uid="{00000000-0005-0000-0000-000037340000}"/>
    <cellStyle name="Normal 10 2 6 3 2" xfId="3508" xr:uid="{00000000-0005-0000-0000-000038340000}"/>
    <cellStyle name="Normal 10 2 6 3 2 2" xfId="12644" xr:uid="{00000000-0005-0000-0000-000039340000}"/>
    <cellStyle name="Normal 10 2 6 3 2 2 2" xfId="22863" xr:uid="{00000000-0005-0000-0000-00003A340000}"/>
    <cellStyle name="Normal 10 2 6 3 2 2 2 2" xfId="48416" xr:uid="{00000000-0005-0000-0000-00003B340000}"/>
    <cellStyle name="Normal 10 2 6 3 2 2 3" xfId="38199" xr:uid="{00000000-0005-0000-0000-00003C340000}"/>
    <cellStyle name="Normal 10 2 6 3 2 3" xfId="9066" xr:uid="{00000000-0005-0000-0000-00003D340000}"/>
    <cellStyle name="Normal 10 2 6 3 2 3 2" xfId="34623" xr:uid="{00000000-0005-0000-0000-00003E340000}"/>
    <cellStyle name="Normal 10 2 6 3 2 4" xfId="17856" xr:uid="{00000000-0005-0000-0000-00003F340000}"/>
    <cellStyle name="Normal 10 2 6 3 2 4 2" xfId="43409" xr:uid="{00000000-0005-0000-0000-000040340000}"/>
    <cellStyle name="Normal 10 2 6 3 2 5" xfId="29346" xr:uid="{00000000-0005-0000-0000-000041340000}"/>
    <cellStyle name="Normal 10 2 6 3 3" xfId="4874" xr:uid="{00000000-0005-0000-0000-000042340000}"/>
    <cellStyle name="Normal 10 2 6 3 3 2" xfId="13711" xr:uid="{00000000-0005-0000-0000-000043340000}"/>
    <cellStyle name="Normal 10 2 6 3 3 2 2" xfId="23962" xr:uid="{00000000-0005-0000-0000-000044340000}"/>
    <cellStyle name="Normal 10 2 6 3 3 2 2 2" xfId="49515" xr:uid="{00000000-0005-0000-0000-000045340000}"/>
    <cellStyle name="Normal 10 2 6 3 3 2 3" xfId="39266" xr:uid="{00000000-0005-0000-0000-000046340000}"/>
    <cellStyle name="Normal 10 2 6 3 3 3" xfId="10132" xr:uid="{00000000-0005-0000-0000-000047340000}"/>
    <cellStyle name="Normal 10 2 6 3 3 3 2" xfId="35689" xr:uid="{00000000-0005-0000-0000-000048340000}"/>
    <cellStyle name="Normal 10 2 6 3 3 4" xfId="18955" xr:uid="{00000000-0005-0000-0000-000049340000}"/>
    <cellStyle name="Normal 10 2 6 3 3 4 2" xfId="44508" xr:uid="{00000000-0005-0000-0000-00004A340000}"/>
    <cellStyle name="Normal 10 2 6 3 3 5" xfId="30445" xr:uid="{00000000-0005-0000-0000-00004B340000}"/>
    <cellStyle name="Normal 10 2 6 3 4" xfId="2583" xr:uid="{00000000-0005-0000-0000-00004C340000}"/>
    <cellStyle name="Normal 10 2 6 3 4 2" xfId="11947" xr:uid="{00000000-0005-0000-0000-00004D340000}"/>
    <cellStyle name="Normal 10 2 6 3 4 2 2" xfId="37502" xr:uid="{00000000-0005-0000-0000-00004E340000}"/>
    <cellStyle name="Normal 10 2 6 3 4 3" xfId="21951" xr:uid="{00000000-0005-0000-0000-00004F340000}"/>
    <cellStyle name="Normal 10 2 6 3 4 3 2" xfId="47504" xr:uid="{00000000-0005-0000-0000-000050340000}"/>
    <cellStyle name="Normal 10 2 6 3 4 4" xfId="28434" xr:uid="{00000000-0005-0000-0000-000051340000}"/>
    <cellStyle name="Normal 10 2 6 3 5" xfId="6329" xr:uid="{00000000-0005-0000-0000-000052340000}"/>
    <cellStyle name="Normal 10 2 6 3 5 2" xfId="15156" xr:uid="{00000000-0005-0000-0000-000053340000}"/>
    <cellStyle name="Normal 10 2 6 3 5 2 2" xfId="40711" xr:uid="{00000000-0005-0000-0000-000054340000}"/>
    <cellStyle name="Normal 10 2 6 3 5 3" xfId="25407" xr:uid="{00000000-0005-0000-0000-000055340000}"/>
    <cellStyle name="Normal 10 2 6 3 5 3 2" xfId="50960" xr:uid="{00000000-0005-0000-0000-000056340000}"/>
    <cellStyle name="Normal 10 2 6 3 5 4" xfId="31890" xr:uid="{00000000-0005-0000-0000-000057340000}"/>
    <cellStyle name="Normal 10 2 6 3 6" xfId="7775" xr:uid="{00000000-0005-0000-0000-000058340000}"/>
    <cellStyle name="Normal 10 2 6 3 6 2" xfId="20462" xr:uid="{00000000-0005-0000-0000-000059340000}"/>
    <cellStyle name="Normal 10 2 6 3 6 2 2" xfId="46015" xr:uid="{00000000-0005-0000-0000-00005A340000}"/>
    <cellStyle name="Normal 10 2 6 3 6 3" xfId="33332" xr:uid="{00000000-0005-0000-0000-00005B340000}"/>
    <cellStyle name="Normal 10 2 6 3 7" xfId="16944" xr:uid="{00000000-0005-0000-0000-00005C340000}"/>
    <cellStyle name="Normal 10 2 6 3 7 2" xfId="42497" xr:uid="{00000000-0005-0000-0000-00005D340000}"/>
    <cellStyle name="Normal 10 2 6 3 8" xfId="26945" xr:uid="{00000000-0005-0000-0000-00005E340000}"/>
    <cellStyle name="Normal 10 2 6 4" xfId="2793" xr:uid="{00000000-0005-0000-0000-00005F340000}"/>
    <cellStyle name="Normal 10 2 6 4 2" xfId="5171" xr:uid="{00000000-0005-0000-0000-000060340000}"/>
    <cellStyle name="Normal 10 2 6 4 2 2" xfId="14008" xr:uid="{00000000-0005-0000-0000-000061340000}"/>
    <cellStyle name="Normal 10 2 6 4 2 2 2" xfId="24259" xr:uid="{00000000-0005-0000-0000-000062340000}"/>
    <cellStyle name="Normal 10 2 6 4 2 2 2 2" xfId="49812" xr:uid="{00000000-0005-0000-0000-000063340000}"/>
    <cellStyle name="Normal 10 2 6 4 2 2 3" xfId="39563" xr:uid="{00000000-0005-0000-0000-000064340000}"/>
    <cellStyle name="Normal 10 2 6 4 2 3" xfId="10429" xr:uid="{00000000-0005-0000-0000-000065340000}"/>
    <cellStyle name="Normal 10 2 6 4 2 3 2" xfId="35986" xr:uid="{00000000-0005-0000-0000-000066340000}"/>
    <cellStyle name="Normal 10 2 6 4 2 4" xfId="19252" xr:uid="{00000000-0005-0000-0000-000067340000}"/>
    <cellStyle name="Normal 10 2 6 4 2 4 2" xfId="44805" xr:uid="{00000000-0005-0000-0000-000068340000}"/>
    <cellStyle name="Normal 10 2 6 4 2 5" xfId="30742" xr:uid="{00000000-0005-0000-0000-000069340000}"/>
    <cellStyle name="Normal 10 2 6 4 3" xfId="6626" xr:uid="{00000000-0005-0000-0000-00006A340000}"/>
    <cellStyle name="Normal 10 2 6 4 3 2" xfId="15453" xr:uid="{00000000-0005-0000-0000-00006B340000}"/>
    <cellStyle name="Normal 10 2 6 4 3 2 2" xfId="41008" xr:uid="{00000000-0005-0000-0000-00006C340000}"/>
    <cellStyle name="Normal 10 2 6 4 3 3" xfId="25704" xr:uid="{00000000-0005-0000-0000-00006D340000}"/>
    <cellStyle name="Normal 10 2 6 4 3 3 2" xfId="51257" xr:uid="{00000000-0005-0000-0000-00006E340000}"/>
    <cellStyle name="Normal 10 2 6 4 3 4" xfId="32187" xr:uid="{00000000-0005-0000-0000-00006F340000}"/>
    <cellStyle name="Normal 10 2 6 4 4" xfId="8072" xr:uid="{00000000-0005-0000-0000-000070340000}"/>
    <cellStyle name="Normal 10 2 6 4 4 2" xfId="22154" xr:uid="{00000000-0005-0000-0000-000071340000}"/>
    <cellStyle name="Normal 10 2 6 4 4 2 2" xfId="47707" xr:uid="{00000000-0005-0000-0000-000072340000}"/>
    <cellStyle name="Normal 10 2 6 4 4 3" xfId="33629" xr:uid="{00000000-0005-0000-0000-000073340000}"/>
    <cellStyle name="Normal 10 2 6 4 5" xfId="17147" xr:uid="{00000000-0005-0000-0000-000074340000}"/>
    <cellStyle name="Normal 10 2 6 4 5 2" xfId="42700" xr:uid="{00000000-0005-0000-0000-000075340000}"/>
    <cellStyle name="Normal 10 2 6 4 6" xfId="28637" xr:uid="{00000000-0005-0000-0000-000076340000}"/>
    <cellStyle name="Normal 10 2 6 5" xfId="4125" xr:uid="{00000000-0005-0000-0000-000077340000}"/>
    <cellStyle name="Normal 10 2 6 5 2" xfId="12963" xr:uid="{00000000-0005-0000-0000-000078340000}"/>
    <cellStyle name="Normal 10 2 6 5 2 2" xfId="23214" xr:uid="{00000000-0005-0000-0000-000079340000}"/>
    <cellStyle name="Normal 10 2 6 5 2 2 2" xfId="48767" xr:uid="{00000000-0005-0000-0000-00007A340000}"/>
    <cellStyle name="Normal 10 2 6 5 2 3" xfId="38518" xr:uid="{00000000-0005-0000-0000-00007B340000}"/>
    <cellStyle name="Normal 10 2 6 5 3" xfId="9384" xr:uid="{00000000-0005-0000-0000-00007C340000}"/>
    <cellStyle name="Normal 10 2 6 5 3 2" xfId="34941" xr:uid="{00000000-0005-0000-0000-00007D340000}"/>
    <cellStyle name="Normal 10 2 6 5 4" xfId="18207" xr:uid="{00000000-0005-0000-0000-00007E340000}"/>
    <cellStyle name="Normal 10 2 6 5 4 2" xfId="43760" xr:uid="{00000000-0005-0000-0000-00007F340000}"/>
    <cellStyle name="Normal 10 2 6 5 5" xfId="29697" xr:uid="{00000000-0005-0000-0000-000080340000}"/>
    <cellStyle name="Normal 10 2 6 6" xfId="1902" xr:uid="{00000000-0005-0000-0000-000081340000}"/>
    <cellStyle name="Normal 10 2 6 6 2" xfId="11267" xr:uid="{00000000-0005-0000-0000-000082340000}"/>
    <cellStyle name="Normal 10 2 6 6 2 2" xfId="36822" xr:uid="{00000000-0005-0000-0000-000083340000}"/>
    <cellStyle name="Normal 10 2 6 6 3" xfId="21271" xr:uid="{00000000-0005-0000-0000-000084340000}"/>
    <cellStyle name="Normal 10 2 6 6 3 2" xfId="46824" xr:uid="{00000000-0005-0000-0000-000085340000}"/>
    <cellStyle name="Normal 10 2 6 6 4" xfId="27754" xr:uid="{00000000-0005-0000-0000-000086340000}"/>
    <cellStyle name="Normal 10 2 6 7" xfId="5583" xr:uid="{00000000-0005-0000-0000-000087340000}"/>
    <cellStyle name="Normal 10 2 6 7 2" xfId="14410" xr:uid="{00000000-0005-0000-0000-000088340000}"/>
    <cellStyle name="Normal 10 2 6 7 2 2" xfId="39965" xr:uid="{00000000-0005-0000-0000-000089340000}"/>
    <cellStyle name="Normal 10 2 6 7 3" xfId="24661" xr:uid="{00000000-0005-0000-0000-00008A340000}"/>
    <cellStyle name="Normal 10 2 6 7 3 2" xfId="50214" xr:uid="{00000000-0005-0000-0000-00008B340000}"/>
    <cellStyle name="Normal 10 2 6 7 4" xfId="31144" xr:uid="{00000000-0005-0000-0000-00008C340000}"/>
    <cellStyle name="Normal 10 2 6 8" xfId="7027" xr:uid="{00000000-0005-0000-0000-00008D340000}"/>
    <cellStyle name="Normal 10 2 6 8 2" xfId="19753" xr:uid="{00000000-0005-0000-0000-00008E340000}"/>
    <cellStyle name="Normal 10 2 6 8 2 2" xfId="45306" xr:uid="{00000000-0005-0000-0000-00008F340000}"/>
    <cellStyle name="Normal 10 2 6 8 3" xfId="32584" xr:uid="{00000000-0005-0000-0000-000090340000}"/>
    <cellStyle name="Normal 10 2 6 9" xfId="16264" xr:uid="{00000000-0005-0000-0000-000091340000}"/>
    <cellStyle name="Normal 10 2 6 9 2" xfId="41817" xr:uid="{00000000-0005-0000-0000-000092340000}"/>
    <cellStyle name="Normal 10 2 6_Degree data" xfId="3886" xr:uid="{00000000-0005-0000-0000-000093340000}"/>
    <cellStyle name="Normal 10 2 7" xfId="698" xr:uid="{00000000-0005-0000-0000-000094340000}"/>
    <cellStyle name="Normal 10 2 7 2" xfId="3184" xr:uid="{00000000-0005-0000-0000-000095340000}"/>
    <cellStyle name="Normal 10 2 7 2 2" xfId="12327" xr:uid="{00000000-0005-0000-0000-000096340000}"/>
    <cellStyle name="Normal 10 2 7 2 2 2" xfId="22545" xr:uid="{00000000-0005-0000-0000-000097340000}"/>
    <cellStyle name="Normal 10 2 7 2 2 2 2" xfId="48098" xr:uid="{00000000-0005-0000-0000-000098340000}"/>
    <cellStyle name="Normal 10 2 7 2 2 3" xfId="37882" xr:uid="{00000000-0005-0000-0000-000099340000}"/>
    <cellStyle name="Normal 10 2 7 2 3" xfId="8749" xr:uid="{00000000-0005-0000-0000-00009A340000}"/>
    <cellStyle name="Normal 10 2 7 2 3 2" xfId="34306" xr:uid="{00000000-0005-0000-0000-00009B340000}"/>
    <cellStyle name="Normal 10 2 7 2 4" xfId="17538" xr:uid="{00000000-0005-0000-0000-00009C340000}"/>
    <cellStyle name="Normal 10 2 7 2 4 2" xfId="43091" xr:uid="{00000000-0005-0000-0000-00009D340000}"/>
    <cellStyle name="Normal 10 2 7 2 5" xfId="29028" xr:uid="{00000000-0005-0000-0000-00009E340000}"/>
    <cellStyle name="Normal 10 2 7 3" xfId="4513" xr:uid="{00000000-0005-0000-0000-00009F340000}"/>
    <cellStyle name="Normal 10 2 7 3 2" xfId="13351" xr:uid="{00000000-0005-0000-0000-0000A0340000}"/>
    <cellStyle name="Normal 10 2 7 3 2 2" xfId="23602" xr:uid="{00000000-0005-0000-0000-0000A1340000}"/>
    <cellStyle name="Normal 10 2 7 3 2 2 2" xfId="49155" xr:uid="{00000000-0005-0000-0000-0000A2340000}"/>
    <cellStyle name="Normal 10 2 7 3 2 3" xfId="38906" xr:uid="{00000000-0005-0000-0000-0000A3340000}"/>
    <cellStyle name="Normal 10 2 7 3 3" xfId="9772" xr:uid="{00000000-0005-0000-0000-0000A4340000}"/>
    <cellStyle name="Normal 10 2 7 3 3 2" xfId="35329" xr:uid="{00000000-0005-0000-0000-0000A5340000}"/>
    <cellStyle name="Normal 10 2 7 3 4" xfId="18595" xr:uid="{00000000-0005-0000-0000-0000A6340000}"/>
    <cellStyle name="Normal 10 2 7 3 4 2" xfId="44148" xr:uid="{00000000-0005-0000-0000-0000A7340000}"/>
    <cellStyle name="Normal 10 2 7 3 5" xfId="30085" xr:uid="{00000000-0005-0000-0000-0000A8340000}"/>
    <cellStyle name="Normal 10 2 7 4" xfId="2293" xr:uid="{00000000-0005-0000-0000-0000A9340000}"/>
    <cellStyle name="Normal 10 2 7 4 2" xfId="11658" xr:uid="{00000000-0005-0000-0000-0000AA340000}"/>
    <cellStyle name="Normal 10 2 7 4 2 2" xfId="37213" xr:uid="{00000000-0005-0000-0000-0000AB340000}"/>
    <cellStyle name="Normal 10 2 7 4 3" xfId="21662" xr:uid="{00000000-0005-0000-0000-0000AC340000}"/>
    <cellStyle name="Normal 10 2 7 4 3 2" xfId="47215" xr:uid="{00000000-0005-0000-0000-0000AD340000}"/>
    <cellStyle name="Normal 10 2 7 4 4" xfId="28145" xr:uid="{00000000-0005-0000-0000-0000AE340000}"/>
    <cellStyle name="Normal 10 2 7 5" xfId="5969" xr:uid="{00000000-0005-0000-0000-0000AF340000}"/>
    <cellStyle name="Normal 10 2 7 5 2" xfId="14796" xr:uid="{00000000-0005-0000-0000-0000B0340000}"/>
    <cellStyle name="Normal 10 2 7 5 2 2" xfId="40351" xr:uid="{00000000-0005-0000-0000-0000B1340000}"/>
    <cellStyle name="Normal 10 2 7 5 3" xfId="25047" xr:uid="{00000000-0005-0000-0000-0000B2340000}"/>
    <cellStyle name="Normal 10 2 7 5 3 2" xfId="50600" xr:uid="{00000000-0005-0000-0000-0000B3340000}"/>
    <cellStyle name="Normal 10 2 7 5 4" xfId="31530" xr:uid="{00000000-0005-0000-0000-0000B4340000}"/>
    <cellStyle name="Normal 10 2 7 6" xfId="7413" xr:uid="{00000000-0005-0000-0000-0000B5340000}"/>
    <cellStyle name="Normal 10 2 7 6 2" xfId="20144" xr:uid="{00000000-0005-0000-0000-0000B6340000}"/>
    <cellStyle name="Normal 10 2 7 6 2 2" xfId="45697" xr:uid="{00000000-0005-0000-0000-0000B7340000}"/>
    <cellStyle name="Normal 10 2 7 6 3" xfId="32970" xr:uid="{00000000-0005-0000-0000-0000B8340000}"/>
    <cellStyle name="Normal 10 2 7 7" xfId="16655" xr:uid="{00000000-0005-0000-0000-0000B9340000}"/>
    <cellStyle name="Normal 10 2 7 7 2" xfId="42208" xr:uid="{00000000-0005-0000-0000-0000BA340000}"/>
    <cellStyle name="Normal 10 2 7 8" xfId="26627" xr:uid="{00000000-0005-0000-0000-0000BB340000}"/>
    <cellStyle name="Normal 10 2 8" xfId="1059" xr:uid="{00000000-0005-0000-0000-0000BC340000}"/>
    <cellStyle name="Normal 10 2 8 2" xfId="3488" xr:uid="{00000000-0005-0000-0000-0000BD340000}"/>
    <cellStyle name="Normal 10 2 8 2 2" xfId="12624" xr:uid="{00000000-0005-0000-0000-0000BE340000}"/>
    <cellStyle name="Normal 10 2 8 2 2 2" xfId="22843" xr:uid="{00000000-0005-0000-0000-0000BF340000}"/>
    <cellStyle name="Normal 10 2 8 2 2 2 2" xfId="48396" xr:uid="{00000000-0005-0000-0000-0000C0340000}"/>
    <cellStyle name="Normal 10 2 8 2 2 3" xfId="38179" xr:uid="{00000000-0005-0000-0000-0000C1340000}"/>
    <cellStyle name="Normal 10 2 8 2 3" xfId="9046" xr:uid="{00000000-0005-0000-0000-0000C2340000}"/>
    <cellStyle name="Normal 10 2 8 2 3 2" xfId="34603" xr:uid="{00000000-0005-0000-0000-0000C3340000}"/>
    <cellStyle name="Normal 10 2 8 2 4" xfId="17836" xr:uid="{00000000-0005-0000-0000-0000C4340000}"/>
    <cellStyle name="Normal 10 2 8 2 4 2" xfId="43389" xr:uid="{00000000-0005-0000-0000-0000C5340000}"/>
    <cellStyle name="Normal 10 2 8 2 5" xfId="29326" xr:uid="{00000000-0005-0000-0000-0000C6340000}"/>
    <cellStyle name="Normal 10 2 8 3" xfId="4862" xr:uid="{00000000-0005-0000-0000-0000C7340000}"/>
    <cellStyle name="Normal 10 2 8 3 2" xfId="13699" xr:uid="{00000000-0005-0000-0000-0000C8340000}"/>
    <cellStyle name="Normal 10 2 8 3 2 2" xfId="23950" xr:uid="{00000000-0005-0000-0000-0000C9340000}"/>
    <cellStyle name="Normal 10 2 8 3 2 2 2" xfId="49503" xr:uid="{00000000-0005-0000-0000-0000CA340000}"/>
    <cellStyle name="Normal 10 2 8 3 2 3" xfId="39254" xr:uid="{00000000-0005-0000-0000-0000CB340000}"/>
    <cellStyle name="Normal 10 2 8 3 3" xfId="10120" xr:uid="{00000000-0005-0000-0000-0000CC340000}"/>
    <cellStyle name="Normal 10 2 8 3 3 2" xfId="35677" xr:uid="{00000000-0005-0000-0000-0000CD340000}"/>
    <cellStyle name="Normal 10 2 8 3 4" xfId="18943" xr:uid="{00000000-0005-0000-0000-0000CE340000}"/>
    <cellStyle name="Normal 10 2 8 3 4 2" xfId="44496" xr:uid="{00000000-0005-0000-0000-0000CF340000}"/>
    <cellStyle name="Normal 10 2 8 3 5" xfId="30433" xr:uid="{00000000-0005-0000-0000-0000D0340000}"/>
    <cellStyle name="Normal 10 2 8 4" xfId="1720" xr:uid="{00000000-0005-0000-0000-0000D1340000}"/>
    <cellStyle name="Normal 10 2 8 4 2" xfId="11094" xr:uid="{00000000-0005-0000-0000-0000D2340000}"/>
    <cellStyle name="Normal 10 2 8 4 2 2" xfId="36649" xr:uid="{00000000-0005-0000-0000-0000D3340000}"/>
    <cellStyle name="Normal 10 2 8 4 3" xfId="21098" xr:uid="{00000000-0005-0000-0000-0000D4340000}"/>
    <cellStyle name="Normal 10 2 8 4 3 2" xfId="46651" xr:uid="{00000000-0005-0000-0000-0000D5340000}"/>
    <cellStyle name="Normal 10 2 8 4 4" xfId="27581" xr:uid="{00000000-0005-0000-0000-0000D6340000}"/>
    <cellStyle name="Normal 10 2 8 5" xfId="6317" xr:uid="{00000000-0005-0000-0000-0000D7340000}"/>
    <cellStyle name="Normal 10 2 8 5 2" xfId="15144" xr:uid="{00000000-0005-0000-0000-0000D8340000}"/>
    <cellStyle name="Normal 10 2 8 5 2 2" xfId="40699" xr:uid="{00000000-0005-0000-0000-0000D9340000}"/>
    <cellStyle name="Normal 10 2 8 5 3" xfId="25395" xr:uid="{00000000-0005-0000-0000-0000DA340000}"/>
    <cellStyle name="Normal 10 2 8 5 3 2" xfId="50948" xr:uid="{00000000-0005-0000-0000-0000DB340000}"/>
    <cellStyle name="Normal 10 2 8 5 4" xfId="31878" xr:uid="{00000000-0005-0000-0000-0000DC340000}"/>
    <cellStyle name="Normal 10 2 8 6" xfId="7763" xr:uid="{00000000-0005-0000-0000-0000DD340000}"/>
    <cellStyle name="Normal 10 2 8 6 2" xfId="20442" xr:uid="{00000000-0005-0000-0000-0000DE340000}"/>
    <cellStyle name="Normal 10 2 8 6 2 2" xfId="45995" xr:uid="{00000000-0005-0000-0000-0000DF340000}"/>
    <cellStyle name="Normal 10 2 8 6 3" xfId="33320" xr:uid="{00000000-0005-0000-0000-0000E0340000}"/>
    <cellStyle name="Normal 10 2 8 7" xfId="16091" xr:uid="{00000000-0005-0000-0000-0000E1340000}"/>
    <cellStyle name="Normal 10 2 8 7 2" xfId="41644" xr:uid="{00000000-0005-0000-0000-0000E2340000}"/>
    <cellStyle name="Normal 10 2 8 8" xfId="26925" xr:uid="{00000000-0005-0000-0000-0000E3340000}"/>
    <cellStyle name="Normal 10 2 9" xfId="2618" xr:uid="{00000000-0005-0000-0000-0000E4340000}"/>
    <cellStyle name="Normal 10 2 9 2" xfId="5151" xr:uid="{00000000-0005-0000-0000-0000E5340000}"/>
    <cellStyle name="Normal 10 2 9 2 2" xfId="13988" xr:uid="{00000000-0005-0000-0000-0000E6340000}"/>
    <cellStyle name="Normal 10 2 9 2 2 2" xfId="24239" xr:uid="{00000000-0005-0000-0000-0000E7340000}"/>
    <cellStyle name="Normal 10 2 9 2 2 2 2" xfId="49792" xr:uid="{00000000-0005-0000-0000-0000E8340000}"/>
    <cellStyle name="Normal 10 2 9 2 2 3" xfId="39543" xr:uid="{00000000-0005-0000-0000-0000E9340000}"/>
    <cellStyle name="Normal 10 2 9 2 3" xfId="10409" xr:uid="{00000000-0005-0000-0000-0000EA340000}"/>
    <cellStyle name="Normal 10 2 9 2 3 2" xfId="35966" xr:uid="{00000000-0005-0000-0000-0000EB340000}"/>
    <cellStyle name="Normal 10 2 9 2 4" xfId="19232" xr:uid="{00000000-0005-0000-0000-0000EC340000}"/>
    <cellStyle name="Normal 10 2 9 2 4 2" xfId="44785" xr:uid="{00000000-0005-0000-0000-0000ED340000}"/>
    <cellStyle name="Normal 10 2 9 2 5" xfId="30722" xr:uid="{00000000-0005-0000-0000-0000EE340000}"/>
    <cellStyle name="Normal 10 2 9 3" xfId="6606" xr:uid="{00000000-0005-0000-0000-0000EF340000}"/>
    <cellStyle name="Normal 10 2 9 3 2" xfId="15433" xr:uid="{00000000-0005-0000-0000-0000F0340000}"/>
    <cellStyle name="Normal 10 2 9 3 2 2" xfId="40988" xr:uid="{00000000-0005-0000-0000-0000F1340000}"/>
    <cellStyle name="Normal 10 2 9 3 3" xfId="25684" xr:uid="{00000000-0005-0000-0000-0000F2340000}"/>
    <cellStyle name="Normal 10 2 9 3 3 2" xfId="51237" xr:uid="{00000000-0005-0000-0000-0000F3340000}"/>
    <cellStyle name="Normal 10 2 9 3 4" xfId="32167" xr:uid="{00000000-0005-0000-0000-0000F4340000}"/>
    <cellStyle name="Normal 10 2 9 4" xfId="8052" xr:uid="{00000000-0005-0000-0000-0000F5340000}"/>
    <cellStyle name="Normal 10 2 9 4 2" xfId="21981" xr:uid="{00000000-0005-0000-0000-0000F6340000}"/>
    <cellStyle name="Normal 10 2 9 4 2 2" xfId="47534" xr:uid="{00000000-0005-0000-0000-0000F7340000}"/>
    <cellStyle name="Normal 10 2 9 4 3" xfId="33609" xr:uid="{00000000-0005-0000-0000-0000F8340000}"/>
    <cellStyle name="Normal 10 2 9 5" xfId="16974" xr:uid="{00000000-0005-0000-0000-0000F9340000}"/>
    <cellStyle name="Normal 10 2 9 5 2" xfId="42527" xr:uid="{00000000-0005-0000-0000-0000FA340000}"/>
    <cellStyle name="Normal 10 2 9 6" xfId="28464" xr:uid="{00000000-0005-0000-0000-0000FB340000}"/>
    <cellStyle name="Normal 10 2_Degree data" xfId="3862" xr:uid="{00000000-0005-0000-0000-0000FC340000}"/>
    <cellStyle name="Normal 10 3" xfId="95" xr:uid="{00000000-0005-0000-0000-0000FD340000}"/>
    <cellStyle name="Normal 10 3 2" xfId="151" xr:uid="{00000000-0005-0000-0000-0000FE340000}"/>
    <cellStyle name="Normal 10 3 2 10" xfId="7043" xr:uid="{00000000-0005-0000-0000-0000FF340000}"/>
    <cellStyle name="Normal 10 3 2 10 2" xfId="32600" xr:uid="{00000000-0005-0000-0000-000000350000}"/>
    <cellStyle name="Normal 10 3 2 11" xfId="15789" xr:uid="{00000000-0005-0000-0000-000001350000}"/>
    <cellStyle name="Normal 10 3 2 11 2" xfId="41342" xr:uid="{00000000-0005-0000-0000-000002350000}"/>
    <cellStyle name="Normal 10 3 2 2" xfId="263" xr:uid="{00000000-0005-0000-0000-000003350000}"/>
    <cellStyle name="Normal 10 3 2 3" xfId="216" xr:uid="{00000000-0005-0000-0000-000004350000}"/>
    <cellStyle name="Normal 10 3 2 3 10" xfId="16007" xr:uid="{00000000-0005-0000-0000-000005350000}"/>
    <cellStyle name="Normal 10 3 2 3 10 2" xfId="41560" xr:uid="{00000000-0005-0000-0000-000006350000}"/>
    <cellStyle name="Normal 10 3 2 3 11" xfId="26153" xr:uid="{00000000-0005-0000-0000-000007350000}"/>
    <cellStyle name="Normal 10 3 2 3 2" xfId="541" xr:uid="{00000000-0005-0000-0000-000008350000}"/>
    <cellStyle name="Normal 10 3 2 3 2 2" xfId="3027" xr:uid="{00000000-0005-0000-0000-000009350000}"/>
    <cellStyle name="Normal 10 3 2 3 2 2 2" xfId="12215" xr:uid="{00000000-0005-0000-0000-00000A350000}"/>
    <cellStyle name="Normal 10 3 2 3 2 2 2 2" xfId="22388" xr:uid="{00000000-0005-0000-0000-00000B350000}"/>
    <cellStyle name="Normal 10 3 2 3 2 2 2 2 2" xfId="47941" xr:uid="{00000000-0005-0000-0000-00000C350000}"/>
    <cellStyle name="Normal 10 3 2 3 2 2 2 3" xfId="37770" xr:uid="{00000000-0005-0000-0000-00000D350000}"/>
    <cellStyle name="Normal 10 3 2 3 2 2 3" xfId="8378" xr:uid="{00000000-0005-0000-0000-00000E350000}"/>
    <cellStyle name="Normal 10 3 2 3 2 2 3 2" xfId="33935" xr:uid="{00000000-0005-0000-0000-00000F350000}"/>
    <cellStyle name="Normal 10 3 2 3 2 2 4" xfId="17381" xr:uid="{00000000-0005-0000-0000-000010350000}"/>
    <cellStyle name="Normal 10 3 2 3 2 2 4 2" xfId="42934" xr:uid="{00000000-0005-0000-0000-000011350000}"/>
    <cellStyle name="Normal 10 3 2 3 2 2 5" xfId="28871" xr:uid="{00000000-0005-0000-0000-000012350000}"/>
    <cellStyle name="Normal 10 3 2 3 2 3" xfId="4527" xr:uid="{00000000-0005-0000-0000-000013350000}"/>
    <cellStyle name="Normal 10 3 2 3 2 3 2" xfId="13365" xr:uid="{00000000-0005-0000-0000-000014350000}"/>
    <cellStyle name="Normal 10 3 2 3 2 3 2 2" xfId="23616" xr:uid="{00000000-0005-0000-0000-000015350000}"/>
    <cellStyle name="Normal 10 3 2 3 2 3 2 2 2" xfId="49169" xr:uid="{00000000-0005-0000-0000-000016350000}"/>
    <cellStyle name="Normal 10 3 2 3 2 3 2 3" xfId="38920" xr:uid="{00000000-0005-0000-0000-000017350000}"/>
    <cellStyle name="Normal 10 3 2 3 2 3 3" xfId="9786" xr:uid="{00000000-0005-0000-0000-000018350000}"/>
    <cellStyle name="Normal 10 3 2 3 2 3 3 2" xfId="35343" xr:uid="{00000000-0005-0000-0000-000019350000}"/>
    <cellStyle name="Normal 10 3 2 3 2 3 4" xfId="18609" xr:uid="{00000000-0005-0000-0000-00001A350000}"/>
    <cellStyle name="Normal 10 3 2 3 2 3 4 2" xfId="44162" xr:uid="{00000000-0005-0000-0000-00001B350000}"/>
    <cellStyle name="Normal 10 3 2 3 2 3 5" xfId="30099" xr:uid="{00000000-0005-0000-0000-00001C350000}"/>
    <cellStyle name="Normal 10 3 2 3 2 4" xfId="2136" xr:uid="{00000000-0005-0000-0000-00001D350000}"/>
    <cellStyle name="Normal 10 3 2 3 2 4 2" xfId="11501" xr:uid="{00000000-0005-0000-0000-00001E350000}"/>
    <cellStyle name="Normal 10 3 2 3 2 4 2 2" xfId="37056" xr:uid="{00000000-0005-0000-0000-00001F350000}"/>
    <cellStyle name="Normal 10 3 2 3 2 4 3" xfId="21505" xr:uid="{00000000-0005-0000-0000-000020350000}"/>
    <cellStyle name="Normal 10 3 2 3 2 4 3 2" xfId="47058" xr:uid="{00000000-0005-0000-0000-000021350000}"/>
    <cellStyle name="Normal 10 3 2 3 2 4 4" xfId="27988" xr:uid="{00000000-0005-0000-0000-000022350000}"/>
    <cellStyle name="Normal 10 3 2 3 2 5" xfId="5983" xr:uid="{00000000-0005-0000-0000-000023350000}"/>
    <cellStyle name="Normal 10 3 2 3 2 5 2" xfId="14810" xr:uid="{00000000-0005-0000-0000-000024350000}"/>
    <cellStyle name="Normal 10 3 2 3 2 5 2 2" xfId="40365" xr:uid="{00000000-0005-0000-0000-000025350000}"/>
    <cellStyle name="Normal 10 3 2 3 2 5 3" xfId="25061" xr:uid="{00000000-0005-0000-0000-000026350000}"/>
    <cellStyle name="Normal 10 3 2 3 2 5 3 2" xfId="50614" xr:uid="{00000000-0005-0000-0000-000027350000}"/>
    <cellStyle name="Normal 10 3 2 3 2 5 4" xfId="31544" xr:uid="{00000000-0005-0000-0000-000028350000}"/>
    <cellStyle name="Normal 10 3 2 3 2 6" xfId="7427" xr:uid="{00000000-0005-0000-0000-000029350000}"/>
    <cellStyle name="Normal 10 3 2 3 2 6 2" xfId="19987" xr:uid="{00000000-0005-0000-0000-00002A350000}"/>
    <cellStyle name="Normal 10 3 2 3 2 6 2 2" xfId="45540" xr:uid="{00000000-0005-0000-0000-00002B350000}"/>
    <cellStyle name="Normal 10 3 2 3 2 6 3" xfId="32984" xr:uid="{00000000-0005-0000-0000-00002C350000}"/>
    <cellStyle name="Normal 10 3 2 3 2 7" xfId="16498" xr:uid="{00000000-0005-0000-0000-00002D350000}"/>
    <cellStyle name="Normal 10 3 2 3 2 7 2" xfId="42051" xr:uid="{00000000-0005-0000-0000-00002E350000}"/>
    <cellStyle name="Normal 10 3 2 3 2 8" xfId="26470" xr:uid="{00000000-0005-0000-0000-00002F350000}"/>
    <cellStyle name="Normal 10 3 2 3 3" xfId="712" xr:uid="{00000000-0005-0000-0000-000030350000}"/>
    <cellStyle name="Normal 10 3 2 3 3 2" xfId="3198" xr:uid="{00000000-0005-0000-0000-000031350000}"/>
    <cellStyle name="Normal 10 3 2 3 3 2 2" xfId="12341" xr:uid="{00000000-0005-0000-0000-000032350000}"/>
    <cellStyle name="Normal 10 3 2 3 3 2 2 2" xfId="22559" xr:uid="{00000000-0005-0000-0000-000033350000}"/>
    <cellStyle name="Normal 10 3 2 3 3 2 2 2 2" xfId="48112" xr:uid="{00000000-0005-0000-0000-000034350000}"/>
    <cellStyle name="Normal 10 3 2 3 3 2 2 3" xfId="37896" xr:uid="{00000000-0005-0000-0000-000035350000}"/>
    <cellStyle name="Normal 10 3 2 3 3 2 3" xfId="8763" xr:uid="{00000000-0005-0000-0000-000036350000}"/>
    <cellStyle name="Normal 10 3 2 3 3 2 3 2" xfId="34320" xr:uid="{00000000-0005-0000-0000-000037350000}"/>
    <cellStyle name="Normal 10 3 2 3 3 2 4" xfId="17552" xr:uid="{00000000-0005-0000-0000-000038350000}"/>
    <cellStyle name="Normal 10 3 2 3 3 2 4 2" xfId="43105" xr:uid="{00000000-0005-0000-0000-000039350000}"/>
    <cellStyle name="Normal 10 3 2 3 3 2 5" xfId="29042" xr:uid="{00000000-0005-0000-0000-00003A350000}"/>
    <cellStyle name="Normal 10 3 2 3 3 3" xfId="4876" xr:uid="{00000000-0005-0000-0000-00003B350000}"/>
    <cellStyle name="Normal 10 3 2 3 3 3 2" xfId="13713" xr:uid="{00000000-0005-0000-0000-00003C350000}"/>
    <cellStyle name="Normal 10 3 2 3 3 3 2 2" xfId="23964" xr:uid="{00000000-0005-0000-0000-00003D350000}"/>
    <cellStyle name="Normal 10 3 2 3 3 3 2 2 2" xfId="49517" xr:uid="{00000000-0005-0000-0000-00003E350000}"/>
    <cellStyle name="Normal 10 3 2 3 3 3 2 3" xfId="39268" xr:uid="{00000000-0005-0000-0000-00003F350000}"/>
    <cellStyle name="Normal 10 3 2 3 3 3 3" xfId="10134" xr:uid="{00000000-0005-0000-0000-000040350000}"/>
    <cellStyle name="Normal 10 3 2 3 3 3 3 2" xfId="35691" xr:uid="{00000000-0005-0000-0000-000041350000}"/>
    <cellStyle name="Normal 10 3 2 3 3 3 4" xfId="18957" xr:uid="{00000000-0005-0000-0000-000042350000}"/>
    <cellStyle name="Normal 10 3 2 3 3 3 4 2" xfId="44510" xr:uid="{00000000-0005-0000-0000-000043350000}"/>
    <cellStyle name="Normal 10 3 2 3 3 3 5" xfId="30447" xr:uid="{00000000-0005-0000-0000-000044350000}"/>
    <cellStyle name="Normal 10 3 2 3 3 4" xfId="2307" xr:uid="{00000000-0005-0000-0000-000045350000}"/>
    <cellStyle name="Normal 10 3 2 3 3 4 2" xfId="11672" xr:uid="{00000000-0005-0000-0000-000046350000}"/>
    <cellStyle name="Normal 10 3 2 3 3 4 2 2" xfId="37227" xr:uid="{00000000-0005-0000-0000-000047350000}"/>
    <cellStyle name="Normal 10 3 2 3 3 4 3" xfId="21676" xr:uid="{00000000-0005-0000-0000-000048350000}"/>
    <cellStyle name="Normal 10 3 2 3 3 4 3 2" xfId="47229" xr:uid="{00000000-0005-0000-0000-000049350000}"/>
    <cellStyle name="Normal 10 3 2 3 3 4 4" xfId="28159" xr:uid="{00000000-0005-0000-0000-00004A350000}"/>
    <cellStyle name="Normal 10 3 2 3 3 5" xfId="6331" xr:uid="{00000000-0005-0000-0000-00004B350000}"/>
    <cellStyle name="Normal 10 3 2 3 3 5 2" xfId="15158" xr:uid="{00000000-0005-0000-0000-00004C350000}"/>
    <cellStyle name="Normal 10 3 2 3 3 5 2 2" xfId="40713" xr:uid="{00000000-0005-0000-0000-00004D350000}"/>
    <cellStyle name="Normal 10 3 2 3 3 5 3" xfId="25409" xr:uid="{00000000-0005-0000-0000-00004E350000}"/>
    <cellStyle name="Normal 10 3 2 3 3 5 3 2" xfId="50962" xr:uid="{00000000-0005-0000-0000-00004F350000}"/>
    <cellStyle name="Normal 10 3 2 3 3 5 4" xfId="31892" xr:uid="{00000000-0005-0000-0000-000050350000}"/>
    <cellStyle name="Normal 10 3 2 3 3 6" xfId="7777" xr:uid="{00000000-0005-0000-0000-000051350000}"/>
    <cellStyle name="Normal 10 3 2 3 3 6 2" xfId="20158" xr:uid="{00000000-0005-0000-0000-000052350000}"/>
    <cellStyle name="Normal 10 3 2 3 3 6 2 2" xfId="45711" xr:uid="{00000000-0005-0000-0000-000053350000}"/>
    <cellStyle name="Normal 10 3 2 3 3 6 3" xfId="33334" xr:uid="{00000000-0005-0000-0000-000054350000}"/>
    <cellStyle name="Normal 10 3 2 3 3 7" xfId="16669" xr:uid="{00000000-0005-0000-0000-000055350000}"/>
    <cellStyle name="Normal 10 3 2 3 3 7 2" xfId="42222" xr:uid="{00000000-0005-0000-0000-000056350000}"/>
    <cellStyle name="Normal 10 3 2 3 3 8" xfId="26641" xr:uid="{00000000-0005-0000-0000-000057350000}"/>
    <cellStyle name="Normal 10 3 2 3 4" xfId="1313" xr:uid="{00000000-0005-0000-0000-000058350000}"/>
    <cellStyle name="Normal 10 3 2 3 4 2" xfId="3742" xr:uid="{00000000-0005-0000-0000-000059350000}"/>
    <cellStyle name="Normal 10 3 2 3 4 2 2" xfId="12878" xr:uid="{00000000-0005-0000-0000-00005A350000}"/>
    <cellStyle name="Normal 10 3 2 3 4 2 2 2" xfId="23097" xr:uid="{00000000-0005-0000-0000-00005B350000}"/>
    <cellStyle name="Normal 10 3 2 3 4 2 2 2 2" xfId="48650" xr:uid="{00000000-0005-0000-0000-00005C350000}"/>
    <cellStyle name="Normal 10 3 2 3 4 2 2 3" xfId="38433" xr:uid="{00000000-0005-0000-0000-00005D350000}"/>
    <cellStyle name="Normal 10 3 2 3 4 2 3" xfId="9299" xr:uid="{00000000-0005-0000-0000-00005E350000}"/>
    <cellStyle name="Normal 10 3 2 3 4 2 3 2" xfId="34856" xr:uid="{00000000-0005-0000-0000-00005F350000}"/>
    <cellStyle name="Normal 10 3 2 3 4 2 4" xfId="18090" xr:uid="{00000000-0005-0000-0000-000060350000}"/>
    <cellStyle name="Normal 10 3 2 3 4 2 4 2" xfId="43643" xr:uid="{00000000-0005-0000-0000-000061350000}"/>
    <cellStyle name="Normal 10 3 2 3 4 2 5" xfId="29580" xr:uid="{00000000-0005-0000-0000-000062350000}"/>
    <cellStyle name="Normal 10 3 2 3 4 3" xfId="5405" xr:uid="{00000000-0005-0000-0000-000063350000}"/>
    <cellStyle name="Normal 10 3 2 3 4 3 2" xfId="14242" xr:uid="{00000000-0005-0000-0000-000064350000}"/>
    <cellStyle name="Normal 10 3 2 3 4 3 2 2" xfId="24493" xr:uid="{00000000-0005-0000-0000-000065350000}"/>
    <cellStyle name="Normal 10 3 2 3 4 3 2 2 2" xfId="50046" xr:uid="{00000000-0005-0000-0000-000066350000}"/>
    <cellStyle name="Normal 10 3 2 3 4 3 2 3" xfId="39797" xr:uid="{00000000-0005-0000-0000-000067350000}"/>
    <cellStyle name="Normal 10 3 2 3 4 3 3" xfId="10663" xr:uid="{00000000-0005-0000-0000-000068350000}"/>
    <cellStyle name="Normal 10 3 2 3 4 3 3 2" xfId="36220" xr:uid="{00000000-0005-0000-0000-000069350000}"/>
    <cellStyle name="Normal 10 3 2 3 4 3 4" xfId="19486" xr:uid="{00000000-0005-0000-0000-00006A350000}"/>
    <cellStyle name="Normal 10 3 2 3 4 3 4 2" xfId="45039" xr:uid="{00000000-0005-0000-0000-00006B350000}"/>
    <cellStyle name="Normal 10 3 2 3 4 3 5" xfId="30976" xr:uid="{00000000-0005-0000-0000-00006C350000}"/>
    <cellStyle name="Normal 10 3 2 3 4 4" xfId="1816" xr:uid="{00000000-0005-0000-0000-00006D350000}"/>
    <cellStyle name="Normal 10 3 2 3 4 4 2" xfId="11184" xr:uid="{00000000-0005-0000-0000-00006E350000}"/>
    <cellStyle name="Normal 10 3 2 3 4 4 2 2" xfId="36739" xr:uid="{00000000-0005-0000-0000-00006F350000}"/>
    <cellStyle name="Normal 10 3 2 3 4 4 3" xfId="21188" xr:uid="{00000000-0005-0000-0000-000070350000}"/>
    <cellStyle name="Normal 10 3 2 3 4 4 3 2" xfId="46741" xr:uid="{00000000-0005-0000-0000-000071350000}"/>
    <cellStyle name="Normal 10 3 2 3 4 4 4" xfId="27671" xr:uid="{00000000-0005-0000-0000-000072350000}"/>
    <cellStyle name="Normal 10 3 2 3 4 5" xfId="6860" xr:uid="{00000000-0005-0000-0000-000073350000}"/>
    <cellStyle name="Normal 10 3 2 3 4 5 2" xfId="15687" xr:uid="{00000000-0005-0000-0000-000074350000}"/>
    <cellStyle name="Normal 10 3 2 3 4 5 2 2" xfId="41242" xr:uid="{00000000-0005-0000-0000-000075350000}"/>
    <cellStyle name="Normal 10 3 2 3 4 5 3" xfId="25938" xr:uid="{00000000-0005-0000-0000-000076350000}"/>
    <cellStyle name="Normal 10 3 2 3 4 5 3 2" xfId="51491" xr:uid="{00000000-0005-0000-0000-000077350000}"/>
    <cellStyle name="Normal 10 3 2 3 4 5 4" xfId="32421" xr:uid="{00000000-0005-0000-0000-000078350000}"/>
    <cellStyle name="Normal 10 3 2 3 4 6" xfId="8306" xr:uid="{00000000-0005-0000-0000-000079350000}"/>
    <cellStyle name="Normal 10 3 2 3 4 6 2" xfId="20696" xr:uid="{00000000-0005-0000-0000-00007A350000}"/>
    <cellStyle name="Normal 10 3 2 3 4 6 2 2" xfId="46249" xr:uid="{00000000-0005-0000-0000-00007B350000}"/>
    <cellStyle name="Normal 10 3 2 3 4 6 3" xfId="33863" xr:uid="{00000000-0005-0000-0000-00007C350000}"/>
    <cellStyle name="Normal 10 3 2 3 4 7" xfId="16181" xr:uid="{00000000-0005-0000-0000-00007D350000}"/>
    <cellStyle name="Normal 10 3 2 3 4 7 2" xfId="41734" xr:uid="{00000000-0005-0000-0000-00007E350000}"/>
    <cellStyle name="Normal 10 3 2 3 4 8" xfId="27179" xr:uid="{00000000-0005-0000-0000-00007F350000}"/>
    <cellStyle name="Normal 10 3 2 3 5" xfId="2710" xr:uid="{00000000-0005-0000-0000-000080350000}"/>
    <cellStyle name="Normal 10 3 2 3 5 2" xfId="12027" xr:uid="{00000000-0005-0000-0000-000081350000}"/>
    <cellStyle name="Normal 10 3 2 3 5 2 2" xfId="22071" xr:uid="{00000000-0005-0000-0000-000082350000}"/>
    <cellStyle name="Normal 10 3 2 3 5 2 2 2" xfId="47624" xr:uid="{00000000-0005-0000-0000-000083350000}"/>
    <cellStyle name="Normal 10 3 2 3 5 2 3" xfId="37582" xr:uid="{00000000-0005-0000-0000-000084350000}"/>
    <cellStyle name="Normal 10 3 2 3 5 3" xfId="8579" xr:uid="{00000000-0005-0000-0000-000085350000}"/>
    <cellStyle name="Normal 10 3 2 3 5 3 2" xfId="34136" xr:uid="{00000000-0005-0000-0000-000086350000}"/>
    <cellStyle name="Normal 10 3 2 3 5 4" xfId="17064" xr:uid="{00000000-0005-0000-0000-000087350000}"/>
    <cellStyle name="Normal 10 3 2 3 5 4 2" xfId="42617" xr:uid="{00000000-0005-0000-0000-000088350000}"/>
    <cellStyle name="Normal 10 3 2 3 5 5" xfId="28554" xr:uid="{00000000-0005-0000-0000-000089350000}"/>
    <cellStyle name="Normal 10 3 2 3 6" xfId="4361" xr:uid="{00000000-0005-0000-0000-00008A350000}"/>
    <cellStyle name="Normal 10 3 2 3 6 2" xfId="13199" xr:uid="{00000000-0005-0000-0000-00008B350000}"/>
    <cellStyle name="Normal 10 3 2 3 6 2 2" xfId="23450" xr:uid="{00000000-0005-0000-0000-00008C350000}"/>
    <cellStyle name="Normal 10 3 2 3 6 2 2 2" xfId="49003" xr:uid="{00000000-0005-0000-0000-00008D350000}"/>
    <cellStyle name="Normal 10 3 2 3 6 2 3" xfId="38754" xr:uid="{00000000-0005-0000-0000-00008E350000}"/>
    <cellStyle name="Normal 10 3 2 3 6 3" xfId="9620" xr:uid="{00000000-0005-0000-0000-00008F350000}"/>
    <cellStyle name="Normal 10 3 2 3 6 3 2" xfId="35177" xr:uid="{00000000-0005-0000-0000-000090350000}"/>
    <cellStyle name="Normal 10 3 2 3 6 4" xfId="18443" xr:uid="{00000000-0005-0000-0000-000091350000}"/>
    <cellStyle name="Normal 10 3 2 3 6 4 2" xfId="43996" xr:uid="{00000000-0005-0000-0000-000092350000}"/>
    <cellStyle name="Normal 10 3 2 3 6 5" xfId="29933" xr:uid="{00000000-0005-0000-0000-000093350000}"/>
    <cellStyle name="Normal 10 3 2 3 7" xfId="1633" xr:uid="{00000000-0005-0000-0000-000094350000}"/>
    <cellStyle name="Normal 10 3 2 3 7 2" xfId="11010" xr:uid="{00000000-0005-0000-0000-000095350000}"/>
    <cellStyle name="Normal 10 3 2 3 7 2 2" xfId="36565" xr:uid="{00000000-0005-0000-0000-000096350000}"/>
    <cellStyle name="Normal 10 3 2 3 7 3" xfId="21014" xr:uid="{00000000-0005-0000-0000-000097350000}"/>
    <cellStyle name="Normal 10 3 2 3 7 3 2" xfId="46567" xr:uid="{00000000-0005-0000-0000-000098350000}"/>
    <cellStyle name="Normal 10 3 2 3 7 4" xfId="27497" xr:uid="{00000000-0005-0000-0000-000099350000}"/>
    <cellStyle name="Normal 10 3 2 3 8" xfId="5817" xr:uid="{00000000-0005-0000-0000-00009A350000}"/>
    <cellStyle name="Normal 10 3 2 3 8 2" xfId="14644" xr:uid="{00000000-0005-0000-0000-00009B350000}"/>
    <cellStyle name="Normal 10 3 2 3 8 2 2" xfId="40199" xr:uid="{00000000-0005-0000-0000-00009C350000}"/>
    <cellStyle name="Normal 10 3 2 3 8 3" xfId="24895" xr:uid="{00000000-0005-0000-0000-00009D350000}"/>
    <cellStyle name="Normal 10 3 2 3 8 3 2" xfId="50448" xr:uid="{00000000-0005-0000-0000-00009E350000}"/>
    <cellStyle name="Normal 10 3 2 3 8 4" xfId="31378" xr:uid="{00000000-0005-0000-0000-00009F350000}"/>
    <cellStyle name="Normal 10 3 2 3 9" xfId="7261" xr:uid="{00000000-0005-0000-0000-0000A0350000}"/>
    <cellStyle name="Normal 10 3 2 3 9 2" xfId="19670" xr:uid="{00000000-0005-0000-0000-0000A1350000}"/>
    <cellStyle name="Normal 10 3 2 3 9 2 2" xfId="45223" xr:uid="{00000000-0005-0000-0000-0000A2350000}"/>
    <cellStyle name="Normal 10 3 2 3 9 3" xfId="32818" xr:uid="{00000000-0005-0000-0000-0000A3350000}"/>
    <cellStyle name="Normal 10 3 2 3_Degree data" xfId="3831" xr:uid="{00000000-0005-0000-0000-0000A4350000}"/>
    <cellStyle name="Normal 10 3 2 4" xfId="323" xr:uid="{00000000-0005-0000-0000-0000A5350000}"/>
    <cellStyle name="Normal 10 3 2 4 2" xfId="2809" xr:uid="{00000000-0005-0000-0000-0000A6350000}"/>
    <cellStyle name="Normal 10 3 2 4 2 2" xfId="12109" xr:uid="{00000000-0005-0000-0000-0000A7350000}"/>
    <cellStyle name="Normal 10 3 2 4 2 2 2" xfId="22170" xr:uid="{00000000-0005-0000-0000-0000A8350000}"/>
    <cellStyle name="Normal 10 3 2 4 2 2 2 2" xfId="47723" xr:uid="{00000000-0005-0000-0000-0000A9350000}"/>
    <cellStyle name="Normal 10 3 2 4 2 2 3" xfId="37664" xr:uid="{00000000-0005-0000-0000-0000AA350000}"/>
    <cellStyle name="Normal 10 3 2 4 2 3" xfId="8531" xr:uid="{00000000-0005-0000-0000-0000AB350000}"/>
    <cellStyle name="Normal 10 3 2 4 2 3 2" xfId="34088" xr:uid="{00000000-0005-0000-0000-0000AC350000}"/>
    <cellStyle name="Normal 10 3 2 4 2 4" xfId="17163" xr:uid="{00000000-0005-0000-0000-0000AD350000}"/>
    <cellStyle name="Normal 10 3 2 4 2 4 2" xfId="42716" xr:uid="{00000000-0005-0000-0000-0000AE350000}"/>
    <cellStyle name="Normal 10 3 2 4 2 5" xfId="28653" xr:uid="{00000000-0005-0000-0000-0000AF350000}"/>
    <cellStyle name="Normal 10 3 2 4 3" xfId="4526" xr:uid="{00000000-0005-0000-0000-0000B0350000}"/>
    <cellStyle name="Normal 10 3 2 4 3 2" xfId="13364" xr:uid="{00000000-0005-0000-0000-0000B1350000}"/>
    <cellStyle name="Normal 10 3 2 4 3 2 2" xfId="23615" xr:uid="{00000000-0005-0000-0000-0000B2350000}"/>
    <cellStyle name="Normal 10 3 2 4 3 2 2 2" xfId="49168" xr:uid="{00000000-0005-0000-0000-0000B3350000}"/>
    <cellStyle name="Normal 10 3 2 4 3 2 3" xfId="38919" xr:uid="{00000000-0005-0000-0000-0000B4350000}"/>
    <cellStyle name="Normal 10 3 2 4 3 3" xfId="9785" xr:uid="{00000000-0005-0000-0000-0000B5350000}"/>
    <cellStyle name="Normal 10 3 2 4 3 3 2" xfId="35342" xr:uid="{00000000-0005-0000-0000-0000B6350000}"/>
    <cellStyle name="Normal 10 3 2 4 3 4" xfId="18608" xr:uid="{00000000-0005-0000-0000-0000B7350000}"/>
    <cellStyle name="Normal 10 3 2 4 3 4 2" xfId="44161" xr:uid="{00000000-0005-0000-0000-0000B8350000}"/>
    <cellStyle name="Normal 10 3 2 4 3 5" xfId="30098" xr:uid="{00000000-0005-0000-0000-0000B9350000}"/>
    <cellStyle name="Normal 10 3 2 4 4" xfId="1918" xr:uid="{00000000-0005-0000-0000-0000BA350000}"/>
    <cellStyle name="Normal 10 3 2 4 4 2" xfId="11283" xr:uid="{00000000-0005-0000-0000-0000BB350000}"/>
    <cellStyle name="Normal 10 3 2 4 4 2 2" xfId="36838" xr:uid="{00000000-0005-0000-0000-0000BC350000}"/>
    <cellStyle name="Normal 10 3 2 4 4 3" xfId="21287" xr:uid="{00000000-0005-0000-0000-0000BD350000}"/>
    <cellStyle name="Normal 10 3 2 4 4 3 2" xfId="46840" xr:uid="{00000000-0005-0000-0000-0000BE350000}"/>
    <cellStyle name="Normal 10 3 2 4 4 4" xfId="27770" xr:uid="{00000000-0005-0000-0000-0000BF350000}"/>
    <cellStyle name="Normal 10 3 2 4 5" xfId="5982" xr:uid="{00000000-0005-0000-0000-0000C0350000}"/>
    <cellStyle name="Normal 10 3 2 4 5 2" xfId="14809" xr:uid="{00000000-0005-0000-0000-0000C1350000}"/>
    <cellStyle name="Normal 10 3 2 4 5 2 2" xfId="40364" xr:uid="{00000000-0005-0000-0000-0000C2350000}"/>
    <cellStyle name="Normal 10 3 2 4 5 3" xfId="25060" xr:uid="{00000000-0005-0000-0000-0000C3350000}"/>
    <cellStyle name="Normal 10 3 2 4 5 3 2" xfId="50613" xr:uid="{00000000-0005-0000-0000-0000C4350000}"/>
    <cellStyle name="Normal 10 3 2 4 5 4" xfId="31543" xr:uid="{00000000-0005-0000-0000-0000C5350000}"/>
    <cellStyle name="Normal 10 3 2 4 6" xfId="7426" xr:uid="{00000000-0005-0000-0000-0000C6350000}"/>
    <cellStyle name="Normal 10 3 2 4 6 2" xfId="19769" xr:uid="{00000000-0005-0000-0000-0000C7350000}"/>
    <cellStyle name="Normal 10 3 2 4 6 2 2" xfId="45322" xr:uid="{00000000-0005-0000-0000-0000C8350000}"/>
    <cellStyle name="Normal 10 3 2 4 6 3" xfId="32983" xr:uid="{00000000-0005-0000-0000-0000C9350000}"/>
    <cellStyle name="Normal 10 3 2 4 7" xfId="16280" xr:uid="{00000000-0005-0000-0000-0000CA350000}"/>
    <cellStyle name="Normal 10 3 2 4 7 2" xfId="41833" xr:uid="{00000000-0005-0000-0000-0000CB350000}"/>
    <cellStyle name="Normal 10 3 2 4 8" xfId="26252" xr:uid="{00000000-0005-0000-0000-0000CC350000}"/>
    <cellStyle name="Normal 10 3 2 5" xfId="711" xr:uid="{00000000-0005-0000-0000-0000CD350000}"/>
    <cellStyle name="Normal 10 3 2 5 2" xfId="3197" xr:uid="{00000000-0005-0000-0000-0000CE350000}"/>
    <cellStyle name="Normal 10 3 2 5 2 2" xfId="12340" xr:uid="{00000000-0005-0000-0000-0000CF350000}"/>
    <cellStyle name="Normal 10 3 2 5 2 2 2" xfId="22558" xr:uid="{00000000-0005-0000-0000-0000D0350000}"/>
    <cellStyle name="Normal 10 3 2 5 2 2 2 2" xfId="48111" xr:uid="{00000000-0005-0000-0000-0000D1350000}"/>
    <cellStyle name="Normal 10 3 2 5 2 2 3" xfId="37895" xr:uid="{00000000-0005-0000-0000-0000D2350000}"/>
    <cellStyle name="Normal 10 3 2 5 2 3" xfId="8762" xr:uid="{00000000-0005-0000-0000-0000D3350000}"/>
    <cellStyle name="Normal 10 3 2 5 2 3 2" xfId="34319" xr:uid="{00000000-0005-0000-0000-0000D4350000}"/>
    <cellStyle name="Normal 10 3 2 5 2 4" xfId="17551" xr:uid="{00000000-0005-0000-0000-0000D5350000}"/>
    <cellStyle name="Normal 10 3 2 5 2 4 2" xfId="43104" xr:uid="{00000000-0005-0000-0000-0000D6350000}"/>
    <cellStyle name="Normal 10 3 2 5 2 5" xfId="29041" xr:uid="{00000000-0005-0000-0000-0000D7350000}"/>
    <cellStyle name="Normal 10 3 2 5 3" xfId="4875" xr:uid="{00000000-0005-0000-0000-0000D8350000}"/>
    <cellStyle name="Normal 10 3 2 5 3 2" xfId="13712" xr:uid="{00000000-0005-0000-0000-0000D9350000}"/>
    <cellStyle name="Normal 10 3 2 5 3 2 2" xfId="23963" xr:uid="{00000000-0005-0000-0000-0000DA350000}"/>
    <cellStyle name="Normal 10 3 2 5 3 2 2 2" xfId="49516" xr:uid="{00000000-0005-0000-0000-0000DB350000}"/>
    <cellStyle name="Normal 10 3 2 5 3 2 3" xfId="39267" xr:uid="{00000000-0005-0000-0000-0000DC350000}"/>
    <cellStyle name="Normal 10 3 2 5 3 3" xfId="10133" xr:uid="{00000000-0005-0000-0000-0000DD350000}"/>
    <cellStyle name="Normal 10 3 2 5 3 3 2" xfId="35690" xr:uid="{00000000-0005-0000-0000-0000DE350000}"/>
    <cellStyle name="Normal 10 3 2 5 3 4" xfId="18956" xr:uid="{00000000-0005-0000-0000-0000DF350000}"/>
    <cellStyle name="Normal 10 3 2 5 3 4 2" xfId="44509" xr:uid="{00000000-0005-0000-0000-0000E0350000}"/>
    <cellStyle name="Normal 10 3 2 5 3 5" xfId="30446" xr:uid="{00000000-0005-0000-0000-0000E1350000}"/>
    <cellStyle name="Normal 10 3 2 5 4" xfId="2306" xr:uid="{00000000-0005-0000-0000-0000E2350000}"/>
    <cellStyle name="Normal 10 3 2 5 4 2" xfId="11671" xr:uid="{00000000-0005-0000-0000-0000E3350000}"/>
    <cellStyle name="Normal 10 3 2 5 4 2 2" xfId="37226" xr:uid="{00000000-0005-0000-0000-0000E4350000}"/>
    <cellStyle name="Normal 10 3 2 5 4 3" xfId="21675" xr:uid="{00000000-0005-0000-0000-0000E5350000}"/>
    <cellStyle name="Normal 10 3 2 5 4 3 2" xfId="47228" xr:uid="{00000000-0005-0000-0000-0000E6350000}"/>
    <cellStyle name="Normal 10 3 2 5 4 4" xfId="28158" xr:uid="{00000000-0005-0000-0000-0000E7350000}"/>
    <cellStyle name="Normal 10 3 2 5 5" xfId="6330" xr:uid="{00000000-0005-0000-0000-0000E8350000}"/>
    <cellStyle name="Normal 10 3 2 5 5 2" xfId="15157" xr:uid="{00000000-0005-0000-0000-0000E9350000}"/>
    <cellStyle name="Normal 10 3 2 5 5 2 2" xfId="40712" xr:uid="{00000000-0005-0000-0000-0000EA350000}"/>
    <cellStyle name="Normal 10 3 2 5 5 3" xfId="25408" xr:uid="{00000000-0005-0000-0000-0000EB350000}"/>
    <cellStyle name="Normal 10 3 2 5 5 3 2" xfId="50961" xr:uid="{00000000-0005-0000-0000-0000EC350000}"/>
    <cellStyle name="Normal 10 3 2 5 5 4" xfId="31891" xr:uid="{00000000-0005-0000-0000-0000ED350000}"/>
    <cellStyle name="Normal 10 3 2 5 6" xfId="7776" xr:uid="{00000000-0005-0000-0000-0000EE350000}"/>
    <cellStyle name="Normal 10 3 2 5 6 2" xfId="20157" xr:uid="{00000000-0005-0000-0000-0000EF350000}"/>
    <cellStyle name="Normal 10 3 2 5 6 2 2" xfId="45710" xr:uid="{00000000-0005-0000-0000-0000F0350000}"/>
    <cellStyle name="Normal 10 3 2 5 6 3" xfId="33333" xr:uid="{00000000-0005-0000-0000-0000F1350000}"/>
    <cellStyle name="Normal 10 3 2 5 7" xfId="16668" xr:uid="{00000000-0005-0000-0000-0000F2350000}"/>
    <cellStyle name="Normal 10 3 2 5 7 2" xfId="42221" xr:uid="{00000000-0005-0000-0000-0000F3350000}"/>
    <cellStyle name="Normal 10 3 2 5 8" xfId="26640" xr:uid="{00000000-0005-0000-0000-0000F4350000}"/>
    <cellStyle name="Normal 10 3 2 6" xfId="1095" xr:uid="{00000000-0005-0000-0000-0000F5350000}"/>
    <cellStyle name="Normal 10 3 2 6 2" xfId="5187" xr:uid="{00000000-0005-0000-0000-0000F6350000}"/>
    <cellStyle name="Normal 10 3 2 6 2 2" xfId="14024" xr:uid="{00000000-0005-0000-0000-0000F7350000}"/>
    <cellStyle name="Normal 10 3 2 6 2 2 2" xfId="24275" xr:uid="{00000000-0005-0000-0000-0000F8350000}"/>
    <cellStyle name="Normal 10 3 2 6 2 2 2 2" xfId="49828" xr:uid="{00000000-0005-0000-0000-0000F9350000}"/>
    <cellStyle name="Normal 10 3 2 6 2 2 3" xfId="39579" xr:uid="{00000000-0005-0000-0000-0000FA350000}"/>
    <cellStyle name="Normal 10 3 2 6 2 3" xfId="10445" xr:uid="{00000000-0005-0000-0000-0000FB350000}"/>
    <cellStyle name="Normal 10 3 2 6 2 3 2" xfId="36002" xr:uid="{00000000-0005-0000-0000-0000FC350000}"/>
    <cellStyle name="Normal 10 3 2 6 2 4" xfId="19268" xr:uid="{00000000-0005-0000-0000-0000FD350000}"/>
    <cellStyle name="Normal 10 3 2 6 2 4 2" xfId="44821" xr:uid="{00000000-0005-0000-0000-0000FE350000}"/>
    <cellStyle name="Normal 10 3 2 6 2 5" xfId="30758" xr:uid="{00000000-0005-0000-0000-0000FF350000}"/>
    <cellStyle name="Normal 10 3 2 6 3" xfId="3524" xr:uid="{00000000-0005-0000-0000-000000360000}"/>
    <cellStyle name="Normal 10 3 2 6 3 2" xfId="12660" xr:uid="{00000000-0005-0000-0000-000001360000}"/>
    <cellStyle name="Normal 10 3 2 6 3 2 2" xfId="38215" xr:uid="{00000000-0005-0000-0000-000002360000}"/>
    <cellStyle name="Normal 10 3 2 6 3 3" xfId="22879" xr:uid="{00000000-0005-0000-0000-000003360000}"/>
    <cellStyle name="Normal 10 3 2 6 3 3 2" xfId="48432" xr:uid="{00000000-0005-0000-0000-000004360000}"/>
    <cellStyle name="Normal 10 3 2 6 3 4" xfId="29362" xr:uid="{00000000-0005-0000-0000-000005360000}"/>
    <cellStyle name="Normal 10 3 2 6 4" xfId="6642" xr:uid="{00000000-0005-0000-0000-000006360000}"/>
    <cellStyle name="Normal 10 3 2 6 4 2" xfId="15469" xr:uid="{00000000-0005-0000-0000-000007360000}"/>
    <cellStyle name="Normal 10 3 2 6 4 2 2" xfId="41024" xr:uid="{00000000-0005-0000-0000-000008360000}"/>
    <cellStyle name="Normal 10 3 2 6 4 3" xfId="25720" xr:uid="{00000000-0005-0000-0000-000009360000}"/>
    <cellStyle name="Normal 10 3 2 6 4 3 2" xfId="51273" xr:uid="{00000000-0005-0000-0000-00000A360000}"/>
    <cellStyle name="Normal 10 3 2 6 4 4" xfId="32203" xr:uid="{00000000-0005-0000-0000-00000B360000}"/>
    <cellStyle name="Normal 10 3 2 6 5" xfId="8088" xr:uid="{00000000-0005-0000-0000-00000C360000}"/>
    <cellStyle name="Normal 10 3 2 6 5 2" xfId="20478" xr:uid="{00000000-0005-0000-0000-00000D360000}"/>
    <cellStyle name="Normal 10 3 2 6 5 2 2" xfId="46031" xr:uid="{00000000-0005-0000-0000-00000E360000}"/>
    <cellStyle name="Normal 10 3 2 6 5 3" xfId="33645" xr:uid="{00000000-0005-0000-0000-00000F360000}"/>
    <cellStyle name="Normal 10 3 2 6 6" xfId="17872" xr:uid="{00000000-0005-0000-0000-000010360000}"/>
    <cellStyle name="Normal 10 3 2 6 6 2" xfId="43425" xr:uid="{00000000-0005-0000-0000-000011360000}"/>
    <cellStyle name="Normal 10 3 2 6 7" xfId="26961" xr:uid="{00000000-0005-0000-0000-000012360000}"/>
    <cellStyle name="Normal 10 3 2 7" xfId="4141" xr:uid="{00000000-0005-0000-0000-000013360000}"/>
    <cellStyle name="Normal 10 3 2 7 2" xfId="12979" xr:uid="{00000000-0005-0000-0000-000014360000}"/>
    <cellStyle name="Normal 10 3 2 7 2 2" xfId="23230" xr:uid="{00000000-0005-0000-0000-000015360000}"/>
    <cellStyle name="Normal 10 3 2 7 2 2 2" xfId="48783" xr:uid="{00000000-0005-0000-0000-000016360000}"/>
    <cellStyle name="Normal 10 3 2 7 2 3" xfId="38534" xr:uid="{00000000-0005-0000-0000-000017360000}"/>
    <cellStyle name="Normal 10 3 2 7 3" xfId="9400" xr:uid="{00000000-0005-0000-0000-000018360000}"/>
    <cellStyle name="Normal 10 3 2 7 3 2" xfId="34957" xr:uid="{00000000-0005-0000-0000-000019360000}"/>
    <cellStyle name="Normal 10 3 2 7 4" xfId="18223" xr:uid="{00000000-0005-0000-0000-00001A360000}"/>
    <cellStyle name="Normal 10 3 2 7 4 2" xfId="43776" xr:uid="{00000000-0005-0000-0000-00001B360000}"/>
    <cellStyle name="Normal 10 3 2 7 5" xfId="29713" xr:uid="{00000000-0005-0000-0000-00001C360000}"/>
    <cellStyle name="Normal 10 3 2 8" xfId="1415" xr:uid="{00000000-0005-0000-0000-00001D360000}"/>
    <cellStyle name="Normal 10 3 2 8 2" xfId="10792" xr:uid="{00000000-0005-0000-0000-00001E360000}"/>
    <cellStyle name="Normal 10 3 2 8 2 2" xfId="36347" xr:uid="{00000000-0005-0000-0000-00001F360000}"/>
    <cellStyle name="Normal 10 3 2 8 3" xfId="20796" xr:uid="{00000000-0005-0000-0000-000020360000}"/>
    <cellStyle name="Normal 10 3 2 8 3 2" xfId="46349" xr:uid="{00000000-0005-0000-0000-000021360000}"/>
    <cellStyle name="Normal 10 3 2 8 4" xfId="27279" xr:uid="{00000000-0005-0000-0000-000022360000}"/>
    <cellStyle name="Normal 10 3 2 9" xfId="5599" xr:uid="{00000000-0005-0000-0000-000023360000}"/>
    <cellStyle name="Normal 10 3 2 9 2" xfId="14426" xr:uid="{00000000-0005-0000-0000-000024360000}"/>
    <cellStyle name="Normal 10 3 2 9 2 2" xfId="39981" xr:uid="{00000000-0005-0000-0000-000025360000}"/>
    <cellStyle name="Normal 10 3 2 9 3" xfId="24677" xr:uid="{00000000-0005-0000-0000-000026360000}"/>
    <cellStyle name="Normal 10 3 2 9 3 2" xfId="50230" xr:uid="{00000000-0005-0000-0000-000027360000}"/>
    <cellStyle name="Normal 10 3 2 9 4" xfId="31160" xr:uid="{00000000-0005-0000-0000-000028360000}"/>
    <cellStyle name="Normal 10 3 2_Degree data" xfId="3895" xr:uid="{00000000-0005-0000-0000-000029360000}"/>
    <cellStyle name="Normal 10 3 3" xfId="230" xr:uid="{00000000-0005-0000-0000-00002A360000}"/>
    <cellStyle name="Normal 10 3 3 10" xfId="7068" xr:uid="{00000000-0005-0000-0000-00002B360000}"/>
    <cellStyle name="Normal 10 3 3 10 2" xfId="19682" xr:uid="{00000000-0005-0000-0000-00002C360000}"/>
    <cellStyle name="Normal 10 3 3 10 2 2" xfId="45235" xr:uid="{00000000-0005-0000-0000-00002D360000}"/>
    <cellStyle name="Normal 10 3 3 10 3" xfId="32625" xr:uid="{00000000-0005-0000-0000-00002E360000}"/>
    <cellStyle name="Normal 10 3 3 11" xfId="15814" xr:uid="{00000000-0005-0000-0000-00002F360000}"/>
    <cellStyle name="Normal 10 3 3 11 2" xfId="41367" xr:uid="{00000000-0005-0000-0000-000030360000}"/>
    <cellStyle name="Normal 10 3 3 12" xfId="26165" xr:uid="{00000000-0005-0000-0000-000031360000}"/>
    <cellStyle name="Normal 10 3 3 2" xfId="553" xr:uid="{00000000-0005-0000-0000-000032360000}"/>
    <cellStyle name="Normal 10 3 3 2 10" xfId="26482" xr:uid="{00000000-0005-0000-0000-000033360000}"/>
    <cellStyle name="Normal 10 3 3 2 2" xfId="714" xr:uid="{00000000-0005-0000-0000-000034360000}"/>
    <cellStyle name="Normal 10 3 3 2 2 2" xfId="3200" xr:uid="{00000000-0005-0000-0000-000035360000}"/>
    <cellStyle name="Normal 10 3 3 2 2 2 2" xfId="12343" xr:uid="{00000000-0005-0000-0000-000036360000}"/>
    <cellStyle name="Normal 10 3 3 2 2 2 2 2" xfId="22561" xr:uid="{00000000-0005-0000-0000-000037360000}"/>
    <cellStyle name="Normal 10 3 3 2 2 2 2 2 2" xfId="48114" xr:uid="{00000000-0005-0000-0000-000038360000}"/>
    <cellStyle name="Normal 10 3 3 2 2 2 2 3" xfId="37898" xr:uid="{00000000-0005-0000-0000-000039360000}"/>
    <cellStyle name="Normal 10 3 3 2 2 2 3" xfId="8765" xr:uid="{00000000-0005-0000-0000-00003A360000}"/>
    <cellStyle name="Normal 10 3 3 2 2 2 3 2" xfId="34322" xr:uid="{00000000-0005-0000-0000-00003B360000}"/>
    <cellStyle name="Normal 10 3 3 2 2 2 4" xfId="17554" xr:uid="{00000000-0005-0000-0000-00003C360000}"/>
    <cellStyle name="Normal 10 3 3 2 2 2 4 2" xfId="43107" xr:uid="{00000000-0005-0000-0000-00003D360000}"/>
    <cellStyle name="Normal 10 3 3 2 2 2 5" xfId="29044" xr:uid="{00000000-0005-0000-0000-00003E360000}"/>
    <cellStyle name="Normal 10 3 3 2 2 3" xfId="4529" xr:uid="{00000000-0005-0000-0000-00003F360000}"/>
    <cellStyle name="Normal 10 3 3 2 2 3 2" xfId="13367" xr:uid="{00000000-0005-0000-0000-000040360000}"/>
    <cellStyle name="Normal 10 3 3 2 2 3 2 2" xfId="23618" xr:uid="{00000000-0005-0000-0000-000041360000}"/>
    <cellStyle name="Normal 10 3 3 2 2 3 2 2 2" xfId="49171" xr:uid="{00000000-0005-0000-0000-000042360000}"/>
    <cellStyle name="Normal 10 3 3 2 2 3 2 3" xfId="38922" xr:uid="{00000000-0005-0000-0000-000043360000}"/>
    <cellStyle name="Normal 10 3 3 2 2 3 3" xfId="9788" xr:uid="{00000000-0005-0000-0000-000044360000}"/>
    <cellStyle name="Normal 10 3 3 2 2 3 3 2" xfId="35345" xr:uid="{00000000-0005-0000-0000-000045360000}"/>
    <cellStyle name="Normal 10 3 3 2 2 3 4" xfId="18611" xr:uid="{00000000-0005-0000-0000-000046360000}"/>
    <cellStyle name="Normal 10 3 3 2 2 3 4 2" xfId="44164" xr:uid="{00000000-0005-0000-0000-000047360000}"/>
    <cellStyle name="Normal 10 3 3 2 2 3 5" xfId="30101" xr:uid="{00000000-0005-0000-0000-000048360000}"/>
    <cellStyle name="Normal 10 3 3 2 2 4" xfId="2309" xr:uid="{00000000-0005-0000-0000-000049360000}"/>
    <cellStyle name="Normal 10 3 3 2 2 4 2" xfId="11674" xr:uid="{00000000-0005-0000-0000-00004A360000}"/>
    <cellStyle name="Normal 10 3 3 2 2 4 2 2" xfId="37229" xr:uid="{00000000-0005-0000-0000-00004B360000}"/>
    <cellStyle name="Normal 10 3 3 2 2 4 3" xfId="21678" xr:uid="{00000000-0005-0000-0000-00004C360000}"/>
    <cellStyle name="Normal 10 3 3 2 2 4 3 2" xfId="47231" xr:uid="{00000000-0005-0000-0000-00004D360000}"/>
    <cellStyle name="Normal 10 3 3 2 2 4 4" xfId="28161" xr:uid="{00000000-0005-0000-0000-00004E360000}"/>
    <cellStyle name="Normal 10 3 3 2 2 5" xfId="5985" xr:uid="{00000000-0005-0000-0000-00004F360000}"/>
    <cellStyle name="Normal 10 3 3 2 2 5 2" xfId="14812" xr:uid="{00000000-0005-0000-0000-000050360000}"/>
    <cellStyle name="Normal 10 3 3 2 2 5 2 2" xfId="40367" xr:uid="{00000000-0005-0000-0000-000051360000}"/>
    <cellStyle name="Normal 10 3 3 2 2 5 3" xfId="25063" xr:uid="{00000000-0005-0000-0000-000052360000}"/>
    <cellStyle name="Normal 10 3 3 2 2 5 3 2" xfId="50616" xr:uid="{00000000-0005-0000-0000-000053360000}"/>
    <cellStyle name="Normal 10 3 3 2 2 5 4" xfId="31546" xr:uid="{00000000-0005-0000-0000-000054360000}"/>
    <cellStyle name="Normal 10 3 3 2 2 6" xfId="7429" xr:uid="{00000000-0005-0000-0000-000055360000}"/>
    <cellStyle name="Normal 10 3 3 2 2 6 2" xfId="20160" xr:uid="{00000000-0005-0000-0000-000056360000}"/>
    <cellStyle name="Normal 10 3 3 2 2 6 2 2" xfId="45713" xr:uid="{00000000-0005-0000-0000-000057360000}"/>
    <cellStyle name="Normal 10 3 3 2 2 6 3" xfId="32986" xr:uid="{00000000-0005-0000-0000-000058360000}"/>
    <cellStyle name="Normal 10 3 3 2 2 7" xfId="16671" xr:uid="{00000000-0005-0000-0000-000059360000}"/>
    <cellStyle name="Normal 10 3 3 2 2 7 2" xfId="42224" xr:uid="{00000000-0005-0000-0000-00005A360000}"/>
    <cellStyle name="Normal 10 3 3 2 2 8" xfId="26643" xr:uid="{00000000-0005-0000-0000-00005B360000}"/>
    <cellStyle name="Normal 10 3 3 2 3" xfId="1325" xr:uid="{00000000-0005-0000-0000-00005C360000}"/>
    <cellStyle name="Normal 10 3 3 2 3 2" xfId="3754" xr:uid="{00000000-0005-0000-0000-00005D360000}"/>
    <cellStyle name="Normal 10 3 3 2 3 2 2" xfId="12890" xr:uid="{00000000-0005-0000-0000-00005E360000}"/>
    <cellStyle name="Normal 10 3 3 2 3 2 2 2" xfId="23109" xr:uid="{00000000-0005-0000-0000-00005F360000}"/>
    <cellStyle name="Normal 10 3 3 2 3 2 2 2 2" xfId="48662" xr:uid="{00000000-0005-0000-0000-000060360000}"/>
    <cellStyle name="Normal 10 3 3 2 3 2 2 3" xfId="38445" xr:uid="{00000000-0005-0000-0000-000061360000}"/>
    <cellStyle name="Normal 10 3 3 2 3 2 3" xfId="9311" xr:uid="{00000000-0005-0000-0000-000062360000}"/>
    <cellStyle name="Normal 10 3 3 2 3 2 3 2" xfId="34868" xr:uid="{00000000-0005-0000-0000-000063360000}"/>
    <cellStyle name="Normal 10 3 3 2 3 2 4" xfId="18102" xr:uid="{00000000-0005-0000-0000-000064360000}"/>
    <cellStyle name="Normal 10 3 3 2 3 2 4 2" xfId="43655" xr:uid="{00000000-0005-0000-0000-000065360000}"/>
    <cellStyle name="Normal 10 3 3 2 3 2 5" xfId="29592" xr:uid="{00000000-0005-0000-0000-000066360000}"/>
    <cellStyle name="Normal 10 3 3 2 3 3" xfId="4878" xr:uid="{00000000-0005-0000-0000-000067360000}"/>
    <cellStyle name="Normal 10 3 3 2 3 3 2" xfId="13715" xr:uid="{00000000-0005-0000-0000-000068360000}"/>
    <cellStyle name="Normal 10 3 3 2 3 3 2 2" xfId="23966" xr:uid="{00000000-0005-0000-0000-000069360000}"/>
    <cellStyle name="Normal 10 3 3 2 3 3 2 2 2" xfId="49519" xr:uid="{00000000-0005-0000-0000-00006A360000}"/>
    <cellStyle name="Normal 10 3 3 2 3 3 2 3" xfId="39270" xr:uid="{00000000-0005-0000-0000-00006B360000}"/>
    <cellStyle name="Normal 10 3 3 2 3 3 3" xfId="10136" xr:uid="{00000000-0005-0000-0000-00006C360000}"/>
    <cellStyle name="Normal 10 3 3 2 3 3 3 2" xfId="35693" xr:uid="{00000000-0005-0000-0000-00006D360000}"/>
    <cellStyle name="Normal 10 3 3 2 3 3 4" xfId="18959" xr:uid="{00000000-0005-0000-0000-00006E360000}"/>
    <cellStyle name="Normal 10 3 3 2 3 3 4 2" xfId="44512" xr:uid="{00000000-0005-0000-0000-00006F360000}"/>
    <cellStyle name="Normal 10 3 3 2 3 3 5" xfId="30449" xr:uid="{00000000-0005-0000-0000-000070360000}"/>
    <cellStyle name="Normal 10 3 3 2 3 4" xfId="2148" xr:uid="{00000000-0005-0000-0000-000071360000}"/>
    <cellStyle name="Normal 10 3 3 2 3 4 2" xfId="11513" xr:uid="{00000000-0005-0000-0000-000072360000}"/>
    <cellStyle name="Normal 10 3 3 2 3 4 2 2" xfId="37068" xr:uid="{00000000-0005-0000-0000-000073360000}"/>
    <cellStyle name="Normal 10 3 3 2 3 4 3" xfId="21517" xr:uid="{00000000-0005-0000-0000-000074360000}"/>
    <cellStyle name="Normal 10 3 3 2 3 4 3 2" xfId="47070" xr:uid="{00000000-0005-0000-0000-000075360000}"/>
    <cellStyle name="Normal 10 3 3 2 3 4 4" xfId="28000" xr:uid="{00000000-0005-0000-0000-000076360000}"/>
    <cellStyle name="Normal 10 3 3 2 3 5" xfId="6333" xr:uid="{00000000-0005-0000-0000-000077360000}"/>
    <cellStyle name="Normal 10 3 3 2 3 5 2" xfId="15160" xr:uid="{00000000-0005-0000-0000-000078360000}"/>
    <cellStyle name="Normal 10 3 3 2 3 5 2 2" xfId="40715" xr:uid="{00000000-0005-0000-0000-000079360000}"/>
    <cellStyle name="Normal 10 3 3 2 3 5 3" xfId="25411" xr:uid="{00000000-0005-0000-0000-00007A360000}"/>
    <cellStyle name="Normal 10 3 3 2 3 5 3 2" xfId="50964" xr:uid="{00000000-0005-0000-0000-00007B360000}"/>
    <cellStyle name="Normal 10 3 3 2 3 5 4" xfId="31894" xr:uid="{00000000-0005-0000-0000-00007C360000}"/>
    <cellStyle name="Normal 10 3 3 2 3 6" xfId="7779" xr:uid="{00000000-0005-0000-0000-00007D360000}"/>
    <cellStyle name="Normal 10 3 3 2 3 6 2" xfId="20708" xr:uid="{00000000-0005-0000-0000-00007E360000}"/>
    <cellStyle name="Normal 10 3 3 2 3 6 2 2" xfId="46261" xr:uid="{00000000-0005-0000-0000-00007F360000}"/>
    <cellStyle name="Normal 10 3 3 2 3 6 3" xfId="33336" xr:uid="{00000000-0005-0000-0000-000080360000}"/>
    <cellStyle name="Normal 10 3 3 2 3 7" xfId="16510" xr:uid="{00000000-0005-0000-0000-000081360000}"/>
    <cellStyle name="Normal 10 3 3 2 3 7 2" xfId="42063" xr:uid="{00000000-0005-0000-0000-000082360000}"/>
    <cellStyle name="Normal 10 3 3 2 3 8" xfId="27191" xr:uid="{00000000-0005-0000-0000-000083360000}"/>
    <cellStyle name="Normal 10 3 3 2 4" xfId="3039" xr:uid="{00000000-0005-0000-0000-000084360000}"/>
    <cellStyle name="Normal 10 3 3 2 4 2" xfId="5417" xr:uid="{00000000-0005-0000-0000-000085360000}"/>
    <cellStyle name="Normal 10 3 3 2 4 2 2" xfId="14254" xr:uid="{00000000-0005-0000-0000-000086360000}"/>
    <cellStyle name="Normal 10 3 3 2 4 2 2 2" xfId="24505" xr:uid="{00000000-0005-0000-0000-000087360000}"/>
    <cellStyle name="Normal 10 3 3 2 4 2 2 2 2" xfId="50058" xr:uid="{00000000-0005-0000-0000-000088360000}"/>
    <cellStyle name="Normal 10 3 3 2 4 2 2 3" xfId="39809" xr:uid="{00000000-0005-0000-0000-000089360000}"/>
    <cellStyle name="Normal 10 3 3 2 4 2 3" xfId="10675" xr:uid="{00000000-0005-0000-0000-00008A360000}"/>
    <cellStyle name="Normal 10 3 3 2 4 2 3 2" xfId="36232" xr:uid="{00000000-0005-0000-0000-00008B360000}"/>
    <cellStyle name="Normal 10 3 3 2 4 2 4" xfId="19498" xr:uid="{00000000-0005-0000-0000-00008C360000}"/>
    <cellStyle name="Normal 10 3 3 2 4 2 4 2" xfId="45051" xr:uid="{00000000-0005-0000-0000-00008D360000}"/>
    <cellStyle name="Normal 10 3 3 2 4 2 5" xfId="30988" xr:uid="{00000000-0005-0000-0000-00008E360000}"/>
    <cellStyle name="Normal 10 3 3 2 4 3" xfId="6872" xr:uid="{00000000-0005-0000-0000-00008F360000}"/>
    <cellStyle name="Normal 10 3 3 2 4 3 2" xfId="15699" xr:uid="{00000000-0005-0000-0000-000090360000}"/>
    <cellStyle name="Normal 10 3 3 2 4 3 2 2" xfId="41254" xr:uid="{00000000-0005-0000-0000-000091360000}"/>
    <cellStyle name="Normal 10 3 3 2 4 3 3" xfId="25950" xr:uid="{00000000-0005-0000-0000-000092360000}"/>
    <cellStyle name="Normal 10 3 3 2 4 3 3 2" xfId="51503" xr:uid="{00000000-0005-0000-0000-000093360000}"/>
    <cellStyle name="Normal 10 3 3 2 4 3 4" xfId="32433" xr:uid="{00000000-0005-0000-0000-000094360000}"/>
    <cellStyle name="Normal 10 3 3 2 4 4" xfId="8318" xr:uid="{00000000-0005-0000-0000-000095360000}"/>
    <cellStyle name="Normal 10 3 3 2 4 4 2" xfId="22400" xr:uid="{00000000-0005-0000-0000-000096360000}"/>
    <cellStyle name="Normal 10 3 3 2 4 4 2 2" xfId="47953" xr:uid="{00000000-0005-0000-0000-000097360000}"/>
    <cellStyle name="Normal 10 3 3 2 4 4 3" xfId="33875" xr:uid="{00000000-0005-0000-0000-000098360000}"/>
    <cellStyle name="Normal 10 3 3 2 4 5" xfId="17393" xr:uid="{00000000-0005-0000-0000-000099360000}"/>
    <cellStyle name="Normal 10 3 3 2 4 5 2" xfId="42946" xr:uid="{00000000-0005-0000-0000-00009A360000}"/>
    <cellStyle name="Normal 10 3 3 2 4 6" xfId="28883" xr:uid="{00000000-0005-0000-0000-00009B360000}"/>
    <cellStyle name="Normal 10 3 3 2 5" xfId="4373" xr:uid="{00000000-0005-0000-0000-00009C360000}"/>
    <cellStyle name="Normal 10 3 3 2 5 2" xfId="13211" xr:uid="{00000000-0005-0000-0000-00009D360000}"/>
    <cellStyle name="Normal 10 3 3 2 5 2 2" xfId="23462" xr:uid="{00000000-0005-0000-0000-00009E360000}"/>
    <cellStyle name="Normal 10 3 3 2 5 2 2 2" xfId="49015" xr:uid="{00000000-0005-0000-0000-00009F360000}"/>
    <cellStyle name="Normal 10 3 3 2 5 2 3" xfId="38766" xr:uid="{00000000-0005-0000-0000-0000A0360000}"/>
    <cellStyle name="Normal 10 3 3 2 5 3" xfId="9632" xr:uid="{00000000-0005-0000-0000-0000A1360000}"/>
    <cellStyle name="Normal 10 3 3 2 5 3 2" xfId="35189" xr:uid="{00000000-0005-0000-0000-0000A2360000}"/>
    <cellStyle name="Normal 10 3 3 2 5 4" xfId="18455" xr:uid="{00000000-0005-0000-0000-0000A3360000}"/>
    <cellStyle name="Normal 10 3 3 2 5 4 2" xfId="44008" xr:uid="{00000000-0005-0000-0000-0000A4360000}"/>
    <cellStyle name="Normal 10 3 3 2 5 5" xfId="29945" xr:uid="{00000000-0005-0000-0000-0000A5360000}"/>
    <cellStyle name="Normal 10 3 3 2 6" xfId="1645" xr:uid="{00000000-0005-0000-0000-0000A6360000}"/>
    <cellStyle name="Normal 10 3 3 2 6 2" xfId="11022" xr:uid="{00000000-0005-0000-0000-0000A7360000}"/>
    <cellStyle name="Normal 10 3 3 2 6 2 2" xfId="36577" xr:uid="{00000000-0005-0000-0000-0000A8360000}"/>
    <cellStyle name="Normal 10 3 3 2 6 3" xfId="21026" xr:uid="{00000000-0005-0000-0000-0000A9360000}"/>
    <cellStyle name="Normal 10 3 3 2 6 3 2" xfId="46579" xr:uid="{00000000-0005-0000-0000-0000AA360000}"/>
    <cellStyle name="Normal 10 3 3 2 6 4" xfId="27509" xr:uid="{00000000-0005-0000-0000-0000AB360000}"/>
    <cellStyle name="Normal 10 3 3 2 7" xfId="5829" xr:uid="{00000000-0005-0000-0000-0000AC360000}"/>
    <cellStyle name="Normal 10 3 3 2 7 2" xfId="14656" xr:uid="{00000000-0005-0000-0000-0000AD360000}"/>
    <cellStyle name="Normal 10 3 3 2 7 2 2" xfId="40211" xr:uid="{00000000-0005-0000-0000-0000AE360000}"/>
    <cellStyle name="Normal 10 3 3 2 7 3" xfId="24907" xr:uid="{00000000-0005-0000-0000-0000AF360000}"/>
    <cellStyle name="Normal 10 3 3 2 7 3 2" xfId="50460" xr:uid="{00000000-0005-0000-0000-0000B0360000}"/>
    <cellStyle name="Normal 10 3 3 2 7 4" xfId="31390" xr:uid="{00000000-0005-0000-0000-0000B1360000}"/>
    <cellStyle name="Normal 10 3 3 2 8" xfId="7273" xr:uid="{00000000-0005-0000-0000-0000B2360000}"/>
    <cellStyle name="Normal 10 3 3 2 8 2" xfId="19999" xr:uid="{00000000-0005-0000-0000-0000B3360000}"/>
    <cellStyle name="Normal 10 3 3 2 8 2 2" xfId="45552" xr:uid="{00000000-0005-0000-0000-0000B4360000}"/>
    <cellStyle name="Normal 10 3 3 2 8 3" xfId="32830" xr:uid="{00000000-0005-0000-0000-0000B5360000}"/>
    <cellStyle name="Normal 10 3 3 2 9" xfId="16019" xr:uid="{00000000-0005-0000-0000-0000B6360000}"/>
    <cellStyle name="Normal 10 3 3 2 9 2" xfId="41572" xr:uid="{00000000-0005-0000-0000-0000B7360000}"/>
    <cellStyle name="Normal 10 3 3 2_Degree data" xfId="3877" xr:uid="{00000000-0005-0000-0000-0000B8360000}"/>
    <cellStyle name="Normal 10 3 3 3" xfId="348" xr:uid="{00000000-0005-0000-0000-0000B9360000}"/>
    <cellStyle name="Normal 10 3 3 3 2" xfId="2834" xr:uid="{00000000-0005-0000-0000-0000BA360000}"/>
    <cellStyle name="Normal 10 3 3 3 2 2" xfId="12122" xr:uid="{00000000-0005-0000-0000-0000BB360000}"/>
    <cellStyle name="Normal 10 3 3 3 2 2 2" xfId="22195" xr:uid="{00000000-0005-0000-0000-0000BC360000}"/>
    <cellStyle name="Normal 10 3 3 3 2 2 2 2" xfId="47748" xr:uid="{00000000-0005-0000-0000-0000BD360000}"/>
    <cellStyle name="Normal 10 3 3 3 2 2 3" xfId="37677" xr:uid="{00000000-0005-0000-0000-0000BE360000}"/>
    <cellStyle name="Normal 10 3 3 3 2 3" xfId="8464" xr:uid="{00000000-0005-0000-0000-0000BF360000}"/>
    <cellStyle name="Normal 10 3 3 3 2 3 2" xfId="34021" xr:uid="{00000000-0005-0000-0000-0000C0360000}"/>
    <cellStyle name="Normal 10 3 3 3 2 4" xfId="17188" xr:uid="{00000000-0005-0000-0000-0000C1360000}"/>
    <cellStyle name="Normal 10 3 3 3 2 4 2" xfId="42741" xr:uid="{00000000-0005-0000-0000-0000C2360000}"/>
    <cellStyle name="Normal 10 3 3 3 2 5" xfId="28678" xr:uid="{00000000-0005-0000-0000-0000C3360000}"/>
    <cellStyle name="Normal 10 3 3 3 3" xfId="4528" xr:uid="{00000000-0005-0000-0000-0000C4360000}"/>
    <cellStyle name="Normal 10 3 3 3 3 2" xfId="13366" xr:uid="{00000000-0005-0000-0000-0000C5360000}"/>
    <cellStyle name="Normal 10 3 3 3 3 2 2" xfId="23617" xr:uid="{00000000-0005-0000-0000-0000C6360000}"/>
    <cellStyle name="Normal 10 3 3 3 3 2 2 2" xfId="49170" xr:uid="{00000000-0005-0000-0000-0000C7360000}"/>
    <cellStyle name="Normal 10 3 3 3 3 2 3" xfId="38921" xr:uid="{00000000-0005-0000-0000-0000C8360000}"/>
    <cellStyle name="Normal 10 3 3 3 3 3" xfId="9787" xr:uid="{00000000-0005-0000-0000-0000C9360000}"/>
    <cellStyle name="Normal 10 3 3 3 3 3 2" xfId="35344" xr:uid="{00000000-0005-0000-0000-0000CA360000}"/>
    <cellStyle name="Normal 10 3 3 3 3 4" xfId="18610" xr:uid="{00000000-0005-0000-0000-0000CB360000}"/>
    <cellStyle name="Normal 10 3 3 3 3 4 2" xfId="44163" xr:uid="{00000000-0005-0000-0000-0000CC360000}"/>
    <cellStyle name="Normal 10 3 3 3 3 5" xfId="30100" xr:uid="{00000000-0005-0000-0000-0000CD360000}"/>
    <cellStyle name="Normal 10 3 3 3 4" xfId="1943" xr:uid="{00000000-0005-0000-0000-0000CE360000}"/>
    <cellStyle name="Normal 10 3 3 3 4 2" xfId="11308" xr:uid="{00000000-0005-0000-0000-0000CF360000}"/>
    <cellStyle name="Normal 10 3 3 3 4 2 2" xfId="36863" xr:uid="{00000000-0005-0000-0000-0000D0360000}"/>
    <cellStyle name="Normal 10 3 3 3 4 3" xfId="21312" xr:uid="{00000000-0005-0000-0000-0000D1360000}"/>
    <cellStyle name="Normal 10 3 3 3 4 3 2" xfId="46865" xr:uid="{00000000-0005-0000-0000-0000D2360000}"/>
    <cellStyle name="Normal 10 3 3 3 4 4" xfId="27795" xr:uid="{00000000-0005-0000-0000-0000D3360000}"/>
    <cellStyle name="Normal 10 3 3 3 5" xfId="5984" xr:uid="{00000000-0005-0000-0000-0000D4360000}"/>
    <cellStyle name="Normal 10 3 3 3 5 2" xfId="14811" xr:uid="{00000000-0005-0000-0000-0000D5360000}"/>
    <cellStyle name="Normal 10 3 3 3 5 2 2" xfId="40366" xr:uid="{00000000-0005-0000-0000-0000D6360000}"/>
    <cellStyle name="Normal 10 3 3 3 5 3" xfId="25062" xr:uid="{00000000-0005-0000-0000-0000D7360000}"/>
    <cellStyle name="Normal 10 3 3 3 5 3 2" xfId="50615" xr:uid="{00000000-0005-0000-0000-0000D8360000}"/>
    <cellStyle name="Normal 10 3 3 3 5 4" xfId="31545" xr:uid="{00000000-0005-0000-0000-0000D9360000}"/>
    <cellStyle name="Normal 10 3 3 3 6" xfId="7428" xr:uid="{00000000-0005-0000-0000-0000DA360000}"/>
    <cellStyle name="Normal 10 3 3 3 6 2" xfId="19794" xr:uid="{00000000-0005-0000-0000-0000DB360000}"/>
    <cellStyle name="Normal 10 3 3 3 6 2 2" xfId="45347" xr:uid="{00000000-0005-0000-0000-0000DC360000}"/>
    <cellStyle name="Normal 10 3 3 3 6 3" xfId="32985" xr:uid="{00000000-0005-0000-0000-0000DD360000}"/>
    <cellStyle name="Normal 10 3 3 3 7" xfId="16305" xr:uid="{00000000-0005-0000-0000-0000DE360000}"/>
    <cellStyle name="Normal 10 3 3 3 7 2" xfId="41858" xr:uid="{00000000-0005-0000-0000-0000DF360000}"/>
    <cellStyle name="Normal 10 3 3 3 8" xfId="26277" xr:uid="{00000000-0005-0000-0000-0000E0360000}"/>
    <cellStyle name="Normal 10 3 3 4" xfId="713" xr:uid="{00000000-0005-0000-0000-0000E1360000}"/>
    <cellStyle name="Normal 10 3 3 4 2" xfId="3199" xr:uid="{00000000-0005-0000-0000-0000E2360000}"/>
    <cellStyle name="Normal 10 3 3 4 2 2" xfId="12342" xr:uid="{00000000-0005-0000-0000-0000E3360000}"/>
    <cellStyle name="Normal 10 3 3 4 2 2 2" xfId="22560" xr:uid="{00000000-0005-0000-0000-0000E4360000}"/>
    <cellStyle name="Normal 10 3 3 4 2 2 2 2" xfId="48113" xr:uid="{00000000-0005-0000-0000-0000E5360000}"/>
    <cellStyle name="Normal 10 3 3 4 2 2 3" xfId="37897" xr:uid="{00000000-0005-0000-0000-0000E6360000}"/>
    <cellStyle name="Normal 10 3 3 4 2 3" xfId="8764" xr:uid="{00000000-0005-0000-0000-0000E7360000}"/>
    <cellStyle name="Normal 10 3 3 4 2 3 2" xfId="34321" xr:uid="{00000000-0005-0000-0000-0000E8360000}"/>
    <cellStyle name="Normal 10 3 3 4 2 4" xfId="17553" xr:uid="{00000000-0005-0000-0000-0000E9360000}"/>
    <cellStyle name="Normal 10 3 3 4 2 4 2" xfId="43106" xr:uid="{00000000-0005-0000-0000-0000EA360000}"/>
    <cellStyle name="Normal 10 3 3 4 2 5" xfId="29043" xr:uid="{00000000-0005-0000-0000-0000EB360000}"/>
    <cellStyle name="Normal 10 3 3 4 3" xfId="4877" xr:uid="{00000000-0005-0000-0000-0000EC360000}"/>
    <cellStyle name="Normal 10 3 3 4 3 2" xfId="13714" xr:uid="{00000000-0005-0000-0000-0000ED360000}"/>
    <cellStyle name="Normal 10 3 3 4 3 2 2" xfId="23965" xr:uid="{00000000-0005-0000-0000-0000EE360000}"/>
    <cellStyle name="Normal 10 3 3 4 3 2 2 2" xfId="49518" xr:uid="{00000000-0005-0000-0000-0000EF360000}"/>
    <cellStyle name="Normal 10 3 3 4 3 2 3" xfId="39269" xr:uid="{00000000-0005-0000-0000-0000F0360000}"/>
    <cellStyle name="Normal 10 3 3 4 3 3" xfId="10135" xr:uid="{00000000-0005-0000-0000-0000F1360000}"/>
    <cellStyle name="Normal 10 3 3 4 3 3 2" xfId="35692" xr:uid="{00000000-0005-0000-0000-0000F2360000}"/>
    <cellStyle name="Normal 10 3 3 4 3 4" xfId="18958" xr:uid="{00000000-0005-0000-0000-0000F3360000}"/>
    <cellStyle name="Normal 10 3 3 4 3 4 2" xfId="44511" xr:uid="{00000000-0005-0000-0000-0000F4360000}"/>
    <cellStyle name="Normal 10 3 3 4 3 5" xfId="30448" xr:uid="{00000000-0005-0000-0000-0000F5360000}"/>
    <cellStyle name="Normal 10 3 3 4 4" xfId="2308" xr:uid="{00000000-0005-0000-0000-0000F6360000}"/>
    <cellStyle name="Normal 10 3 3 4 4 2" xfId="11673" xr:uid="{00000000-0005-0000-0000-0000F7360000}"/>
    <cellStyle name="Normal 10 3 3 4 4 2 2" xfId="37228" xr:uid="{00000000-0005-0000-0000-0000F8360000}"/>
    <cellStyle name="Normal 10 3 3 4 4 3" xfId="21677" xr:uid="{00000000-0005-0000-0000-0000F9360000}"/>
    <cellStyle name="Normal 10 3 3 4 4 3 2" xfId="47230" xr:uid="{00000000-0005-0000-0000-0000FA360000}"/>
    <cellStyle name="Normal 10 3 3 4 4 4" xfId="28160" xr:uid="{00000000-0005-0000-0000-0000FB360000}"/>
    <cellStyle name="Normal 10 3 3 4 5" xfId="6332" xr:uid="{00000000-0005-0000-0000-0000FC360000}"/>
    <cellStyle name="Normal 10 3 3 4 5 2" xfId="15159" xr:uid="{00000000-0005-0000-0000-0000FD360000}"/>
    <cellStyle name="Normal 10 3 3 4 5 2 2" xfId="40714" xr:uid="{00000000-0005-0000-0000-0000FE360000}"/>
    <cellStyle name="Normal 10 3 3 4 5 3" xfId="25410" xr:uid="{00000000-0005-0000-0000-0000FF360000}"/>
    <cellStyle name="Normal 10 3 3 4 5 3 2" xfId="50963" xr:uid="{00000000-0005-0000-0000-000000370000}"/>
    <cellStyle name="Normal 10 3 3 4 5 4" xfId="31893" xr:uid="{00000000-0005-0000-0000-000001370000}"/>
    <cellStyle name="Normal 10 3 3 4 6" xfId="7778" xr:uid="{00000000-0005-0000-0000-000002370000}"/>
    <cellStyle name="Normal 10 3 3 4 6 2" xfId="20159" xr:uid="{00000000-0005-0000-0000-000003370000}"/>
    <cellStyle name="Normal 10 3 3 4 6 2 2" xfId="45712" xr:uid="{00000000-0005-0000-0000-000004370000}"/>
    <cellStyle name="Normal 10 3 3 4 6 3" xfId="33335" xr:uid="{00000000-0005-0000-0000-000005370000}"/>
    <cellStyle name="Normal 10 3 3 4 7" xfId="16670" xr:uid="{00000000-0005-0000-0000-000006370000}"/>
    <cellStyle name="Normal 10 3 3 4 7 2" xfId="42223" xr:uid="{00000000-0005-0000-0000-000007370000}"/>
    <cellStyle name="Normal 10 3 3 4 8" xfId="26642" xr:uid="{00000000-0005-0000-0000-000008370000}"/>
    <cellStyle name="Normal 10 3 3 5" xfId="1120" xr:uid="{00000000-0005-0000-0000-000009370000}"/>
    <cellStyle name="Normal 10 3 3 5 2" xfId="3549" xr:uid="{00000000-0005-0000-0000-00000A370000}"/>
    <cellStyle name="Normal 10 3 3 5 2 2" xfId="12685" xr:uid="{00000000-0005-0000-0000-00000B370000}"/>
    <cellStyle name="Normal 10 3 3 5 2 2 2" xfId="22904" xr:uid="{00000000-0005-0000-0000-00000C370000}"/>
    <cellStyle name="Normal 10 3 3 5 2 2 2 2" xfId="48457" xr:uid="{00000000-0005-0000-0000-00000D370000}"/>
    <cellStyle name="Normal 10 3 3 5 2 2 3" xfId="38240" xr:uid="{00000000-0005-0000-0000-00000E370000}"/>
    <cellStyle name="Normal 10 3 3 5 2 3" xfId="9106" xr:uid="{00000000-0005-0000-0000-00000F370000}"/>
    <cellStyle name="Normal 10 3 3 5 2 3 2" xfId="34663" xr:uid="{00000000-0005-0000-0000-000010370000}"/>
    <cellStyle name="Normal 10 3 3 5 2 4" xfId="17897" xr:uid="{00000000-0005-0000-0000-000011370000}"/>
    <cellStyle name="Normal 10 3 3 5 2 4 2" xfId="43450" xr:uid="{00000000-0005-0000-0000-000012370000}"/>
    <cellStyle name="Normal 10 3 3 5 2 5" xfId="29387" xr:uid="{00000000-0005-0000-0000-000013370000}"/>
    <cellStyle name="Normal 10 3 3 5 3" xfId="5212" xr:uid="{00000000-0005-0000-0000-000014370000}"/>
    <cellStyle name="Normal 10 3 3 5 3 2" xfId="14049" xr:uid="{00000000-0005-0000-0000-000015370000}"/>
    <cellStyle name="Normal 10 3 3 5 3 2 2" xfId="24300" xr:uid="{00000000-0005-0000-0000-000016370000}"/>
    <cellStyle name="Normal 10 3 3 5 3 2 2 2" xfId="49853" xr:uid="{00000000-0005-0000-0000-000017370000}"/>
    <cellStyle name="Normal 10 3 3 5 3 2 3" xfId="39604" xr:uid="{00000000-0005-0000-0000-000018370000}"/>
    <cellStyle name="Normal 10 3 3 5 3 3" xfId="10470" xr:uid="{00000000-0005-0000-0000-000019370000}"/>
    <cellStyle name="Normal 10 3 3 5 3 3 2" xfId="36027" xr:uid="{00000000-0005-0000-0000-00001A370000}"/>
    <cellStyle name="Normal 10 3 3 5 3 4" xfId="19293" xr:uid="{00000000-0005-0000-0000-00001B370000}"/>
    <cellStyle name="Normal 10 3 3 5 3 4 2" xfId="44846" xr:uid="{00000000-0005-0000-0000-00001C370000}"/>
    <cellStyle name="Normal 10 3 3 5 3 5" xfId="30783" xr:uid="{00000000-0005-0000-0000-00001D370000}"/>
    <cellStyle name="Normal 10 3 3 5 4" xfId="1828" xr:uid="{00000000-0005-0000-0000-00001E370000}"/>
    <cellStyle name="Normal 10 3 3 5 4 2" xfId="11196" xr:uid="{00000000-0005-0000-0000-00001F370000}"/>
    <cellStyle name="Normal 10 3 3 5 4 2 2" xfId="36751" xr:uid="{00000000-0005-0000-0000-000020370000}"/>
    <cellStyle name="Normal 10 3 3 5 4 3" xfId="21200" xr:uid="{00000000-0005-0000-0000-000021370000}"/>
    <cellStyle name="Normal 10 3 3 5 4 3 2" xfId="46753" xr:uid="{00000000-0005-0000-0000-000022370000}"/>
    <cellStyle name="Normal 10 3 3 5 4 4" xfId="27683" xr:uid="{00000000-0005-0000-0000-000023370000}"/>
    <cellStyle name="Normal 10 3 3 5 5" xfId="6667" xr:uid="{00000000-0005-0000-0000-000024370000}"/>
    <cellStyle name="Normal 10 3 3 5 5 2" xfId="15494" xr:uid="{00000000-0005-0000-0000-000025370000}"/>
    <cellStyle name="Normal 10 3 3 5 5 2 2" xfId="41049" xr:uid="{00000000-0005-0000-0000-000026370000}"/>
    <cellStyle name="Normal 10 3 3 5 5 3" xfId="25745" xr:uid="{00000000-0005-0000-0000-000027370000}"/>
    <cellStyle name="Normal 10 3 3 5 5 3 2" xfId="51298" xr:uid="{00000000-0005-0000-0000-000028370000}"/>
    <cellStyle name="Normal 10 3 3 5 5 4" xfId="32228" xr:uid="{00000000-0005-0000-0000-000029370000}"/>
    <cellStyle name="Normal 10 3 3 5 6" xfId="8113" xr:uid="{00000000-0005-0000-0000-00002A370000}"/>
    <cellStyle name="Normal 10 3 3 5 6 2" xfId="20503" xr:uid="{00000000-0005-0000-0000-00002B370000}"/>
    <cellStyle name="Normal 10 3 3 5 6 2 2" xfId="46056" xr:uid="{00000000-0005-0000-0000-00002C370000}"/>
    <cellStyle name="Normal 10 3 3 5 6 3" xfId="33670" xr:uid="{00000000-0005-0000-0000-00002D370000}"/>
    <cellStyle name="Normal 10 3 3 5 7" xfId="16193" xr:uid="{00000000-0005-0000-0000-00002E370000}"/>
    <cellStyle name="Normal 10 3 3 5 7 2" xfId="41746" xr:uid="{00000000-0005-0000-0000-00002F370000}"/>
    <cellStyle name="Normal 10 3 3 5 8" xfId="26986" xr:uid="{00000000-0005-0000-0000-000030370000}"/>
    <cellStyle name="Normal 10 3 3 6" xfId="2722" xr:uid="{00000000-0005-0000-0000-000031370000}"/>
    <cellStyle name="Normal 10 3 3 6 2" xfId="12039" xr:uid="{00000000-0005-0000-0000-000032370000}"/>
    <cellStyle name="Normal 10 3 3 6 2 2" xfId="22083" xr:uid="{00000000-0005-0000-0000-000033370000}"/>
    <cellStyle name="Normal 10 3 3 6 2 2 2" xfId="47636" xr:uid="{00000000-0005-0000-0000-000034370000}"/>
    <cellStyle name="Normal 10 3 3 6 2 3" xfId="37594" xr:uid="{00000000-0005-0000-0000-000035370000}"/>
    <cellStyle name="Normal 10 3 3 6 3" xfId="8549" xr:uid="{00000000-0005-0000-0000-000036370000}"/>
    <cellStyle name="Normal 10 3 3 6 3 2" xfId="34106" xr:uid="{00000000-0005-0000-0000-000037370000}"/>
    <cellStyle name="Normal 10 3 3 6 4" xfId="17076" xr:uid="{00000000-0005-0000-0000-000038370000}"/>
    <cellStyle name="Normal 10 3 3 6 4 2" xfId="42629" xr:uid="{00000000-0005-0000-0000-000039370000}"/>
    <cellStyle name="Normal 10 3 3 6 5" xfId="28566" xr:uid="{00000000-0005-0000-0000-00003A370000}"/>
    <cellStyle name="Normal 10 3 3 7" xfId="4168" xr:uid="{00000000-0005-0000-0000-00003B370000}"/>
    <cellStyle name="Normal 10 3 3 7 2" xfId="13006" xr:uid="{00000000-0005-0000-0000-00003C370000}"/>
    <cellStyle name="Normal 10 3 3 7 2 2" xfId="23257" xr:uid="{00000000-0005-0000-0000-00003D370000}"/>
    <cellStyle name="Normal 10 3 3 7 2 2 2" xfId="48810" xr:uid="{00000000-0005-0000-0000-00003E370000}"/>
    <cellStyle name="Normal 10 3 3 7 2 3" xfId="38561" xr:uid="{00000000-0005-0000-0000-00003F370000}"/>
    <cellStyle name="Normal 10 3 3 7 3" xfId="9427" xr:uid="{00000000-0005-0000-0000-000040370000}"/>
    <cellStyle name="Normal 10 3 3 7 3 2" xfId="34984" xr:uid="{00000000-0005-0000-0000-000041370000}"/>
    <cellStyle name="Normal 10 3 3 7 4" xfId="18250" xr:uid="{00000000-0005-0000-0000-000042370000}"/>
    <cellStyle name="Normal 10 3 3 7 4 2" xfId="43803" xr:uid="{00000000-0005-0000-0000-000043370000}"/>
    <cellStyle name="Normal 10 3 3 7 5" xfId="29740" xr:uid="{00000000-0005-0000-0000-000044370000}"/>
    <cellStyle name="Normal 10 3 3 8" xfId="1440" xr:uid="{00000000-0005-0000-0000-000045370000}"/>
    <cellStyle name="Normal 10 3 3 8 2" xfId="10817" xr:uid="{00000000-0005-0000-0000-000046370000}"/>
    <cellStyle name="Normal 10 3 3 8 2 2" xfId="36372" xr:uid="{00000000-0005-0000-0000-000047370000}"/>
    <cellStyle name="Normal 10 3 3 8 3" xfId="20821" xr:uid="{00000000-0005-0000-0000-000048370000}"/>
    <cellStyle name="Normal 10 3 3 8 3 2" xfId="46374" xr:uid="{00000000-0005-0000-0000-000049370000}"/>
    <cellStyle name="Normal 10 3 3 8 4" xfId="27304" xr:uid="{00000000-0005-0000-0000-00004A370000}"/>
    <cellStyle name="Normal 10 3 3 9" xfId="5624" xr:uid="{00000000-0005-0000-0000-00004B370000}"/>
    <cellStyle name="Normal 10 3 3 9 2" xfId="14451" xr:uid="{00000000-0005-0000-0000-00004C370000}"/>
    <cellStyle name="Normal 10 3 3 9 2 2" xfId="40006" xr:uid="{00000000-0005-0000-0000-00004D370000}"/>
    <cellStyle name="Normal 10 3 3 9 3" xfId="24702" xr:uid="{00000000-0005-0000-0000-00004E370000}"/>
    <cellStyle name="Normal 10 3 3 9 3 2" xfId="50255" xr:uid="{00000000-0005-0000-0000-00004F370000}"/>
    <cellStyle name="Normal 10 3 3 9 4" xfId="31185" xr:uid="{00000000-0005-0000-0000-000050370000}"/>
    <cellStyle name="Normal 10 3 3_Degree data" xfId="3904" xr:uid="{00000000-0005-0000-0000-000051370000}"/>
    <cellStyle name="Normal 10 3 4" xfId="448" xr:uid="{00000000-0005-0000-0000-000052370000}"/>
    <cellStyle name="Normal 10 3 4 10" xfId="26377" xr:uid="{00000000-0005-0000-0000-000053370000}"/>
    <cellStyle name="Normal 10 3 4 2" xfId="715" xr:uid="{00000000-0005-0000-0000-000054370000}"/>
    <cellStyle name="Normal 10 3 4 2 2" xfId="3201" xr:uid="{00000000-0005-0000-0000-000055370000}"/>
    <cellStyle name="Normal 10 3 4 2 2 2" xfId="12344" xr:uid="{00000000-0005-0000-0000-000056370000}"/>
    <cellStyle name="Normal 10 3 4 2 2 2 2" xfId="22562" xr:uid="{00000000-0005-0000-0000-000057370000}"/>
    <cellStyle name="Normal 10 3 4 2 2 2 2 2" xfId="48115" xr:uid="{00000000-0005-0000-0000-000058370000}"/>
    <cellStyle name="Normal 10 3 4 2 2 2 3" xfId="37899" xr:uid="{00000000-0005-0000-0000-000059370000}"/>
    <cellStyle name="Normal 10 3 4 2 2 3" xfId="8766" xr:uid="{00000000-0005-0000-0000-00005A370000}"/>
    <cellStyle name="Normal 10 3 4 2 2 3 2" xfId="34323" xr:uid="{00000000-0005-0000-0000-00005B370000}"/>
    <cellStyle name="Normal 10 3 4 2 2 4" xfId="17555" xr:uid="{00000000-0005-0000-0000-00005C370000}"/>
    <cellStyle name="Normal 10 3 4 2 2 4 2" xfId="43108" xr:uid="{00000000-0005-0000-0000-00005D370000}"/>
    <cellStyle name="Normal 10 3 4 2 2 5" xfId="29045" xr:uid="{00000000-0005-0000-0000-00005E370000}"/>
    <cellStyle name="Normal 10 3 4 2 3" xfId="4530" xr:uid="{00000000-0005-0000-0000-00005F370000}"/>
    <cellStyle name="Normal 10 3 4 2 3 2" xfId="13368" xr:uid="{00000000-0005-0000-0000-000060370000}"/>
    <cellStyle name="Normal 10 3 4 2 3 2 2" xfId="23619" xr:uid="{00000000-0005-0000-0000-000061370000}"/>
    <cellStyle name="Normal 10 3 4 2 3 2 2 2" xfId="49172" xr:uid="{00000000-0005-0000-0000-000062370000}"/>
    <cellStyle name="Normal 10 3 4 2 3 2 3" xfId="38923" xr:uid="{00000000-0005-0000-0000-000063370000}"/>
    <cellStyle name="Normal 10 3 4 2 3 3" xfId="9789" xr:uid="{00000000-0005-0000-0000-000064370000}"/>
    <cellStyle name="Normal 10 3 4 2 3 3 2" xfId="35346" xr:uid="{00000000-0005-0000-0000-000065370000}"/>
    <cellStyle name="Normal 10 3 4 2 3 4" xfId="18612" xr:uid="{00000000-0005-0000-0000-000066370000}"/>
    <cellStyle name="Normal 10 3 4 2 3 4 2" xfId="44165" xr:uid="{00000000-0005-0000-0000-000067370000}"/>
    <cellStyle name="Normal 10 3 4 2 3 5" xfId="30102" xr:uid="{00000000-0005-0000-0000-000068370000}"/>
    <cellStyle name="Normal 10 3 4 2 4" xfId="2310" xr:uid="{00000000-0005-0000-0000-000069370000}"/>
    <cellStyle name="Normal 10 3 4 2 4 2" xfId="11675" xr:uid="{00000000-0005-0000-0000-00006A370000}"/>
    <cellStyle name="Normal 10 3 4 2 4 2 2" xfId="37230" xr:uid="{00000000-0005-0000-0000-00006B370000}"/>
    <cellStyle name="Normal 10 3 4 2 4 3" xfId="21679" xr:uid="{00000000-0005-0000-0000-00006C370000}"/>
    <cellStyle name="Normal 10 3 4 2 4 3 2" xfId="47232" xr:uid="{00000000-0005-0000-0000-00006D370000}"/>
    <cellStyle name="Normal 10 3 4 2 4 4" xfId="28162" xr:uid="{00000000-0005-0000-0000-00006E370000}"/>
    <cellStyle name="Normal 10 3 4 2 5" xfId="5986" xr:uid="{00000000-0005-0000-0000-00006F370000}"/>
    <cellStyle name="Normal 10 3 4 2 5 2" xfId="14813" xr:uid="{00000000-0005-0000-0000-000070370000}"/>
    <cellStyle name="Normal 10 3 4 2 5 2 2" xfId="40368" xr:uid="{00000000-0005-0000-0000-000071370000}"/>
    <cellStyle name="Normal 10 3 4 2 5 3" xfId="25064" xr:uid="{00000000-0005-0000-0000-000072370000}"/>
    <cellStyle name="Normal 10 3 4 2 5 3 2" xfId="50617" xr:uid="{00000000-0005-0000-0000-000073370000}"/>
    <cellStyle name="Normal 10 3 4 2 5 4" xfId="31547" xr:uid="{00000000-0005-0000-0000-000074370000}"/>
    <cellStyle name="Normal 10 3 4 2 6" xfId="7430" xr:uid="{00000000-0005-0000-0000-000075370000}"/>
    <cellStyle name="Normal 10 3 4 2 6 2" xfId="20161" xr:uid="{00000000-0005-0000-0000-000076370000}"/>
    <cellStyle name="Normal 10 3 4 2 6 2 2" xfId="45714" xr:uid="{00000000-0005-0000-0000-000077370000}"/>
    <cellStyle name="Normal 10 3 4 2 6 3" xfId="32987" xr:uid="{00000000-0005-0000-0000-000078370000}"/>
    <cellStyle name="Normal 10 3 4 2 7" xfId="16672" xr:uid="{00000000-0005-0000-0000-000079370000}"/>
    <cellStyle name="Normal 10 3 4 2 7 2" xfId="42225" xr:uid="{00000000-0005-0000-0000-00007A370000}"/>
    <cellStyle name="Normal 10 3 4 2 8" xfId="26644" xr:uid="{00000000-0005-0000-0000-00007B370000}"/>
    <cellStyle name="Normal 10 3 4 3" xfId="1220" xr:uid="{00000000-0005-0000-0000-00007C370000}"/>
    <cellStyle name="Normal 10 3 4 3 2" xfId="3649" xr:uid="{00000000-0005-0000-0000-00007D370000}"/>
    <cellStyle name="Normal 10 3 4 3 2 2" xfId="12785" xr:uid="{00000000-0005-0000-0000-00007E370000}"/>
    <cellStyle name="Normal 10 3 4 3 2 2 2" xfId="23004" xr:uid="{00000000-0005-0000-0000-00007F370000}"/>
    <cellStyle name="Normal 10 3 4 3 2 2 2 2" xfId="48557" xr:uid="{00000000-0005-0000-0000-000080370000}"/>
    <cellStyle name="Normal 10 3 4 3 2 2 3" xfId="38340" xr:uid="{00000000-0005-0000-0000-000081370000}"/>
    <cellStyle name="Normal 10 3 4 3 2 3" xfId="9206" xr:uid="{00000000-0005-0000-0000-000082370000}"/>
    <cellStyle name="Normal 10 3 4 3 2 3 2" xfId="34763" xr:uid="{00000000-0005-0000-0000-000083370000}"/>
    <cellStyle name="Normal 10 3 4 3 2 4" xfId="17997" xr:uid="{00000000-0005-0000-0000-000084370000}"/>
    <cellStyle name="Normal 10 3 4 3 2 4 2" xfId="43550" xr:uid="{00000000-0005-0000-0000-000085370000}"/>
    <cellStyle name="Normal 10 3 4 3 2 5" xfId="29487" xr:uid="{00000000-0005-0000-0000-000086370000}"/>
    <cellStyle name="Normal 10 3 4 3 3" xfId="4879" xr:uid="{00000000-0005-0000-0000-000087370000}"/>
    <cellStyle name="Normal 10 3 4 3 3 2" xfId="13716" xr:uid="{00000000-0005-0000-0000-000088370000}"/>
    <cellStyle name="Normal 10 3 4 3 3 2 2" xfId="23967" xr:uid="{00000000-0005-0000-0000-000089370000}"/>
    <cellStyle name="Normal 10 3 4 3 3 2 2 2" xfId="49520" xr:uid="{00000000-0005-0000-0000-00008A370000}"/>
    <cellStyle name="Normal 10 3 4 3 3 2 3" xfId="39271" xr:uid="{00000000-0005-0000-0000-00008B370000}"/>
    <cellStyle name="Normal 10 3 4 3 3 3" xfId="10137" xr:uid="{00000000-0005-0000-0000-00008C370000}"/>
    <cellStyle name="Normal 10 3 4 3 3 3 2" xfId="35694" xr:uid="{00000000-0005-0000-0000-00008D370000}"/>
    <cellStyle name="Normal 10 3 4 3 3 4" xfId="18960" xr:uid="{00000000-0005-0000-0000-00008E370000}"/>
    <cellStyle name="Normal 10 3 4 3 3 4 2" xfId="44513" xr:uid="{00000000-0005-0000-0000-00008F370000}"/>
    <cellStyle name="Normal 10 3 4 3 3 5" xfId="30450" xr:uid="{00000000-0005-0000-0000-000090370000}"/>
    <cellStyle name="Normal 10 3 4 3 4" xfId="2043" xr:uid="{00000000-0005-0000-0000-000091370000}"/>
    <cellStyle name="Normal 10 3 4 3 4 2" xfId="11408" xr:uid="{00000000-0005-0000-0000-000092370000}"/>
    <cellStyle name="Normal 10 3 4 3 4 2 2" xfId="36963" xr:uid="{00000000-0005-0000-0000-000093370000}"/>
    <cellStyle name="Normal 10 3 4 3 4 3" xfId="21412" xr:uid="{00000000-0005-0000-0000-000094370000}"/>
    <cellStyle name="Normal 10 3 4 3 4 3 2" xfId="46965" xr:uid="{00000000-0005-0000-0000-000095370000}"/>
    <cellStyle name="Normal 10 3 4 3 4 4" xfId="27895" xr:uid="{00000000-0005-0000-0000-000096370000}"/>
    <cellStyle name="Normal 10 3 4 3 5" xfId="6334" xr:uid="{00000000-0005-0000-0000-000097370000}"/>
    <cellStyle name="Normal 10 3 4 3 5 2" xfId="15161" xr:uid="{00000000-0005-0000-0000-000098370000}"/>
    <cellStyle name="Normal 10 3 4 3 5 2 2" xfId="40716" xr:uid="{00000000-0005-0000-0000-000099370000}"/>
    <cellStyle name="Normal 10 3 4 3 5 3" xfId="25412" xr:uid="{00000000-0005-0000-0000-00009A370000}"/>
    <cellStyle name="Normal 10 3 4 3 5 3 2" xfId="50965" xr:uid="{00000000-0005-0000-0000-00009B370000}"/>
    <cellStyle name="Normal 10 3 4 3 5 4" xfId="31895" xr:uid="{00000000-0005-0000-0000-00009C370000}"/>
    <cellStyle name="Normal 10 3 4 3 6" xfId="7780" xr:uid="{00000000-0005-0000-0000-00009D370000}"/>
    <cellStyle name="Normal 10 3 4 3 6 2" xfId="20603" xr:uid="{00000000-0005-0000-0000-00009E370000}"/>
    <cellStyle name="Normal 10 3 4 3 6 2 2" xfId="46156" xr:uid="{00000000-0005-0000-0000-00009F370000}"/>
    <cellStyle name="Normal 10 3 4 3 6 3" xfId="33337" xr:uid="{00000000-0005-0000-0000-0000A0370000}"/>
    <cellStyle name="Normal 10 3 4 3 7" xfId="16405" xr:uid="{00000000-0005-0000-0000-0000A1370000}"/>
    <cellStyle name="Normal 10 3 4 3 7 2" xfId="41958" xr:uid="{00000000-0005-0000-0000-0000A2370000}"/>
    <cellStyle name="Normal 10 3 4 3 8" xfId="27086" xr:uid="{00000000-0005-0000-0000-0000A3370000}"/>
    <cellStyle name="Normal 10 3 4 4" xfId="2934" xr:uid="{00000000-0005-0000-0000-0000A4370000}"/>
    <cellStyle name="Normal 10 3 4 4 2" xfId="5312" xr:uid="{00000000-0005-0000-0000-0000A5370000}"/>
    <cellStyle name="Normal 10 3 4 4 2 2" xfId="14149" xr:uid="{00000000-0005-0000-0000-0000A6370000}"/>
    <cellStyle name="Normal 10 3 4 4 2 2 2" xfId="24400" xr:uid="{00000000-0005-0000-0000-0000A7370000}"/>
    <cellStyle name="Normal 10 3 4 4 2 2 2 2" xfId="49953" xr:uid="{00000000-0005-0000-0000-0000A8370000}"/>
    <cellStyle name="Normal 10 3 4 4 2 2 3" xfId="39704" xr:uid="{00000000-0005-0000-0000-0000A9370000}"/>
    <cellStyle name="Normal 10 3 4 4 2 3" xfId="10570" xr:uid="{00000000-0005-0000-0000-0000AA370000}"/>
    <cellStyle name="Normal 10 3 4 4 2 3 2" xfId="36127" xr:uid="{00000000-0005-0000-0000-0000AB370000}"/>
    <cellStyle name="Normal 10 3 4 4 2 4" xfId="19393" xr:uid="{00000000-0005-0000-0000-0000AC370000}"/>
    <cellStyle name="Normal 10 3 4 4 2 4 2" xfId="44946" xr:uid="{00000000-0005-0000-0000-0000AD370000}"/>
    <cellStyle name="Normal 10 3 4 4 2 5" xfId="30883" xr:uid="{00000000-0005-0000-0000-0000AE370000}"/>
    <cellStyle name="Normal 10 3 4 4 3" xfId="6767" xr:uid="{00000000-0005-0000-0000-0000AF370000}"/>
    <cellStyle name="Normal 10 3 4 4 3 2" xfId="15594" xr:uid="{00000000-0005-0000-0000-0000B0370000}"/>
    <cellStyle name="Normal 10 3 4 4 3 2 2" xfId="41149" xr:uid="{00000000-0005-0000-0000-0000B1370000}"/>
    <cellStyle name="Normal 10 3 4 4 3 3" xfId="25845" xr:uid="{00000000-0005-0000-0000-0000B2370000}"/>
    <cellStyle name="Normal 10 3 4 4 3 3 2" xfId="51398" xr:uid="{00000000-0005-0000-0000-0000B3370000}"/>
    <cellStyle name="Normal 10 3 4 4 3 4" xfId="32328" xr:uid="{00000000-0005-0000-0000-0000B4370000}"/>
    <cellStyle name="Normal 10 3 4 4 4" xfId="8213" xr:uid="{00000000-0005-0000-0000-0000B5370000}"/>
    <cellStyle name="Normal 10 3 4 4 4 2" xfId="22295" xr:uid="{00000000-0005-0000-0000-0000B6370000}"/>
    <cellStyle name="Normal 10 3 4 4 4 2 2" xfId="47848" xr:uid="{00000000-0005-0000-0000-0000B7370000}"/>
    <cellStyle name="Normal 10 3 4 4 4 3" xfId="33770" xr:uid="{00000000-0005-0000-0000-0000B8370000}"/>
    <cellStyle name="Normal 10 3 4 4 5" xfId="17288" xr:uid="{00000000-0005-0000-0000-0000B9370000}"/>
    <cellStyle name="Normal 10 3 4 4 5 2" xfId="42841" xr:uid="{00000000-0005-0000-0000-0000BA370000}"/>
    <cellStyle name="Normal 10 3 4 4 6" xfId="28778" xr:uid="{00000000-0005-0000-0000-0000BB370000}"/>
    <cellStyle name="Normal 10 3 4 5" xfId="4268" xr:uid="{00000000-0005-0000-0000-0000BC370000}"/>
    <cellStyle name="Normal 10 3 4 5 2" xfId="13106" xr:uid="{00000000-0005-0000-0000-0000BD370000}"/>
    <cellStyle name="Normal 10 3 4 5 2 2" xfId="23357" xr:uid="{00000000-0005-0000-0000-0000BE370000}"/>
    <cellStyle name="Normal 10 3 4 5 2 2 2" xfId="48910" xr:uid="{00000000-0005-0000-0000-0000BF370000}"/>
    <cellStyle name="Normal 10 3 4 5 2 3" xfId="38661" xr:uid="{00000000-0005-0000-0000-0000C0370000}"/>
    <cellStyle name="Normal 10 3 4 5 3" xfId="9527" xr:uid="{00000000-0005-0000-0000-0000C1370000}"/>
    <cellStyle name="Normal 10 3 4 5 3 2" xfId="35084" xr:uid="{00000000-0005-0000-0000-0000C2370000}"/>
    <cellStyle name="Normal 10 3 4 5 4" xfId="18350" xr:uid="{00000000-0005-0000-0000-0000C3370000}"/>
    <cellStyle name="Normal 10 3 4 5 4 2" xfId="43903" xr:uid="{00000000-0005-0000-0000-0000C4370000}"/>
    <cellStyle name="Normal 10 3 4 5 5" xfId="29840" xr:uid="{00000000-0005-0000-0000-0000C5370000}"/>
    <cellStyle name="Normal 10 3 4 6" xfId="1540" xr:uid="{00000000-0005-0000-0000-0000C6370000}"/>
    <cellStyle name="Normal 10 3 4 6 2" xfId="10917" xr:uid="{00000000-0005-0000-0000-0000C7370000}"/>
    <cellStyle name="Normal 10 3 4 6 2 2" xfId="36472" xr:uid="{00000000-0005-0000-0000-0000C8370000}"/>
    <cellStyle name="Normal 10 3 4 6 3" xfId="20921" xr:uid="{00000000-0005-0000-0000-0000C9370000}"/>
    <cellStyle name="Normal 10 3 4 6 3 2" xfId="46474" xr:uid="{00000000-0005-0000-0000-0000CA370000}"/>
    <cellStyle name="Normal 10 3 4 6 4" xfId="27404" xr:uid="{00000000-0005-0000-0000-0000CB370000}"/>
    <cellStyle name="Normal 10 3 4 7" xfId="5724" xr:uid="{00000000-0005-0000-0000-0000CC370000}"/>
    <cellStyle name="Normal 10 3 4 7 2" xfId="14551" xr:uid="{00000000-0005-0000-0000-0000CD370000}"/>
    <cellStyle name="Normal 10 3 4 7 2 2" xfId="40106" xr:uid="{00000000-0005-0000-0000-0000CE370000}"/>
    <cellStyle name="Normal 10 3 4 7 3" xfId="24802" xr:uid="{00000000-0005-0000-0000-0000CF370000}"/>
    <cellStyle name="Normal 10 3 4 7 3 2" xfId="50355" xr:uid="{00000000-0005-0000-0000-0000D0370000}"/>
    <cellStyle name="Normal 10 3 4 7 4" xfId="31285" xr:uid="{00000000-0005-0000-0000-0000D1370000}"/>
    <cellStyle name="Normal 10 3 4 8" xfId="7168" xr:uid="{00000000-0005-0000-0000-0000D2370000}"/>
    <cellStyle name="Normal 10 3 4 8 2" xfId="19894" xr:uid="{00000000-0005-0000-0000-0000D3370000}"/>
    <cellStyle name="Normal 10 3 4 8 2 2" xfId="45447" xr:uid="{00000000-0005-0000-0000-0000D4370000}"/>
    <cellStyle name="Normal 10 3 4 8 3" xfId="32725" xr:uid="{00000000-0005-0000-0000-0000D5370000}"/>
    <cellStyle name="Normal 10 3 4 9" xfId="15914" xr:uid="{00000000-0005-0000-0000-0000D6370000}"/>
    <cellStyle name="Normal 10 3 4 9 2" xfId="41467" xr:uid="{00000000-0005-0000-0000-0000D7370000}"/>
    <cellStyle name="Normal 10 3 4_Degree data" xfId="3909" xr:uid="{00000000-0005-0000-0000-0000D8370000}"/>
    <cellStyle name="Normal 10 3 5" xfId="1716" xr:uid="{00000000-0005-0000-0000-0000D9370000}"/>
    <cellStyle name="Normal 10 3 5 2" xfId="11090" xr:uid="{00000000-0005-0000-0000-0000DA370000}"/>
    <cellStyle name="Normal 10 3 5 2 2" xfId="21094" xr:uid="{00000000-0005-0000-0000-0000DB370000}"/>
    <cellStyle name="Normal 10 3 5 2 2 2" xfId="46647" xr:uid="{00000000-0005-0000-0000-0000DC370000}"/>
    <cellStyle name="Normal 10 3 5 2 3" xfId="36645" xr:uid="{00000000-0005-0000-0000-0000DD370000}"/>
    <cellStyle name="Normal 10 3 5 3" xfId="8635" xr:uid="{00000000-0005-0000-0000-0000DE370000}"/>
    <cellStyle name="Normal 10 3 5 3 2" xfId="34192" xr:uid="{00000000-0005-0000-0000-0000DF370000}"/>
    <cellStyle name="Normal 10 3 5 4" xfId="16087" xr:uid="{00000000-0005-0000-0000-0000E0370000}"/>
    <cellStyle name="Normal 10 3 5 4 2" xfId="41640" xr:uid="{00000000-0005-0000-0000-0000E1370000}"/>
    <cellStyle name="Normal 10 3 5 5" xfId="27577" xr:uid="{00000000-0005-0000-0000-0000E2370000}"/>
    <cellStyle name="Normal 10 3 6" xfId="2614" xr:uid="{00000000-0005-0000-0000-0000E3370000}"/>
    <cellStyle name="Normal 10 3 6 2" xfId="11965" xr:uid="{00000000-0005-0000-0000-0000E4370000}"/>
    <cellStyle name="Normal 10 3 6 2 2" xfId="21977" xr:uid="{00000000-0005-0000-0000-0000E5370000}"/>
    <cellStyle name="Normal 10 3 6 2 2 2" xfId="47530" xr:uid="{00000000-0005-0000-0000-0000E6370000}"/>
    <cellStyle name="Normal 10 3 6 2 3" xfId="37520" xr:uid="{00000000-0005-0000-0000-0000E7370000}"/>
    <cellStyle name="Normal 10 3 6 3" xfId="8501" xr:uid="{00000000-0005-0000-0000-0000E8370000}"/>
    <cellStyle name="Normal 10 3 6 3 2" xfId="34058" xr:uid="{00000000-0005-0000-0000-0000E9370000}"/>
    <cellStyle name="Normal 10 3 6 4" xfId="16970" xr:uid="{00000000-0005-0000-0000-0000EA370000}"/>
    <cellStyle name="Normal 10 3 6 4 2" xfId="42523" xr:uid="{00000000-0005-0000-0000-0000EB370000}"/>
    <cellStyle name="Normal 10 3 6 5" xfId="28460" xr:uid="{00000000-0005-0000-0000-0000EC370000}"/>
    <cellStyle name="Normal 10 3 7" xfId="10747" xr:uid="{00000000-0005-0000-0000-0000ED370000}"/>
    <cellStyle name="Normal 10 3 7 2" xfId="19577" xr:uid="{00000000-0005-0000-0000-0000EE370000}"/>
    <cellStyle name="Normal 10 3 7 2 2" xfId="45130" xr:uid="{00000000-0005-0000-0000-0000EF370000}"/>
    <cellStyle name="Normal 10 3 7 3" xfId="36303" xr:uid="{00000000-0005-0000-0000-0000F0370000}"/>
    <cellStyle name="Normal 10 3 8" xfId="26060" xr:uid="{00000000-0005-0000-0000-0000F1370000}"/>
    <cellStyle name="Normal 10 4" xfId="135" xr:uid="{00000000-0005-0000-0000-0000F2370000}"/>
    <cellStyle name="Normal 10 4 10" xfId="1403" xr:uid="{00000000-0005-0000-0000-0000F3370000}"/>
    <cellStyle name="Normal 10 4 10 2" xfId="10780" xr:uid="{00000000-0005-0000-0000-0000F4370000}"/>
    <cellStyle name="Normal 10 4 10 2 2" xfId="36335" xr:uid="{00000000-0005-0000-0000-0000F5370000}"/>
    <cellStyle name="Normal 10 4 10 3" xfId="20784" xr:uid="{00000000-0005-0000-0000-0000F6370000}"/>
    <cellStyle name="Normal 10 4 10 3 2" xfId="46337" xr:uid="{00000000-0005-0000-0000-0000F7370000}"/>
    <cellStyle name="Normal 10 4 10 4" xfId="27267" xr:uid="{00000000-0005-0000-0000-0000F8370000}"/>
    <cellStyle name="Normal 10 4 11" xfId="5514" xr:uid="{00000000-0005-0000-0000-0000F9370000}"/>
    <cellStyle name="Normal 10 4 11 2" xfId="14341" xr:uid="{00000000-0005-0000-0000-0000FA370000}"/>
    <cellStyle name="Normal 10 4 11 2 2" xfId="39896" xr:uid="{00000000-0005-0000-0000-0000FB370000}"/>
    <cellStyle name="Normal 10 4 11 3" xfId="24592" xr:uid="{00000000-0005-0000-0000-0000FC370000}"/>
    <cellStyle name="Normal 10 4 11 3 2" xfId="50145" xr:uid="{00000000-0005-0000-0000-0000FD370000}"/>
    <cellStyle name="Normal 10 4 11 4" xfId="31075" xr:uid="{00000000-0005-0000-0000-0000FE370000}"/>
    <cellStyle name="Normal 10 4 12" xfId="6954" xr:uid="{00000000-0005-0000-0000-0000FF370000}"/>
    <cellStyle name="Normal 10 4 12 2" xfId="19599" xr:uid="{00000000-0005-0000-0000-000000380000}"/>
    <cellStyle name="Normal 10 4 12 2 2" xfId="45152" xr:uid="{00000000-0005-0000-0000-000001380000}"/>
    <cellStyle name="Normal 10 4 12 3" xfId="32512" xr:uid="{00000000-0005-0000-0000-000002380000}"/>
    <cellStyle name="Normal 10 4 13" xfId="15777" xr:uid="{00000000-0005-0000-0000-000003380000}"/>
    <cellStyle name="Normal 10 4 13 2" xfId="41330" xr:uid="{00000000-0005-0000-0000-000004380000}"/>
    <cellStyle name="Normal 10 4 14" xfId="26082" xr:uid="{00000000-0005-0000-0000-000005380000}"/>
    <cellStyle name="Normal 10 4 2" xfId="185" xr:uid="{00000000-0005-0000-0000-000006380000}"/>
    <cellStyle name="Normal 10 4 2 10" xfId="7133" xr:uid="{00000000-0005-0000-0000-000007380000}"/>
    <cellStyle name="Normal 10 4 2 10 2" xfId="19642" xr:uid="{00000000-0005-0000-0000-000008380000}"/>
    <cellStyle name="Normal 10 4 2 10 2 2" xfId="45195" xr:uid="{00000000-0005-0000-0000-000009380000}"/>
    <cellStyle name="Normal 10 4 2 10 3" xfId="32690" xr:uid="{00000000-0005-0000-0000-00000A380000}"/>
    <cellStyle name="Normal 10 4 2 11" xfId="15879" xr:uid="{00000000-0005-0000-0000-00000B380000}"/>
    <cellStyle name="Normal 10 4 2 11 2" xfId="41432" xr:uid="{00000000-0005-0000-0000-00000C380000}"/>
    <cellStyle name="Normal 10 4 2 12" xfId="26125" xr:uid="{00000000-0005-0000-0000-00000D380000}"/>
    <cellStyle name="Normal 10 4 2 2" xfId="513" xr:uid="{00000000-0005-0000-0000-00000E380000}"/>
    <cellStyle name="Normal 10 4 2 2 10" xfId="26442" xr:uid="{00000000-0005-0000-0000-00000F380000}"/>
    <cellStyle name="Normal 10 4 2 2 2" xfId="718" xr:uid="{00000000-0005-0000-0000-000010380000}"/>
    <cellStyle name="Normal 10 4 2 2 2 2" xfId="3204" xr:uid="{00000000-0005-0000-0000-000011380000}"/>
    <cellStyle name="Normal 10 4 2 2 2 2 2" xfId="12347" xr:uid="{00000000-0005-0000-0000-000012380000}"/>
    <cellStyle name="Normal 10 4 2 2 2 2 2 2" xfId="22565" xr:uid="{00000000-0005-0000-0000-000013380000}"/>
    <cellStyle name="Normal 10 4 2 2 2 2 2 2 2" xfId="48118" xr:uid="{00000000-0005-0000-0000-000014380000}"/>
    <cellStyle name="Normal 10 4 2 2 2 2 2 3" xfId="37902" xr:uid="{00000000-0005-0000-0000-000015380000}"/>
    <cellStyle name="Normal 10 4 2 2 2 2 3" xfId="8769" xr:uid="{00000000-0005-0000-0000-000016380000}"/>
    <cellStyle name="Normal 10 4 2 2 2 2 3 2" xfId="34326" xr:uid="{00000000-0005-0000-0000-000017380000}"/>
    <cellStyle name="Normal 10 4 2 2 2 2 4" xfId="17558" xr:uid="{00000000-0005-0000-0000-000018380000}"/>
    <cellStyle name="Normal 10 4 2 2 2 2 4 2" xfId="43111" xr:uid="{00000000-0005-0000-0000-000019380000}"/>
    <cellStyle name="Normal 10 4 2 2 2 2 5" xfId="29048" xr:uid="{00000000-0005-0000-0000-00001A380000}"/>
    <cellStyle name="Normal 10 4 2 2 2 3" xfId="4533" xr:uid="{00000000-0005-0000-0000-00001B380000}"/>
    <cellStyle name="Normal 10 4 2 2 2 3 2" xfId="13371" xr:uid="{00000000-0005-0000-0000-00001C380000}"/>
    <cellStyle name="Normal 10 4 2 2 2 3 2 2" xfId="23622" xr:uid="{00000000-0005-0000-0000-00001D380000}"/>
    <cellStyle name="Normal 10 4 2 2 2 3 2 2 2" xfId="49175" xr:uid="{00000000-0005-0000-0000-00001E380000}"/>
    <cellStyle name="Normal 10 4 2 2 2 3 2 3" xfId="38926" xr:uid="{00000000-0005-0000-0000-00001F380000}"/>
    <cellStyle name="Normal 10 4 2 2 2 3 3" xfId="9792" xr:uid="{00000000-0005-0000-0000-000020380000}"/>
    <cellStyle name="Normal 10 4 2 2 2 3 3 2" xfId="35349" xr:uid="{00000000-0005-0000-0000-000021380000}"/>
    <cellStyle name="Normal 10 4 2 2 2 3 4" xfId="18615" xr:uid="{00000000-0005-0000-0000-000022380000}"/>
    <cellStyle name="Normal 10 4 2 2 2 3 4 2" xfId="44168" xr:uid="{00000000-0005-0000-0000-000023380000}"/>
    <cellStyle name="Normal 10 4 2 2 2 3 5" xfId="30105" xr:uid="{00000000-0005-0000-0000-000024380000}"/>
    <cellStyle name="Normal 10 4 2 2 2 4" xfId="2313" xr:uid="{00000000-0005-0000-0000-000025380000}"/>
    <cellStyle name="Normal 10 4 2 2 2 4 2" xfId="11678" xr:uid="{00000000-0005-0000-0000-000026380000}"/>
    <cellStyle name="Normal 10 4 2 2 2 4 2 2" xfId="37233" xr:uid="{00000000-0005-0000-0000-000027380000}"/>
    <cellStyle name="Normal 10 4 2 2 2 4 3" xfId="21682" xr:uid="{00000000-0005-0000-0000-000028380000}"/>
    <cellStyle name="Normal 10 4 2 2 2 4 3 2" xfId="47235" xr:uid="{00000000-0005-0000-0000-000029380000}"/>
    <cellStyle name="Normal 10 4 2 2 2 4 4" xfId="28165" xr:uid="{00000000-0005-0000-0000-00002A380000}"/>
    <cellStyle name="Normal 10 4 2 2 2 5" xfId="5989" xr:uid="{00000000-0005-0000-0000-00002B380000}"/>
    <cellStyle name="Normal 10 4 2 2 2 5 2" xfId="14816" xr:uid="{00000000-0005-0000-0000-00002C380000}"/>
    <cellStyle name="Normal 10 4 2 2 2 5 2 2" xfId="40371" xr:uid="{00000000-0005-0000-0000-00002D380000}"/>
    <cellStyle name="Normal 10 4 2 2 2 5 3" xfId="25067" xr:uid="{00000000-0005-0000-0000-00002E380000}"/>
    <cellStyle name="Normal 10 4 2 2 2 5 3 2" xfId="50620" xr:uid="{00000000-0005-0000-0000-00002F380000}"/>
    <cellStyle name="Normal 10 4 2 2 2 5 4" xfId="31550" xr:uid="{00000000-0005-0000-0000-000030380000}"/>
    <cellStyle name="Normal 10 4 2 2 2 6" xfId="7433" xr:uid="{00000000-0005-0000-0000-000031380000}"/>
    <cellStyle name="Normal 10 4 2 2 2 6 2" xfId="20164" xr:uid="{00000000-0005-0000-0000-000032380000}"/>
    <cellStyle name="Normal 10 4 2 2 2 6 2 2" xfId="45717" xr:uid="{00000000-0005-0000-0000-000033380000}"/>
    <cellStyle name="Normal 10 4 2 2 2 6 3" xfId="32990" xr:uid="{00000000-0005-0000-0000-000034380000}"/>
    <cellStyle name="Normal 10 4 2 2 2 7" xfId="16675" xr:uid="{00000000-0005-0000-0000-000035380000}"/>
    <cellStyle name="Normal 10 4 2 2 2 7 2" xfId="42228" xr:uid="{00000000-0005-0000-0000-000036380000}"/>
    <cellStyle name="Normal 10 4 2 2 2 8" xfId="26647" xr:uid="{00000000-0005-0000-0000-000037380000}"/>
    <cellStyle name="Normal 10 4 2 2 3" xfId="1285" xr:uid="{00000000-0005-0000-0000-000038380000}"/>
    <cellStyle name="Normal 10 4 2 2 3 2" xfId="3714" xr:uid="{00000000-0005-0000-0000-000039380000}"/>
    <cellStyle name="Normal 10 4 2 2 3 2 2" xfId="12850" xr:uid="{00000000-0005-0000-0000-00003A380000}"/>
    <cellStyle name="Normal 10 4 2 2 3 2 2 2" xfId="23069" xr:uid="{00000000-0005-0000-0000-00003B380000}"/>
    <cellStyle name="Normal 10 4 2 2 3 2 2 2 2" xfId="48622" xr:uid="{00000000-0005-0000-0000-00003C380000}"/>
    <cellStyle name="Normal 10 4 2 2 3 2 2 3" xfId="38405" xr:uid="{00000000-0005-0000-0000-00003D380000}"/>
    <cellStyle name="Normal 10 4 2 2 3 2 3" xfId="9271" xr:uid="{00000000-0005-0000-0000-00003E380000}"/>
    <cellStyle name="Normal 10 4 2 2 3 2 3 2" xfId="34828" xr:uid="{00000000-0005-0000-0000-00003F380000}"/>
    <cellStyle name="Normal 10 4 2 2 3 2 4" xfId="18062" xr:uid="{00000000-0005-0000-0000-000040380000}"/>
    <cellStyle name="Normal 10 4 2 2 3 2 4 2" xfId="43615" xr:uid="{00000000-0005-0000-0000-000041380000}"/>
    <cellStyle name="Normal 10 4 2 2 3 2 5" xfId="29552" xr:uid="{00000000-0005-0000-0000-000042380000}"/>
    <cellStyle name="Normal 10 4 2 2 3 3" xfId="4882" xr:uid="{00000000-0005-0000-0000-000043380000}"/>
    <cellStyle name="Normal 10 4 2 2 3 3 2" xfId="13719" xr:uid="{00000000-0005-0000-0000-000044380000}"/>
    <cellStyle name="Normal 10 4 2 2 3 3 2 2" xfId="23970" xr:uid="{00000000-0005-0000-0000-000045380000}"/>
    <cellStyle name="Normal 10 4 2 2 3 3 2 2 2" xfId="49523" xr:uid="{00000000-0005-0000-0000-000046380000}"/>
    <cellStyle name="Normal 10 4 2 2 3 3 2 3" xfId="39274" xr:uid="{00000000-0005-0000-0000-000047380000}"/>
    <cellStyle name="Normal 10 4 2 2 3 3 3" xfId="10140" xr:uid="{00000000-0005-0000-0000-000048380000}"/>
    <cellStyle name="Normal 10 4 2 2 3 3 3 2" xfId="35697" xr:uid="{00000000-0005-0000-0000-000049380000}"/>
    <cellStyle name="Normal 10 4 2 2 3 3 4" xfId="18963" xr:uid="{00000000-0005-0000-0000-00004A380000}"/>
    <cellStyle name="Normal 10 4 2 2 3 3 4 2" xfId="44516" xr:uid="{00000000-0005-0000-0000-00004B380000}"/>
    <cellStyle name="Normal 10 4 2 2 3 3 5" xfId="30453" xr:uid="{00000000-0005-0000-0000-00004C380000}"/>
    <cellStyle name="Normal 10 4 2 2 3 4" xfId="2108" xr:uid="{00000000-0005-0000-0000-00004D380000}"/>
    <cellStyle name="Normal 10 4 2 2 3 4 2" xfId="11473" xr:uid="{00000000-0005-0000-0000-00004E380000}"/>
    <cellStyle name="Normal 10 4 2 2 3 4 2 2" xfId="37028" xr:uid="{00000000-0005-0000-0000-00004F380000}"/>
    <cellStyle name="Normal 10 4 2 2 3 4 3" xfId="21477" xr:uid="{00000000-0005-0000-0000-000050380000}"/>
    <cellStyle name="Normal 10 4 2 2 3 4 3 2" xfId="47030" xr:uid="{00000000-0005-0000-0000-000051380000}"/>
    <cellStyle name="Normal 10 4 2 2 3 4 4" xfId="27960" xr:uid="{00000000-0005-0000-0000-000052380000}"/>
    <cellStyle name="Normal 10 4 2 2 3 5" xfId="6337" xr:uid="{00000000-0005-0000-0000-000053380000}"/>
    <cellStyle name="Normal 10 4 2 2 3 5 2" xfId="15164" xr:uid="{00000000-0005-0000-0000-000054380000}"/>
    <cellStyle name="Normal 10 4 2 2 3 5 2 2" xfId="40719" xr:uid="{00000000-0005-0000-0000-000055380000}"/>
    <cellStyle name="Normal 10 4 2 2 3 5 3" xfId="25415" xr:uid="{00000000-0005-0000-0000-000056380000}"/>
    <cellStyle name="Normal 10 4 2 2 3 5 3 2" xfId="50968" xr:uid="{00000000-0005-0000-0000-000057380000}"/>
    <cellStyle name="Normal 10 4 2 2 3 5 4" xfId="31898" xr:uid="{00000000-0005-0000-0000-000058380000}"/>
    <cellStyle name="Normal 10 4 2 2 3 6" xfId="7783" xr:uid="{00000000-0005-0000-0000-000059380000}"/>
    <cellStyle name="Normal 10 4 2 2 3 6 2" xfId="20668" xr:uid="{00000000-0005-0000-0000-00005A380000}"/>
    <cellStyle name="Normal 10 4 2 2 3 6 2 2" xfId="46221" xr:uid="{00000000-0005-0000-0000-00005B380000}"/>
    <cellStyle name="Normal 10 4 2 2 3 6 3" xfId="33340" xr:uid="{00000000-0005-0000-0000-00005C380000}"/>
    <cellStyle name="Normal 10 4 2 2 3 7" xfId="16470" xr:uid="{00000000-0005-0000-0000-00005D380000}"/>
    <cellStyle name="Normal 10 4 2 2 3 7 2" xfId="42023" xr:uid="{00000000-0005-0000-0000-00005E380000}"/>
    <cellStyle name="Normal 10 4 2 2 3 8" xfId="27151" xr:uid="{00000000-0005-0000-0000-00005F380000}"/>
    <cellStyle name="Normal 10 4 2 2 4" xfId="2999" xr:uid="{00000000-0005-0000-0000-000060380000}"/>
    <cellStyle name="Normal 10 4 2 2 4 2" xfId="5377" xr:uid="{00000000-0005-0000-0000-000061380000}"/>
    <cellStyle name="Normal 10 4 2 2 4 2 2" xfId="14214" xr:uid="{00000000-0005-0000-0000-000062380000}"/>
    <cellStyle name="Normal 10 4 2 2 4 2 2 2" xfId="24465" xr:uid="{00000000-0005-0000-0000-000063380000}"/>
    <cellStyle name="Normal 10 4 2 2 4 2 2 2 2" xfId="50018" xr:uid="{00000000-0005-0000-0000-000064380000}"/>
    <cellStyle name="Normal 10 4 2 2 4 2 2 3" xfId="39769" xr:uid="{00000000-0005-0000-0000-000065380000}"/>
    <cellStyle name="Normal 10 4 2 2 4 2 3" xfId="10635" xr:uid="{00000000-0005-0000-0000-000066380000}"/>
    <cellStyle name="Normal 10 4 2 2 4 2 3 2" xfId="36192" xr:uid="{00000000-0005-0000-0000-000067380000}"/>
    <cellStyle name="Normal 10 4 2 2 4 2 4" xfId="19458" xr:uid="{00000000-0005-0000-0000-000068380000}"/>
    <cellStyle name="Normal 10 4 2 2 4 2 4 2" xfId="45011" xr:uid="{00000000-0005-0000-0000-000069380000}"/>
    <cellStyle name="Normal 10 4 2 2 4 2 5" xfId="30948" xr:uid="{00000000-0005-0000-0000-00006A380000}"/>
    <cellStyle name="Normal 10 4 2 2 4 3" xfId="6832" xr:uid="{00000000-0005-0000-0000-00006B380000}"/>
    <cellStyle name="Normal 10 4 2 2 4 3 2" xfId="15659" xr:uid="{00000000-0005-0000-0000-00006C380000}"/>
    <cellStyle name="Normal 10 4 2 2 4 3 2 2" xfId="41214" xr:uid="{00000000-0005-0000-0000-00006D380000}"/>
    <cellStyle name="Normal 10 4 2 2 4 3 3" xfId="25910" xr:uid="{00000000-0005-0000-0000-00006E380000}"/>
    <cellStyle name="Normal 10 4 2 2 4 3 3 2" xfId="51463" xr:uid="{00000000-0005-0000-0000-00006F380000}"/>
    <cellStyle name="Normal 10 4 2 2 4 3 4" xfId="32393" xr:uid="{00000000-0005-0000-0000-000070380000}"/>
    <cellStyle name="Normal 10 4 2 2 4 4" xfId="8278" xr:uid="{00000000-0005-0000-0000-000071380000}"/>
    <cellStyle name="Normal 10 4 2 2 4 4 2" xfId="22360" xr:uid="{00000000-0005-0000-0000-000072380000}"/>
    <cellStyle name="Normal 10 4 2 2 4 4 2 2" xfId="47913" xr:uid="{00000000-0005-0000-0000-000073380000}"/>
    <cellStyle name="Normal 10 4 2 2 4 4 3" xfId="33835" xr:uid="{00000000-0005-0000-0000-000074380000}"/>
    <cellStyle name="Normal 10 4 2 2 4 5" xfId="17353" xr:uid="{00000000-0005-0000-0000-000075380000}"/>
    <cellStyle name="Normal 10 4 2 2 4 5 2" xfId="42906" xr:uid="{00000000-0005-0000-0000-000076380000}"/>
    <cellStyle name="Normal 10 4 2 2 4 6" xfId="28843" xr:uid="{00000000-0005-0000-0000-000077380000}"/>
    <cellStyle name="Normal 10 4 2 2 5" xfId="4333" xr:uid="{00000000-0005-0000-0000-000078380000}"/>
    <cellStyle name="Normal 10 4 2 2 5 2" xfId="13171" xr:uid="{00000000-0005-0000-0000-000079380000}"/>
    <cellStyle name="Normal 10 4 2 2 5 2 2" xfId="23422" xr:uid="{00000000-0005-0000-0000-00007A380000}"/>
    <cellStyle name="Normal 10 4 2 2 5 2 2 2" xfId="48975" xr:uid="{00000000-0005-0000-0000-00007B380000}"/>
    <cellStyle name="Normal 10 4 2 2 5 2 3" xfId="38726" xr:uid="{00000000-0005-0000-0000-00007C380000}"/>
    <cellStyle name="Normal 10 4 2 2 5 3" xfId="9592" xr:uid="{00000000-0005-0000-0000-00007D380000}"/>
    <cellStyle name="Normal 10 4 2 2 5 3 2" xfId="35149" xr:uid="{00000000-0005-0000-0000-00007E380000}"/>
    <cellStyle name="Normal 10 4 2 2 5 4" xfId="18415" xr:uid="{00000000-0005-0000-0000-00007F380000}"/>
    <cellStyle name="Normal 10 4 2 2 5 4 2" xfId="43968" xr:uid="{00000000-0005-0000-0000-000080380000}"/>
    <cellStyle name="Normal 10 4 2 2 5 5" xfId="29905" xr:uid="{00000000-0005-0000-0000-000081380000}"/>
    <cellStyle name="Normal 10 4 2 2 6" xfId="1605" xr:uid="{00000000-0005-0000-0000-000082380000}"/>
    <cellStyle name="Normal 10 4 2 2 6 2" xfId="10982" xr:uid="{00000000-0005-0000-0000-000083380000}"/>
    <cellStyle name="Normal 10 4 2 2 6 2 2" xfId="36537" xr:uid="{00000000-0005-0000-0000-000084380000}"/>
    <cellStyle name="Normal 10 4 2 2 6 3" xfId="20986" xr:uid="{00000000-0005-0000-0000-000085380000}"/>
    <cellStyle name="Normal 10 4 2 2 6 3 2" xfId="46539" xr:uid="{00000000-0005-0000-0000-000086380000}"/>
    <cellStyle name="Normal 10 4 2 2 6 4" xfId="27469" xr:uid="{00000000-0005-0000-0000-000087380000}"/>
    <cellStyle name="Normal 10 4 2 2 7" xfId="5789" xr:uid="{00000000-0005-0000-0000-000088380000}"/>
    <cellStyle name="Normal 10 4 2 2 7 2" xfId="14616" xr:uid="{00000000-0005-0000-0000-000089380000}"/>
    <cellStyle name="Normal 10 4 2 2 7 2 2" xfId="40171" xr:uid="{00000000-0005-0000-0000-00008A380000}"/>
    <cellStyle name="Normal 10 4 2 2 7 3" xfId="24867" xr:uid="{00000000-0005-0000-0000-00008B380000}"/>
    <cellStyle name="Normal 10 4 2 2 7 3 2" xfId="50420" xr:uid="{00000000-0005-0000-0000-00008C380000}"/>
    <cellStyle name="Normal 10 4 2 2 7 4" xfId="31350" xr:uid="{00000000-0005-0000-0000-00008D380000}"/>
    <cellStyle name="Normal 10 4 2 2 8" xfId="7233" xr:uid="{00000000-0005-0000-0000-00008E380000}"/>
    <cellStyle name="Normal 10 4 2 2 8 2" xfId="19959" xr:uid="{00000000-0005-0000-0000-00008F380000}"/>
    <cellStyle name="Normal 10 4 2 2 8 2 2" xfId="45512" xr:uid="{00000000-0005-0000-0000-000090380000}"/>
    <cellStyle name="Normal 10 4 2 2 8 3" xfId="32790" xr:uid="{00000000-0005-0000-0000-000091380000}"/>
    <cellStyle name="Normal 10 4 2 2 9" xfId="15979" xr:uid="{00000000-0005-0000-0000-000092380000}"/>
    <cellStyle name="Normal 10 4 2 2 9 2" xfId="41532" xr:uid="{00000000-0005-0000-0000-000093380000}"/>
    <cellStyle name="Normal 10 4 2 2_Degree data" xfId="3838" xr:uid="{00000000-0005-0000-0000-000094380000}"/>
    <cellStyle name="Normal 10 4 2 3" xfId="413" xr:uid="{00000000-0005-0000-0000-000095380000}"/>
    <cellStyle name="Normal 10 4 2 3 2" xfId="2899" xr:uid="{00000000-0005-0000-0000-000096380000}"/>
    <cellStyle name="Normal 10 4 2 3 2 2" xfId="12187" xr:uid="{00000000-0005-0000-0000-000097380000}"/>
    <cellStyle name="Normal 10 4 2 3 2 2 2" xfId="22260" xr:uid="{00000000-0005-0000-0000-000098380000}"/>
    <cellStyle name="Normal 10 4 2 3 2 2 2 2" xfId="47813" xr:uid="{00000000-0005-0000-0000-000099380000}"/>
    <cellStyle name="Normal 10 4 2 3 2 2 3" xfId="37742" xr:uid="{00000000-0005-0000-0000-00009A380000}"/>
    <cellStyle name="Normal 10 4 2 3 2 3" xfId="8588" xr:uid="{00000000-0005-0000-0000-00009B380000}"/>
    <cellStyle name="Normal 10 4 2 3 2 3 2" xfId="34145" xr:uid="{00000000-0005-0000-0000-00009C380000}"/>
    <cellStyle name="Normal 10 4 2 3 2 4" xfId="17253" xr:uid="{00000000-0005-0000-0000-00009D380000}"/>
    <cellStyle name="Normal 10 4 2 3 2 4 2" xfId="42806" xr:uid="{00000000-0005-0000-0000-00009E380000}"/>
    <cellStyle name="Normal 10 4 2 3 2 5" xfId="28743" xr:uid="{00000000-0005-0000-0000-00009F380000}"/>
    <cellStyle name="Normal 10 4 2 3 3" xfId="4532" xr:uid="{00000000-0005-0000-0000-0000A0380000}"/>
    <cellStyle name="Normal 10 4 2 3 3 2" xfId="13370" xr:uid="{00000000-0005-0000-0000-0000A1380000}"/>
    <cellStyle name="Normal 10 4 2 3 3 2 2" xfId="23621" xr:uid="{00000000-0005-0000-0000-0000A2380000}"/>
    <cellStyle name="Normal 10 4 2 3 3 2 2 2" xfId="49174" xr:uid="{00000000-0005-0000-0000-0000A3380000}"/>
    <cellStyle name="Normal 10 4 2 3 3 2 3" xfId="38925" xr:uid="{00000000-0005-0000-0000-0000A4380000}"/>
    <cellStyle name="Normal 10 4 2 3 3 3" xfId="9791" xr:uid="{00000000-0005-0000-0000-0000A5380000}"/>
    <cellStyle name="Normal 10 4 2 3 3 3 2" xfId="35348" xr:uid="{00000000-0005-0000-0000-0000A6380000}"/>
    <cellStyle name="Normal 10 4 2 3 3 4" xfId="18614" xr:uid="{00000000-0005-0000-0000-0000A7380000}"/>
    <cellStyle name="Normal 10 4 2 3 3 4 2" xfId="44167" xr:uid="{00000000-0005-0000-0000-0000A8380000}"/>
    <cellStyle name="Normal 10 4 2 3 3 5" xfId="30104" xr:uid="{00000000-0005-0000-0000-0000A9380000}"/>
    <cellStyle name="Normal 10 4 2 3 4" xfId="2008" xr:uid="{00000000-0005-0000-0000-0000AA380000}"/>
    <cellStyle name="Normal 10 4 2 3 4 2" xfId="11373" xr:uid="{00000000-0005-0000-0000-0000AB380000}"/>
    <cellStyle name="Normal 10 4 2 3 4 2 2" xfId="36928" xr:uid="{00000000-0005-0000-0000-0000AC380000}"/>
    <cellStyle name="Normal 10 4 2 3 4 3" xfId="21377" xr:uid="{00000000-0005-0000-0000-0000AD380000}"/>
    <cellStyle name="Normal 10 4 2 3 4 3 2" xfId="46930" xr:uid="{00000000-0005-0000-0000-0000AE380000}"/>
    <cellStyle name="Normal 10 4 2 3 4 4" xfId="27860" xr:uid="{00000000-0005-0000-0000-0000AF380000}"/>
    <cellStyle name="Normal 10 4 2 3 5" xfId="5988" xr:uid="{00000000-0005-0000-0000-0000B0380000}"/>
    <cellStyle name="Normal 10 4 2 3 5 2" xfId="14815" xr:uid="{00000000-0005-0000-0000-0000B1380000}"/>
    <cellStyle name="Normal 10 4 2 3 5 2 2" xfId="40370" xr:uid="{00000000-0005-0000-0000-0000B2380000}"/>
    <cellStyle name="Normal 10 4 2 3 5 3" xfId="25066" xr:uid="{00000000-0005-0000-0000-0000B3380000}"/>
    <cellStyle name="Normal 10 4 2 3 5 3 2" xfId="50619" xr:uid="{00000000-0005-0000-0000-0000B4380000}"/>
    <cellStyle name="Normal 10 4 2 3 5 4" xfId="31549" xr:uid="{00000000-0005-0000-0000-0000B5380000}"/>
    <cellStyle name="Normal 10 4 2 3 6" xfId="7432" xr:uid="{00000000-0005-0000-0000-0000B6380000}"/>
    <cellStyle name="Normal 10 4 2 3 6 2" xfId="19859" xr:uid="{00000000-0005-0000-0000-0000B7380000}"/>
    <cellStyle name="Normal 10 4 2 3 6 2 2" xfId="45412" xr:uid="{00000000-0005-0000-0000-0000B8380000}"/>
    <cellStyle name="Normal 10 4 2 3 6 3" xfId="32989" xr:uid="{00000000-0005-0000-0000-0000B9380000}"/>
    <cellStyle name="Normal 10 4 2 3 7" xfId="16370" xr:uid="{00000000-0005-0000-0000-0000BA380000}"/>
    <cellStyle name="Normal 10 4 2 3 7 2" xfId="41923" xr:uid="{00000000-0005-0000-0000-0000BB380000}"/>
    <cellStyle name="Normal 10 4 2 3 8" xfId="26342" xr:uid="{00000000-0005-0000-0000-0000BC380000}"/>
    <cellStyle name="Normal 10 4 2 4" xfId="717" xr:uid="{00000000-0005-0000-0000-0000BD380000}"/>
    <cellStyle name="Normal 10 4 2 4 2" xfId="3203" xr:uid="{00000000-0005-0000-0000-0000BE380000}"/>
    <cellStyle name="Normal 10 4 2 4 2 2" xfId="12346" xr:uid="{00000000-0005-0000-0000-0000BF380000}"/>
    <cellStyle name="Normal 10 4 2 4 2 2 2" xfId="22564" xr:uid="{00000000-0005-0000-0000-0000C0380000}"/>
    <cellStyle name="Normal 10 4 2 4 2 2 2 2" xfId="48117" xr:uid="{00000000-0005-0000-0000-0000C1380000}"/>
    <cellStyle name="Normal 10 4 2 4 2 2 3" xfId="37901" xr:uid="{00000000-0005-0000-0000-0000C2380000}"/>
    <cellStyle name="Normal 10 4 2 4 2 3" xfId="8768" xr:uid="{00000000-0005-0000-0000-0000C3380000}"/>
    <cellStyle name="Normal 10 4 2 4 2 3 2" xfId="34325" xr:uid="{00000000-0005-0000-0000-0000C4380000}"/>
    <cellStyle name="Normal 10 4 2 4 2 4" xfId="17557" xr:uid="{00000000-0005-0000-0000-0000C5380000}"/>
    <cellStyle name="Normal 10 4 2 4 2 4 2" xfId="43110" xr:uid="{00000000-0005-0000-0000-0000C6380000}"/>
    <cellStyle name="Normal 10 4 2 4 2 5" xfId="29047" xr:uid="{00000000-0005-0000-0000-0000C7380000}"/>
    <cellStyle name="Normal 10 4 2 4 3" xfId="4881" xr:uid="{00000000-0005-0000-0000-0000C8380000}"/>
    <cellStyle name="Normal 10 4 2 4 3 2" xfId="13718" xr:uid="{00000000-0005-0000-0000-0000C9380000}"/>
    <cellStyle name="Normal 10 4 2 4 3 2 2" xfId="23969" xr:uid="{00000000-0005-0000-0000-0000CA380000}"/>
    <cellStyle name="Normal 10 4 2 4 3 2 2 2" xfId="49522" xr:uid="{00000000-0005-0000-0000-0000CB380000}"/>
    <cellStyle name="Normal 10 4 2 4 3 2 3" xfId="39273" xr:uid="{00000000-0005-0000-0000-0000CC380000}"/>
    <cellStyle name="Normal 10 4 2 4 3 3" xfId="10139" xr:uid="{00000000-0005-0000-0000-0000CD380000}"/>
    <cellStyle name="Normal 10 4 2 4 3 3 2" xfId="35696" xr:uid="{00000000-0005-0000-0000-0000CE380000}"/>
    <cellStyle name="Normal 10 4 2 4 3 4" xfId="18962" xr:uid="{00000000-0005-0000-0000-0000CF380000}"/>
    <cellStyle name="Normal 10 4 2 4 3 4 2" xfId="44515" xr:uid="{00000000-0005-0000-0000-0000D0380000}"/>
    <cellStyle name="Normal 10 4 2 4 3 5" xfId="30452" xr:uid="{00000000-0005-0000-0000-0000D1380000}"/>
    <cellStyle name="Normal 10 4 2 4 4" xfId="2312" xr:uid="{00000000-0005-0000-0000-0000D2380000}"/>
    <cellStyle name="Normal 10 4 2 4 4 2" xfId="11677" xr:uid="{00000000-0005-0000-0000-0000D3380000}"/>
    <cellStyle name="Normal 10 4 2 4 4 2 2" xfId="37232" xr:uid="{00000000-0005-0000-0000-0000D4380000}"/>
    <cellStyle name="Normal 10 4 2 4 4 3" xfId="21681" xr:uid="{00000000-0005-0000-0000-0000D5380000}"/>
    <cellStyle name="Normal 10 4 2 4 4 3 2" xfId="47234" xr:uid="{00000000-0005-0000-0000-0000D6380000}"/>
    <cellStyle name="Normal 10 4 2 4 4 4" xfId="28164" xr:uid="{00000000-0005-0000-0000-0000D7380000}"/>
    <cellStyle name="Normal 10 4 2 4 5" xfId="6336" xr:uid="{00000000-0005-0000-0000-0000D8380000}"/>
    <cellStyle name="Normal 10 4 2 4 5 2" xfId="15163" xr:uid="{00000000-0005-0000-0000-0000D9380000}"/>
    <cellStyle name="Normal 10 4 2 4 5 2 2" xfId="40718" xr:uid="{00000000-0005-0000-0000-0000DA380000}"/>
    <cellStyle name="Normal 10 4 2 4 5 3" xfId="25414" xr:uid="{00000000-0005-0000-0000-0000DB380000}"/>
    <cellStyle name="Normal 10 4 2 4 5 3 2" xfId="50967" xr:uid="{00000000-0005-0000-0000-0000DC380000}"/>
    <cellStyle name="Normal 10 4 2 4 5 4" xfId="31897" xr:uid="{00000000-0005-0000-0000-0000DD380000}"/>
    <cellStyle name="Normal 10 4 2 4 6" xfId="7782" xr:uid="{00000000-0005-0000-0000-0000DE380000}"/>
    <cellStyle name="Normal 10 4 2 4 6 2" xfId="20163" xr:uid="{00000000-0005-0000-0000-0000DF380000}"/>
    <cellStyle name="Normal 10 4 2 4 6 2 2" xfId="45716" xr:uid="{00000000-0005-0000-0000-0000E0380000}"/>
    <cellStyle name="Normal 10 4 2 4 6 3" xfId="33339" xr:uid="{00000000-0005-0000-0000-0000E1380000}"/>
    <cellStyle name="Normal 10 4 2 4 7" xfId="16674" xr:uid="{00000000-0005-0000-0000-0000E2380000}"/>
    <cellStyle name="Normal 10 4 2 4 7 2" xfId="42227" xr:uid="{00000000-0005-0000-0000-0000E3380000}"/>
    <cellStyle name="Normal 10 4 2 4 8" xfId="26646" xr:uid="{00000000-0005-0000-0000-0000E4380000}"/>
    <cellStyle name="Normal 10 4 2 5" xfId="1185" xr:uid="{00000000-0005-0000-0000-0000E5380000}"/>
    <cellStyle name="Normal 10 4 2 5 2" xfId="3614" xr:uid="{00000000-0005-0000-0000-0000E6380000}"/>
    <cellStyle name="Normal 10 4 2 5 2 2" xfId="12750" xr:uid="{00000000-0005-0000-0000-0000E7380000}"/>
    <cellStyle name="Normal 10 4 2 5 2 2 2" xfId="22969" xr:uid="{00000000-0005-0000-0000-0000E8380000}"/>
    <cellStyle name="Normal 10 4 2 5 2 2 2 2" xfId="48522" xr:uid="{00000000-0005-0000-0000-0000E9380000}"/>
    <cellStyle name="Normal 10 4 2 5 2 2 3" xfId="38305" xr:uid="{00000000-0005-0000-0000-0000EA380000}"/>
    <cellStyle name="Normal 10 4 2 5 2 3" xfId="9171" xr:uid="{00000000-0005-0000-0000-0000EB380000}"/>
    <cellStyle name="Normal 10 4 2 5 2 3 2" xfId="34728" xr:uid="{00000000-0005-0000-0000-0000EC380000}"/>
    <cellStyle name="Normal 10 4 2 5 2 4" xfId="17962" xr:uid="{00000000-0005-0000-0000-0000ED380000}"/>
    <cellStyle name="Normal 10 4 2 5 2 4 2" xfId="43515" xr:uid="{00000000-0005-0000-0000-0000EE380000}"/>
    <cellStyle name="Normal 10 4 2 5 2 5" xfId="29452" xr:uid="{00000000-0005-0000-0000-0000EF380000}"/>
    <cellStyle name="Normal 10 4 2 5 3" xfId="5277" xr:uid="{00000000-0005-0000-0000-0000F0380000}"/>
    <cellStyle name="Normal 10 4 2 5 3 2" xfId="14114" xr:uid="{00000000-0005-0000-0000-0000F1380000}"/>
    <cellStyle name="Normal 10 4 2 5 3 2 2" xfId="24365" xr:uid="{00000000-0005-0000-0000-0000F2380000}"/>
    <cellStyle name="Normal 10 4 2 5 3 2 2 2" xfId="49918" xr:uid="{00000000-0005-0000-0000-0000F3380000}"/>
    <cellStyle name="Normal 10 4 2 5 3 2 3" xfId="39669" xr:uid="{00000000-0005-0000-0000-0000F4380000}"/>
    <cellStyle name="Normal 10 4 2 5 3 3" xfId="10535" xr:uid="{00000000-0005-0000-0000-0000F5380000}"/>
    <cellStyle name="Normal 10 4 2 5 3 3 2" xfId="36092" xr:uid="{00000000-0005-0000-0000-0000F6380000}"/>
    <cellStyle name="Normal 10 4 2 5 3 4" xfId="19358" xr:uid="{00000000-0005-0000-0000-0000F7380000}"/>
    <cellStyle name="Normal 10 4 2 5 3 4 2" xfId="44911" xr:uid="{00000000-0005-0000-0000-0000F8380000}"/>
    <cellStyle name="Normal 10 4 2 5 3 5" xfId="30848" xr:uid="{00000000-0005-0000-0000-0000F9380000}"/>
    <cellStyle name="Normal 10 4 2 5 4" xfId="1787" xr:uid="{00000000-0005-0000-0000-0000FA380000}"/>
    <cellStyle name="Normal 10 4 2 5 4 2" xfId="11156" xr:uid="{00000000-0005-0000-0000-0000FB380000}"/>
    <cellStyle name="Normal 10 4 2 5 4 2 2" xfId="36711" xr:uid="{00000000-0005-0000-0000-0000FC380000}"/>
    <cellStyle name="Normal 10 4 2 5 4 3" xfId="21160" xr:uid="{00000000-0005-0000-0000-0000FD380000}"/>
    <cellStyle name="Normal 10 4 2 5 4 3 2" xfId="46713" xr:uid="{00000000-0005-0000-0000-0000FE380000}"/>
    <cellStyle name="Normal 10 4 2 5 4 4" xfId="27643" xr:uid="{00000000-0005-0000-0000-0000FF380000}"/>
    <cellStyle name="Normal 10 4 2 5 5" xfId="6732" xr:uid="{00000000-0005-0000-0000-000000390000}"/>
    <cellStyle name="Normal 10 4 2 5 5 2" xfId="15559" xr:uid="{00000000-0005-0000-0000-000001390000}"/>
    <cellStyle name="Normal 10 4 2 5 5 2 2" xfId="41114" xr:uid="{00000000-0005-0000-0000-000002390000}"/>
    <cellStyle name="Normal 10 4 2 5 5 3" xfId="25810" xr:uid="{00000000-0005-0000-0000-000003390000}"/>
    <cellStyle name="Normal 10 4 2 5 5 3 2" xfId="51363" xr:uid="{00000000-0005-0000-0000-000004390000}"/>
    <cellStyle name="Normal 10 4 2 5 5 4" xfId="32293" xr:uid="{00000000-0005-0000-0000-000005390000}"/>
    <cellStyle name="Normal 10 4 2 5 6" xfId="8178" xr:uid="{00000000-0005-0000-0000-000006390000}"/>
    <cellStyle name="Normal 10 4 2 5 6 2" xfId="20568" xr:uid="{00000000-0005-0000-0000-000007390000}"/>
    <cellStyle name="Normal 10 4 2 5 6 2 2" xfId="46121" xr:uid="{00000000-0005-0000-0000-000008390000}"/>
    <cellStyle name="Normal 10 4 2 5 6 3" xfId="33735" xr:uid="{00000000-0005-0000-0000-000009390000}"/>
    <cellStyle name="Normal 10 4 2 5 7" xfId="16153" xr:uid="{00000000-0005-0000-0000-00000A390000}"/>
    <cellStyle name="Normal 10 4 2 5 7 2" xfId="41706" xr:uid="{00000000-0005-0000-0000-00000B390000}"/>
    <cellStyle name="Normal 10 4 2 5 8" xfId="27051" xr:uid="{00000000-0005-0000-0000-00000C390000}"/>
    <cellStyle name="Normal 10 4 2 6" xfId="2682" xr:uid="{00000000-0005-0000-0000-00000D390000}"/>
    <cellStyle name="Normal 10 4 2 6 2" xfId="11999" xr:uid="{00000000-0005-0000-0000-00000E390000}"/>
    <cellStyle name="Normal 10 4 2 6 2 2" xfId="22043" xr:uid="{00000000-0005-0000-0000-00000F390000}"/>
    <cellStyle name="Normal 10 4 2 6 2 2 2" xfId="47596" xr:uid="{00000000-0005-0000-0000-000010390000}"/>
    <cellStyle name="Normal 10 4 2 6 2 3" xfId="37554" xr:uid="{00000000-0005-0000-0000-000011390000}"/>
    <cellStyle name="Normal 10 4 2 6 3" xfId="8568" xr:uid="{00000000-0005-0000-0000-000012390000}"/>
    <cellStyle name="Normal 10 4 2 6 3 2" xfId="34125" xr:uid="{00000000-0005-0000-0000-000013390000}"/>
    <cellStyle name="Normal 10 4 2 6 4" xfId="17036" xr:uid="{00000000-0005-0000-0000-000014390000}"/>
    <cellStyle name="Normal 10 4 2 6 4 2" xfId="42589" xr:uid="{00000000-0005-0000-0000-000015390000}"/>
    <cellStyle name="Normal 10 4 2 6 5" xfId="28526" xr:uid="{00000000-0005-0000-0000-000016390000}"/>
    <cellStyle name="Normal 10 4 2 7" xfId="4233" xr:uid="{00000000-0005-0000-0000-000017390000}"/>
    <cellStyle name="Normal 10 4 2 7 2" xfId="13071" xr:uid="{00000000-0005-0000-0000-000018390000}"/>
    <cellStyle name="Normal 10 4 2 7 2 2" xfId="23322" xr:uid="{00000000-0005-0000-0000-000019390000}"/>
    <cellStyle name="Normal 10 4 2 7 2 2 2" xfId="48875" xr:uid="{00000000-0005-0000-0000-00001A390000}"/>
    <cellStyle name="Normal 10 4 2 7 2 3" xfId="38626" xr:uid="{00000000-0005-0000-0000-00001B390000}"/>
    <cellStyle name="Normal 10 4 2 7 3" xfId="9492" xr:uid="{00000000-0005-0000-0000-00001C390000}"/>
    <cellStyle name="Normal 10 4 2 7 3 2" xfId="35049" xr:uid="{00000000-0005-0000-0000-00001D390000}"/>
    <cellStyle name="Normal 10 4 2 7 4" xfId="18315" xr:uid="{00000000-0005-0000-0000-00001E390000}"/>
    <cellStyle name="Normal 10 4 2 7 4 2" xfId="43868" xr:uid="{00000000-0005-0000-0000-00001F390000}"/>
    <cellStyle name="Normal 10 4 2 7 5" xfId="29805" xr:uid="{00000000-0005-0000-0000-000020390000}"/>
    <cellStyle name="Normal 10 4 2 8" xfId="1505" xr:uid="{00000000-0005-0000-0000-000021390000}"/>
    <cellStyle name="Normal 10 4 2 8 2" xfId="10882" xr:uid="{00000000-0005-0000-0000-000022390000}"/>
    <cellStyle name="Normal 10 4 2 8 2 2" xfId="36437" xr:uid="{00000000-0005-0000-0000-000023390000}"/>
    <cellStyle name="Normal 10 4 2 8 3" xfId="20886" xr:uid="{00000000-0005-0000-0000-000024390000}"/>
    <cellStyle name="Normal 10 4 2 8 3 2" xfId="46439" xr:uid="{00000000-0005-0000-0000-000025390000}"/>
    <cellStyle name="Normal 10 4 2 8 4" xfId="27369" xr:uid="{00000000-0005-0000-0000-000026390000}"/>
    <cellStyle name="Normal 10 4 2 9" xfId="5689" xr:uid="{00000000-0005-0000-0000-000027390000}"/>
    <cellStyle name="Normal 10 4 2 9 2" xfId="14516" xr:uid="{00000000-0005-0000-0000-000028390000}"/>
    <cellStyle name="Normal 10 4 2 9 2 2" xfId="40071" xr:uid="{00000000-0005-0000-0000-000029390000}"/>
    <cellStyle name="Normal 10 4 2 9 3" xfId="24767" xr:uid="{00000000-0005-0000-0000-00002A390000}"/>
    <cellStyle name="Normal 10 4 2 9 3 2" xfId="50320" xr:uid="{00000000-0005-0000-0000-00002B390000}"/>
    <cellStyle name="Normal 10 4 2 9 4" xfId="31250" xr:uid="{00000000-0005-0000-0000-00002C390000}"/>
    <cellStyle name="Normal 10 4 2_Degree data" xfId="2635" xr:uid="{00000000-0005-0000-0000-00002D390000}"/>
    <cellStyle name="Normal 10 4 3" xfId="252" xr:uid="{00000000-0005-0000-0000-00002E390000}"/>
    <cellStyle name="Normal 10 4 3 10" xfId="7090" xr:uid="{00000000-0005-0000-0000-00002F390000}"/>
    <cellStyle name="Normal 10 4 3 10 2" xfId="19704" xr:uid="{00000000-0005-0000-0000-000030390000}"/>
    <cellStyle name="Normal 10 4 3 10 2 2" xfId="45257" xr:uid="{00000000-0005-0000-0000-000031390000}"/>
    <cellStyle name="Normal 10 4 3 10 3" xfId="32647" xr:uid="{00000000-0005-0000-0000-000032390000}"/>
    <cellStyle name="Normal 10 4 3 11" xfId="15836" xr:uid="{00000000-0005-0000-0000-000033390000}"/>
    <cellStyle name="Normal 10 4 3 11 2" xfId="41389" xr:uid="{00000000-0005-0000-0000-000034390000}"/>
    <cellStyle name="Normal 10 4 3 12" xfId="26187" xr:uid="{00000000-0005-0000-0000-000035390000}"/>
    <cellStyle name="Normal 10 4 3 2" xfId="575" xr:uid="{00000000-0005-0000-0000-000036390000}"/>
    <cellStyle name="Normal 10 4 3 2 10" xfId="26504" xr:uid="{00000000-0005-0000-0000-000037390000}"/>
    <cellStyle name="Normal 10 4 3 2 2" xfId="720" xr:uid="{00000000-0005-0000-0000-000038390000}"/>
    <cellStyle name="Normal 10 4 3 2 2 2" xfId="3206" xr:uid="{00000000-0005-0000-0000-000039390000}"/>
    <cellStyle name="Normal 10 4 3 2 2 2 2" xfId="12349" xr:uid="{00000000-0005-0000-0000-00003A390000}"/>
    <cellStyle name="Normal 10 4 3 2 2 2 2 2" xfId="22567" xr:uid="{00000000-0005-0000-0000-00003B390000}"/>
    <cellStyle name="Normal 10 4 3 2 2 2 2 2 2" xfId="48120" xr:uid="{00000000-0005-0000-0000-00003C390000}"/>
    <cellStyle name="Normal 10 4 3 2 2 2 2 3" xfId="37904" xr:uid="{00000000-0005-0000-0000-00003D390000}"/>
    <cellStyle name="Normal 10 4 3 2 2 2 3" xfId="8771" xr:uid="{00000000-0005-0000-0000-00003E390000}"/>
    <cellStyle name="Normal 10 4 3 2 2 2 3 2" xfId="34328" xr:uid="{00000000-0005-0000-0000-00003F390000}"/>
    <cellStyle name="Normal 10 4 3 2 2 2 4" xfId="17560" xr:uid="{00000000-0005-0000-0000-000040390000}"/>
    <cellStyle name="Normal 10 4 3 2 2 2 4 2" xfId="43113" xr:uid="{00000000-0005-0000-0000-000041390000}"/>
    <cellStyle name="Normal 10 4 3 2 2 2 5" xfId="29050" xr:uid="{00000000-0005-0000-0000-000042390000}"/>
    <cellStyle name="Normal 10 4 3 2 2 3" xfId="4535" xr:uid="{00000000-0005-0000-0000-000043390000}"/>
    <cellStyle name="Normal 10 4 3 2 2 3 2" xfId="13373" xr:uid="{00000000-0005-0000-0000-000044390000}"/>
    <cellStyle name="Normal 10 4 3 2 2 3 2 2" xfId="23624" xr:uid="{00000000-0005-0000-0000-000045390000}"/>
    <cellStyle name="Normal 10 4 3 2 2 3 2 2 2" xfId="49177" xr:uid="{00000000-0005-0000-0000-000046390000}"/>
    <cellStyle name="Normal 10 4 3 2 2 3 2 3" xfId="38928" xr:uid="{00000000-0005-0000-0000-000047390000}"/>
    <cellStyle name="Normal 10 4 3 2 2 3 3" xfId="9794" xr:uid="{00000000-0005-0000-0000-000048390000}"/>
    <cellStyle name="Normal 10 4 3 2 2 3 3 2" xfId="35351" xr:uid="{00000000-0005-0000-0000-000049390000}"/>
    <cellStyle name="Normal 10 4 3 2 2 3 4" xfId="18617" xr:uid="{00000000-0005-0000-0000-00004A390000}"/>
    <cellStyle name="Normal 10 4 3 2 2 3 4 2" xfId="44170" xr:uid="{00000000-0005-0000-0000-00004B390000}"/>
    <cellStyle name="Normal 10 4 3 2 2 3 5" xfId="30107" xr:uid="{00000000-0005-0000-0000-00004C390000}"/>
    <cellStyle name="Normal 10 4 3 2 2 4" xfId="2315" xr:uid="{00000000-0005-0000-0000-00004D390000}"/>
    <cellStyle name="Normal 10 4 3 2 2 4 2" xfId="11680" xr:uid="{00000000-0005-0000-0000-00004E390000}"/>
    <cellStyle name="Normal 10 4 3 2 2 4 2 2" xfId="37235" xr:uid="{00000000-0005-0000-0000-00004F390000}"/>
    <cellStyle name="Normal 10 4 3 2 2 4 3" xfId="21684" xr:uid="{00000000-0005-0000-0000-000050390000}"/>
    <cellStyle name="Normal 10 4 3 2 2 4 3 2" xfId="47237" xr:uid="{00000000-0005-0000-0000-000051390000}"/>
    <cellStyle name="Normal 10 4 3 2 2 4 4" xfId="28167" xr:uid="{00000000-0005-0000-0000-000052390000}"/>
    <cellStyle name="Normal 10 4 3 2 2 5" xfId="5991" xr:uid="{00000000-0005-0000-0000-000053390000}"/>
    <cellStyle name="Normal 10 4 3 2 2 5 2" xfId="14818" xr:uid="{00000000-0005-0000-0000-000054390000}"/>
    <cellStyle name="Normal 10 4 3 2 2 5 2 2" xfId="40373" xr:uid="{00000000-0005-0000-0000-000055390000}"/>
    <cellStyle name="Normal 10 4 3 2 2 5 3" xfId="25069" xr:uid="{00000000-0005-0000-0000-000056390000}"/>
    <cellStyle name="Normal 10 4 3 2 2 5 3 2" xfId="50622" xr:uid="{00000000-0005-0000-0000-000057390000}"/>
    <cellStyle name="Normal 10 4 3 2 2 5 4" xfId="31552" xr:uid="{00000000-0005-0000-0000-000058390000}"/>
    <cellStyle name="Normal 10 4 3 2 2 6" xfId="7435" xr:uid="{00000000-0005-0000-0000-000059390000}"/>
    <cellStyle name="Normal 10 4 3 2 2 6 2" xfId="20166" xr:uid="{00000000-0005-0000-0000-00005A390000}"/>
    <cellStyle name="Normal 10 4 3 2 2 6 2 2" xfId="45719" xr:uid="{00000000-0005-0000-0000-00005B390000}"/>
    <cellStyle name="Normal 10 4 3 2 2 6 3" xfId="32992" xr:uid="{00000000-0005-0000-0000-00005C390000}"/>
    <cellStyle name="Normal 10 4 3 2 2 7" xfId="16677" xr:uid="{00000000-0005-0000-0000-00005D390000}"/>
    <cellStyle name="Normal 10 4 3 2 2 7 2" xfId="42230" xr:uid="{00000000-0005-0000-0000-00005E390000}"/>
    <cellStyle name="Normal 10 4 3 2 2 8" xfId="26649" xr:uid="{00000000-0005-0000-0000-00005F390000}"/>
    <cellStyle name="Normal 10 4 3 2 3" xfId="1347" xr:uid="{00000000-0005-0000-0000-000060390000}"/>
    <cellStyle name="Normal 10 4 3 2 3 2" xfId="3776" xr:uid="{00000000-0005-0000-0000-000061390000}"/>
    <cellStyle name="Normal 10 4 3 2 3 2 2" xfId="12912" xr:uid="{00000000-0005-0000-0000-000062390000}"/>
    <cellStyle name="Normal 10 4 3 2 3 2 2 2" xfId="23131" xr:uid="{00000000-0005-0000-0000-000063390000}"/>
    <cellStyle name="Normal 10 4 3 2 3 2 2 2 2" xfId="48684" xr:uid="{00000000-0005-0000-0000-000064390000}"/>
    <cellStyle name="Normal 10 4 3 2 3 2 2 3" xfId="38467" xr:uid="{00000000-0005-0000-0000-000065390000}"/>
    <cellStyle name="Normal 10 4 3 2 3 2 3" xfId="9333" xr:uid="{00000000-0005-0000-0000-000066390000}"/>
    <cellStyle name="Normal 10 4 3 2 3 2 3 2" xfId="34890" xr:uid="{00000000-0005-0000-0000-000067390000}"/>
    <cellStyle name="Normal 10 4 3 2 3 2 4" xfId="18124" xr:uid="{00000000-0005-0000-0000-000068390000}"/>
    <cellStyle name="Normal 10 4 3 2 3 2 4 2" xfId="43677" xr:uid="{00000000-0005-0000-0000-000069390000}"/>
    <cellStyle name="Normal 10 4 3 2 3 2 5" xfId="29614" xr:uid="{00000000-0005-0000-0000-00006A390000}"/>
    <cellStyle name="Normal 10 4 3 2 3 3" xfId="4884" xr:uid="{00000000-0005-0000-0000-00006B390000}"/>
    <cellStyle name="Normal 10 4 3 2 3 3 2" xfId="13721" xr:uid="{00000000-0005-0000-0000-00006C390000}"/>
    <cellStyle name="Normal 10 4 3 2 3 3 2 2" xfId="23972" xr:uid="{00000000-0005-0000-0000-00006D390000}"/>
    <cellStyle name="Normal 10 4 3 2 3 3 2 2 2" xfId="49525" xr:uid="{00000000-0005-0000-0000-00006E390000}"/>
    <cellStyle name="Normal 10 4 3 2 3 3 2 3" xfId="39276" xr:uid="{00000000-0005-0000-0000-00006F390000}"/>
    <cellStyle name="Normal 10 4 3 2 3 3 3" xfId="10142" xr:uid="{00000000-0005-0000-0000-000070390000}"/>
    <cellStyle name="Normal 10 4 3 2 3 3 3 2" xfId="35699" xr:uid="{00000000-0005-0000-0000-000071390000}"/>
    <cellStyle name="Normal 10 4 3 2 3 3 4" xfId="18965" xr:uid="{00000000-0005-0000-0000-000072390000}"/>
    <cellStyle name="Normal 10 4 3 2 3 3 4 2" xfId="44518" xr:uid="{00000000-0005-0000-0000-000073390000}"/>
    <cellStyle name="Normal 10 4 3 2 3 3 5" xfId="30455" xr:uid="{00000000-0005-0000-0000-000074390000}"/>
    <cellStyle name="Normal 10 4 3 2 3 4" xfId="2170" xr:uid="{00000000-0005-0000-0000-000075390000}"/>
    <cellStyle name="Normal 10 4 3 2 3 4 2" xfId="11535" xr:uid="{00000000-0005-0000-0000-000076390000}"/>
    <cellStyle name="Normal 10 4 3 2 3 4 2 2" xfId="37090" xr:uid="{00000000-0005-0000-0000-000077390000}"/>
    <cellStyle name="Normal 10 4 3 2 3 4 3" xfId="21539" xr:uid="{00000000-0005-0000-0000-000078390000}"/>
    <cellStyle name="Normal 10 4 3 2 3 4 3 2" xfId="47092" xr:uid="{00000000-0005-0000-0000-000079390000}"/>
    <cellStyle name="Normal 10 4 3 2 3 4 4" xfId="28022" xr:uid="{00000000-0005-0000-0000-00007A390000}"/>
    <cellStyle name="Normal 10 4 3 2 3 5" xfId="6339" xr:uid="{00000000-0005-0000-0000-00007B390000}"/>
    <cellStyle name="Normal 10 4 3 2 3 5 2" xfId="15166" xr:uid="{00000000-0005-0000-0000-00007C390000}"/>
    <cellStyle name="Normal 10 4 3 2 3 5 2 2" xfId="40721" xr:uid="{00000000-0005-0000-0000-00007D390000}"/>
    <cellStyle name="Normal 10 4 3 2 3 5 3" xfId="25417" xr:uid="{00000000-0005-0000-0000-00007E390000}"/>
    <cellStyle name="Normal 10 4 3 2 3 5 3 2" xfId="50970" xr:uid="{00000000-0005-0000-0000-00007F390000}"/>
    <cellStyle name="Normal 10 4 3 2 3 5 4" xfId="31900" xr:uid="{00000000-0005-0000-0000-000080390000}"/>
    <cellStyle name="Normal 10 4 3 2 3 6" xfId="7785" xr:uid="{00000000-0005-0000-0000-000081390000}"/>
    <cellStyle name="Normal 10 4 3 2 3 6 2" xfId="20730" xr:uid="{00000000-0005-0000-0000-000082390000}"/>
    <cellStyle name="Normal 10 4 3 2 3 6 2 2" xfId="46283" xr:uid="{00000000-0005-0000-0000-000083390000}"/>
    <cellStyle name="Normal 10 4 3 2 3 6 3" xfId="33342" xr:uid="{00000000-0005-0000-0000-000084390000}"/>
    <cellStyle name="Normal 10 4 3 2 3 7" xfId="16532" xr:uid="{00000000-0005-0000-0000-000085390000}"/>
    <cellStyle name="Normal 10 4 3 2 3 7 2" xfId="42085" xr:uid="{00000000-0005-0000-0000-000086390000}"/>
    <cellStyle name="Normal 10 4 3 2 3 8" xfId="27213" xr:uid="{00000000-0005-0000-0000-000087390000}"/>
    <cellStyle name="Normal 10 4 3 2 4" xfId="3061" xr:uid="{00000000-0005-0000-0000-000088390000}"/>
    <cellStyle name="Normal 10 4 3 2 4 2" xfId="5439" xr:uid="{00000000-0005-0000-0000-000089390000}"/>
    <cellStyle name="Normal 10 4 3 2 4 2 2" xfId="14276" xr:uid="{00000000-0005-0000-0000-00008A390000}"/>
    <cellStyle name="Normal 10 4 3 2 4 2 2 2" xfId="24527" xr:uid="{00000000-0005-0000-0000-00008B390000}"/>
    <cellStyle name="Normal 10 4 3 2 4 2 2 2 2" xfId="50080" xr:uid="{00000000-0005-0000-0000-00008C390000}"/>
    <cellStyle name="Normal 10 4 3 2 4 2 2 3" xfId="39831" xr:uid="{00000000-0005-0000-0000-00008D390000}"/>
    <cellStyle name="Normal 10 4 3 2 4 2 3" xfId="10697" xr:uid="{00000000-0005-0000-0000-00008E390000}"/>
    <cellStyle name="Normal 10 4 3 2 4 2 3 2" xfId="36254" xr:uid="{00000000-0005-0000-0000-00008F390000}"/>
    <cellStyle name="Normal 10 4 3 2 4 2 4" xfId="19520" xr:uid="{00000000-0005-0000-0000-000090390000}"/>
    <cellStyle name="Normal 10 4 3 2 4 2 4 2" xfId="45073" xr:uid="{00000000-0005-0000-0000-000091390000}"/>
    <cellStyle name="Normal 10 4 3 2 4 2 5" xfId="31010" xr:uid="{00000000-0005-0000-0000-000092390000}"/>
    <cellStyle name="Normal 10 4 3 2 4 3" xfId="6894" xr:uid="{00000000-0005-0000-0000-000093390000}"/>
    <cellStyle name="Normal 10 4 3 2 4 3 2" xfId="15721" xr:uid="{00000000-0005-0000-0000-000094390000}"/>
    <cellStyle name="Normal 10 4 3 2 4 3 2 2" xfId="41276" xr:uid="{00000000-0005-0000-0000-000095390000}"/>
    <cellStyle name="Normal 10 4 3 2 4 3 3" xfId="25972" xr:uid="{00000000-0005-0000-0000-000096390000}"/>
    <cellStyle name="Normal 10 4 3 2 4 3 3 2" xfId="51525" xr:uid="{00000000-0005-0000-0000-000097390000}"/>
    <cellStyle name="Normal 10 4 3 2 4 3 4" xfId="32455" xr:uid="{00000000-0005-0000-0000-000098390000}"/>
    <cellStyle name="Normal 10 4 3 2 4 4" xfId="8340" xr:uid="{00000000-0005-0000-0000-000099390000}"/>
    <cellStyle name="Normal 10 4 3 2 4 4 2" xfId="22422" xr:uid="{00000000-0005-0000-0000-00009A390000}"/>
    <cellStyle name="Normal 10 4 3 2 4 4 2 2" xfId="47975" xr:uid="{00000000-0005-0000-0000-00009B390000}"/>
    <cellStyle name="Normal 10 4 3 2 4 4 3" xfId="33897" xr:uid="{00000000-0005-0000-0000-00009C390000}"/>
    <cellStyle name="Normal 10 4 3 2 4 5" xfId="17415" xr:uid="{00000000-0005-0000-0000-00009D390000}"/>
    <cellStyle name="Normal 10 4 3 2 4 5 2" xfId="42968" xr:uid="{00000000-0005-0000-0000-00009E390000}"/>
    <cellStyle name="Normal 10 4 3 2 4 6" xfId="28905" xr:uid="{00000000-0005-0000-0000-00009F390000}"/>
    <cellStyle name="Normal 10 4 3 2 5" xfId="4395" xr:uid="{00000000-0005-0000-0000-0000A0390000}"/>
    <cellStyle name="Normal 10 4 3 2 5 2" xfId="13233" xr:uid="{00000000-0005-0000-0000-0000A1390000}"/>
    <cellStyle name="Normal 10 4 3 2 5 2 2" xfId="23484" xr:uid="{00000000-0005-0000-0000-0000A2390000}"/>
    <cellStyle name="Normal 10 4 3 2 5 2 2 2" xfId="49037" xr:uid="{00000000-0005-0000-0000-0000A3390000}"/>
    <cellStyle name="Normal 10 4 3 2 5 2 3" xfId="38788" xr:uid="{00000000-0005-0000-0000-0000A4390000}"/>
    <cellStyle name="Normal 10 4 3 2 5 3" xfId="9654" xr:uid="{00000000-0005-0000-0000-0000A5390000}"/>
    <cellStyle name="Normal 10 4 3 2 5 3 2" xfId="35211" xr:uid="{00000000-0005-0000-0000-0000A6390000}"/>
    <cellStyle name="Normal 10 4 3 2 5 4" xfId="18477" xr:uid="{00000000-0005-0000-0000-0000A7390000}"/>
    <cellStyle name="Normal 10 4 3 2 5 4 2" xfId="44030" xr:uid="{00000000-0005-0000-0000-0000A8390000}"/>
    <cellStyle name="Normal 10 4 3 2 5 5" xfId="29967" xr:uid="{00000000-0005-0000-0000-0000A9390000}"/>
    <cellStyle name="Normal 10 4 3 2 6" xfId="1667" xr:uid="{00000000-0005-0000-0000-0000AA390000}"/>
    <cellStyle name="Normal 10 4 3 2 6 2" xfId="11044" xr:uid="{00000000-0005-0000-0000-0000AB390000}"/>
    <cellStyle name="Normal 10 4 3 2 6 2 2" xfId="36599" xr:uid="{00000000-0005-0000-0000-0000AC390000}"/>
    <cellStyle name="Normal 10 4 3 2 6 3" xfId="21048" xr:uid="{00000000-0005-0000-0000-0000AD390000}"/>
    <cellStyle name="Normal 10 4 3 2 6 3 2" xfId="46601" xr:uid="{00000000-0005-0000-0000-0000AE390000}"/>
    <cellStyle name="Normal 10 4 3 2 6 4" xfId="27531" xr:uid="{00000000-0005-0000-0000-0000AF390000}"/>
    <cellStyle name="Normal 10 4 3 2 7" xfId="5851" xr:uid="{00000000-0005-0000-0000-0000B0390000}"/>
    <cellStyle name="Normal 10 4 3 2 7 2" xfId="14678" xr:uid="{00000000-0005-0000-0000-0000B1390000}"/>
    <cellStyle name="Normal 10 4 3 2 7 2 2" xfId="40233" xr:uid="{00000000-0005-0000-0000-0000B2390000}"/>
    <cellStyle name="Normal 10 4 3 2 7 3" xfId="24929" xr:uid="{00000000-0005-0000-0000-0000B3390000}"/>
    <cellStyle name="Normal 10 4 3 2 7 3 2" xfId="50482" xr:uid="{00000000-0005-0000-0000-0000B4390000}"/>
    <cellStyle name="Normal 10 4 3 2 7 4" xfId="31412" xr:uid="{00000000-0005-0000-0000-0000B5390000}"/>
    <cellStyle name="Normal 10 4 3 2 8" xfId="7295" xr:uid="{00000000-0005-0000-0000-0000B6390000}"/>
    <cellStyle name="Normal 10 4 3 2 8 2" xfId="20021" xr:uid="{00000000-0005-0000-0000-0000B7390000}"/>
    <cellStyle name="Normal 10 4 3 2 8 2 2" xfId="45574" xr:uid="{00000000-0005-0000-0000-0000B8390000}"/>
    <cellStyle name="Normal 10 4 3 2 8 3" xfId="32852" xr:uid="{00000000-0005-0000-0000-0000B9390000}"/>
    <cellStyle name="Normal 10 4 3 2 9" xfId="16041" xr:uid="{00000000-0005-0000-0000-0000BA390000}"/>
    <cellStyle name="Normal 10 4 3 2 9 2" xfId="41594" xr:uid="{00000000-0005-0000-0000-0000BB390000}"/>
    <cellStyle name="Normal 10 4 3 2_Degree data" xfId="2601" xr:uid="{00000000-0005-0000-0000-0000BC390000}"/>
    <cellStyle name="Normal 10 4 3 3" xfId="370" xr:uid="{00000000-0005-0000-0000-0000BD390000}"/>
    <cellStyle name="Normal 10 4 3 3 2" xfId="2856" xr:uid="{00000000-0005-0000-0000-0000BE390000}"/>
    <cellStyle name="Normal 10 4 3 3 2 2" xfId="12144" xr:uid="{00000000-0005-0000-0000-0000BF390000}"/>
    <cellStyle name="Normal 10 4 3 3 2 2 2" xfId="22217" xr:uid="{00000000-0005-0000-0000-0000C0390000}"/>
    <cellStyle name="Normal 10 4 3 3 2 2 2 2" xfId="47770" xr:uid="{00000000-0005-0000-0000-0000C1390000}"/>
    <cellStyle name="Normal 10 4 3 3 2 2 3" xfId="37699" xr:uid="{00000000-0005-0000-0000-0000C2390000}"/>
    <cellStyle name="Normal 10 4 3 3 2 3" xfId="8413" xr:uid="{00000000-0005-0000-0000-0000C3390000}"/>
    <cellStyle name="Normal 10 4 3 3 2 3 2" xfId="33970" xr:uid="{00000000-0005-0000-0000-0000C4390000}"/>
    <cellStyle name="Normal 10 4 3 3 2 4" xfId="17210" xr:uid="{00000000-0005-0000-0000-0000C5390000}"/>
    <cellStyle name="Normal 10 4 3 3 2 4 2" xfId="42763" xr:uid="{00000000-0005-0000-0000-0000C6390000}"/>
    <cellStyle name="Normal 10 4 3 3 2 5" xfId="28700" xr:uid="{00000000-0005-0000-0000-0000C7390000}"/>
    <cellStyle name="Normal 10 4 3 3 3" xfId="4534" xr:uid="{00000000-0005-0000-0000-0000C8390000}"/>
    <cellStyle name="Normal 10 4 3 3 3 2" xfId="13372" xr:uid="{00000000-0005-0000-0000-0000C9390000}"/>
    <cellStyle name="Normal 10 4 3 3 3 2 2" xfId="23623" xr:uid="{00000000-0005-0000-0000-0000CA390000}"/>
    <cellStyle name="Normal 10 4 3 3 3 2 2 2" xfId="49176" xr:uid="{00000000-0005-0000-0000-0000CB390000}"/>
    <cellStyle name="Normal 10 4 3 3 3 2 3" xfId="38927" xr:uid="{00000000-0005-0000-0000-0000CC390000}"/>
    <cellStyle name="Normal 10 4 3 3 3 3" xfId="9793" xr:uid="{00000000-0005-0000-0000-0000CD390000}"/>
    <cellStyle name="Normal 10 4 3 3 3 3 2" xfId="35350" xr:uid="{00000000-0005-0000-0000-0000CE390000}"/>
    <cellStyle name="Normal 10 4 3 3 3 4" xfId="18616" xr:uid="{00000000-0005-0000-0000-0000CF390000}"/>
    <cellStyle name="Normal 10 4 3 3 3 4 2" xfId="44169" xr:uid="{00000000-0005-0000-0000-0000D0390000}"/>
    <cellStyle name="Normal 10 4 3 3 3 5" xfId="30106" xr:uid="{00000000-0005-0000-0000-0000D1390000}"/>
    <cellStyle name="Normal 10 4 3 3 4" xfId="1965" xr:uid="{00000000-0005-0000-0000-0000D2390000}"/>
    <cellStyle name="Normal 10 4 3 3 4 2" xfId="11330" xr:uid="{00000000-0005-0000-0000-0000D3390000}"/>
    <cellStyle name="Normal 10 4 3 3 4 2 2" xfId="36885" xr:uid="{00000000-0005-0000-0000-0000D4390000}"/>
    <cellStyle name="Normal 10 4 3 3 4 3" xfId="21334" xr:uid="{00000000-0005-0000-0000-0000D5390000}"/>
    <cellStyle name="Normal 10 4 3 3 4 3 2" xfId="46887" xr:uid="{00000000-0005-0000-0000-0000D6390000}"/>
    <cellStyle name="Normal 10 4 3 3 4 4" xfId="27817" xr:uid="{00000000-0005-0000-0000-0000D7390000}"/>
    <cellStyle name="Normal 10 4 3 3 5" xfId="5990" xr:uid="{00000000-0005-0000-0000-0000D8390000}"/>
    <cellStyle name="Normal 10 4 3 3 5 2" xfId="14817" xr:uid="{00000000-0005-0000-0000-0000D9390000}"/>
    <cellStyle name="Normal 10 4 3 3 5 2 2" xfId="40372" xr:uid="{00000000-0005-0000-0000-0000DA390000}"/>
    <cellStyle name="Normal 10 4 3 3 5 3" xfId="25068" xr:uid="{00000000-0005-0000-0000-0000DB390000}"/>
    <cellStyle name="Normal 10 4 3 3 5 3 2" xfId="50621" xr:uid="{00000000-0005-0000-0000-0000DC390000}"/>
    <cellStyle name="Normal 10 4 3 3 5 4" xfId="31551" xr:uid="{00000000-0005-0000-0000-0000DD390000}"/>
    <cellStyle name="Normal 10 4 3 3 6" xfId="7434" xr:uid="{00000000-0005-0000-0000-0000DE390000}"/>
    <cellStyle name="Normal 10 4 3 3 6 2" xfId="19816" xr:uid="{00000000-0005-0000-0000-0000DF390000}"/>
    <cellStyle name="Normal 10 4 3 3 6 2 2" xfId="45369" xr:uid="{00000000-0005-0000-0000-0000E0390000}"/>
    <cellStyle name="Normal 10 4 3 3 6 3" xfId="32991" xr:uid="{00000000-0005-0000-0000-0000E1390000}"/>
    <cellStyle name="Normal 10 4 3 3 7" xfId="16327" xr:uid="{00000000-0005-0000-0000-0000E2390000}"/>
    <cellStyle name="Normal 10 4 3 3 7 2" xfId="41880" xr:uid="{00000000-0005-0000-0000-0000E3390000}"/>
    <cellStyle name="Normal 10 4 3 3 8" xfId="26299" xr:uid="{00000000-0005-0000-0000-0000E4390000}"/>
    <cellStyle name="Normal 10 4 3 4" xfId="719" xr:uid="{00000000-0005-0000-0000-0000E5390000}"/>
    <cellStyle name="Normal 10 4 3 4 2" xfId="3205" xr:uid="{00000000-0005-0000-0000-0000E6390000}"/>
    <cellStyle name="Normal 10 4 3 4 2 2" xfId="12348" xr:uid="{00000000-0005-0000-0000-0000E7390000}"/>
    <cellStyle name="Normal 10 4 3 4 2 2 2" xfId="22566" xr:uid="{00000000-0005-0000-0000-0000E8390000}"/>
    <cellStyle name="Normal 10 4 3 4 2 2 2 2" xfId="48119" xr:uid="{00000000-0005-0000-0000-0000E9390000}"/>
    <cellStyle name="Normal 10 4 3 4 2 2 3" xfId="37903" xr:uid="{00000000-0005-0000-0000-0000EA390000}"/>
    <cellStyle name="Normal 10 4 3 4 2 3" xfId="8770" xr:uid="{00000000-0005-0000-0000-0000EB390000}"/>
    <cellStyle name="Normal 10 4 3 4 2 3 2" xfId="34327" xr:uid="{00000000-0005-0000-0000-0000EC390000}"/>
    <cellStyle name="Normal 10 4 3 4 2 4" xfId="17559" xr:uid="{00000000-0005-0000-0000-0000ED390000}"/>
    <cellStyle name="Normal 10 4 3 4 2 4 2" xfId="43112" xr:uid="{00000000-0005-0000-0000-0000EE390000}"/>
    <cellStyle name="Normal 10 4 3 4 2 5" xfId="29049" xr:uid="{00000000-0005-0000-0000-0000EF390000}"/>
    <cellStyle name="Normal 10 4 3 4 3" xfId="4883" xr:uid="{00000000-0005-0000-0000-0000F0390000}"/>
    <cellStyle name="Normal 10 4 3 4 3 2" xfId="13720" xr:uid="{00000000-0005-0000-0000-0000F1390000}"/>
    <cellStyle name="Normal 10 4 3 4 3 2 2" xfId="23971" xr:uid="{00000000-0005-0000-0000-0000F2390000}"/>
    <cellStyle name="Normal 10 4 3 4 3 2 2 2" xfId="49524" xr:uid="{00000000-0005-0000-0000-0000F3390000}"/>
    <cellStyle name="Normal 10 4 3 4 3 2 3" xfId="39275" xr:uid="{00000000-0005-0000-0000-0000F4390000}"/>
    <cellStyle name="Normal 10 4 3 4 3 3" xfId="10141" xr:uid="{00000000-0005-0000-0000-0000F5390000}"/>
    <cellStyle name="Normal 10 4 3 4 3 3 2" xfId="35698" xr:uid="{00000000-0005-0000-0000-0000F6390000}"/>
    <cellStyle name="Normal 10 4 3 4 3 4" xfId="18964" xr:uid="{00000000-0005-0000-0000-0000F7390000}"/>
    <cellStyle name="Normal 10 4 3 4 3 4 2" xfId="44517" xr:uid="{00000000-0005-0000-0000-0000F8390000}"/>
    <cellStyle name="Normal 10 4 3 4 3 5" xfId="30454" xr:uid="{00000000-0005-0000-0000-0000F9390000}"/>
    <cellStyle name="Normal 10 4 3 4 4" xfId="2314" xr:uid="{00000000-0005-0000-0000-0000FA390000}"/>
    <cellStyle name="Normal 10 4 3 4 4 2" xfId="11679" xr:uid="{00000000-0005-0000-0000-0000FB390000}"/>
    <cellStyle name="Normal 10 4 3 4 4 2 2" xfId="37234" xr:uid="{00000000-0005-0000-0000-0000FC390000}"/>
    <cellStyle name="Normal 10 4 3 4 4 3" xfId="21683" xr:uid="{00000000-0005-0000-0000-0000FD390000}"/>
    <cellStyle name="Normal 10 4 3 4 4 3 2" xfId="47236" xr:uid="{00000000-0005-0000-0000-0000FE390000}"/>
    <cellStyle name="Normal 10 4 3 4 4 4" xfId="28166" xr:uid="{00000000-0005-0000-0000-0000FF390000}"/>
    <cellStyle name="Normal 10 4 3 4 5" xfId="6338" xr:uid="{00000000-0005-0000-0000-0000003A0000}"/>
    <cellStyle name="Normal 10 4 3 4 5 2" xfId="15165" xr:uid="{00000000-0005-0000-0000-0000013A0000}"/>
    <cellStyle name="Normal 10 4 3 4 5 2 2" xfId="40720" xr:uid="{00000000-0005-0000-0000-0000023A0000}"/>
    <cellStyle name="Normal 10 4 3 4 5 3" xfId="25416" xr:uid="{00000000-0005-0000-0000-0000033A0000}"/>
    <cellStyle name="Normal 10 4 3 4 5 3 2" xfId="50969" xr:uid="{00000000-0005-0000-0000-0000043A0000}"/>
    <cellStyle name="Normal 10 4 3 4 5 4" xfId="31899" xr:uid="{00000000-0005-0000-0000-0000053A0000}"/>
    <cellStyle name="Normal 10 4 3 4 6" xfId="7784" xr:uid="{00000000-0005-0000-0000-0000063A0000}"/>
    <cellStyle name="Normal 10 4 3 4 6 2" xfId="20165" xr:uid="{00000000-0005-0000-0000-0000073A0000}"/>
    <cellStyle name="Normal 10 4 3 4 6 2 2" xfId="45718" xr:uid="{00000000-0005-0000-0000-0000083A0000}"/>
    <cellStyle name="Normal 10 4 3 4 6 3" xfId="33341" xr:uid="{00000000-0005-0000-0000-0000093A0000}"/>
    <cellStyle name="Normal 10 4 3 4 7" xfId="16676" xr:uid="{00000000-0005-0000-0000-00000A3A0000}"/>
    <cellStyle name="Normal 10 4 3 4 7 2" xfId="42229" xr:uid="{00000000-0005-0000-0000-00000B3A0000}"/>
    <cellStyle name="Normal 10 4 3 4 8" xfId="26648" xr:uid="{00000000-0005-0000-0000-00000C3A0000}"/>
    <cellStyle name="Normal 10 4 3 5" xfId="1142" xr:uid="{00000000-0005-0000-0000-00000D3A0000}"/>
    <cellStyle name="Normal 10 4 3 5 2" xfId="3571" xr:uid="{00000000-0005-0000-0000-00000E3A0000}"/>
    <cellStyle name="Normal 10 4 3 5 2 2" xfId="12707" xr:uid="{00000000-0005-0000-0000-00000F3A0000}"/>
    <cellStyle name="Normal 10 4 3 5 2 2 2" xfId="22926" xr:uid="{00000000-0005-0000-0000-0000103A0000}"/>
    <cellStyle name="Normal 10 4 3 5 2 2 2 2" xfId="48479" xr:uid="{00000000-0005-0000-0000-0000113A0000}"/>
    <cellStyle name="Normal 10 4 3 5 2 2 3" xfId="38262" xr:uid="{00000000-0005-0000-0000-0000123A0000}"/>
    <cellStyle name="Normal 10 4 3 5 2 3" xfId="9128" xr:uid="{00000000-0005-0000-0000-0000133A0000}"/>
    <cellStyle name="Normal 10 4 3 5 2 3 2" xfId="34685" xr:uid="{00000000-0005-0000-0000-0000143A0000}"/>
    <cellStyle name="Normal 10 4 3 5 2 4" xfId="17919" xr:uid="{00000000-0005-0000-0000-0000153A0000}"/>
    <cellStyle name="Normal 10 4 3 5 2 4 2" xfId="43472" xr:uid="{00000000-0005-0000-0000-0000163A0000}"/>
    <cellStyle name="Normal 10 4 3 5 2 5" xfId="29409" xr:uid="{00000000-0005-0000-0000-0000173A0000}"/>
    <cellStyle name="Normal 10 4 3 5 3" xfId="5234" xr:uid="{00000000-0005-0000-0000-0000183A0000}"/>
    <cellStyle name="Normal 10 4 3 5 3 2" xfId="14071" xr:uid="{00000000-0005-0000-0000-0000193A0000}"/>
    <cellStyle name="Normal 10 4 3 5 3 2 2" xfId="24322" xr:uid="{00000000-0005-0000-0000-00001A3A0000}"/>
    <cellStyle name="Normal 10 4 3 5 3 2 2 2" xfId="49875" xr:uid="{00000000-0005-0000-0000-00001B3A0000}"/>
    <cellStyle name="Normal 10 4 3 5 3 2 3" xfId="39626" xr:uid="{00000000-0005-0000-0000-00001C3A0000}"/>
    <cellStyle name="Normal 10 4 3 5 3 3" xfId="10492" xr:uid="{00000000-0005-0000-0000-00001D3A0000}"/>
    <cellStyle name="Normal 10 4 3 5 3 3 2" xfId="36049" xr:uid="{00000000-0005-0000-0000-00001E3A0000}"/>
    <cellStyle name="Normal 10 4 3 5 3 4" xfId="19315" xr:uid="{00000000-0005-0000-0000-00001F3A0000}"/>
    <cellStyle name="Normal 10 4 3 5 3 4 2" xfId="44868" xr:uid="{00000000-0005-0000-0000-0000203A0000}"/>
    <cellStyle name="Normal 10 4 3 5 3 5" xfId="30805" xr:uid="{00000000-0005-0000-0000-0000213A0000}"/>
    <cellStyle name="Normal 10 4 3 5 4" xfId="1850" xr:uid="{00000000-0005-0000-0000-0000223A0000}"/>
    <cellStyle name="Normal 10 4 3 5 4 2" xfId="11218" xr:uid="{00000000-0005-0000-0000-0000233A0000}"/>
    <cellStyle name="Normal 10 4 3 5 4 2 2" xfId="36773" xr:uid="{00000000-0005-0000-0000-0000243A0000}"/>
    <cellStyle name="Normal 10 4 3 5 4 3" xfId="21222" xr:uid="{00000000-0005-0000-0000-0000253A0000}"/>
    <cellStyle name="Normal 10 4 3 5 4 3 2" xfId="46775" xr:uid="{00000000-0005-0000-0000-0000263A0000}"/>
    <cellStyle name="Normal 10 4 3 5 4 4" xfId="27705" xr:uid="{00000000-0005-0000-0000-0000273A0000}"/>
    <cellStyle name="Normal 10 4 3 5 5" xfId="6689" xr:uid="{00000000-0005-0000-0000-0000283A0000}"/>
    <cellStyle name="Normal 10 4 3 5 5 2" xfId="15516" xr:uid="{00000000-0005-0000-0000-0000293A0000}"/>
    <cellStyle name="Normal 10 4 3 5 5 2 2" xfId="41071" xr:uid="{00000000-0005-0000-0000-00002A3A0000}"/>
    <cellStyle name="Normal 10 4 3 5 5 3" xfId="25767" xr:uid="{00000000-0005-0000-0000-00002B3A0000}"/>
    <cellStyle name="Normal 10 4 3 5 5 3 2" xfId="51320" xr:uid="{00000000-0005-0000-0000-00002C3A0000}"/>
    <cellStyle name="Normal 10 4 3 5 5 4" xfId="32250" xr:uid="{00000000-0005-0000-0000-00002D3A0000}"/>
    <cellStyle name="Normal 10 4 3 5 6" xfId="8135" xr:uid="{00000000-0005-0000-0000-00002E3A0000}"/>
    <cellStyle name="Normal 10 4 3 5 6 2" xfId="20525" xr:uid="{00000000-0005-0000-0000-00002F3A0000}"/>
    <cellStyle name="Normal 10 4 3 5 6 2 2" xfId="46078" xr:uid="{00000000-0005-0000-0000-0000303A0000}"/>
    <cellStyle name="Normal 10 4 3 5 6 3" xfId="33692" xr:uid="{00000000-0005-0000-0000-0000313A0000}"/>
    <cellStyle name="Normal 10 4 3 5 7" xfId="16215" xr:uid="{00000000-0005-0000-0000-0000323A0000}"/>
    <cellStyle name="Normal 10 4 3 5 7 2" xfId="41768" xr:uid="{00000000-0005-0000-0000-0000333A0000}"/>
    <cellStyle name="Normal 10 4 3 5 8" xfId="27008" xr:uid="{00000000-0005-0000-0000-0000343A0000}"/>
    <cellStyle name="Normal 10 4 3 6" xfId="2744" xr:uid="{00000000-0005-0000-0000-0000353A0000}"/>
    <cellStyle name="Normal 10 4 3 6 2" xfId="12061" xr:uid="{00000000-0005-0000-0000-0000363A0000}"/>
    <cellStyle name="Normal 10 4 3 6 2 2" xfId="22105" xr:uid="{00000000-0005-0000-0000-0000373A0000}"/>
    <cellStyle name="Normal 10 4 3 6 2 2 2" xfId="47658" xr:uid="{00000000-0005-0000-0000-0000383A0000}"/>
    <cellStyle name="Normal 10 4 3 6 2 3" xfId="37616" xr:uid="{00000000-0005-0000-0000-0000393A0000}"/>
    <cellStyle name="Normal 10 4 3 6 3" xfId="8428" xr:uid="{00000000-0005-0000-0000-00003A3A0000}"/>
    <cellStyle name="Normal 10 4 3 6 3 2" xfId="33985" xr:uid="{00000000-0005-0000-0000-00003B3A0000}"/>
    <cellStyle name="Normal 10 4 3 6 4" xfId="17098" xr:uid="{00000000-0005-0000-0000-00003C3A0000}"/>
    <cellStyle name="Normal 10 4 3 6 4 2" xfId="42651" xr:uid="{00000000-0005-0000-0000-00003D3A0000}"/>
    <cellStyle name="Normal 10 4 3 6 5" xfId="28588" xr:uid="{00000000-0005-0000-0000-00003E3A0000}"/>
    <cellStyle name="Normal 10 4 3 7" xfId="4190" xr:uid="{00000000-0005-0000-0000-00003F3A0000}"/>
    <cellStyle name="Normal 10 4 3 7 2" xfId="13028" xr:uid="{00000000-0005-0000-0000-0000403A0000}"/>
    <cellStyle name="Normal 10 4 3 7 2 2" xfId="23279" xr:uid="{00000000-0005-0000-0000-0000413A0000}"/>
    <cellStyle name="Normal 10 4 3 7 2 2 2" xfId="48832" xr:uid="{00000000-0005-0000-0000-0000423A0000}"/>
    <cellStyle name="Normal 10 4 3 7 2 3" xfId="38583" xr:uid="{00000000-0005-0000-0000-0000433A0000}"/>
    <cellStyle name="Normal 10 4 3 7 3" xfId="9449" xr:uid="{00000000-0005-0000-0000-0000443A0000}"/>
    <cellStyle name="Normal 10 4 3 7 3 2" xfId="35006" xr:uid="{00000000-0005-0000-0000-0000453A0000}"/>
    <cellStyle name="Normal 10 4 3 7 4" xfId="18272" xr:uid="{00000000-0005-0000-0000-0000463A0000}"/>
    <cellStyle name="Normal 10 4 3 7 4 2" xfId="43825" xr:uid="{00000000-0005-0000-0000-0000473A0000}"/>
    <cellStyle name="Normal 10 4 3 7 5" xfId="29762" xr:uid="{00000000-0005-0000-0000-0000483A0000}"/>
    <cellStyle name="Normal 10 4 3 8" xfId="1462" xr:uid="{00000000-0005-0000-0000-0000493A0000}"/>
    <cellStyle name="Normal 10 4 3 8 2" xfId="10839" xr:uid="{00000000-0005-0000-0000-00004A3A0000}"/>
    <cellStyle name="Normal 10 4 3 8 2 2" xfId="36394" xr:uid="{00000000-0005-0000-0000-00004B3A0000}"/>
    <cellStyle name="Normal 10 4 3 8 3" xfId="20843" xr:uid="{00000000-0005-0000-0000-00004C3A0000}"/>
    <cellStyle name="Normal 10 4 3 8 3 2" xfId="46396" xr:uid="{00000000-0005-0000-0000-00004D3A0000}"/>
    <cellStyle name="Normal 10 4 3 8 4" xfId="27326" xr:uid="{00000000-0005-0000-0000-00004E3A0000}"/>
    <cellStyle name="Normal 10 4 3 9" xfId="5646" xr:uid="{00000000-0005-0000-0000-00004F3A0000}"/>
    <cellStyle name="Normal 10 4 3 9 2" xfId="14473" xr:uid="{00000000-0005-0000-0000-0000503A0000}"/>
    <cellStyle name="Normal 10 4 3 9 2 2" xfId="40028" xr:uid="{00000000-0005-0000-0000-0000513A0000}"/>
    <cellStyle name="Normal 10 4 3 9 3" xfId="24724" xr:uid="{00000000-0005-0000-0000-0000523A0000}"/>
    <cellStyle name="Normal 10 4 3 9 3 2" xfId="50277" xr:uid="{00000000-0005-0000-0000-0000533A0000}"/>
    <cellStyle name="Normal 10 4 3 9 4" xfId="31207" xr:uid="{00000000-0005-0000-0000-0000543A0000}"/>
    <cellStyle name="Normal 10 4 3_Degree data" xfId="2626" xr:uid="{00000000-0005-0000-0000-0000553A0000}"/>
    <cellStyle name="Normal 10 4 4" xfId="470" xr:uid="{00000000-0005-0000-0000-0000563A0000}"/>
    <cellStyle name="Normal 10 4 4 10" xfId="26399" xr:uid="{00000000-0005-0000-0000-0000573A0000}"/>
    <cellStyle name="Normal 10 4 4 2" xfId="721" xr:uid="{00000000-0005-0000-0000-0000583A0000}"/>
    <cellStyle name="Normal 10 4 4 2 2" xfId="3207" xr:uid="{00000000-0005-0000-0000-0000593A0000}"/>
    <cellStyle name="Normal 10 4 4 2 2 2" xfId="12350" xr:uid="{00000000-0005-0000-0000-00005A3A0000}"/>
    <cellStyle name="Normal 10 4 4 2 2 2 2" xfId="22568" xr:uid="{00000000-0005-0000-0000-00005B3A0000}"/>
    <cellStyle name="Normal 10 4 4 2 2 2 2 2" xfId="48121" xr:uid="{00000000-0005-0000-0000-00005C3A0000}"/>
    <cellStyle name="Normal 10 4 4 2 2 2 3" xfId="37905" xr:uid="{00000000-0005-0000-0000-00005D3A0000}"/>
    <cellStyle name="Normal 10 4 4 2 2 3" xfId="8772" xr:uid="{00000000-0005-0000-0000-00005E3A0000}"/>
    <cellStyle name="Normal 10 4 4 2 2 3 2" xfId="34329" xr:uid="{00000000-0005-0000-0000-00005F3A0000}"/>
    <cellStyle name="Normal 10 4 4 2 2 4" xfId="17561" xr:uid="{00000000-0005-0000-0000-0000603A0000}"/>
    <cellStyle name="Normal 10 4 4 2 2 4 2" xfId="43114" xr:uid="{00000000-0005-0000-0000-0000613A0000}"/>
    <cellStyle name="Normal 10 4 4 2 2 5" xfId="29051" xr:uid="{00000000-0005-0000-0000-0000623A0000}"/>
    <cellStyle name="Normal 10 4 4 2 3" xfId="4536" xr:uid="{00000000-0005-0000-0000-0000633A0000}"/>
    <cellStyle name="Normal 10 4 4 2 3 2" xfId="13374" xr:uid="{00000000-0005-0000-0000-0000643A0000}"/>
    <cellStyle name="Normal 10 4 4 2 3 2 2" xfId="23625" xr:uid="{00000000-0005-0000-0000-0000653A0000}"/>
    <cellStyle name="Normal 10 4 4 2 3 2 2 2" xfId="49178" xr:uid="{00000000-0005-0000-0000-0000663A0000}"/>
    <cellStyle name="Normal 10 4 4 2 3 2 3" xfId="38929" xr:uid="{00000000-0005-0000-0000-0000673A0000}"/>
    <cellStyle name="Normal 10 4 4 2 3 3" xfId="9795" xr:uid="{00000000-0005-0000-0000-0000683A0000}"/>
    <cellStyle name="Normal 10 4 4 2 3 3 2" xfId="35352" xr:uid="{00000000-0005-0000-0000-0000693A0000}"/>
    <cellStyle name="Normal 10 4 4 2 3 4" xfId="18618" xr:uid="{00000000-0005-0000-0000-00006A3A0000}"/>
    <cellStyle name="Normal 10 4 4 2 3 4 2" xfId="44171" xr:uid="{00000000-0005-0000-0000-00006B3A0000}"/>
    <cellStyle name="Normal 10 4 4 2 3 5" xfId="30108" xr:uid="{00000000-0005-0000-0000-00006C3A0000}"/>
    <cellStyle name="Normal 10 4 4 2 4" xfId="2316" xr:uid="{00000000-0005-0000-0000-00006D3A0000}"/>
    <cellStyle name="Normal 10 4 4 2 4 2" xfId="11681" xr:uid="{00000000-0005-0000-0000-00006E3A0000}"/>
    <cellStyle name="Normal 10 4 4 2 4 2 2" xfId="37236" xr:uid="{00000000-0005-0000-0000-00006F3A0000}"/>
    <cellStyle name="Normal 10 4 4 2 4 3" xfId="21685" xr:uid="{00000000-0005-0000-0000-0000703A0000}"/>
    <cellStyle name="Normal 10 4 4 2 4 3 2" xfId="47238" xr:uid="{00000000-0005-0000-0000-0000713A0000}"/>
    <cellStyle name="Normal 10 4 4 2 4 4" xfId="28168" xr:uid="{00000000-0005-0000-0000-0000723A0000}"/>
    <cellStyle name="Normal 10 4 4 2 5" xfId="5992" xr:uid="{00000000-0005-0000-0000-0000733A0000}"/>
    <cellStyle name="Normal 10 4 4 2 5 2" xfId="14819" xr:uid="{00000000-0005-0000-0000-0000743A0000}"/>
    <cellStyle name="Normal 10 4 4 2 5 2 2" xfId="40374" xr:uid="{00000000-0005-0000-0000-0000753A0000}"/>
    <cellStyle name="Normal 10 4 4 2 5 3" xfId="25070" xr:uid="{00000000-0005-0000-0000-0000763A0000}"/>
    <cellStyle name="Normal 10 4 4 2 5 3 2" xfId="50623" xr:uid="{00000000-0005-0000-0000-0000773A0000}"/>
    <cellStyle name="Normal 10 4 4 2 5 4" xfId="31553" xr:uid="{00000000-0005-0000-0000-0000783A0000}"/>
    <cellStyle name="Normal 10 4 4 2 6" xfId="7436" xr:uid="{00000000-0005-0000-0000-0000793A0000}"/>
    <cellStyle name="Normal 10 4 4 2 6 2" xfId="20167" xr:uid="{00000000-0005-0000-0000-00007A3A0000}"/>
    <cellStyle name="Normal 10 4 4 2 6 2 2" xfId="45720" xr:uid="{00000000-0005-0000-0000-00007B3A0000}"/>
    <cellStyle name="Normal 10 4 4 2 6 3" xfId="32993" xr:uid="{00000000-0005-0000-0000-00007C3A0000}"/>
    <cellStyle name="Normal 10 4 4 2 7" xfId="16678" xr:uid="{00000000-0005-0000-0000-00007D3A0000}"/>
    <cellStyle name="Normal 10 4 4 2 7 2" xfId="42231" xr:uid="{00000000-0005-0000-0000-00007E3A0000}"/>
    <cellStyle name="Normal 10 4 4 2 8" xfId="26650" xr:uid="{00000000-0005-0000-0000-00007F3A0000}"/>
    <cellStyle name="Normal 10 4 4 3" xfId="1242" xr:uid="{00000000-0005-0000-0000-0000803A0000}"/>
    <cellStyle name="Normal 10 4 4 3 2" xfId="3671" xr:uid="{00000000-0005-0000-0000-0000813A0000}"/>
    <cellStyle name="Normal 10 4 4 3 2 2" xfId="12807" xr:uid="{00000000-0005-0000-0000-0000823A0000}"/>
    <cellStyle name="Normal 10 4 4 3 2 2 2" xfId="23026" xr:uid="{00000000-0005-0000-0000-0000833A0000}"/>
    <cellStyle name="Normal 10 4 4 3 2 2 2 2" xfId="48579" xr:uid="{00000000-0005-0000-0000-0000843A0000}"/>
    <cellStyle name="Normal 10 4 4 3 2 2 3" xfId="38362" xr:uid="{00000000-0005-0000-0000-0000853A0000}"/>
    <cellStyle name="Normal 10 4 4 3 2 3" xfId="9228" xr:uid="{00000000-0005-0000-0000-0000863A0000}"/>
    <cellStyle name="Normal 10 4 4 3 2 3 2" xfId="34785" xr:uid="{00000000-0005-0000-0000-0000873A0000}"/>
    <cellStyle name="Normal 10 4 4 3 2 4" xfId="18019" xr:uid="{00000000-0005-0000-0000-0000883A0000}"/>
    <cellStyle name="Normal 10 4 4 3 2 4 2" xfId="43572" xr:uid="{00000000-0005-0000-0000-0000893A0000}"/>
    <cellStyle name="Normal 10 4 4 3 2 5" xfId="29509" xr:uid="{00000000-0005-0000-0000-00008A3A0000}"/>
    <cellStyle name="Normal 10 4 4 3 3" xfId="4885" xr:uid="{00000000-0005-0000-0000-00008B3A0000}"/>
    <cellStyle name="Normal 10 4 4 3 3 2" xfId="13722" xr:uid="{00000000-0005-0000-0000-00008C3A0000}"/>
    <cellStyle name="Normal 10 4 4 3 3 2 2" xfId="23973" xr:uid="{00000000-0005-0000-0000-00008D3A0000}"/>
    <cellStyle name="Normal 10 4 4 3 3 2 2 2" xfId="49526" xr:uid="{00000000-0005-0000-0000-00008E3A0000}"/>
    <cellStyle name="Normal 10 4 4 3 3 2 3" xfId="39277" xr:uid="{00000000-0005-0000-0000-00008F3A0000}"/>
    <cellStyle name="Normal 10 4 4 3 3 3" xfId="10143" xr:uid="{00000000-0005-0000-0000-0000903A0000}"/>
    <cellStyle name="Normal 10 4 4 3 3 3 2" xfId="35700" xr:uid="{00000000-0005-0000-0000-0000913A0000}"/>
    <cellStyle name="Normal 10 4 4 3 3 4" xfId="18966" xr:uid="{00000000-0005-0000-0000-0000923A0000}"/>
    <cellStyle name="Normal 10 4 4 3 3 4 2" xfId="44519" xr:uid="{00000000-0005-0000-0000-0000933A0000}"/>
    <cellStyle name="Normal 10 4 4 3 3 5" xfId="30456" xr:uid="{00000000-0005-0000-0000-0000943A0000}"/>
    <cellStyle name="Normal 10 4 4 3 4" xfId="2065" xr:uid="{00000000-0005-0000-0000-0000953A0000}"/>
    <cellStyle name="Normal 10 4 4 3 4 2" xfId="11430" xr:uid="{00000000-0005-0000-0000-0000963A0000}"/>
    <cellStyle name="Normal 10 4 4 3 4 2 2" xfId="36985" xr:uid="{00000000-0005-0000-0000-0000973A0000}"/>
    <cellStyle name="Normal 10 4 4 3 4 3" xfId="21434" xr:uid="{00000000-0005-0000-0000-0000983A0000}"/>
    <cellStyle name="Normal 10 4 4 3 4 3 2" xfId="46987" xr:uid="{00000000-0005-0000-0000-0000993A0000}"/>
    <cellStyle name="Normal 10 4 4 3 4 4" xfId="27917" xr:uid="{00000000-0005-0000-0000-00009A3A0000}"/>
    <cellStyle name="Normal 10 4 4 3 5" xfId="6340" xr:uid="{00000000-0005-0000-0000-00009B3A0000}"/>
    <cellStyle name="Normal 10 4 4 3 5 2" xfId="15167" xr:uid="{00000000-0005-0000-0000-00009C3A0000}"/>
    <cellStyle name="Normal 10 4 4 3 5 2 2" xfId="40722" xr:uid="{00000000-0005-0000-0000-00009D3A0000}"/>
    <cellStyle name="Normal 10 4 4 3 5 3" xfId="25418" xr:uid="{00000000-0005-0000-0000-00009E3A0000}"/>
    <cellStyle name="Normal 10 4 4 3 5 3 2" xfId="50971" xr:uid="{00000000-0005-0000-0000-00009F3A0000}"/>
    <cellStyle name="Normal 10 4 4 3 5 4" xfId="31901" xr:uid="{00000000-0005-0000-0000-0000A03A0000}"/>
    <cellStyle name="Normal 10 4 4 3 6" xfId="7786" xr:uid="{00000000-0005-0000-0000-0000A13A0000}"/>
    <cellStyle name="Normal 10 4 4 3 6 2" xfId="20625" xr:uid="{00000000-0005-0000-0000-0000A23A0000}"/>
    <cellStyle name="Normal 10 4 4 3 6 2 2" xfId="46178" xr:uid="{00000000-0005-0000-0000-0000A33A0000}"/>
    <cellStyle name="Normal 10 4 4 3 6 3" xfId="33343" xr:uid="{00000000-0005-0000-0000-0000A43A0000}"/>
    <cellStyle name="Normal 10 4 4 3 7" xfId="16427" xr:uid="{00000000-0005-0000-0000-0000A53A0000}"/>
    <cellStyle name="Normal 10 4 4 3 7 2" xfId="41980" xr:uid="{00000000-0005-0000-0000-0000A63A0000}"/>
    <cellStyle name="Normal 10 4 4 3 8" xfId="27108" xr:uid="{00000000-0005-0000-0000-0000A73A0000}"/>
    <cellStyle name="Normal 10 4 4 4" xfId="2956" xr:uid="{00000000-0005-0000-0000-0000A83A0000}"/>
    <cellStyle name="Normal 10 4 4 4 2" xfId="5334" xr:uid="{00000000-0005-0000-0000-0000A93A0000}"/>
    <cellStyle name="Normal 10 4 4 4 2 2" xfId="14171" xr:uid="{00000000-0005-0000-0000-0000AA3A0000}"/>
    <cellStyle name="Normal 10 4 4 4 2 2 2" xfId="24422" xr:uid="{00000000-0005-0000-0000-0000AB3A0000}"/>
    <cellStyle name="Normal 10 4 4 4 2 2 2 2" xfId="49975" xr:uid="{00000000-0005-0000-0000-0000AC3A0000}"/>
    <cellStyle name="Normal 10 4 4 4 2 2 3" xfId="39726" xr:uid="{00000000-0005-0000-0000-0000AD3A0000}"/>
    <cellStyle name="Normal 10 4 4 4 2 3" xfId="10592" xr:uid="{00000000-0005-0000-0000-0000AE3A0000}"/>
    <cellStyle name="Normal 10 4 4 4 2 3 2" xfId="36149" xr:uid="{00000000-0005-0000-0000-0000AF3A0000}"/>
    <cellStyle name="Normal 10 4 4 4 2 4" xfId="19415" xr:uid="{00000000-0005-0000-0000-0000B03A0000}"/>
    <cellStyle name="Normal 10 4 4 4 2 4 2" xfId="44968" xr:uid="{00000000-0005-0000-0000-0000B13A0000}"/>
    <cellStyle name="Normal 10 4 4 4 2 5" xfId="30905" xr:uid="{00000000-0005-0000-0000-0000B23A0000}"/>
    <cellStyle name="Normal 10 4 4 4 3" xfId="6789" xr:uid="{00000000-0005-0000-0000-0000B33A0000}"/>
    <cellStyle name="Normal 10 4 4 4 3 2" xfId="15616" xr:uid="{00000000-0005-0000-0000-0000B43A0000}"/>
    <cellStyle name="Normal 10 4 4 4 3 2 2" xfId="41171" xr:uid="{00000000-0005-0000-0000-0000B53A0000}"/>
    <cellStyle name="Normal 10 4 4 4 3 3" xfId="25867" xr:uid="{00000000-0005-0000-0000-0000B63A0000}"/>
    <cellStyle name="Normal 10 4 4 4 3 3 2" xfId="51420" xr:uid="{00000000-0005-0000-0000-0000B73A0000}"/>
    <cellStyle name="Normal 10 4 4 4 3 4" xfId="32350" xr:uid="{00000000-0005-0000-0000-0000B83A0000}"/>
    <cellStyle name="Normal 10 4 4 4 4" xfId="8235" xr:uid="{00000000-0005-0000-0000-0000B93A0000}"/>
    <cellStyle name="Normal 10 4 4 4 4 2" xfId="22317" xr:uid="{00000000-0005-0000-0000-0000BA3A0000}"/>
    <cellStyle name="Normal 10 4 4 4 4 2 2" xfId="47870" xr:uid="{00000000-0005-0000-0000-0000BB3A0000}"/>
    <cellStyle name="Normal 10 4 4 4 4 3" xfId="33792" xr:uid="{00000000-0005-0000-0000-0000BC3A0000}"/>
    <cellStyle name="Normal 10 4 4 4 5" xfId="17310" xr:uid="{00000000-0005-0000-0000-0000BD3A0000}"/>
    <cellStyle name="Normal 10 4 4 4 5 2" xfId="42863" xr:uid="{00000000-0005-0000-0000-0000BE3A0000}"/>
    <cellStyle name="Normal 10 4 4 4 6" xfId="28800" xr:uid="{00000000-0005-0000-0000-0000BF3A0000}"/>
    <cellStyle name="Normal 10 4 4 5" xfId="4290" xr:uid="{00000000-0005-0000-0000-0000C03A0000}"/>
    <cellStyle name="Normal 10 4 4 5 2" xfId="13128" xr:uid="{00000000-0005-0000-0000-0000C13A0000}"/>
    <cellStyle name="Normal 10 4 4 5 2 2" xfId="23379" xr:uid="{00000000-0005-0000-0000-0000C23A0000}"/>
    <cellStyle name="Normal 10 4 4 5 2 2 2" xfId="48932" xr:uid="{00000000-0005-0000-0000-0000C33A0000}"/>
    <cellStyle name="Normal 10 4 4 5 2 3" xfId="38683" xr:uid="{00000000-0005-0000-0000-0000C43A0000}"/>
    <cellStyle name="Normal 10 4 4 5 3" xfId="9549" xr:uid="{00000000-0005-0000-0000-0000C53A0000}"/>
    <cellStyle name="Normal 10 4 4 5 3 2" xfId="35106" xr:uid="{00000000-0005-0000-0000-0000C63A0000}"/>
    <cellStyle name="Normal 10 4 4 5 4" xfId="18372" xr:uid="{00000000-0005-0000-0000-0000C73A0000}"/>
    <cellStyle name="Normal 10 4 4 5 4 2" xfId="43925" xr:uid="{00000000-0005-0000-0000-0000C83A0000}"/>
    <cellStyle name="Normal 10 4 4 5 5" xfId="29862" xr:uid="{00000000-0005-0000-0000-0000C93A0000}"/>
    <cellStyle name="Normal 10 4 4 6" xfId="1562" xr:uid="{00000000-0005-0000-0000-0000CA3A0000}"/>
    <cellStyle name="Normal 10 4 4 6 2" xfId="10939" xr:uid="{00000000-0005-0000-0000-0000CB3A0000}"/>
    <cellStyle name="Normal 10 4 4 6 2 2" xfId="36494" xr:uid="{00000000-0005-0000-0000-0000CC3A0000}"/>
    <cellStyle name="Normal 10 4 4 6 3" xfId="20943" xr:uid="{00000000-0005-0000-0000-0000CD3A0000}"/>
    <cellStyle name="Normal 10 4 4 6 3 2" xfId="46496" xr:uid="{00000000-0005-0000-0000-0000CE3A0000}"/>
    <cellStyle name="Normal 10 4 4 6 4" xfId="27426" xr:uid="{00000000-0005-0000-0000-0000CF3A0000}"/>
    <cellStyle name="Normal 10 4 4 7" xfId="5746" xr:uid="{00000000-0005-0000-0000-0000D03A0000}"/>
    <cellStyle name="Normal 10 4 4 7 2" xfId="14573" xr:uid="{00000000-0005-0000-0000-0000D13A0000}"/>
    <cellStyle name="Normal 10 4 4 7 2 2" xfId="40128" xr:uid="{00000000-0005-0000-0000-0000D23A0000}"/>
    <cellStyle name="Normal 10 4 4 7 3" xfId="24824" xr:uid="{00000000-0005-0000-0000-0000D33A0000}"/>
    <cellStyle name="Normal 10 4 4 7 3 2" xfId="50377" xr:uid="{00000000-0005-0000-0000-0000D43A0000}"/>
    <cellStyle name="Normal 10 4 4 7 4" xfId="31307" xr:uid="{00000000-0005-0000-0000-0000D53A0000}"/>
    <cellStyle name="Normal 10 4 4 8" xfId="7190" xr:uid="{00000000-0005-0000-0000-0000D63A0000}"/>
    <cellStyle name="Normal 10 4 4 8 2" xfId="19916" xr:uid="{00000000-0005-0000-0000-0000D73A0000}"/>
    <cellStyle name="Normal 10 4 4 8 2 2" xfId="45469" xr:uid="{00000000-0005-0000-0000-0000D83A0000}"/>
    <cellStyle name="Normal 10 4 4 8 3" xfId="32747" xr:uid="{00000000-0005-0000-0000-0000D93A0000}"/>
    <cellStyle name="Normal 10 4 4 9" xfId="15936" xr:uid="{00000000-0005-0000-0000-0000DA3A0000}"/>
    <cellStyle name="Normal 10 4 4 9 2" xfId="41489" xr:uid="{00000000-0005-0000-0000-0000DB3A0000}"/>
    <cellStyle name="Normal 10 4 4_Degree data" xfId="3464" xr:uid="{00000000-0005-0000-0000-0000DC3A0000}"/>
    <cellStyle name="Normal 10 4 5" xfId="311" xr:uid="{00000000-0005-0000-0000-0000DD3A0000}"/>
    <cellStyle name="Normal 10 4 5 2" xfId="2797" xr:uid="{00000000-0005-0000-0000-0000DE3A0000}"/>
    <cellStyle name="Normal 10 4 5 2 2" xfId="12101" xr:uid="{00000000-0005-0000-0000-0000DF3A0000}"/>
    <cellStyle name="Normal 10 4 5 2 2 2" xfId="22158" xr:uid="{00000000-0005-0000-0000-0000E03A0000}"/>
    <cellStyle name="Normal 10 4 5 2 2 2 2" xfId="47711" xr:uid="{00000000-0005-0000-0000-0000E13A0000}"/>
    <cellStyle name="Normal 10 4 5 2 2 3" xfId="37656" xr:uid="{00000000-0005-0000-0000-0000E23A0000}"/>
    <cellStyle name="Normal 10 4 5 2 3" xfId="8532" xr:uid="{00000000-0005-0000-0000-0000E33A0000}"/>
    <cellStyle name="Normal 10 4 5 2 3 2" xfId="34089" xr:uid="{00000000-0005-0000-0000-0000E43A0000}"/>
    <cellStyle name="Normal 10 4 5 2 4" xfId="17151" xr:uid="{00000000-0005-0000-0000-0000E53A0000}"/>
    <cellStyle name="Normal 10 4 5 2 4 2" xfId="42704" xr:uid="{00000000-0005-0000-0000-0000E63A0000}"/>
    <cellStyle name="Normal 10 4 5 2 5" xfId="28641" xr:uid="{00000000-0005-0000-0000-0000E73A0000}"/>
    <cellStyle name="Normal 10 4 5 3" xfId="4531" xr:uid="{00000000-0005-0000-0000-0000E83A0000}"/>
    <cellStyle name="Normal 10 4 5 3 2" xfId="13369" xr:uid="{00000000-0005-0000-0000-0000E93A0000}"/>
    <cellStyle name="Normal 10 4 5 3 2 2" xfId="23620" xr:uid="{00000000-0005-0000-0000-0000EA3A0000}"/>
    <cellStyle name="Normal 10 4 5 3 2 2 2" xfId="49173" xr:uid="{00000000-0005-0000-0000-0000EB3A0000}"/>
    <cellStyle name="Normal 10 4 5 3 2 3" xfId="38924" xr:uid="{00000000-0005-0000-0000-0000EC3A0000}"/>
    <cellStyle name="Normal 10 4 5 3 3" xfId="9790" xr:uid="{00000000-0005-0000-0000-0000ED3A0000}"/>
    <cellStyle name="Normal 10 4 5 3 3 2" xfId="35347" xr:uid="{00000000-0005-0000-0000-0000EE3A0000}"/>
    <cellStyle name="Normal 10 4 5 3 4" xfId="18613" xr:uid="{00000000-0005-0000-0000-0000EF3A0000}"/>
    <cellStyle name="Normal 10 4 5 3 4 2" xfId="44166" xr:uid="{00000000-0005-0000-0000-0000F03A0000}"/>
    <cellStyle name="Normal 10 4 5 3 5" xfId="30103" xr:uid="{00000000-0005-0000-0000-0000F13A0000}"/>
    <cellStyle name="Normal 10 4 5 4" xfId="1906" xr:uid="{00000000-0005-0000-0000-0000F23A0000}"/>
    <cellStyle name="Normal 10 4 5 4 2" xfId="11271" xr:uid="{00000000-0005-0000-0000-0000F33A0000}"/>
    <cellStyle name="Normal 10 4 5 4 2 2" xfId="36826" xr:uid="{00000000-0005-0000-0000-0000F43A0000}"/>
    <cellStyle name="Normal 10 4 5 4 3" xfId="21275" xr:uid="{00000000-0005-0000-0000-0000F53A0000}"/>
    <cellStyle name="Normal 10 4 5 4 3 2" xfId="46828" xr:uid="{00000000-0005-0000-0000-0000F63A0000}"/>
    <cellStyle name="Normal 10 4 5 4 4" xfId="27758" xr:uid="{00000000-0005-0000-0000-0000F73A0000}"/>
    <cellStyle name="Normal 10 4 5 5" xfId="5987" xr:uid="{00000000-0005-0000-0000-0000F83A0000}"/>
    <cellStyle name="Normal 10 4 5 5 2" xfId="14814" xr:uid="{00000000-0005-0000-0000-0000F93A0000}"/>
    <cellStyle name="Normal 10 4 5 5 2 2" xfId="40369" xr:uid="{00000000-0005-0000-0000-0000FA3A0000}"/>
    <cellStyle name="Normal 10 4 5 5 3" xfId="25065" xr:uid="{00000000-0005-0000-0000-0000FB3A0000}"/>
    <cellStyle name="Normal 10 4 5 5 3 2" xfId="50618" xr:uid="{00000000-0005-0000-0000-0000FC3A0000}"/>
    <cellStyle name="Normal 10 4 5 5 4" xfId="31548" xr:uid="{00000000-0005-0000-0000-0000FD3A0000}"/>
    <cellStyle name="Normal 10 4 5 6" xfId="7431" xr:uid="{00000000-0005-0000-0000-0000FE3A0000}"/>
    <cellStyle name="Normal 10 4 5 6 2" xfId="19757" xr:uid="{00000000-0005-0000-0000-0000FF3A0000}"/>
    <cellStyle name="Normal 10 4 5 6 2 2" xfId="45310" xr:uid="{00000000-0005-0000-0000-0000003B0000}"/>
    <cellStyle name="Normal 10 4 5 6 3" xfId="32988" xr:uid="{00000000-0005-0000-0000-0000013B0000}"/>
    <cellStyle name="Normal 10 4 5 7" xfId="16268" xr:uid="{00000000-0005-0000-0000-0000023B0000}"/>
    <cellStyle name="Normal 10 4 5 7 2" xfId="41821" xr:uid="{00000000-0005-0000-0000-0000033B0000}"/>
    <cellStyle name="Normal 10 4 5 8" xfId="26240" xr:uid="{00000000-0005-0000-0000-0000043B0000}"/>
    <cellStyle name="Normal 10 4 6" xfId="716" xr:uid="{00000000-0005-0000-0000-0000053B0000}"/>
    <cellStyle name="Normal 10 4 6 2" xfId="3202" xr:uid="{00000000-0005-0000-0000-0000063B0000}"/>
    <cellStyle name="Normal 10 4 6 2 2" xfId="12345" xr:uid="{00000000-0005-0000-0000-0000073B0000}"/>
    <cellStyle name="Normal 10 4 6 2 2 2" xfId="22563" xr:uid="{00000000-0005-0000-0000-0000083B0000}"/>
    <cellStyle name="Normal 10 4 6 2 2 2 2" xfId="48116" xr:uid="{00000000-0005-0000-0000-0000093B0000}"/>
    <cellStyle name="Normal 10 4 6 2 2 3" xfId="37900" xr:uid="{00000000-0005-0000-0000-00000A3B0000}"/>
    <cellStyle name="Normal 10 4 6 2 3" xfId="8767" xr:uid="{00000000-0005-0000-0000-00000B3B0000}"/>
    <cellStyle name="Normal 10 4 6 2 3 2" xfId="34324" xr:uid="{00000000-0005-0000-0000-00000C3B0000}"/>
    <cellStyle name="Normal 10 4 6 2 4" xfId="17556" xr:uid="{00000000-0005-0000-0000-00000D3B0000}"/>
    <cellStyle name="Normal 10 4 6 2 4 2" xfId="43109" xr:uid="{00000000-0005-0000-0000-00000E3B0000}"/>
    <cellStyle name="Normal 10 4 6 2 5" xfId="29046" xr:uid="{00000000-0005-0000-0000-00000F3B0000}"/>
    <cellStyle name="Normal 10 4 6 3" xfId="4880" xr:uid="{00000000-0005-0000-0000-0000103B0000}"/>
    <cellStyle name="Normal 10 4 6 3 2" xfId="13717" xr:uid="{00000000-0005-0000-0000-0000113B0000}"/>
    <cellStyle name="Normal 10 4 6 3 2 2" xfId="23968" xr:uid="{00000000-0005-0000-0000-0000123B0000}"/>
    <cellStyle name="Normal 10 4 6 3 2 2 2" xfId="49521" xr:uid="{00000000-0005-0000-0000-0000133B0000}"/>
    <cellStyle name="Normal 10 4 6 3 2 3" xfId="39272" xr:uid="{00000000-0005-0000-0000-0000143B0000}"/>
    <cellStyle name="Normal 10 4 6 3 3" xfId="10138" xr:uid="{00000000-0005-0000-0000-0000153B0000}"/>
    <cellStyle name="Normal 10 4 6 3 3 2" xfId="35695" xr:uid="{00000000-0005-0000-0000-0000163B0000}"/>
    <cellStyle name="Normal 10 4 6 3 4" xfId="18961" xr:uid="{00000000-0005-0000-0000-0000173B0000}"/>
    <cellStyle name="Normal 10 4 6 3 4 2" xfId="44514" xr:uid="{00000000-0005-0000-0000-0000183B0000}"/>
    <cellStyle name="Normal 10 4 6 3 5" xfId="30451" xr:uid="{00000000-0005-0000-0000-0000193B0000}"/>
    <cellStyle name="Normal 10 4 6 4" xfId="2311" xr:uid="{00000000-0005-0000-0000-00001A3B0000}"/>
    <cellStyle name="Normal 10 4 6 4 2" xfId="11676" xr:uid="{00000000-0005-0000-0000-00001B3B0000}"/>
    <cellStyle name="Normal 10 4 6 4 2 2" xfId="37231" xr:uid="{00000000-0005-0000-0000-00001C3B0000}"/>
    <cellStyle name="Normal 10 4 6 4 3" xfId="21680" xr:uid="{00000000-0005-0000-0000-00001D3B0000}"/>
    <cellStyle name="Normal 10 4 6 4 3 2" xfId="47233" xr:uid="{00000000-0005-0000-0000-00001E3B0000}"/>
    <cellStyle name="Normal 10 4 6 4 4" xfId="28163" xr:uid="{00000000-0005-0000-0000-00001F3B0000}"/>
    <cellStyle name="Normal 10 4 6 5" xfId="6335" xr:uid="{00000000-0005-0000-0000-0000203B0000}"/>
    <cellStyle name="Normal 10 4 6 5 2" xfId="15162" xr:uid="{00000000-0005-0000-0000-0000213B0000}"/>
    <cellStyle name="Normal 10 4 6 5 2 2" xfId="40717" xr:uid="{00000000-0005-0000-0000-0000223B0000}"/>
    <cellStyle name="Normal 10 4 6 5 3" xfId="25413" xr:uid="{00000000-0005-0000-0000-0000233B0000}"/>
    <cellStyle name="Normal 10 4 6 5 3 2" xfId="50966" xr:uid="{00000000-0005-0000-0000-0000243B0000}"/>
    <cellStyle name="Normal 10 4 6 5 4" xfId="31896" xr:uid="{00000000-0005-0000-0000-0000253B0000}"/>
    <cellStyle name="Normal 10 4 6 6" xfId="7781" xr:uid="{00000000-0005-0000-0000-0000263B0000}"/>
    <cellStyle name="Normal 10 4 6 6 2" xfId="20162" xr:uid="{00000000-0005-0000-0000-0000273B0000}"/>
    <cellStyle name="Normal 10 4 6 6 2 2" xfId="45715" xr:uid="{00000000-0005-0000-0000-0000283B0000}"/>
    <cellStyle name="Normal 10 4 6 6 3" xfId="33338" xr:uid="{00000000-0005-0000-0000-0000293B0000}"/>
    <cellStyle name="Normal 10 4 6 7" xfId="16673" xr:uid="{00000000-0005-0000-0000-00002A3B0000}"/>
    <cellStyle name="Normal 10 4 6 7 2" xfId="42226" xr:uid="{00000000-0005-0000-0000-00002B3B0000}"/>
    <cellStyle name="Normal 10 4 6 8" xfId="26645" xr:uid="{00000000-0005-0000-0000-00002C3B0000}"/>
    <cellStyle name="Normal 10 4 7" xfId="1083" xr:uid="{00000000-0005-0000-0000-00002D3B0000}"/>
    <cellStyle name="Normal 10 4 7 2" xfId="3512" xr:uid="{00000000-0005-0000-0000-00002E3B0000}"/>
    <cellStyle name="Normal 10 4 7 2 2" xfId="12648" xr:uid="{00000000-0005-0000-0000-00002F3B0000}"/>
    <cellStyle name="Normal 10 4 7 2 2 2" xfId="22867" xr:uid="{00000000-0005-0000-0000-0000303B0000}"/>
    <cellStyle name="Normal 10 4 7 2 2 2 2" xfId="48420" xr:uid="{00000000-0005-0000-0000-0000313B0000}"/>
    <cellStyle name="Normal 10 4 7 2 2 3" xfId="38203" xr:uid="{00000000-0005-0000-0000-0000323B0000}"/>
    <cellStyle name="Normal 10 4 7 2 3" xfId="9070" xr:uid="{00000000-0005-0000-0000-0000333B0000}"/>
    <cellStyle name="Normal 10 4 7 2 3 2" xfId="34627" xr:uid="{00000000-0005-0000-0000-0000343B0000}"/>
    <cellStyle name="Normal 10 4 7 2 4" xfId="17860" xr:uid="{00000000-0005-0000-0000-0000353B0000}"/>
    <cellStyle name="Normal 10 4 7 2 4 2" xfId="43413" xr:uid="{00000000-0005-0000-0000-0000363B0000}"/>
    <cellStyle name="Normal 10 4 7 2 5" xfId="29350" xr:uid="{00000000-0005-0000-0000-0000373B0000}"/>
    <cellStyle name="Normal 10 4 7 3" xfId="5175" xr:uid="{00000000-0005-0000-0000-0000383B0000}"/>
    <cellStyle name="Normal 10 4 7 3 2" xfId="14012" xr:uid="{00000000-0005-0000-0000-0000393B0000}"/>
    <cellStyle name="Normal 10 4 7 3 2 2" xfId="24263" xr:uid="{00000000-0005-0000-0000-00003A3B0000}"/>
    <cellStyle name="Normal 10 4 7 3 2 2 2" xfId="49816" xr:uid="{00000000-0005-0000-0000-00003B3B0000}"/>
    <cellStyle name="Normal 10 4 7 3 2 3" xfId="39567" xr:uid="{00000000-0005-0000-0000-00003C3B0000}"/>
    <cellStyle name="Normal 10 4 7 3 3" xfId="10433" xr:uid="{00000000-0005-0000-0000-00003D3B0000}"/>
    <cellStyle name="Normal 10 4 7 3 3 2" xfId="35990" xr:uid="{00000000-0005-0000-0000-00003E3B0000}"/>
    <cellStyle name="Normal 10 4 7 3 4" xfId="19256" xr:uid="{00000000-0005-0000-0000-00003F3B0000}"/>
    <cellStyle name="Normal 10 4 7 3 4 2" xfId="44809" xr:uid="{00000000-0005-0000-0000-0000403B0000}"/>
    <cellStyle name="Normal 10 4 7 3 5" xfId="30746" xr:uid="{00000000-0005-0000-0000-0000413B0000}"/>
    <cellStyle name="Normal 10 4 7 4" xfId="1741" xr:uid="{00000000-0005-0000-0000-0000423B0000}"/>
    <cellStyle name="Normal 10 4 7 4 2" xfId="11112" xr:uid="{00000000-0005-0000-0000-0000433B0000}"/>
    <cellStyle name="Normal 10 4 7 4 2 2" xfId="36667" xr:uid="{00000000-0005-0000-0000-0000443B0000}"/>
    <cellStyle name="Normal 10 4 7 4 3" xfId="21116" xr:uid="{00000000-0005-0000-0000-0000453B0000}"/>
    <cellStyle name="Normal 10 4 7 4 3 2" xfId="46669" xr:uid="{00000000-0005-0000-0000-0000463B0000}"/>
    <cellStyle name="Normal 10 4 7 4 4" xfId="27599" xr:uid="{00000000-0005-0000-0000-0000473B0000}"/>
    <cellStyle name="Normal 10 4 7 5" xfId="6630" xr:uid="{00000000-0005-0000-0000-0000483B0000}"/>
    <cellStyle name="Normal 10 4 7 5 2" xfId="15457" xr:uid="{00000000-0005-0000-0000-0000493B0000}"/>
    <cellStyle name="Normal 10 4 7 5 2 2" xfId="41012" xr:uid="{00000000-0005-0000-0000-00004A3B0000}"/>
    <cellStyle name="Normal 10 4 7 5 3" xfId="25708" xr:uid="{00000000-0005-0000-0000-00004B3B0000}"/>
    <cellStyle name="Normal 10 4 7 5 3 2" xfId="51261" xr:uid="{00000000-0005-0000-0000-00004C3B0000}"/>
    <cellStyle name="Normal 10 4 7 5 4" xfId="32191" xr:uid="{00000000-0005-0000-0000-00004D3B0000}"/>
    <cellStyle name="Normal 10 4 7 6" xfId="8076" xr:uid="{00000000-0005-0000-0000-00004E3B0000}"/>
    <cellStyle name="Normal 10 4 7 6 2" xfId="20466" xr:uid="{00000000-0005-0000-0000-00004F3B0000}"/>
    <cellStyle name="Normal 10 4 7 6 2 2" xfId="46019" xr:uid="{00000000-0005-0000-0000-0000503B0000}"/>
    <cellStyle name="Normal 10 4 7 6 3" xfId="33633" xr:uid="{00000000-0005-0000-0000-0000513B0000}"/>
    <cellStyle name="Normal 10 4 7 7" xfId="16109" xr:uid="{00000000-0005-0000-0000-0000523B0000}"/>
    <cellStyle name="Normal 10 4 7 7 2" xfId="41662" xr:uid="{00000000-0005-0000-0000-0000533B0000}"/>
    <cellStyle name="Normal 10 4 7 8" xfId="26949" xr:uid="{00000000-0005-0000-0000-0000543B0000}"/>
    <cellStyle name="Normal 10 4 8" xfId="2639" xr:uid="{00000000-0005-0000-0000-0000553B0000}"/>
    <cellStyle name="Normal 10 4 8 2" xfId="5587" xr:uid="{00000000-0005-0000-0000-0000563B0000}"/>
    <cellStyle name="Normal 10 4 8 2 2" xfId="14414" xr:uid="{00000000-0005-0000-0000-0000573B0000}"/>
    <cellStyle name="Normal 10 4 8 2 2 2" xfId="39969" xr:uid="{00000000-0005-0000-0000-0000583B0000}"/>
    <cellStyle name="Normal 10 4 8 2 3" xfId="24665" xr:uid="{00000000-0005-0000-0000-0000593B0000}"/>
    <cellStyle name="Normal 10 4 8 2 3 2" xfId="50218" xr:uid="{00000000-0005-0000-0000-00005A3B0000}"/>
    <cellStyle name="Normal 10 4 8 2 4" xfId="31148" xr:uid="{00000000-0005-0000-0000-00005B3B0000}"/>
    <cellStyle name="Normal 10 4 8 3" xfId="7031" xr:uid="{00000000-0005-0000-0000-00005C3B0000}"/>
    <cellStyle name="Normal 10 4 8 3 2" xfId="22000" xr:uid="{00000000-0005-0000-0000-00005D3B0000}"/>
    <cellStyle name="Normal 10 4 8 3 2 2" xfId="47553" xr:uid="{00000000-0005-0000-0000-00005E3B0000}"/>
    <cellStyle name="Normal 10 4 8 3 3" xfId="32588" xr:uid="{00000000-0005-0000-0000-00005F3B0000}"/>
    <cellStyle name="Normal 10 4 8 4" xfId="16993" xr:uid="{00000000-0005-0000-0000-0000603B0000}"/>
    <cellStyle name="Normal 10 4 8 4 2" xfId="42546" xr:uid="{00000000-0005-0000-0000-0000613B0000}"/>
    <cellStyle name="Normal 10 4 8 5" xfId="28483" xr:uid="{00000000-0005-0000-0000-0000623B0000}"/>
    <cellStyle name="Normal 10 4 9" xfId="4129" xr:uid="{00000000-0005-0000-0000-0000633B0000}"/>
    <cellStyle name="Normal 10 4 9 2" xfId="12967" xr:uid="{00000000-0005-0000-0000-0000643B0000}"/>
    <cellStyle name="Normal 10 4 9 2 2" xfId="23218" xr:uid="{00000000-0005-0000-0000-0000653B0000}"/>
    <cellStyle name="Normal 10 4 9 2 2 2" xfId="48771" xr:uid="{00000000-0005-0000-0000-0000663B0000}"/>
    <cellStyle name="Normal 10 4 9 2 3" xfId="38522" xr:uid="{00000000-0005-0000-0000-0000673B0000}"/>
    <cellStyle name="Normal 10 4 9 3" xfId="9388" xr:uid="{00000000-0005-0000-0000-0000683B0000}"/>
    <cellStyle name="Normal 10 4 9 3 2" xfId="34945" xr:uid="{00000000-0005-0000-0000-0000693B0000}"/>
    <cellStyle name="Normal 10 4 9 4" xfId="18211" xr:uid="{00000000-0005-0000-0000-00006A3B0000}"/>
    <cellStyle name="Normal 10 4 9 4 2" xfId="43764" xr:uid="{00000000-0005-0000-0000-00006B3B0000}"/>
    <cellStyle name="Normal 10 4 9 5" xfId="29701" xr:uid="{00000000-0005-0000-0000-00006C3B0000}"/>
    <cellStyle name="Normal 10 4_Degree data" xfId="3907" xr:uid="{00000000-0005-0000-0000-00006D3B0000}"/>
    <cellStyle name="Normal 10 5" xfId="176" xr:uid="{00000000-0005-0000-0000-00006E3B0000}"/>
    <cellStyle name="Normal 10 5 10" xfId="7124" xr:uid="{00000000-0005-0000-0000-00006F3B0000}"/>
    <cellStyle name="Normal 10 5 10 2" xfId="19633" xr:uid="{00000000-0005-0000-0000-0000703B0000}"/>
    <cellStyle name="Normal 10 5 10 2 2" xfId="45186" xr:uid="{00000000-0005-0000-0000-0000713B0000}"/>
    <cellStyle name="Normal 10 5 10 3" xfId="32681" xr:uid="{00000000-0005-0000-0000-0000723B0000}"/>
    <cellStyle name="Normal 10 5 11" xfId="15870" xr:uid="{00000000-0005-0000-0000-0000733B0000}"/>
    <cellStyle name="Normal 10 5 11 2" xfId="41423" xr:uid="{00000000-0005-0000-0000-0000743B0000}"/>
    <cellStyle name="Normal 10 5 12" xfId="26116" xr:uid="{00000000-0005-0000-0000-0000753B0000}"/>
    <cellStyle name="Normal 10 5 2" xfId="504" xr:uid="{00000000-0005-0000-0000-0000763B0000}"/>
    <cellStyle name="Normal 10 5 2 10" xfId="26433" xr:uid="{00000000-0005-0000-0000-0000773B0000}"/>
    <cellStyle name="Normal 10 5 2 2" xfId="723" xr:uid="{00000000-0005-0000-0000-0000783B0000}"/>
    <cellStyle name="Normal 10 5 2 2 2" xfId="3209" xr:uid="{00000000-0005-0000-0000-0000793B0000}"/>
    <cellStyle name="Normal 10 5 2 2 2 2" xfId="12352" xr:uid="{00000000-0005-0000-0000-00007A3B0000}"/>
    <cellStyle name="Normal 10 5 2 2 2 2 2" xfId="22570" xr:uid="{00000000-0005-0000-0000-00007B3B0000}"/>
    <cellStyle name="Normal 10 5 2 2 2 2 2 2" xfId="48123" xr:uid="{00000000-0005-0000-0000-00007C3B0000}"/>
    <cellStyle name="Normal 10 5 2 2 2 2 3" xfId="37907" xr:uid="{00000000-0005-0000-0000-00007D3B0000}"/>
    <cellStyle name="Normal 10 5 2 2 2 3" xfId="8774" xr:uid="{00000000-0005-0000-0000-00007E3B0000}"/>
    <cellStyle name="Normal 10 5 2 2 2 3 2" xfId="34331" xr:uid="{00000000-0005-0000-0000-00007F3B0000}"/>
    <cellStyle name="Normal 10 5 2 2 2 4" xfId="17563" xr:uid="{00000000-0005-0000-0000-0000803B0000}"/>
    <cellStyle name="Normal 10 5 2 2 2 4 2" xfId="43116" xr:uid="{00000000-0005-0000-0000-0000813B0000}"/>
    <cellStyle name="Normal 10 5 2 2 2 5" xfId="29053" xr:uid="{00000000-0005-0000-0000-0000823B0000}"/>
    <cellStyle name="Normal 10 5 2 2 3" xfId="4538" xr:uid="{00000000-0005-0000-0000-0000833B0000}"/>
    <cellStyle name="Normal 10 5 2 2 3 2" xfId="13376" xr:uid="{00000000-0005-0000-0000-0000843B0000}"/>
    <cellStyle name="Normal 10 5 2 2 3 2 2" xfId="23627" xr:uid="{00000000-0005-0000-0000-0000853B0000}"/>
    <cellStyle name="Normal 10 5 2 2 3 2 2 2" xfId="49180" xr:uid="{00000000-0005-0000-0000-0000863B0000}"/>
    <cellStyle name="Normal 10 5 2 2 3 2 3" xfId="38931" xr:uid="{00000000-0005-0000-0000-0000873B0000}"/>
    <cellStyle name="Normal 10 5 2 2 3 3" xfId="9797" xr:uid="{00000000-0005-0000-0000-0000883B0000}"/>
    <cellStyle name="Normal 10 5 2 2 3 3 2" xfId="35354" xr:uid="{00000000-0005-0000-0000-0000893B0000}"/>
    <cellStyle name="Normal 10 5 2 2 3 4" xfId="18620" xr:uid="{00000000-0005-0000-0000-00008A3B0000}"/>
    <cellStyle name="Normal 10 5 2 2 3 4 2" xfId="44173" xr:uid="{00000000-0005-0000-0000-00008B3B0000}"/>
    <cellStyle name="Normal 10 5 2 2 3 5" xfId="30110" xr:uid="{00000000-0005-0000-0000-00008C3B0000}"/>
    <cellStyle name="Normal 10 5 2 2 4" xfId="2318" xr:uid="{00000000-0005-0000-0000-00008D3B0000}"/>
    <cellStyle name="Normal 10 5 2 2 4 2" xfId="11683" xr:uid="{00000000-0005-0000-0000-00008E3B0000}"/>
    <cellStyle name="Normal 10 5 2 2 4 2 2" xfId="37238" xr:uid="{00000000-0005-0000-0000-00008F3B0000}"/>
    <cellStyle name="Normal 10 5 2 2 4 3" xfId="21687" xr:uid="{00000000-0005-0000-0000-0000903B0000}"/>
    <cellStyle name="Normal 10 5 2 2 4 3 2" xfId="47240" xr:uid="{00000000-0005-0000-0000-0000913B0000}"/>
    <cellStyle name="Normal 10 5 2 2 4 4" xfId="28170" xr:uid="{00000000-0005-0000-0000-0000923B0000}"/>
    <cellStyle name="Normal 10 5 2 2 5" xfId="5994" xr:uid="{00000000-0005-0000-0000-0000933B0000}"/>
    <cellStyle name="Normal 10 5 2 2 5 2" xfId="14821" xr:uid="{00000000-0005-0000-0000-0000943B0000}"/>
    <cellStyle name="Normal 10 5 2 2 5 2 2" xfId="40376" xr:uid="{00000000-0005-0000-0000-0000953B0000}"/>
    <cellStyle name="Normal 10 5 2 2 5 3" xfId="25072" xr:uid="{00000000-0005-0000-0000-0000963B0000}"/>
    <cellStyle name="Normal 10 5 2 2 5 3 2" xfId="50625" xr:uid="{00000000-0005-0000-0000-0000973B0000}"/>
    <cellStyle name="Normal 10 5 2 2 5 4" xfId="31555" xr:uid="{00000000-0005-0000-0000-0000983B0000}"/>
    <cellStyle name="Normal 10 5 2 2 6" xfId="7438" xr:uid="{00000000-0005-0000-0000-0000993B0000}"/>
    <cellStyle name="Normal 10 5 2 2 6 2" xfId="20169" xr:uid="{00000000-0005-0000-0000-00009A3B0000}"/>
    <cellStyle name="Normal 10 5 2 2 6 2 2" xfId="45722" xr:uid="{00000000-0005-0000-0000-00009B3B0000}"/>
    <cellStyle name="Normal 10 5 2 2 6 3" xfId="32995" xr:uid="{00000000-0005-0000-0000-00009C3B0000}"/>
    <cellStyle name="Normal 10 5 2 2 7" xfId="16680" xr:uid="{00000000-0005-0000-0000-00009D3B0000}"/>
    <cellStyle name="Normal 10 5 2 2 7 2" xfId="42233" xr:uid="{00000000-0005-0000-0000-00009E3B0000}"/>
    <cellStyle name="Normal 10 5 2 2 8" xfId="26652" xr:uid="{00000000-0005-0000-0000-00009F3B0000}"/>
    <cellStyle name="Normal 10 5 2 3" xfId="1276" xr:uid="{00000000-0005-0000-0000-0000A03B0000}"/>
    <cellStyle name="Normal 10 5 2 3 2" xfId="3705" xr:uid="{00000000-0005-0000-0000-0000A13B0000}"/>
    <cellStyle name="Normal 10 5 2 3 2 2" xfId="12841" xr:uid="{00000000-0005-0000-0000-0000A23B0000}"/>
    <cellStyle name="Normal 10 5 2 3 2 2 2" xfId="23060" xr:uid="{00000000-0005-0000-0000-0000A33B0000}"/>
    <cellStyle name="Normal 10 5 2 3 2 2 2 2" xfId="48613" xr:uid="{00000000-0005-0000-0000-0000A43B0000}"/>
    <cellStyle name="Normal 10 5 2 3 2 2 3" xfId="38396" xr:uid="{00000000-0005-0000-0000-0000A53B0000}"/>
    <cellStyle name="Normal 10 5 2 3 2 3" xfId="9262" xr:uid="{00000000-0005-0000-0000-0000A63B0000}"/>
    <cellStyle name="Normal 10 5 2 3 2 3 2" xfId="34819" xr:uid="{00000000-0005-0000-0000-0000A73B0000}"/>
    <cellStyle name="Normal 10 5 2 3 2 4" xfId="18053" xr:uid="{00000000-0005-0000-0000-0000A83B0000}"/>
    <cellStyle name="Normal 10 5 2 3 2 4 2" xfId="43606" xr:uid="{00000000-0005-0000-0000-0000A93B0000}"/>
    <cellStyle name="Normal 10 5 2 3 2 5" xfId="29543" xr:uid="{00000000-0005-0000-0000-0000AA3B0000}"/>
    <cellStyle name="Normal 10 5 2 3 3" xfId="4887" xr:uid="{00000000-0005-0000-0000-0000AB3B0000}"/>
    <cellStyle name="Normal 10 5 2 3 3 2" xfId="13724" xr:uid="{00000000-0005-0000-0000-0000AC3B0000}"/>
    <cellStyle name="Normal 10 5 2 3 3 2 2" xfId="23975" xr:uid="{00000000-0005-0000-0000-0000AD3B0000}"/>
    <cellStyle name="Normal 10 5 2 3 3 2 2 2" xfId="49528" xr:uid="{00000000-0005-0000-0000-0000AE3B0000}"/>
    <cellStyle name="Normal 10 5 2 3 3 2 3" xfId="39279" xr:uid="{00000000-0005-0000-0000-0000AF3B0000}"/>
    <cellStyle name="Normal 10 5 2 3 3 3" xfId="10145" xr:uid="{00000000-0005-0000-0000-0000B03B0000}"/>
    <cellStyle name="Normal 10 5 2 3 3 3 2" xfId="35702" xr:uid="{00000000-0005-0000-0000-0000B13B0000}"/>
    <cellStyle name="Normal 10 5 2 3 3 4" xfId="18968" xr:uid="{00000000-0005-0000-0000-0000B23B0000}"/>
    <cellStyle name="Normal 10 5 2 3 3 4 2" xfId="44521" xr:uid="{00000000-0005-0000-0000-0000B33B0000}"/>
    <cellStyle name="Normal 10 5 2 3 3 5" xfId="30458" xr:uid="{00000000-0005-0000-0000-0000B43B0000}"/>
    <cellStyle name="Normal 10 5 2 3 4" xfId="2099" xr:uid="{00000000-0005-0000-0000-0000B53B0000}"/>
    <cellStyle name="Normal 10 5 2 3 4 2" xfId="11464" xr:uid="{00000000-0005-0000-0000-0000B63B0000}"/>
    <cellStyle name="Normal 10 5 2 3 4 2 2" xfId="37019" xr:uid="{00000000-0005-0000-0000-0000B73B0000}"/>
    <cellStyle name="Normal 10 5 2 3 4 3" xfId="21468" xr:uid="{00000000-0005-0000-0000-0000B83B0000}"/>
    <cellStyle name="Normal 10 5 2 3 4 3 2" xfId="47021" xr:uid="{00000000-0005-0000-0000-0000B93B0000}"/>
    <cellStyle name="Normal 10 5 2 3 4 4" xfId="27951" xr:uid="{00000000-0005-0000-0000-0000BA3B0000}"/>
    <cellStyle name="Normal 10 5 2 3 5" xfId="6342" xr:uid="{00000000-0005-0000-0000-0000BB3B0000}"/>
    <cellStyle name="Normal 10 5 2 3 5 2" xfId="15169" xr:uid="{00000000-0005-0000-0000-0000BC3B0000}"/>
    <cellStyle name="Normal 10 5 2 3 5 2 2" xfId="40724" xr:uid="{00000000-0005-0000-0000-0000BD3B0000}"/>
    <cellStyle name="Normal 10 5 2 3 5 3" xfId="25420" xr:uid="{00000000-0005-0000-0000-0000BE3B0000}"/>
    <cellStyle name="Normal 10 5 2 3 5 3 2" xfId="50973" xr:uid="{00000000-0005-0000-0000-0000BF3B0000}"/>
    <cellStyle name="Normal 10 5 2 3 5 4" xfId="31903" xr:uid="{00000000-0005-0000-0000-0000C03B0000}"/>
    <cellStyle name="Normal 10 5 2 3 6" xfId="7788" xr:uid="{00000000-0005-0000-0000-0000C13B0000}"/>
    <cellStyle name="Normal 10 5 2 3 6 2" xfId="20659" xr:uid="{00000000-0005-0000-0000-0000C23B0000}"/>
    <cellStyle name="Normal 10 5 2 3 6 2 2" xfId="46212" xr:uid="{00000000-0005-0000-0000-0000C33B0000}"/>
    <cellStyle name="Normal 10 5 2 3 6 3" xfId="33345" xr:uid="{00000000-0005-0000-0000-0000C43B0000}"/>
    <cellStyle name="Normal 10 5 2 3 7" xfId="16461" xr:uid="{00000000-0005-0000-0000-0000C53B0000}"/>
    <cellStyle name="Normal 10 5 2 3 7 2" xfId="42014" xr:uid="{00000000-0005-0000-0000-0000C63B0000}"/>
    <cellStyle name="Normal 10 5 2 3 8" xfId="27142" xr:uid="{00000000-0005-0000-0000-0000C73B0000}"/>
    <cellStyle name="Normal 10 5 2 4" xfId="2990" xr:uid="{00000000-0005-0000-0000-0000C83B0000}"/>
    <cellStyle name="Normal 10 5 2 4 2" xfId="5368" xr:uid="{00000000-0005-0000-0000-0000C93B0000}"/>
    <cellStyle name="Normal 10 5 2 4 2 2" xfId="14205" xr:uid="{00000000-0005-0000-0000-0000CA3B0000}"/>
    <cellStyle name="Normal 10 5 2 4 2 2 2" xfId="24456" xr:uid="{00000000-0005-0000-0000-0000CB3B0000}"/>
    <cellStyle name="Normal 10 5 2 4 2 2 2 2" xfId="50009" xr:uid="{00000000-0005-0000-0000-0000CC3B0000}"/>
    <cellStyle name="Normal 10 5 2 4 2 2 3" xfId="39760" xr:uid="{00000000-0005-0000-0000-0000CD3B0000}"/>
    <cellStyle name="Normal 10 5 2 4 2 3" xfId="10626" xr:uid="{00000000-0005-0000-0000-0000CE3B0000}"/>
    <cellStyle name="Normal 10 5 2 4 2 3 2" xfId="36183" xr:uid="{00000000-0005-0000-0000-0000CF3B0000}"/>
    <cellStyle name="Normal 10 5 2 4 2 4" xfId="19449" xr:uid="{00000000-0005-0000-0000-0000D03B0000}"/>
    <cellStyle name="Normal 10 5 2 4 2 4 2" xfId="45002" xr:uid="{00000000-0005-0000-0000-0000D13B0000}"/>
    <cellStyle name="Normal 10 5 2 4 2 5" xfId="30939" xr:uid="{00000000-0005-0000-0000-0000D23B0000}"/>
    <cellStyle name="Normal 10 5 2 4 3" xfId="6823" xr:uid="{00000000-0005-0000-0000-0000D33B0000}"/>
    <cellStyle name="Normal 10 5 2 4 3 2" xfId="15650" xr:uid="{00000000-0005-0000-0000-0000D43B0000}"/>
    <cellStyle name="Normal 10 5 2 4 3 2 2" xfId="41205" xr:uid="{00000000-0005-0000-0000-0000D53B0000}"/>
    <cellStyle name="Normal 10 5 2 4 3 3" xfId="25901" xr:uid="{00000000-0005-0000-0000-0000D63B0000}"/>
    <cellStyle name="Normal 10 5 2 4 3 3 2" xfId="51454" xr:uid="{00000000-0005-0000-0000-0000D73B0000}"/>
    <cellStyle name="Normal 10 5 2 4 3 4" xfId="32384" xr:uid="{00000000-0005-0000-0000-0000D83B0000}"/>
    <cellStyle name="Normal 10 5 2 4 4" xfId="8269" xr:uid="{00000000-0005-0000-0000-0000D93B0000}"/>
    <cellStyle name="Normal 10 5 2 4 4 2" xfId="22351" xr:uid="{00000000-0005-0000-0000-0000DA3B0000}"/>
    <cellStyle name="Normal 10 5 2 4 4 2 2" xfId="47904" xr:uid="{00000000-0005-0000-0000-0000DB3B0000}"/>
    <cellStyle name="Normal 10 5 2 4 4 3" xfId="33826" xr:uid="{00000000-0005-0000-0000-0000DC3B0000}"/>
    <cellStyle name="Normal 10 5 2 4 5" xfId="17344" xr:uid="{00000000-0005-0000-0000-0000DD3B0000}"/>
    <cellStyle name="Normal 10 5 2 4 5 2" xfId="42897" xr:uid="{00000000-0005-0000-0000-0000DE3B0000}"/>
    <cellStyle name="Normal 10 5 2 4 6" xfId="28834" xr:uid="{00000000-0005-0000-0000-0000DF3B0000}"/>
    <cellStyle name="Normal 10 5 2 5" xfId="4324" xr:uid="{00000000-0005-0000-0000-0000E03B0000}"/>
    <cellStyle name="Normal 10 5 2 5 2" xfId="13162" xr:uid="{00000000-0005-0000-0000-0000E13B0000}"/>
    <cellStyle name="Normal 10 5 2 5 2 2" xfId="23413" xr:uid="{00000000-0005-0000-0000-0000E23B0000}"/>
    <cellStyle name="Normal 10 5 2 5 2 2 2" xfId="48966" xr:uid="{00000000-0005-0000-0000-0000E33B0000}"/>
    <cellStyle name="Normal 10 5 2 5 2 3" xfId="38717" xr:uid="{00000000-0005-0000-0000-0000E43B0000}"/>
    <cellStyle name="Normal 10 5 2 5 3" xfId="9583" xr:uid="{00000000-0005-0000-0000-0000E53B0000}"/>
    <cellStyle name="Normal 10 5 2 5 3 2" xfId="35140" xr:uid="{00000000-0005-0000-0000-0000E63B0000}"/>
    <cellStyle name="Normal 10 5 2 5 4" xfId="18406" xr:uid="{00000000-0005-0000-0000-0000E73B0000}"/>
    <cellStyle name="Normal 10 5 2 5 4 2" xfId="43959" xr:uid="{00000000-0005-0000-0000-0000E83B0000}"/>
    <cellStyle name="Normal 10 5 2 5 5" xfId="29896" xr:uid="{00000000-0005-0000-0000-0000E93B0000}"/>
    <cellStyle name="Normal 10 5 2 6" xfId="1596" xr:uid="{00000000-0005-0000-0000-0000EA3B0000}"/>
    <cellStyle name="Normal 10 5 2 6 2" xfId="10973" xr:uid="{00000000-0005-0000-0000-0000EB3B0000}"/>
    <cellStyle name="Normal 10 5 2 6 2 2" xfId="36528" xr:uid="{00000000-0005-0000-0000-0000EC3B0000}"/>
    <cellStyle name="Normal 10 5 2 6 3" xfId="20977" xr:uid="{00000000-0005-0000-0000-0000ED3B0000}"/>
    <cellStyle name="Normal 10 5 2 6 3 2" xfId="46530" xr:uid="{00000000-0005-0000-0000-0000EE3B0000}"/>
    <cellStyle name="Normal 10 5 2 6 4" xfId="27460" xr:uid="{00000000-0005-0000-0000-0000EF3B0000}"/>
    <cellStyle name="Normal 10 5 2 7" xfId="5780" xr:uid="{00000000-0005-0000-0000-0000F03B0000}"/>
    <cellStyle name="Normal 10 5 2 7 2" xfId="14607" xr:uid="{00000000-0005-0000-0000-0000F13B0000}"/>
    <cellStyle name="Normal 10 5 2 7 2 2" xfId="40162" xr:uid="{00000000-0005-0000-0000-0000F23B0000}"/>
    <cellStyle name="Normal 10 5 2 7 3" xfId="24858" xr:uid="{00000000-0005-0000-0000-0000F33B0000}"/>
    <cellStyle name="Normal 10 5 2 7 3 2" xfId="50411" xr:uid="{00000000-0005-0000-0000-0000F43B0000}"/>
    <cellStyle name="Normal 10 5 2 7 4" xfId="31341" xr:uid="{00000000-0005-0000-0000-0000F53B0000}"/>
    <cellStyle name="Normal 10 5 2 8" xfId="7224" xr:uid="{00000000-0005-0000-0000-0000F63B0000}"/>
    <cellStyle name="Normal 10 5 2 8 2" xfId="19950" xr:uid="{00000000-0005-0000-0000-0000F73B0000}"/>
    <cellStyle name="Normal 10 5 2 8 2 2" xfId="45503" xr:uid="{00000000-0005-0000-0000-0000F83B0000}"/>
    <cellStyle name="Normal 10 5 2 8 3" xfId="32781" xr:uid="{00000000-0005-0000-0000-0000F93B0000}"/>
    <cellStyle name="Normal 10 5 2 9" xfId="15970" xr:uid="{00000000-0005-0000-0000-0000FA3B0000}"/>
    <cellStyle name="Normal 10 5 2 9 2" xfId="41523" xr:uid="{00000000-0005-0000-0000-0000FB3B0000}"/>
    <cellStyle name="Normal 10 5 2_Degree data" xfId="3829" xr:uid="{00000000-0005-0000-0000-0000FC3B0000}"/>
    <cellStyle name="Normal 10 5 3" xfId="404" xr:uid="{00000000-0005-0000-0000-0000FD3B0000}"/>
    <cellStyle name="Normal 10 5 3 2" xfId="2890" xr:uid="{00000000-0005-0000-0000-0000FE3B0000}"/>
    <cellStyle name="Normal 10 5 3 2 2" xfId="12178" xr:uid="{00000000-0005-0000-0000-0000FF3B0000}"/>
    <cellStyle name="Normal 10 5 3 2 2 2" xfId="22251" xr:uid="{00000000-0005-0000-0000-0000003C0000}"/>
    <cellStyle name="Normal 10 5 3 2 2 2 2" xfId="47804" xr:uid="{00000000-0005-0000-0000-0000013C0000}"/>
    <cellStyle name="Normal 10 5 3 2 2 3" xfId="37733" xr:uid="{00000000-0005-0000-0000-0000023C0000}"/>
    <cellStyle name="Normal 10 5 3 2 3" xfId="8384" xr:uid="{00000000-0005-0000-0000-0000033C0000}"/>
    <cellStyle name="Normal 10 5 3 2 3 2" xfId="33941" xr:uid="{00000000-0005-0000-0000-0000043C0000}"/>
    <cellStyle name="Normal 10 5 3 2 4" xfId="17244" xr:uid="{00000000-0005-0000-0000-0000053C0000}"/>
    <cellStyle name="Normal 10 5 3 2 4 2" xfId="42797" xr:uid="{00000000-0005-0000-0000-0000063C0000}"/>
    <cellStyle name="Normal 10 5 3 2 5" xfId="28734" xr:uid="{00000000-0005-0000-0000-0000073C0000}"/>
    <cellStyle name="Normal 10 5 3 3" xfId="4537" xr:uid="{00000000-0005-0000-0000-0000083C0000}"/>
    <cellStyle name="Normal 10 5 3 3 2" xfId="13375" xr:uid="{00000000-0005-0000-0000-0000093C0000}"/>
    <cellStyle name="Normal 10 5 3 3 2 2" xfId="23626" xr:uid="{00000000-0005-0000-0000-00000A3C0000}"/>
    <cellStyle name="Normal 10 5 3 3 2 2 2" xfId="49179" xr:uid="{00000000-0005-0000-0000-00000B3C0000}"/>
    <cellStyle name="Normal 10 5 3 3 2 3" xfId="38930" xr:uid="{00000000-0005-0000-0000-00000C3C0000}"/>
    <cellStyle name="Normal 10 5 3 3 3" xfId="9796" xr:uid="{00000000-0005-0000-0000-00000D3C0000}"/>
    <cellStyle name="Normal 10 5 3 3 3 2" xfId="35353" xr:uid="{00000000-0005-0000-0000-00000E3C0000}"/>
    <cellStyle name="Normal 10 5 3 3 4" xfId="18619" xr:uid="{00000000-0005-0000-0000-00000F3C0000}"/>
    <cellStyle name="Normal 10 5 3 3 4 2" xfId="44172" xr:uid="{00000000-0005-0000-0000-0000103C0000}"/>
    <cellStyle name="Normal 10 5 3 3 5" xfId="30109" xr:uid="{00000000-0005-0000-0000-0000113C0000}"/>
    <cellStyle name="Normal 10 5 3 4" xfId="1999" xr:uid="{00000000-0005-0000-0000-0000123C0000}"/>
    <cellStyle name="Normal 10 5 3 4 2" xfId="11364" xr:uid="{00000000-0005-0000-0000-0000133C0000}"/>
    <cellStyle name="Normal 10 5 3 4 2 2" xfId="36919" xr:uid="{00000000-0005-0000-0000-0000143C0000}"/>
    <cellStyle name="Normal 10 5 3 4 3" xfId="21368" xr:uid="{00000000-0005-0000-0000-0000153C0000}"/>
    <cellStyle name="Normal 10 5 3 4 3 2" xfId="46921" xr:uid="{00000000-0005-0000-0000-0000163C0000}"/>
    <cellStyle name="Normal 10 5 3 4 4" xfId="27851" xr:uid="{00000000-0005-0000-0000-0000173C0000}"/>
    <cellStyle name="Normal 10 5 3 5" xfId="5993" xr:uid="{00000000-0005-0000-0000-0000183C0000}"/>
    <cellStyle name="Normal 10 5 3 5 2" xfId="14820" xr:uid="{00000000-0005-0000-0000-0000193C0000}"/>
    <cellStyle name="Normal 10 5 3 5 2 2" xfId="40375" xr:uid="{00000000-0005-0000-0000-00001A3C0000}"/>
    <cellStyle name="Normal 10 5 3 5 3" xfId="25071" xr:uid="{00000000-0005-0000-0000-00001B3C0000}"/>
    <cellStyle name="Normal 10 5 3 5 3 2" xfId="50624" xr:uid="{00000000-0005-0000-0000-00001C3C0000}"/>
    <cellStyle name="Normal 10 5 3 5 4" xfId="31554" xr:uid="{00000000-0005-0000-0000-00001D3C0000}"/>
    <cellStyle name="Normal 10 5 3 6" xfId="7437" xr:uid="{00000000-0005-0000-0000-00001E3C0000}"/>
    <cellStyle name="Normal 10 5 3 6 2" xfId="19850" xr:uid="{00000000-0005-0000-0000-00001F3C0000}"/>
    <cellStyle name="Normal 10 5 3 6 2 2" xfId="45403" xr:uid="{00000000-0005-0000-0000-0000203C0000}"/>
    <cellStyle name="Normal 10 5 3 6 3" xfId="32994" xr:uid="{00000000-0005-0000-0000-0000213C0000}"/>
    <cellStyle name="Normal 10 5 3 7" xfId="16361" xr:uid="{00000000-0005-0000-0000-0000223C0000}"/>
    <cellStyle name="Normal 10 5 3 7 2" xfId="41914" xr:uid="{00000000-0005-0000-0000-0000233C0000}"/>
    <cellStyle name="Normal 10 5 3 8" xfId="26333" xr:uid="{00000000-0005-0000-0000-0000243C0000}"/>
    <cellStyle name="Normal 10 5 4" xfId="722" xr:uid="{00000000-0005-0000-0000-0000253C0000}"/>
    <cellStyle name="Normal 10 5 4 2" xfId="3208" xr:uid="{00000000-0005-0000-0000-0000263C0000}"/>
    <cellStyle name="Normal 10 5 4 2 2" xfId="12351" xr:uid="{00000000-0005-0000-0000-0000273C0000}"/>
    <cellStyle name="Normal 10 5 4 2 2 2" xfId="22569" xr:uid="{00000000-0005-0000-0000-0000283C0000}"/>
    <cellStyle name="Normal 10 5 4 2 2 2 2" xfId="48122" xr:uid="{00000000-0005-0000-0000-0000293C0000}"/>
    <cellStyle name="Normal 10 5 4 2 2 3" xfId="37906" xr:uid="{00000000-0005-0000-0000-00002A3C0000}"/>
    <cellStyle name="Normal 10 5 4 2 3" xfId="8773" xr:uid="{00000000-0005-0000-0000-00002B3C0000}"/>
    <cellStyle name="Normal 10 5 4 2 3 2" xfId="34330" xr:uid="{00000000-0005-0000-0000-00002C3C0000}"/>
    <cellStyle name="Normal 10 5 4 2 4" xfId="17562" xr:uid="{00000000-0005-0000-0000-00002D3C0000}"/>
    <cellStyle name="Normal 10 5 4 2 4 2" xfId="43115" xr:uid="{00000000-0005-0000-0000-00002E3C0000}"/>
    <cellStyle name="Normal 10 5 4 2 5" xfId="29052" xr:uid="{00000000-0005-0000-0000-00002F3C0000}"/>
    <cellStyle name="Normal 10 5 4 3" xfId="4886" xr:uid="{00000000-0005-0000-0000-0000303C0000}"/>
    <cellStyle name="Normal 10 5 4 3 2" xfId="13723" xr:uid="{00000000-0005-0000-0000-0000313C0000}"/>
    <cellStyle name="Normal 10 5 4 3 2 2" xfId="23974" xr:uid="{00000000-0005-0000-0000-0000323C0000}"/>
    <cellStyle name="Normal 10 5 4 3 2 2 2" xfId="49527" xr:uid="{00000000-0005-0000-0000-0000333C0000}"/>
    <cellStyle name="Normal 10 5 4 3 2 3" xfId="39278" xr:uid="{00000000-0005-0000-0000-0000343C0000}"/>
    <cellStyle name="Normal 10 5 4 3 3" xfId="10144" xr:uid="{00000000-0005-0000-0000-0000353C0000}"/>
    <cellStyle name="Normal 10 5 4 3 3 2" xfId="35701" xr:uid="{00000000-0005-0000-0000-0000363C0000}"/>
    <cellStyle name="Normal 10 5 4 3 4" xfId="18967" xr:uid="{00000000-0005-0000-0000-0000373C0000}"/>
    <cellStyle name="Normal 10 5 4 3 4 2" xfId="44520" xr:uid="{00000000-0005-0000-0000-0000383C0000}"/>
    <cellStyle name="Normal 10 5 4 3 5" xfId="30457" xr:uid="{00000000-0005-0000-0000-0000393C0000}"/>
    <cellStyle name="Normal 10 5 4 4" xfId="2317" xr:uid="{00000000-0005-0000-0000-00003A3C0000}"/>
    <cellStyle name="Normal 10 5 4 4 2" xfId="11682" xr:uid="{00000000-0005-0000-0000-00003B3C0000}"/>
    <cellStyle name="Normal 10 5 4 4 2 2" xfId="37237" xr:uid="{00000000-0005-0000-0000-00003C3C0000}"/>
    <cellStyle name="Normal 10 5 4 4 3" xfId="21686" xr:uid="{00000000-0005-0000-0000-00003D3C0000}"/>
    <cellStyle name="Normal 10 5 4 4 3 2" xfId="47239" xr:uid="{00000000-0005-0000-0000-00003E3C0000}"/>
    <cellStyle name="Normal 10 5 4 4 4" xfId="28169" xr:uid="{00000000-0005-0000-0000-00003F3C0000}"/>
    <cellStyle name="Normal 10 5 4 5" xfId="6341" xr:uid="{00000000-0005-0000-0000-0000403C0000}"/>
    <cellStyle name="Normal 10 5 4 5 2" xfId="15168" xr:uid="{00000000-0005-0000-0000-0000413C0000}"/>
    <cellStyle name="Normal 10 5 4 5 2 2" xfId="40723" xr:uid="{00000000-0005-0000-0000-0000423C0000}"/>
    <cellStyle name="Normal 10 5 4 5 3" xfId="25419" xr:uid="{00000000-0005-0000-0000-0000433C0000}"/>
    <cellStyle name="Normal 10 5 4 5 3 2" xfId="50972" xr:uid="{00000000-0005-0000-0000-0000443C0000}"/>
    <cellStyle name="Normal 10 5 4 5 4" xfId="31902" xr:uid="{00000000-0005-0000-0000-0000453C0000}"/>
    <cellStyle name="Normal 10 5 4 6" xfId="7787" xr:uid="{00000000-0005-0000-0000-0000463C0000}"/>
    <cellStyle name="Normal 10 5 4 6 2" xfId="20168" xr:uid="{00000000-0005-0000-0000-0000473C0000}"/>
    <cellStyle name="Normal 10 5 4 6 2 2" xfId="45721" xr:uid="{00000000-0005-0000-0000-0000483C0000}"/>
    <cellStyle name="Normal 10 5 4 6 3" xfId="33344" xr:uid="{00000000-0005-0000-0000-0000493C0000}"/>
    <cellStyle name="Normal 10 5 4 7" xfId="16679" xr:uid="{00000000-0005-0000-0000-00004A3C0000}"/>
    <cellStyle name="Normal 10 5 4 7 2" xfId="42232" xr:uid="{00000000-0005-0000-0000-00004B3C0000}"/>
    <cellStyle name="Normal 10 5 4 8" xfId="26651" xr:uid="{00000000-0005-0000-0000-00004C3C0000}"/>
    <cellStyle name="Normal 10 5 5" xfId="1176" xr:uid="{00000000-0005-0000-0000-00004D3C0000}"/>
    <cellStyle name="Normal 10 5 5 2" xfId="3605" xr:uid="{00000000-0005-0000-0000-00004E3C0000}"/>
    <cellStyle name="Normal 10 5 5 2 2" xfId="12741" xr:uid="{00000000-0005-0000-0000-00004F3C0000}"/>
    <cellStyle name="Normal 10 5 5 2 2 2" xfId="22960" xr:uid="{00000000-0005-0000-0000-0000503C0000}"/>
    <cellStyle name="Normal 10 5 5 2 2 2 2" xfId="48513" xr:uid="{00000000-0005-0000-0000-0000513C0000}"/>
    <cellStyle name="Normal 10 5 5 2 2 3" xfId="38296" xr:uid="{00000000-0005-0000-0000-0000523C0000}"/>
    <cellStyle name="Normal 10 5 5 2 3" xfId="9162" xr:uid="{00000000-0005-0000-0000-0000533C0000}"/>
    <cellStyle name="Normal 10 5 5 2 3 2" xfId="34719" xr:uid="{00000000-0005-0000-0000-0000543C0000}"/>
    <cellStyle name="Normal 10 5 5 2 4" xfId="17953" xr:uid="{00000000-0005-0000-0000-0000553C0000}"/>
    <cellStyle name="Normal 10 5 5 2 4 2" xfId="43506" xr:uid="{00000000-0005-0000-0000-0000563C0000}"/>
    <cellStyle name="Normal 10 5 5 2 5" xfId="29443" xr:uid="{00000000-0005-0000-0000-0000573C0000}"/>
    <cellStyle name="Normal 10 5 5 3" xfId="5268" xr:uid="{00000000-0005-0000-0000-0000583C0000}"/>
    <cellStyle name="Normal 10 5 5 3 2" xfId="14105" xr:uid="{00000000-0005-0000-0000-0000593C0000}"/>
    <cellStyle name="Normal 10 5 5 3 2 2" xfId="24356" xr:uid="{00000000-0005-0000-0000-00005A3C0000}"/>
    <cellStyle name="Normal 10 5 5 3 2 2 2" xfId="49909" xr:uid="{00000000-0005-0000-0000-00005B3C0000}"/>
    <cellStyle name="Normal 10 5 5 3 2 3" xfId="39660" xr:uid="{00000000-0005-0000-0000-00005C3C0000}"/>
    <cellStyle name="Normal 10 5 5 3 3" xfId="10526" xr:uid="{00000000-0005-0000-0000-00005D3C0000}"/>
    <cellStyle name="Normal 10 5 5 3 3 2" xfId="36083" xr:uid="{00000000-0005-0000-0000-00005E3C0000}"/>
    <cellStyle name="Normal 10 5 5 3 4" xfId="19349" xr:uid="{00000000-0005-0000-0000-00005F3C0000}"/>
    <cellStyle name="Normal 10 5 5 3 4 2" xfId="44902" xr:uid="{00000000-0005-0000-0000-0000603C0000}"/>
    <cellStyle name="Normal 10 5 5 3 5" xfId="30839" xr:uid="{00000000-0005-0000-0000-0000613C0000}"/>
    <cellStyle name="Normal 10 5 5 4" xfId="1778" xr:uid="{00000000-0005-0000-0000-0000623C0000}"/>
    <cellStyle name="Normal 10 5 5 4 2" xfId="11147" xr:uid="{00000000-0005-0000-0000-0000633C0000}"/>
    <cellStyle name="Normal 10 5 5 4 2 2" xfId="36702" xr:uid="{00000000-0005-0000-0000-0000643C0000}"/>
    <cellStyle name="Normal 10 5 5 4 3" xfId="21151" xr:uid="{00000000-0005-0000-0000-0000653C0000}"/>
    <cellStyle name="Normal 10 5 5 4 3 2" xfId="46704" xr:uid="{00000000-0005-0000-0000-0000663C0000}"/>
    <cellStyle name="Normal 10 5 5 4 4" xfId="27634" xr:uid="{00000000-0005-0000-0000-0000673C0000}"/>
    <cellStyle name="Normal 10 5 5 5" xfId="6723" xr:uid="{00000000-0005-0000-0000-0000683C0000}"/>
    <cellStyle name="Normal 10 5 5 5 2" xfId="15550" xr:uid="{00000000-0005-0000-0000-0000693C0000}"/>
    <cellStyle name="Normal 10 5 5 5 2 2" xfId="41105" xr:uid="{00000000-0005-0000-0000-00006A3C0000}"/>
    <cellStyle name="Normal 10 5 5 5 3" xfId="25801" xr:uid="{00000000-0005-0000-0000-00006B3C0000}"/>
    <cellStyle name="Normal 10 5 5 5 3 2" xfId="51354" xr:uid="{00000000-0005-0000-0000-00006C3C0000}"/>
    <cellStyle name="Normal 10 5 5 5 4" xfId="32284" xr:uid="{00000000-0005-0000-0000-00006D3C0000}"/>
    <cellStyle name="Normal 10 5 5 6" xfId="8169" xr:uid="{00000000-0005-0000-0000-00006E3C0000}"/>
    <cellStyle name="Normal 10 5 5 6 2" xfId="20559" xr:uid="{00000000-0005-0000-0000-00006F3C0000}"/>
    <cellStyle name="Normal 10 5 5 6 2 2" xfId="46112" xr:uid="{00000000-0005-0000-0000-0000703C0000}"/>
    <cellStyle name="Normal 10 5 5 6 3" xfId="33726" xr:uid="{00000000-0005-0000-0000-0000713C0000}"/>
    <cellStyle name="Normal 10 5 5 7" xfId="16144" xr:uid="{00000000-0005-0000-0000-0000723C0000}"/>
    <cellStyle name="Normal 10 5 5 7 2" xfId="41697" xr:uid="{00000000-0005-0000-0000-0000733C0000}"/>
    <cellStyle name="Normal 10 5 5 8" xfId="27042" xr:uid="{00000000-0005-0000-0000-0000743C0000}"/>
    <cellStyle name="Normal 10 5 6" xfId="2673" xr:uid="{00000000-0005-0000-0000-0000753C0000}"/>
    <cellStyle name="Normal 10 5 6 2" xfId="11990" xr:uid="{00000000-0005-0000-0000-0000763C0000}"/>
    <cellStyle name="Normal 10 5 6 2 2" xfId="22034" xr:uid="{00000000-0005-0000-0000-0000773C0000}"/>
    <cellStyle name="Normal 10 5 6 2 2 2" xfId="47587" xr:uid="{00000000-0005-0000-0000-0000783C0000}"/>
    <cellStyle name="Normal 10 5 6 2 3" xfId="37545" xr:uid="{00000000-0005-0000-0000-0000793C0000}"/>
    <cellStyle name="Normal 10 5 6 3" xfId="8390" xr:uid="{00000000-0005-0000-0000-00007A3C0000}"/>
    <cellStyle name="Normal 10 5 6 3 2" xfId="33947" xr:uid="{00000000-0005-0000-0000-00007B3C0000}"/>
    <cellStyle name="Normal 10 5 6 4" xfId="17027" xr:uid="{00000000-0005-0000-0000-00007C3C0000}"/>
    <cellStyle name="Normal 10 5 6 4 2" xfId="42580" xr:uid="{00000000-0005-0000-0000-00007D3C0000}"/>
    <cellStyle name="Normal 10 5 6 5" xfId="28517" xr:uid="{00000000-0005-0000-0000-00007E3C0000}"/>
    <cellStyle name="Normal 10 5 7" xfId="4224" xr:uid="{00000000-0005-0000-0000-00007F3C0000}"/>
    <cellStyle name="Normal 10 5 7 2" xfId="13062" xr:uid="{00000000-0005-0000-0000-0000803C0000}"/>
    <cellStyle name="Normal 10 5 7 2 2" xfId="23313" xr:uid="{00000000-0005-0000-0000-0000813C0000}"/>
    <cellStyle name="Normal 10 5 7 2 2 2" xfId="48866" xr:uid="{00000000-0005-0000-0000-0000823C0000}"/>
    <cellStyle name="Normal 10 5 7 2 3" xfId="38617" xr:uid="{00000000-0005-0000-0000-0000833C0000}"/>
    <cellStyle name="Normal 10 5 7 3" xfId="9483" xr:uid="{00000000-0005-0000-0000-0000843C0000}"/>
    <cellStyle name="Normal 10 5 7 3 2" xfId="35040" xr:uid="{00000000-0005-0000-0000-0000853C0000}"/>
    <cellStyle name="Normal 10 5 7 4" xfId="18306" xr:uid="{00000000-0005-0000-0000-0000863C0000}"/>
    <cellStyle name="Normal 10 5 7 4 2" xfId="43859" xr:uid="{00000000-0005-0000-0000-0000873C0000}"/>
    <cellStyle name="Normal 10 5 7 5" xfId="29796" xr:uid="{00000000-0005-0000-0000-0000883C0000}"/>
    <cellStyle name="Normal 10 5 8" xfId="1496" xr:uid="{00000000-0005-0000-0000-0000893C0000}"/>
    <cellStyle name="Normal 10 5 8 2" xfId="10873" xr:uid="{00000000-0005-0000-0000-00008A3C0000}"/>
    <cellStyle name="Normal 10 5 8 2 2" xfId="36428" xr:uid="{00000000-0005-0000-0000-00008B3C0000}"/>
    <cellStyle name="Normal 10 5 8 3" xfId="20877" xr:uid="{00000000-0005-0000-0000-00008C3C0000}"/>
    <cellStyle name="Normal 10 5 8 3 2" xfId="46430" xr:uid="{00000000-0005-0000-0000-00008D3C0000}"/>
    <cellStyle name="Normal 10 5 8 4" xfId="27360" xr:uid="{00000000-0005-0000-0000-00008E3C0000}"/>
    <cellStyle name="Normal 10 5 9" xfId="5680" xr:uid="{00000000-0005-0000-0000-00008F3C0000}"/>
    <cellStyle name="Normal 10 5 9 2" xfId="14507" xr:uid="{00000000-0005-0000-0000-0000903C0000}"/>
    <cellStyle name="Normal 10 5 9 2 2" xfId="40062" xr:uid="{00000000-0005-0000-0000-0000913C0000}"/>
    <cellStyle name="Normal 10 5 9 3" xfId="24758" xr:uid="{00000000-0005-0000-0000-0000923C0000}"/>
    <cellStyle name="Normal 10 5 9 3 2" xfId="50311" xr:uid="{00000000-0005-0000-0000-0000933C0000}"/>
    <cellStyle name="Normal 10 5 9 4" xfId="31241" xr:uid="{00000000-0005-0000-0000-0000943C0000}"/>
    <cellStyle name="Normal 10 5_Degree data" xfId="3827" xr:uid="{00000000-0005-0000-0000-0000953C0000}"/>
    <cellStyle name="Normal 10 6" xfId="697" xr:uid="{00000000-0005-0000-0000-0000963C0000}"/>
    <cellStyle name="Normal 10 6 2" xfId="3183" xr:uid="{00000000-0005-0000-0000-0000973C0000}"/>
    <cellStyle name="Normal 10 6 2 2" xfId="12326" xr:uid="{00000000-0005-0000-0000-0000983C0000}"/>
    <cellStyle name="Normal 10 6 2 2 2" xfId="22544" xr:uid="{00000000-0005-0000-0000-0000993C0000}"/>
    <cellStyle name="Normal 10 6 2 2 2 2" xfId="48097" xr:uid="{00000000-0005-0000-0000-00009A3C0000}"/>
    <cellStyle name="Normal 10 6 2 2 3" xfId="37881" xr:uid="{00000000-0005-0000-0000-00009B3C0000}"/>
    <cellStyle name="Normal 10 6 2 3" xfId="8748" xr:uid="{00000000-0005-0000-0000-00009C3C0000}"/>
    <cellStyle name="Normal 10 6 2 3 2" xfId="34305" xr:uid="{00000000-0005-0000-0000-00009D3C0000}"/>
    <cellStyle name="Normal 10 6 2 4" xfId="17537" xr:uid="{00000000-0005-0000-0000-00009E3C0000}"/>
    <cellStyle name="Normal 10 6 2 4 2" xfId="43090" xr:uid="{00000000-0005-0000-0000-00009F3C0000}"/>
    <cellStyle name="Normal 10 6 2 5" xfId="29027" xr:uid="{00000000-0005-0000-0000-0000A03C0000}"/>
    <cellStyle name="Normal 10 6 3" xfId="4512" xr:uid="{00000000-0005-0000-0000-0000A13C0000}"/>
    <cellStyle name="Normal 10 6 3 2" xfId="13350" xr:uid="{00000000-0005-0000-0000-0000A23C0000}"/>
    <cellStyle name="Normal 10 6 3 2 2" xfId="23601" xr:uid="{00000000-0005-0000-0000-0000A33C0000}"/>
    <cellStyle name="Normal 10 6 3 2 2 2" xfId="49154" xr:uid="{00000000-0005-0000-0000-0000A43C0000}"/>
    <cellStyle name="Normal 10 6 3 2 3" xfId="38905" xr:uid="{00000000-0005-0000-0000-0000A53C0000}"/>
    <cellStyle name="Normal 10 6 3 3" xfId="9771" xr:uid="{00000000-0005-0000-0000-0000A63C0000}"/>
    <cellStyle name="Normal 10 6 3 3 2" xfId="35328" xr:uid="{00000000-0005-0000-0000-0000A73C0000}"/>
    <cellStyle name="Normal 10 6 3 4" xfId="18594" xr:uid="{00000000-0005-0000-0000-0000A83C0000}"/>
    <cellStyle name="Normal 10 6 3 4 2" xfId="44147" xr:uid="{00000000-0005-0000-0000-0000A93C0000}"/>
    <cellStyle name="Normal 10 6 3 5" xfId="30084" xr:uid="{00000000-0005-0000-0000-0000AA3C0000}"/>
    <cellStyle name="Normal 10 6 4" xfId="2292" xr:uid="{00000000-0005-0000-0000-0000AB3C0000}"/>
    <cellStyle name="Normal 10 6 4 2" xfId="11657" xr:uid="{00000000-0005-0000-0000-0000AC3C0000}"/>
    <cellStyle name="Normal 10 6 4 2 2" xfId="37212" xr:uid="{00000000-0005-0000-0000-0000AD3C0000}"/>
    <cellStyle name="Normal 10 6 4 3" xfId="21661" xr:uid="{00000000-0005-0000-0000-0000AE3C0000}"/>
    <cellStyle name="Normal 10 6 4 3 2" xfId="47214" xr:uid="{00000000-0005-0000-0000-0000AF3C0000}"/>
    <cellStyle name="Normal 10 6 4 4" xfId="28144" xr:uid="{00000000-0005-0000-0000-0000B03C0000}"/>
    <cellStyle name="Normal 10 6 5" xfId="5968" xr:uid="{00000000-0005-0000-0000-0000B13C0000}"/>
    <cellStyle name="Normal 10 6 5 2" xfId="14795" xr:uid="{00000000-0005-0000-0000-0000B23C0000}"/>
    <cellStyle name="Normal 10 6 5 2 2" xfId="40350" xr:uid="{00000000-0005-0000-0000-0000B33C0000}"/>
    <cellStyle name="Normal 10 6 5 3" xfId="25046" xr:uid="{00000000-0005-0000-0000-0000B43C0000}"/>
    <cellStyle name="Normal 10 6 5 3 2" xfId="50599" xr:uid="{00000000-0005-0000-0000-0000B53C0000}"/>
    <cellStyle name="Normal 10 6 5 4" xfId="31529" xr:uid="{00000000-0005-0000-0000-0000B63C0000}"/>
    <cellStyle name="Normal 10 6 6" xfId="7412" xr:uid="{00000000-0005-0000-0000-0000B73C0000}"/>
    <cellStyle name="Normal 10 6 6 2" xfId="20143" xr:uid="{00000000-0005-0000-0000-0000B83C0000}"/>
    <cellStyle name="Normal 10 6 6 2 2" xfId="45696" xr:uid="{00000000-0005-0000-0000-0000B93C0000}"/>
    <cellStyle name="Normal 10 6 6 3" xfId="32969" xr:uid="{00000000-0005-0000-0000-0000BA3C0000}"/>
    <cellStyle name="Normal 10 6 7" xfId="16654" xr:uid="{00000000-0005-0000-0000-0000BB3C0000}"/>
    <cellStyle name="Normal 10 6 7 2" xfId="42207" xr:uid="{00000000-0005-0000-0000-0000BC3C0000}"/>
    <cellStyle name="Normal 10 6 8" xfId="26626" xr:uid="{00000000-0005-0000-0000-0000BD3C0000}"/>
    <cellStyle name="Normal 10 7" xfId="1040" xr:uid="{00000000-0005-0000-0000-0000BE3C0000}"/>
    <cellStyle name="Normal 10 7 2" xfId="3469" xr:uid="{00000000-0005-0000-0000-0000BF3C0000}"/>
    <cellStyle name="Normal 10 7 2 2" xfId="12605" xr:uid="{00000000-0005-0000-0000-0000C03C0000}"/>
    <cellStyle name="Normal 10 7 2 2 2" xfId="22824" xr:uid="{00000000-0005-0000-0000-0000C13C0000}"/>
    <cellStyle name="Normal 10 7 2 2 2 2" xfId="48377" xr:uid="{00000000-0005-0000-0000-0000C23C0000}"/>
    <cellStyle name="Normal 10 7 2 2 3" xfId="38160" xr:uid="{00000000-0005-0000-0000-0000C33C0000}"/>
    <cellStyle name="Normal 10 7 2 3" xfId="9027" xr:uid="{00000000-0005-0000-0000-0000C43C0000}"/>
    <cellStyle name="Normal 10 7 2 3 2" xfId="34584" xr:uid="{00000000-0005-0000-0000-0000C53C0000}"/>
    <cellStyle name="Normal 10 7 2 4" xfId="17817" xr:uid="{00000000-0005-0000-0000-0000C63C0000}"/>
    <cellStyle name="Normal 10 7 2 4 2" xfId="43370" xr:uid="{00000000-0005-0000-0000-0000C73C0000}"/>
    <cellStyle name="Normal 10 7 2 5" xfId="29307" xr:uid="{00000000-0005-0000-0000-0000C83C0000}"/>
    <cellStyle name="Normal 10 7 3" xfId="4861" xr:uid="{00000000-0005-0000-0000-0000C93C0000}"/>
    <cellStyle name="Normal 10 7 3 2" xfId="13698" xr:uid="{00000000-0005-0000-0000-0000CA3C0000}"/>
    <cellStyle name="Normal 10 7 3 2 2" xfId="23949" xr:uid="{00000000-0005-0000-0000-0000CB3C0000}"/>
    <cellStyle name="Normal 10 7 3 2 2 2" xfId="49502" xr:uid="{00000000-0005-0000-0000-0000CC3C0000}"/>
    <cellStyle name="Normal 10 7 3 2 3" xfId="39253" xr:uid="{00000000-0005-0000-0000-0000CD3C0000}"/>
    <cellStyle name="Normal 10 7 3 3" xfId="10119" xr:uid="{00000000-0005-0000-0000-0000CE3C0000}"/>
    <cellStyle name="Normal 10 7 3 3 2" xfId="35676" xr:uid="{00000000-0005-0000-0000-0000CF3C0000}"/>
    <cellStyle name="Normal 10 7 3 4" xfId="18942" xr:uid="{00000000-0005-0000-0000-0000D03C0000}"/>
    <cellStyle name="Normal 10 7 3 4 2" xfId="44495" xr:uid="{00000000-0005-0000-0000-0000D13C0000}"/>
    <cellStyle name="Normal 10 7 3 5" xfId="30432" xr:uid="{00000000-0005-0000-0000-0000D23C0000}"/>
    <cellStyle name="Normal 10 7 4" xfId="2582" xr:uid="{00000000-0005-0000-0000-0000D33C0000}"/>
    <cellStyle name="Normal 10 7 4 2" xfId="11946" xr:uid="{00000000-0005-0000-0000-0000D43C0000}"/>
    <cellStyle name="Normal 10 7 4 2 2" xfId="37501" xr:uid="{00000000-0005-0000-0000-0000D53C0000}"/>
    <cellStyle name="Normal 10 7 4 3" xfId="21950" xr:uid="{00000000-0005-0000-0000-0000D63C0000}"/>
    <cellStyle name="Normal 10 7 4 3 2" xfId="47503" xr:uid="{00000000-0005-0000-0000-0000D73C0000}"/>
    <cellStyle name="Normal 10 7 4 4" xfId="28433" xr:uid="{00000000-0005-0000-0000-0000D83C0000}"/>
    <cellStyle name="Normal 10 7 5" xfId="6316" xr:uid="{00000000-0005-0000-0000-0000D93C0000}"/>
    <cellStyle name="Normal 10 7 5 2" xfId="15143" xr:uid="{00000000-0005-0000-0000-0000DA3C0000}"/>
    <cellStyle name="Normal 10 7 5 2 2" xfId="40698" xr:uid="{00000000-0005-0000-0000-0000DB3C0000}"/>
    <cellStyle name="Normal 10 7 5 3" xfId="25394" xr:uid="{00000000-0005-0000-0000-0000DC3C0000}"/>
    <cellStyle name="Normal 10 7 5 3 2" xfId="50947" xr:uid="{00000000-0005-0000-0000-0000DD3C0000}"/>
    <cellStyle name="Normal 10 7 5 4" xfId="31877" xr:uid="{00000000-0005-0000-0000-0000DE3C0000}"/>
    <cellStyle name="Normal 10 7 6" xfId="7762" xr:uid="{00000000-0005-0000-0000-0000DF3C0000}"/>
    <cellStyle name="Normal 10 7 6 2" xfId="20423" xr:uid="{00000000-0005-0000-0000-0000E03C0000}"/>
    <cellStyle name="Normal 10 7 6 2 2" xfId="45976" xr:uid="{00000000-0005-0000-0000-0000E13C0000}"/>
    <cellStyle name="Normal 10 7 6 3" xfId="33319" xr:uid="{00000000-0005-0000-0000-0000E23C0000}"/>
    <cellStyle name="Normal 10 7 7" xfId="16943" xr:uid="{00000000-0005-0000-0000-0000E33C0000}"/>
    <cellStyle name="Normal 10 7 7 2" xfId="42496" xr:uid="{00000000-0005-0000-0000-0000E43C0000}"/>
    <cellStyle name="Normal 10 7 8" xfId="26906" xr:uid="{00000000-0005-0000-0000-0000E53C0000}"/>
    <cellStyle name="Normal 10 8" xfId="3900" xr:uid="{00000000-0005-0000-0000-0000E63C0000}"/>
    <cellStyle name="Normal 10 8 2" xfId="5132" xr:uid="{00000000-0005-0000-0000-0000E73C0000}"/>
    <cellStyle name="Normal 10 8 2 2" xfId="13969" xr:uid="{00000000-0005-0000-0000-0000E83C0000}"/>
    <cellStyle name="Normal 10 8 2 2 2" xfId="24220" xr:uid="{00000000-0005-0000-0000-0000E93C0000}"/>
    <cellStyle name="Normal 10 8 2 2 2 2" xfId="49773" xr:uid="{00000000-0005-0000-0000-0000EA3C0000}"/>
    <cellStyle name="Normal 10 8 2 2 3" xfId="39524" xr:uid="{00000000-0005-0000-0000-0000EB3C0000}"/>
    <cellStyle name="Normal 10 8 2 3" xfId="10390" xr:uid="{00000000-0005-0000-0000-0000EC3C0000}"/>
    <cellStyle name="Normal 10 8 2 3 2" xfId="35947" xr:uid="{00000000-0005-0000-0000-0000ED3C0000}"/>
    <cellStyle name="Normal 10 8 2 4" xfId="19213" xr:uid="{00000000-0005-0000-0000-0000EE3C0000}"/>
    <cellStyle name="Normal 10 8 2 4 2" xfId="44766" xr:uid="{00000000-0005-0000-0000-0000EF3C0000}"/>
    <cellStyle name="Normal 10 8 2 5" xfId="30703" xr:uid="{00000000-0005-0000-0000-0000F03C0000}"/>
    <cellStyle name="Normal 10 8 3" xfId="6587" xr:uid="{00000000-0005-0000-0000-0000F13C0000}"/>
    <cellStyle name="Normal 10 8 3 2" xfId="15414" xr:uid="{00000000-0005-0000-0000-0000F23C0000}"/>
    <cellStyle name="Normal 10 8 3 2 2" xfId="40969" xr:uid="{00000000-0005-0000-0000-0000F33C0000}"/>
    <cellStyle name="Normal 10 8 3 3" xfId="25665" xr:uid="{00000000-0005-0000-0000-0000F43C0000}"/>
    <cellStyle name="Normal 10 8 3 3 2" xfId="51218" xr:uid="{00000000-0005-0000-0000-0000F53C0000}"/>
    <cellStyle name="Normal 10 8 3 4" xfId="32148" xr:uid="{00000000-0005-0000-0000-0000F63C0000}"/>
    <cellStyle name="Normal 10 8 4" xfId="8033" xr:uid="{00000000-0005-0000-0000-0000F73C0000}"/>
    <cellStyle name="Normal 10 8 4 2" xfId="23170" xr:uid="{00000000-0005-0000-0000-0000F83C0000}"/>
    <cellStyle name="Normal 10 8 4 2 2" xfId="48723" xr:uid="{00000000-0005-0000-0000-0000F93C0000}"/>
    <cellStyle name="Normal 10 8 4 3" xfId="33590" xr:uid="{00000000-0005-0000-0000-0000FA3C0000}"/>
    <cellStyle name="Normal 10 8 5" xfId="18163" xr:uid="{00000000-0005-0000-0000-0000FB3C0000}"/>
    <cellStyle name="Normal 10 8 5 2" xfId="43716" xr:uid="{00000000-0005-0000-0000-0000FC3C0000}"/>
    <cellStyle name="Normal 10 8 6" xfId="29653" xr:uid="{00000000-0005-0000-0000-0000FD3C0000}"/>
    <cellStyle name="Normal 10 9" xfId="4085" xr:uid="{00000000-0005-0000-0000-0000FE3C0000}"/>
    <cellStyle name="Normal 10 9 2" xfId="5544" xr:uid="{00000000-0005-0000-0000-0000FF3C0000}"/>
    <cellStyle name="Normal 10 9 2 2" xfId="14371" xr:uid="{00000000-0005-0000-0000-0000003D0000}"/>
    <cellStyle name="Normal 10 9 2 2 2" xfId="39926" xr:uid="{00000000-0005-0000-0000-0000013D0000}"/>
    <cellStyle name="Normal 10 9 2 3" xfId="24622" xr:uid="{00000000-0005-0000-0000-0000023D0000}"/>
    <cellStyle name="Normal 10 9 2 3 2" xfId="50175" xr:uid="{00000000-0005-0000-0000-0000033D0000}"/>
    <cellStyle name="Normal 10 9 2 4" xfId="31105" xr:uid="{00000000-0005-0000-0000-0000043D0000}"/>
    <cellStyle name="Normal 10 9 3" xfId="6988" xr:uid="{00000000-0005-0000-0000-0000053D0000}"/>
    <cellStyle name="Normal 10 9 3 2" xfId="23174" xr:uid="{00000000-0005-0000-0000-0000063D0000}"/>
    <cellStyle name="Normal 10 9 3 2 2" xfId="48727" xr:uid="{00000000-0005-0000-0000-0000073D0000}"/>
    <cellStyle name="Normal 10 9 3 3" xfId="32545" xr:uid="{00000000-0005-0000-0000-0000083D0000}"/>
    <cellStyle name="Normal 10 9 4" xfId="18167" xr:uid="{00000000-0005-0000-0000-0000093D0000}"/>
    <cellStyle name="Normal 10 9 4 2" xfId="43720" xr:uid="{00000000-0005-0000-0000-00000A3D0000}"/>
    <cellStyle name="Normal 10 9 5" xfId="29657" xr:uid="{00000000-0005-0000-0000-00000B3D0000}"/>
    <cellStyle name="Normal 10_Degree data" xfId="3816" xr:uid="{00000000-0005-0000-0000-00000C3D0000}"/>
    <cellStyle name="Normal 100" xfId="5496" xr:uid="{00000000-0005-0000-0000-00000D3D0000}"/>
    <cellStyle name="Normal 101" xfId="6932" xr:uid="{00000000-0005-0000-0000-00000E3D0000}"/>
    <cellStyle name="Normal 101 2" xfId="10746" xr:uid="{00000000-0005-0000-0000-00000F3D0000}"/>
    <cellStyle name="Normal 102" xfId="6934" xr:uid="{00000000-0005-0000-0000-0000103D0000}"/>
    <cellStyle name="Normal 102 2" xfId="10763" xr:uid="{00000000-0005-0000-0000-0000113D0000}"/>
    <cellStyle name="Normal 103" xfId="15759" xr:uid="{00000000-0005-0000-0000-0000123D0000}"/>
    <cellStyle name="Normal 104" xfId="6933" xr:uid="{00000000-0005-0000-0000-0000133D0000}"/>
    <cellStyle name="Normal 105" xfId="6969" xr:uid="{00000000-0005-0000-0000-0000143D0000}"/>
    <cellStyle name="Normal 106" xfId="15760" xr:uid="{00000000-0005-0000-0000-0000153D0000}"/>
    <cellStyle name="Normal 107" xfId="51605" xr:uid="{813188CE-FAD8-4A6F-9B22-915434593C13}"/>
    <cellStyle name="Normal 109" xfId="26018" xr:uid="{00000000-0005-0000-0000-0000163D0000}"/>
    <cellStyle name="Normal 109 2" xfId="51571" xr:uid="{00000000-0005-0000-0000-0000173D0000}"/>
    <cellStyle name="Normal 11" xfId="17" xr:uid="{00000000-0005-0000-0000-0000183D0000}"/>
    <cellStyle name="Normal 111" xfId="26019" xr:uid="{00000000-0005-0000-0000-0000193D0000}"/>
    <cellStyle name="Normal 111 2" xfId="51572" xr:uid="{00000000-0005-0000-0000-00001A3D0000}"/>
    <cellStyle name="Normal 112" xfId="26020" xr:uid="{00000000-0005-0000-0000-00001B3D0000}"/>
    <cellStyle name="Normal 112 2" xfId="51573" xr:uid="{00000000-0005-0000-0000-00001C3D0000}"/>
    <cellStyle name="Normal 113" xfId="26021" xr:uid="{00000000-0005-0000-0000-00001D3D0000}"/>
    <cellStyle name="Normal 113 2" xfId="51574" xr:uid="{00000000-0005-0000-0000-00001E3D0000}"/>
    <cellStyle name="Normal 114" xfId="26022" xr:uid="{00000000-0005-0000-0000-00001F3D0000}"/>
    <cellStyle name="Normal 114 2" xfId="51575" xr:uid="{00000000-0005-0000-0000-0000203D0000}"/>
    <cellStyle name="Normal 12" xfId="8" xr:uid="{00000000-0005-0000-0000-0000213D0000}"/>
    <cellStyle name="Normal 12 2" xfId="32" xr:uid="{00000000-0005-0000-0000-0000223D0000}"/>
    <cellStyle name="Normal 12 3" xfId="149" xr:uid="{00000000-0005-0000-0000-0000233D0000}"/>
    <cellStyle name="Normal 13" xfId="22" xr:uid="{00000000-0005-0000-0000-0000243D0000}"/>
    <cellStyle name="Normal 13 2" xfId="33" xr:uid="{00000000-0005-0000-0000-0000253D0000}"/>
    <cellStyle name="Normal 13 3" xfId="61" xr:uid="{00000000-0005-0000-0000-0000263D0000}"/>
    <cellStyle name="Normal 13 3 2" xfId="119" xr:uid="{00000000-0005-0000-0000-0000273D0000}"/>
    <cellStyle name="Normal 13 3 3" xfId="221" xr:uid="{00000000-0005-0000-0000-0000283D0000}"/>
    <cellStyle name="Normal 14" xfId="6" xr:uid="{00000000-0005-0000-0000-0000293D0000}"/>
    <cellStyle name="Normal 14 2" xfId="31" xr:uid="{00000000-0005-0000-0000-00002A3D0000}"/>
    <cellStyle name="Normal 14 3" xfId="148" xr:uid="{00000000-0005-0000-0000-00002B3D0000}"/>
    <cellStyle name="Normal 141" xfId="26011" xr:uid="{00000000-0005-0000-0000-00002C3D0000}"/>
    <cellStyle name="Normal 141 2" xfId="51564" xr:uid="{00000000-0005-0000-0000-00002D3D0000}"/>
    <cellStyle name="Normal 142" xfId="26012" xr:uid="{00000000-0005-0000-0000-00002E3D0000}"/>
    <cellStyle name="Normal 142 2" xfId="51565" xr:uid="{00000000-0005-0000-0000-00002F3D0000}"/>
    <cellStyle name="Normal 143" xfId="26013" xr:uid="{00000000-0005-0000-0000-0000303D0000}"/>
    <cellStyle name="Normal 143 2" xfId="51566" xr:uid="{00000000-0005-0000-0000-0000313D0000}"/>
    <cellStyle name="Normal 144" xfId="26014" xr:uid="{00000000-0005-0000-0000-0000323D0000}"/>
    <cellStyle name="Normal 144 2" xfId="51567" xr:uid="{00000000-0005-0000-0000-0000333D0000}"/>
    <cellStyle name="Normal 145" xfId="26015" xr:uid="{00000000-0005-0000-0000-0000343D0000}"/>
    <cellStyle name="Normal 145 2" xfId="51568" xr:uid="{00000000-0005-0000-0000-0000353D0000}"/>
    <cellStyle name="Normal 146" xfId="26016" xr:uid="{00000000-0005-0000-0000-0000363D0000}"/>
    <cellStyle name="Normal 146 2" xfId="51569" xr:uid="{00000000-0005-0000-0000-0000373D0000}"/>
    <cellStyle name="Normal 147" xfId="26017" xr:uid="{00000000-0005-0000-0000-0000383D0000}"/>
    <cellStyle name="Normal 147 2" xfId="51570" xr:uid="{00000000-0005-0000-0000-0000393D0000}"/>
    <cellStyle name="Normal 15" xfId="7" xr:uid="{00000000-0005-0000-0000-00003A3D0000}"/>
    <cellStyle name="Normal 15 2" xfId="724" xr:uid="{00000000-0005-0000-0000-00003B3D0000}"/>
    <cellStyle name="Normal 15 2 2" xfId="1384" xr:uid="{00000000-0005-0000-0000-00003C3D0000}"/>
    <cellStyle name="Normal 15 2 2 2" xfId="3813" xr:uid="{00000000-0005-0000-0000-00003D3D0000}"/>
    <cellStyle name="Normal 15 2 2 2 2" xfId="12949" xr:uid="{00000000-0005-0000-0000-00003E3D0000}"/>
    <cellStyle name="Normal 15 2 2 2 2 2" xfId="23168" xr:uid="{00000000-0005-0000-0000-00003F3D0000}"/>
    <cellStyle name="Normal 15 2 2 2 2 2 2" xfId="48721" xr:uid="{00000000-0005-0000-0000-0000403D0000}"/>
    <cellStyle name="Normal 15 2 2 2 2 3" xfId="38504" xr:uid="{00000000-0005-0000-0000-0000413D0000}"/>
    <cellStyle name="Normal 15 2 2 2 3" xfId="9370" xr:uid="{00000000-0005-0000-0000-0000423D0000}"/>
    <cellStyle name="Normal 15 2 2 2 3 2" xfId="34927" xr:uid="{00000000-0005-0000-0000-0000433D0000}"/>
    <cellStyle name="Normal 15 2 2 2 4" xfId="18161" xr:uid="{00000000-0005-0000-0000-0000443D0000}"/>
    <cellStyle name="Normal 15 2 2 2 4 2" xfId="43714" xr:uid="{00000000-0005-0000-0000-0000453D0000}"/>
    <cellStyle name="Normal 15 2 2 2 5" xfId="29651" xr:uid="{00000000-0005-0000-0000-0000463D0000}"/>
    <cellStyle name="Normal 15 2 2 3" xfId="4888" xr:uid="{00000000-0005-0000-0000-0000473D0000}"/>
    <cellStyle name="Normal 15 2 2 3 2" xfId="13725" xr:uid="{00000000-0005-0000-0000-0000483D0000}"/>
    <cellStyle name="Normal 15 2 2 3 2 2" xfId="23976" xr:uid="{00000000-0005-0000-0000-0000493D0000}"/>
    <cellStyle name="Normal 15 2 2 3 2 2 2" xfId="49529" xr:uid="{00000000-0005-0000-0000-00004A3D0000}"/>
    <cellStyle name="Normal 15 2 2 3 2 3" xfId="39280" xr:uid="{00000000-0005-0000-0000-00004B3D0000}"/>
    <cellStyle name="Normal 15 2 2 3 3" xfId="10146" xr:uid="{00000000-0005-0000-0000-00004C3D0000}"/>
    <cellStyle name="Normal 15 2 2 3 3 2" xfId="35703" xr:uid="{00000000-0005-0000-0000-00004D3D0000}"/>
    <cellStyle name="Normal 15 2 2 3 4" xfId="18969" xr:uid="{00000000-0005-0000-0000-00004E3D0000}"/>
    <cellStyle name="Normal 15 2 2 3 4 2" xfId="44522" xr:uid="{00000000-0005-0000-0000-00004F3D0000}"/>
    <cellStyle name="Normal 15 2 2 3 5" xfId="30459" xr:uid="{00000000-0005-0000-0000-0000503D0000}"/>
    <cellStyle name="Normal 15 2 2 4" xfId="2579" xr:uid="{00000000-0005-0000-0000-0000513D0000}"/>
    <cellStyle name="Normal 15 2 2 4 2" xfId="11943" xr:uid="{00000000-0005-0000-0000-0000523D0000}"/>
    <cellStyle name="Normal 15 2 2 4 2 2" xfId="37498" xr:uid="{00000000-0005-0000-0000-0000533D0000}"/>
    <cellStyle name="Normal 15 2 2 4 3" xfId="21947" xr:uid="{00000000-0005-0000-0000-0000543D0000}"/>
    <cellStyle name="Normal 15 2 2 4 3 2" xfId="47500" xr:uid="{00000000-0005-0000-0000-0000553D0000}"/>
    <cellStyle name="Normal 15 2 2 4 4" xfId="28430" xr:uid="{00000000-0005-0000-0000-0000563D0000}"/>
    <cellStyle name="Normal 15 2 2 5" xfId="6343" xr:uid="{00000000-0005-0000-0000-0000573D0000}"/>
    <cellStyle name="Normal 15 2 2 5 2" xfId="15170" xr:uid="{00000000-0005-0000-0000-0000583D0000}"/>
    <cellStyle name="Normal 15 2 2 5 2 2" xfId="40725" xr:uid="{00000000-0005-0000-0000-0000593D0000}"/>
    <cellStyle name="Normal 15 2 2 5 3" xfId="25421" xr:uid="{00000000-0005-0000-0000-00005A3D0000}"/>
    <cellStyle name="Normal 15 2 2 5 3 2" xfId="50974" xr:uid="{00000000-0005-0000-0000-00005B3D0000}"/>
    <cellStyle name="Normal 15 2 2 5 4" xfId="31904" xr:uid="{00000000-0005-0000-0000-00005C3D0000}"/>
    <cellStyle name="Normal 15 2 2 6" xfId="7789" xr:uid="{00000000-0005-0000-0000-00005D3D0000}"/>
    <cellStyle name="Normal 15 2 2 6 2" xfId="20767" xr:uid="{00000000-0005-0000-0000-00005E3D0000}"/>
    <cellStyle name="Normal 15 2 2 6 2 2" xfId="46320" xr:uid="{00000000-0005-0000-0000-00005F3D0000}"/>
    <cellStyle name="Normal 15 2 2 6 3" xfId="33346" xr:uid="{00000000-0005-0000-0000-0000603D0000}"/>
    <cellStyle name="Normal 15 2 2 7" xfId="16940" xr:uid="{00000000-0005-0000-0000-0000613D0000}"/>
    <cellStyle name="Normal 15 2 2 7 2" xfId="42493" xr:uid="{00000000-0005-0000-0000-0000623D0000}"/>
    <cellStyle name="Normal 15 2 2 8" xfId="27250" xr:uid="{00000000-0005-0000-0000-0000633D0000}"/>
    <cellStyle name="Normal 15 2 3" xfId="3210" xr:uid="{00000000-0005-0000-0000-0000643D0000}"/>
    <cellStyle name="Normal 15 2 3 2" xfId="5476" xr:uid="{00000000-0005-0000-0000-0000653D0000}"/>
    <cellStyle name="Normal 15 2 3 2 2" xfId="14313" xr:uid="{00000000-0005-0000-0000-0000663D0000}"/>
    <cellStyle name="Normal 15 2 3 2 2 2" xfId="24564" xr:uid="{00000000-0005-0000-0000-0000673D0000}"/>
    <cellStyle name="Normal 15 2 3 2 2 2 2" xfId="50117" xr:uid="{00000000-0005-0000-0000-0000683D0000}"/>
    <cellStyle name="Normal 15 2 3 2 2 3" xfId="39868" xr:uid="{00000000-0005-0000-0000-0000693D0000}"/>
    <cellStyle name="Normal 15 2 3 2 3" xfId="10734" xr:uid="{00000000-0005-0000-0000-00006A3D0000}"/>
    <cellStyle name="Normal 15 2 3 2 3 2" xfId="36291" xr:uid="{00000000-0005-0000-0000-00006B3D0000}"/>
    <cellStyle name="Normal 15 2 3 2 4" xfId="19557" xr:uid="{00000000-0005-0000-0000-00006C3D0000}"/>
    <cellStyle name="Normal 15 2 3 2 4 2" xfId="45110" xr:uid="{00000000-0005-0000-0000-00006D3D0000}"/>
    <cellStyle name="Normal 15 2 3 2 5" xfId="31047" xr:uid="{00000000-0005-0000-0000-00006E3D0000}"/>
    <cellStyle name="Normal 15 2 3 3" xfId="6931" xr:uid="{00000000-0005-0000-0000-00006F3D0000}"/>
    <cellStyle name="Normal 15 2 3 3 2" xfId="15758" xr:uid="{00000000-0005-0000-0000-0000703D0000}"/>
    <cellStyle name="Normal 15 2 3 3 2 2" xfId="41313" xr:uid="{00000000-0005-0000-0000-0000713D0000}"/>
    <cellStyle name="Normal 15 2 3 3 3" xfId="26009" xr:uid="{00000000-0005-0000-0000-0000723D0000}"/>
    <cellStyle name="Normal 15 2 3 3 3 2" xfId="51562" xr:uid="{00000000-0005-0000-0000-0000733D0000}"/>
    <cellStyle name="Normal 15 2 3 3 4" xfId="32492" xr:uid="{00000000-0005-0000-0000-0000743D0000}"/>
    <cellStyle name="Normal 15 2 3 4" xfId="8377" xr:uid="{00000000-0005-0000-0000-0000753D0000}"/>
    <cellStyle name="Normal 15 2 3 4 2" xfId="22571" xr:uid="{00000000-0005-0000-0000-0000763D0000}"/>
    <cellStyle name="Normal 15 2 3 4 2 2" xfId="48124" xr:uid="{00000000-0005-0000-0000-0000773D0000}"/>
    <cellStyle name="Normal 15 2 3 4 3" xfId="33934" xr:uid="{00000000-0005-0000-0000-0000783D0000}"/>
    <cellStyle name="Normal 15 2 3 5" xfId="17564" xr:uid="{00000000-0005-0000-0000-0000793D0000}"/>
    <cellStyle name="Normal 15 2 3 5 2" xfId="43117" xr:uid="{00000000-0005-0000-0000-00007A3D0000}"/>
    <cellStyle name="Normal 15 2 3 6" xfId="29054" xr:uid="{00000000-0005-0000-0000-00007B3D0000}"/>
    <cellStyle name="Normal 15 2 4" xfId="4539" xr:uid="{00000000-0005-0000-0000-00007C3D0000}"/>
    <cellStyle name="Normal 15 2 4 2" xfId="13377" xr:uid="{00000000-0005-0000-0000-00007D3D0000}"/>
    <cellStyle name="Normal 15 2 4 2 2" xfId="23628" xr:uid="{00000000-0005-0000-0000-00007E3D0000}"/>
    <cellStyle name="Normal 15 2 4 2 2 2" xfId="49181" xr:uid="{00000000-0005-0000-0000-00007F3D0000}"/>
    <cellStyle name="Normal 15 2 4 2 3" xfId="38932" xr:uid="{00000000-0005-0000-0000-0000803D0000}"/>
    <cellStyle name="Normal 15 2 4 3" xfId="9798" xr:uid="{00000000-0005-0000-0000-0000813D0000}"/>
    <cellStyle name="Normal 15 2 4 3 2" xfId="35355" xr:uid="{00000000-0005-0000-0000-0000823D0000}"/>
    <cellStyle name="Normal 15 2 4 4" xfId="18621" xr:uid="{00000000-0005-0000-0000-0000833D0000}"/>
    <cellStyle name="Normal 15 2 4 4 2" xfId="44174" xr:uid="{00000000-0005-0000-0000-0000843D0000}"/>
    <cellStyle name="Normal 15 2 4 5" xfId="30111" xr:uid="{00000000-0005-0000-0000-0000853D0000}"/>
    <cellStyle name="Normal 15 2 5" xfId="2319" xr:uid="{00000000-0005-0000-0000-0000863D0000}"/>
    <cellStyle name="Normal 15 2 5 2" xfId="11684" xr:uid="{00000000-0005-0000-0000-0000873D0000}"/>
    <cellStyle name="Normal 15 2 5 2 2" xfId="37239" xr:uid="{00000000-0005-0000-0000-0000883D0000}"/>
    <cellStyle name="Normal 15 2 5 3" xfId="21688" xr:uid="{00000000-0005-0000-0000-0000893D0000}"/>
    <cellStyle name="Normal 15 2 5 3 2" xfId="47241" xr:uid="{00000000-0005-0000-0000-00008A3D0000}"/>
    <cellStyle name="Normal 15 2 5 4" xfId="28171" xr:uid="{00000000-0005-0000-0000-00008B3D0000}"/>
    <cellStyle name="Normal 15 2 6" xfId="5995" xr:uid="{00000000-0005-0000-0000-00008C3D0000}"/>
    <cellStyle name="Normal 15 2 6 2" xfId="14822" xr:uid="{00000000-0005-0000-0000-00008D3D0000}"/>
    <cellStyle name="Normal 15 2 6 2 2" xfId="40377" xr:uid="{00000000-0005-0000-0000-00008E3D0000}"/>
    <cellStyle name="Normal 15 2 6 3" xfId="25073" xr:uid="{00000000-0005-0000-0000-00008F3D0000}"/>
    <cellStyle name="Normal 15 2 6 3 2" xfId="50626" xr:uid="{00000000-0005-0000-0000-0000903D0000}"/>
    <cellStyle name="Normal 15 2 6 4" xfId="31556" xr:uid="{00000000-0005-0000-0000-0000913D0000}"/>
    <cellStyle name="Normal 15 2 7" xfId="7439" xr:uid="{00000000-0005-0000-0000-0000923D0000}"/>
    <cellStyle name="Normal 15 2 7 2" xfId="20170" xr:uid="{00000000-0005-0000-0000-0000933D0000}"/>
    <cellStyle name="Normal 15 2 7 2 2" xfId="45723" xr:uid="{00000000-0005-0000-0000-0000943D0000}"/>
    <cellStyle name="Normal 15 2 7 3" xfId="32996" xr:uid="{00000000-0005-0000-0000-0000953D0000}"/>
    <cellStyle name="Normal 15 2 8" xfId="16681" xr:uid="{00000000-0005-0000-0000-0000963D0000}"/>
    <cellStyle name="Normal 15 2 8 2" xfId="42234" xr:uid="{00000000-0005-0000-0000-0000973D0000}"/>
    <cellStyle name="Normal 15 2 9" xfId="26653" xr:uid="{00000000-0005-0000-0000-0000983D0000}"/>
    <cellStyle name="Normal 15 2_Degree data" xfId="3925" xr:uid="{00000000-0005-0000-0000-0000993D0000}"/>
    <cellStyle name="Normal 16" xfId="62" xr:uid="{00000000-0005-0000-0000-00009A3D0000}"/>
    <cellStyle name="Normal 165" xfId="26049" xr:uid="{00000000-0005-0000-0000-00009B3D0000}"/>
    <cellStyle name="Normal 166" xfId="26050" xr:uid="{00000000-0005-0000-0000-00009C3D0000}"/>
    <cellStyle name="Normal 167" xfId="26051" xr:uid="{00000000-0005-0000-0000-00009D3D0000}"/>
    <cellStyle name="Normal 168" xfId="26048" xr:uid="{00000000-0005-0000-0000-00009E3D0000}"/>
    <cellStyle name="Normal 17" xfId="63" xr:uid="{00000000-0005-0000-0000-00009F3D0000}"/>
    <cellStyle name="Normal 18" xfId="64" xr:uid="{00000000-0005-0000-0000-0000A03D0000}"/>
    <cellStyle name="Normal 19" xfId="97" xr:uid="{00000000-0005-0000-0000-0000A13D0000}"/>
    <cellStyle name="Normal 19 2" xfId="121" xr:uid="{00000000-0005-0000-0000-0000A23D0000}"/>
    <cellStyle name="Normal 19 3" xfId="116" xr:uid="{00000000-0005-0000-0000-0000A33D0000}"/>
    <cellStyle name="Normal 192" xfId="26024" xr:uid="{00000000-0005-0000-0000-0000A43D0000}"/>
    <cellStyle name="Normal 192 2" xfId="51577" xr:uid="{00000000-0005-0000-0000-0000A53D0000}"/>
    <cellStyle name="Normal 193" xfId="26025" xr:uid="{00000000-0005-0000-0000-0000A63D0000}"/>
    <cellStyle name="Normal 193 2" xfId="51578" xr:uid="{00000000-0005-0000-0000-0000A73D0000}"/>
    <cellStyle name="Normal 194" xfId="26026" xr:uid="{00000000-0005-0000-0000-0000A83D0000}"/>
    <cellStyle name="Normal 194 2" xfId="26035" xr:uid="{00000000-0005-0000-0000-0000A93D0000}"/>
    <cellStyle name="Normal 194 2 2" xfId="51588" xr:uid="{00000000-0005-0000-0000-0000AA3D0000}"/>
    <cellStyle name="Normal 194 3" xfId="51579" xr:uid="{00000000-0005-0000-0000-0000AB3D0000}"/>
    <cellStyle name="Normal 195" xfId="26027" xr:uid="{00000000-0005-0000-0000-0000AC3D0000}"/>
    <cellStyle name="Normal 195 2" xfId="51580" xr:uid="{00000000-0005-0000-0000-0000AD3D0000}"/>
    <cellStyle name="Normal 196" xfId="26028" xr:uid="{00000000-0005-0000-0000-0000AE3D0000}"/>
    <cellStyle name="Normal 196 2" xfId="51581" xr:uid="{00000000-0005-0000-0000-0000AF3D0000}"/>
    <cellStyle name="Normal 197" xfId="26029" xr:uid="{00000000-0005-0000-0000-0000B03D0000}"/>
    <cellStyle name="Normal 197 2" xfId="51582" xr:uid="{00000000-0005-0000-0000-0000B13D0000}"/>
    <cellStyle name="Normal 198" xfId="26030" xr:uid="{00000000-0005-0000-0000-0000B23D0000}"/>
    <cellStyle name="Normal 198 2" xfId="51583" xr:uid="{00000000-0005-0000-0000-0000B33D0000}"/>
    <cellStyle name="Normal 2" xfId="5" xr:uid="{00000000-0005-0000-0000-0000B43D0000}"/>
    <cellStyle name="Normal 2 2" xfId="25" xr:uid="{00000000-0005-0000-0000-0000B53D0000}"/>
    <cellStyle name="Normal 2 2 2" xfId="47" xr:uid="{00000000-0005-0000-0000-0000B63D0000}"/>
    <cellStyle name="Normal 2 3" xfId="46" xr:uid="{00000000-0005-0000-0000-0000B73D0000}"/>
    <cellStyle name="Normal 2 3 2" xfId="48" xr:uid="{00000000-0005-0000-0000-0000B83D0000}"/>
    <cellStyle name="Normal 2 4" xfId="58" xr:uid="{00000000-0005-0000-0000-0000B93D0000}"/>
    <cellStyle name="Normal 2 4 2" xfId="286" xr:uid="{00000000-0005-0000-0000-0000BA3D0000}"/>
    <cellStyle name="Normal 2 5" xfId="49" xr:uid="{00000000-0005-0000-0000-0000BB3D0000}"/>
    <cellStyle name="Normal 2 5 10" xfId="298" xr:uid="{00000000-0005-0000-0000-0000BC3D0000}"/>
    <cellStyle name="Normal 2 5 10 10" xfId="26227" xr:uid="{00000000-0005-0000-0000-0000BD3D0000}"/>
    <cellStyle name="Normal 2 5 10 2" xfId="726" xr:uid="{00000000-0005-0000-0000-0000BE3D0000}"/>
    <cellStyle name="Normal 2 5 10 2 2" xfId="3212" xr:uid="{00000000-0005-0000-0000-0000BF3D0000}"/>
    <cellStyle name="Normal 2 5 10 2 2 2" xfId="12354" xr:uid="{00000000-0005-0000-0000-0000C03D0000}"/>
    <cellStyle name="Normal 2 5 10 2 2 2 2" xfId="22573" xr:uid="{00000000-0005-0000-0000-0000C13D0000}"/>
    <cellStyle name="Normal 2 5 10 2 2 2 2 2" xfId="48126" xr:uid="{00000000-0005-0000-0000-0000C23D0000}"/>
    <cellStyle name="Normal 2 5 10 2 2 2 3" xfId="37909" xr:uid="{00000000-0005-0000-0000-0000C33D0000}"/>
    <cellStyle name="Normal 2 5 10 2 2 3" xfId="8776" xr:uid="{00000000-0005-0000-0000-0000C43D0000}"/>
    <cellStyle name="Normal 2 5 10 2 2 3 2" xfId="34333" xr:uid="{00000000-0005-0000-0000-0000C53D0000}"/>
    <cellStyle name="Normal 2 5 10 2 2 4" xfId="17566" xr:uid="{00000000-0005-0000-0000-0000C63D0000}"/>
    <cellStyle name="Normal 2 5 10 2 2 4 2" xfId="43119" xr:uid="{00000000-0005-0000-0000-0000C73D0000}"/>
    <cellStyle name="Normal 2 5 10 2 2 5" xfId="29056" xr:uid="{00000000-0005-0000-0000-0000C83D0000}"/>
    <cellStyle name="Normal 2 5 10 2 3" xfId="4541" xr:uid="{00000000-0005-0000-0000-0000C93D0000}"/>
    <cellStyle name="Normal 2 5 10 2 3 2" xfId="13379" xr:uid="{00000000-0005-0000-0000-0000CA3D0000}"/>
    <cellStyle name="Normal 2 5 10 2 3 2 2" xfId="23630" xr:uid="{00000000-0005-0000-0000-0000CB3D0000}"/>
    <cellStyle name="Normal 2 5 10 2 3 2 2 2" xfId="49183" xr:uid="{00000000-0005-0000-0000-0000CC3D0000}"/>
    <cellStyle name="Normal 2 5 10 2 3 2 3" xfId="38934" xr:uid="{00000000-0005-0000-0000-0000CD3D0000}"/>
    <cellStyle name="Normal 2 5 10 2 3 3" xfId="9800" xr:uid="{00000000-0005-0000-0000-0000CE3D0000}"/>
    <cellStyle name="Normal 2 5 10 2 3 3 2" xfId="35357" xr:uid="{00000000-0005-0000-0000-0000CF3D0000}"/>
    <cellStyle name="Normal 2 5 10 2 3 4" xfId="18623" xr:uid="{00000000-0005-0000-0000-0000D03D0000}"/>
    <cellStyle name="Normal 2 5 10 2 3 4 2" xfId="44176" xr:uid="{00000000-0005-0000-0000-0000D13D0000}"/>
    <cellStyle name="Normal 2 5 10 2 3 5" xfId="30113" xr:uid="{00000000-0005-0000-0000-0000D23D0000}"/>
    <cellStyle name="Normal 2 5 10 2 4" xfId="2321" xr:uid="{00000000-0005-0000-0000-0000D33D0000}"/>
    <cellStyle name="Normal 2 5 10 2 4 2" xfId="11686" xr:uid="{00000000-0005-0000-0000-0000D43D0000}"/>
    <cellStyle name="Normal 2 5 10 2 4 2 2" xfId="37241" xr:uid="{00000000-0005-0000-0000-0000D53D0000}"/>
    <cellStyle name="Normal 2 5 10 2 4 3" xfId="21690" xr:uid="{00000000-0005-0000-0000-0000D63D0000}"/>
    <cellStyle name="Normal 2 5 10 2 4 3 2" xfId="47243" xr:uid="{00000000-0005-0000-0000-0000D73D0000}"/>
    <cellStyle name="Normal 2 5 10 2 4 4" xfId="28173" xr:uid="{00000000-0005-0000-0000-0000D83D0000}"/>
    <cellStyle name="Normal 2 5 10 2 5" xfId="5997" xr:uid="{00000000-0005-0000-0000-0000D93D0000}"/>
    <cellStyle name="Normal 2 5 10 2 5 2" xfId="14824" xr:uid="{00000000-0005-0000-0000-0000DA3D0000}"/>
    <cellStyle name="Normal 2 5 10 2 5 2 2" xfId="40379" xr:uid="{00000000-0005-0000-0000-0000DB3D0000}"/>
    <cellStyle name="Normal 2 5 10 2 5 3" xfId="25075" xr:uid="{00000000-0005-0000-0000-0000DC3D0000}"/>
    <cellStyle name="Normal 2 5 10 2 5 3 2" xfId="50628" xr:uid="{00000000-0005-0000-0000-0000DD3D0000}"/>
    <cellStyle name="Normal 2 5 10 2 5 4" xfId="31558" xr:uid="{00000000-0005-0000-0000-0000DE3D0000}"/>
    <cellStyle name="Normal 2 5 10 2 6" xfId="7441" xr:uid="{00000000-0005-0000-0000-0000DF3D0000}"/>
    <cellStyle name="Normal 2 5 10 2 6 2" xfId="20172" xr:uid="{00000000-0005-0000-0000-0000E03D0000}"/>
    <cellStyle name="Normal 2 5 10 2 6 2 2" xfId="45725" xr:uid="{00000000-0005-0000-0000-0000E13D0000}"/>
    <cellStyle name="Normal 2 5 10 2 6 3" xfId="32998" xr:uid="{00000000-0005-0000-0000-0000E23D0000}"/>
    <cellStyle name="Normal 2 5 10 2 7" xfId="16683" xr:uid="{00000000-0005-0000-0000-0000E33D0000}"/>
    <cellStyle name="Normal 2 5 10 2 7 2" xfId="42236" xr:uid="{00000000-0005-0000-0000-0000E43D0000}"/>
    <cellStyle name="Normal 2 5 10 2 8" xfId="26655" xr:uid="{00000000-0005-0000-0000-0000E53D0000}"/>
    <cellStyle name="Normal 2 5 10 3" xfId="1070" xr:uid="{00000000-0005-0000-0000-0000E63D0000}"/>
    <cellStyle name="Normal 2 5 10 3 2" xfId="3499" xr:uid="{00000000-0005-0000-0000-0000E73D0000}"/>
    <cellStyle name="Normal 2 5 10 3 2 2" xfId="12635" xr:uid="{00000000-0005-0000-0000-0000E83D0000}"/>
    <cellStyle name="Normal 2 5 10 3 2 2 2" xfId="22854" xr:uid="{00000000-0005-0000-0000-0000E93D0000}"/>
    <cellStyle name="Normal 2 5 10 3 2 2 2 2" xfId="48407" xr:uid="{00000000-0005-0000-0000-0000EA3D0000}"/>
    <cellStyle name="Normal 2 5 10 3 2 2 3" xfId="38190" xr:uid="{00000000-0005-0000-0000-0000EB3D0000}"/>
    <cellStyle name="Normal 2 5 10 3 2 3" xfId="9057" xr:uid="{00000000-0005-0000-0000-0000EC3D0000}"/>
    <cellStyle name="Normal 2 5 10 3 2 3 2" xfId="34614" xr:uid="{00000000-0005-0000-0000-0000ED3D0000}"/>
    <cellStyle name="Normal 2 5 10 3 2 4" xfId="17847" xr:uid="{00000000-0005-0000-0000-0000EE3D0000}"/>
    <cellStyle name="Normal 2 5 10 3 2 4 2" xfId="43400" xr:uid="{00000000-0005-0000-0000-0000EF3D0000}"/>
    <cellStyle name="Normal 2 5 10 3 2 5" xfId="29337" xr:uid="{00000000-0005-0000-0000-0000F03D0000}"/>
    <cellStyle name="Normal 2 5 10 3 3" xfId="4890" xr:uid="{00000000-0005-0000-0000-0000F13D0000}"/>
    <cellStyle name="Normal 2 5 10 3 3 2" xfId="13727" xr:uid="{00000000-0005-0000-0000-0000F23D0000}"/>
    <cellStyle name="Normal 2 5 10 3 3 2 2" xfId="23978" xr:uid="{00000000-0005-0000-0000-0000F33D0000}"/>
    <cellStyle name="Normal 2 5 10 3 3 2 2 2" xfId="49531" xr:uid="{00000000-0005-0000-0000-0000F43D0000}"/>
    <cellStyle name="Normal 2 5 10 3 3 2 3" xfId="39282" xr:uid="{00000000-0005-0000-0000-0000F53D0000}"/>
    <cellStyle name="Normal 2 5 10 3 3 3" xfId="10148" xr:uid="{00000000-0005-0000-0000-0000F63D0000}"/>
    <cellStyle name="Normal 2 5 10 3 3 3 2" xfId="35705" xr:uid="{00000000-0005-0000-0000-0000F73D0000}"/>
    <cellStyle name="Normal 2 5 10 3 3 4" xfId="18971" xr:uid="{00000000-0005-0000-0000-0000F83D0000}"/>
    <cellStyle name="Normal 2 5 10 3 3 4 2" xfId="44524" xr:uid="{00000000-0005-0000-0000-0000F93D0000}"/>
    <cellStyle name="Normal 2 5 10 3 3 5" xfId="30461" xr:uid="{00000000-0005-0000-0000-0000FA3D0000}"/>
    <cellStyle name="Normal 2 5 10 3 4" xfId="2573" xr:uid="{00000000-0005-0000-0000-0000FB3D0000}"/>
    <cellStyle name="Normal 2 5 10 3 4 2" xfId="11937" xr:uid="{00000000-0005-0000-0000-0000FC3D0000}"/>
    <cellStyle name="Normal 2 5 10 3 4 2 2" xfId="37492" xr:uid="{00000000-0005-0000-0000-0000FD3D0000}"/>
    <cellStyle name="Normal 2 5 10 3 4 3" xfId="21941" xr:uid="{00000000-0005-0000-0000-0000FE3D0000}"/>
    <cellStyle name="Normal 2 5 10 3 4 3 2" xfId="47494" xr:uid="{00000000-0005-0000-0000-0000FF3D0000}"/>
    <cellStyle name="Normal 2 5 10 3 4 4" xfId="28424" xr:uid="{00000000-0005-0000-0000-0000003E0000}"/>
    <cellStyle name="Normal 2 5 10 3 5" xfId="6345" xr:uid="{00000000-0005-0000-0000-0000013E0000}"/>
    <cellStyle name="Normal 2 5 10 3 5 2" xfId="15172" xr:uid="{00000000-0005-0000-0000-0000023E0000}"/>
    <cellStyle name="Normal 2 5 10 3 5 2 2" xfId="40727" xr:uid="{00000000-0005-0000-0000-0000033E0000}"/>
    <cellStyle name="Normal 2 5 10 3 5 3" xfId="25423" xr:uid="{00000000-0005-0000-0000-0000043E0000}"/>
    <cellStyle name="Normal 2 5 10 3 5 3 2" xfId="50976" xr:uid="{00000000-0005-0000-0000-0000053E0000}"/>
    <cellStyle name="Normal 2 5 10 3 5 4" xfId="31906" xr:uid="{00000000-0005-0000-0000-0000063E0000}"/>
    <cellStyle name="Normal 2 5 10 3 6" xfId="7791" xr:uid="{00000000-0005-0000-0000-0000073E0000}"/>
    <cellStyle name="Normal 2 5 10 3 6 2" xfId="20453" xr:uid="{00000000-0005-0000-0000-0000083E0000}"/>
    <cellStyle name="Normal 2 5 10 3 6 2 2" xfId="46006" xr:uid="{00000000-0005-0000-0000-0000093E0000}"/>
    <cellStyle name="Normal 2 5 10 3 6 3" xfId="33348" xr:uid="{00000000-0005-0000-0000-00000A3E0000}"/>
    <cellStyle name="Normal 2 5 10 3 7" xfId="16934" xr:uid="{00000000-0005-0000-0000-00000B3E0000}"/>
    <cellStyle name="Normal 2 5 10 3 7 2" xfId="42487" xr:uid="{00000000-0005-0000-0000-00000C3E0000}"/>
    <cellStyle name="Normal 2 5 10 3 8" xfId="26936" xr:uid="{00000000-0005-0000-0000-00000D3E0000}"/>
    <cellStyle name="Normal 2 5 10 4" xfId="2784" xr:uid="{00000000-0005-0000-0000-00000E3E0000}"/>
    <cellStyle name="Normal 2 5 10 4 2" xfId="5162" xr:uid="{00000000-0005-0000-0000-00000F3E0000}"/>
    <cellStyle name="Normal 2 5 10 4 2 2" xfId="13999" xr:uid="{00000000-0005-0000-0000-0000103E0000}"/>
    <cellStyle name="Normal 2 5 10 4 2 2 2" xfId="24250" xr:uid="{00000000-0005-0000-0000-0000113E0000}"/>
    <cellStyle name="Normal 2 5 10 4 2 2 2 2" xfId="49803" xr:uid="{00000000-0005-0000-0000-0000123E0000}"/>
    <cellStyle name="Normal 2 5 10 4 2 2 3" xfId="39554" xr:uid="{00000000-0005-0000-0000-0000133E0000}"/>
    <cellStyle name="Normal 2 5 10 4 2 3" xfId="10420" xr:uid="{00000000-0005-0000-0000-0000143E0000}"/>
    <cellStyle name="Normal 2 5 10 4 2 3 2" xfId="35977" xr:uid="{00000000-0005-0000-0000-0000153E0000}"/>
    <cellStyle name="Normal 2 5 10 4 2 4" xfId="19243" xr:uid="{00000000-0005-0000-0000-0000163E0000}"/>
    <cellStyle name="Normal 2 5 10 4 2 4 2" xfId="44796" xr:uid="{00000000-0005-0000-0000-0000173E0000}"/>
    <cellStyle name="Normal 2 5 10 4 2 5" xfId="30733" xr:uid="{00000000-0005-0000-0000-0000183E0000}"/>
    <cellStyle name="Normal 2 5 10 4 3" xfId="6617" xr:uid="{00000000-0005-0000-0000-0000193E0000}"/>
    <cellStyle name="Normal 2 5 10 4 3 2" xfId="15444" xr:uid="{00000000-0005-0000-0000-00001A3E0000}"/>
    <cellStyle name="Normal 2 5 10 4 3 2 2" xfId="40999" xr:uid="{00000000-0005-0000-0000-00001B3E0000}"/>
    <cellStyle name="Normal 2 5 10 4 3 3" xfId="25695" xr:uid="{00000000-0005-0000-0000-00001C3E0000}"/>
    <cellStyle name="Normal 2 5 10 4 3 3 2" xfId="51248" xr:uid="{00000000-0005-0000-0000-00001D3E0000}"/>
    <cellStyle name="Normal 2 5 10 4 3 4" xfId="32178" xr:uid="{00000000-0005-0000-0000-00001E3E0000}"/>
    <cellStyle name="Normal 2 5 10 4 4" xfId="8063" xr:uid="{00000000-0005-0000-0000-00001F3E0000}"/>
    <cellStyle name="Normal 2 5 10 4 4 2" xfId="22145" xr:uid="{00000000-0005-0000-0000-0000203E0000}"/>
    <cellStyle name="Normal 2 5 10 4 4 2 2" xfId="47698" xr:uid="{00000000-0005-0000-0000-0000213E0000}"/>
    <cellStyle name="Normal 2 5 10 4 4 3" xfId="33620" xr:uid="{00000000-0005-0000-0000-0000223E0000}"/>
    <cellStyle name="Normal 2 5 10 4 5" xfId="17138" xr:uid="{00000000-0005-0000-0000-0000233E0000}"/>
    <cellStyle name="Normal 2 5 10 4 5 2" xfId="42691" xr:uid="{00000000-0005-0000-0000-0000243E0000}"/>
    <cellStyle name="Normal 2 5 10 4 6" xfId="28628" xr:uid="{00000000-0005-0000-0000-0000253E0000}"/>
    <cellStyle name="Normal 2 5 10 5" xfId="4116" xr:uid="{00000000-0005-0000-0000-0000263E0000}"/>
    <cellStyle name="Normal 2 5 10 5 2" xfId="12954" xr:uid="{00000000-0005-0000-0000-0000273E0000}"/>
    <cellStyle name="Normal 2 5 10 5 2 2" xfId="23205" xr:uid="{00000000-0005-0000-0000-0000283E0000}"/>
    <cellStyle name="Normal 2 5 10 5 2 2 2" xfId="48758" xr:uid="{00000000-0005-0000-0000-0000293E0000}"/>
    <cellStyle name="Normal 2 5 10 5 2 3" xfId="38509" xr:uid="{00000000-0005-0000-0000-00002A3E0000}"/>
    <cellStyle name="Normal 2 5 10 5 3" xfId="9375" xr:uid="{00000000-0005-0000-0000-00002B3E0000}"/>
    <cellStyle name="Normal 2 5 10 5 3 2" xfId="34932" xr:uid="{00000000-0005-0000-0000-00002C3E0000}"/>
    <cellStyle name="Normal 2 5 10 5 4" xfId="18198" xr:uid="{00000000-0005-0000-0000-00002D3E0000}"/>
    <cellStyle name="Normal 2 5 10 5 4 2" xfId="43751" xr:uid="{00000000-0005-0000-0000-00002E3E0000}"/>
    <cellStyle name="Normal 2 5 10 5 5" xfId="29688" xr:uid="{00000000-0005-0000-0000-00002F3E0000}"/>
    <cellStyle name="Normal 2 5 10 6" xfId="1893" xr:uid="{00000000-0005-0000-0000-0000303E0000}"/>
    <cellStyle name="Normal 2 5 10 6 2" xfId="11258" xr:uid="{00000000-0005-0000-0000-0000313E0000}"/>
    <cellStyle name="Normal 2 5 10 6 2 2" xfId="36813" xr:uid="{00000000-0005-0000-0000-0000323E0000}"/>
    <cellStyle name="Normal 2 5 10 6 3" xfId="21262" xr:uid="{00000000-0005-0000-0000-0000333E0000}"/>
    <cellStyle name="Normal 2 5 10 6 3 2" xfId="46815" xr:uid="{00000000-0005-0000-0000-0000343E0000}"/>
    <cellStyle name="Normal 2 5 10 6 4" xfId="27745" xr:uid="{00000000-0005-0000-0000-0000353E0000}"/>
    <cellStyle name="Normal 2 5 10 7" xfId="5574" xr:uid="{00000000-0005-0000-0000-0000363E0000}"/>
    <cellStyle name="Normal 2 5 10 7 2" xfId="14401" xr:uid="{00000000-0005-0000-0000-0000373E0000}"/>
    <cellStyle name="Normal 2 5 10 7 2 2" xfId="39956" xr:uid="{00000000-0005-0000-0000-0000383E0000}"/>
    <cellStyle name="Normal 2 5 10 7 3" xfId="24652" xr:uid="{00000000-0005-0000-0000-0000393E0000}"/>
    <cellStyle name="Normal 2 5 10 7 3 2" xfId="50205" xr:uid="{00000000-0005-0000-0000-00003A3E0000}"/>
    <cellStyle name="Normal 2 5 10 7 4" xfId="31135" xr:uid="{00000000-0005-0000-0000-00003B3E0000}"/>
    <cellStyle name="Normal 2 5 10 8" xfId="7018" xr:uid="{00000000-0005-0000-0000-00003C3E0000}"/>
    <cellStyle name="Normal 2 5 10 8 2" xfId="19744" xr:uid="{00000000-0005-0000-0000-00003D3E0000}"/>
    <cellStyle name="Normal 2 5 10 8 2 2" xfId="45297" xr:uid="{00000000-0005-0000-0000-00003E3E0000}"/>
    <cellStyle name="Normal 2 5 10 8 3" xfId="32575" xr:uid="{00000000-0005-0000-0000-00003F3E0000}"/>
    <cellStyle name="Normal 2 5 10 9" xfId="16255" xr:uid="{00000000-0005-0000-0000-0000403E0000}"/>
    <cellStyle name="Normal 2 5 10 9 2" xfId="41808" xr:uid="{00000000-0005-0000-0000-0000413E0000}"/>
    <cellStyle name="Normal 2 5 10_Degree data" xfId="3922" xr:uid="{00000000-0005-0000-0000-0000423E0000}"/>
    <cellStyle name="Normal 2 5 11" xfId="725" xr:uid="{00000000-0005-0000-0000-0000433E0000}"/>
    <cellStyle name="Normal 2 5 11 2" xfId="3211" xr:uid="{00000000-0005-0000-0000-0000443E0000}"/>
    <cellStyle name="Normal 2 5 11 2 2" xfId="12353" xr:uid="{00000000-0005-0000-0000-0000453E0000}"/>
    <cellStyle name="Normal 2 5 11 2 2 2" xfId="22572" xr:uid="{00000000-0005-0000-0000-0000463E0000}"/>
    <cellStyle name="Normal 2 5 11 2 2 2 2" xfId="48125" xr:uid="{00000000-0005-0000-0000-0000473E0000}"/>
    <cellStyle name="Normal 2 5 11 2 2 3" xfId="37908" xr:uid="{00000000-0005-0000-0000-0000483E0000}"/>
    <cellStyle name="Normal 2 5 11 2 3" xfId="8775" xr:uid="{00000000-0005-0000-0000-0000493E0000}"/>
    <cellStyle name="Normal 2 5 11 2 3 2" xfId="34332" xr:uid="{00000000-0005-0000-0000-00004A3E0000}"/>
    <cellStyle name="Normal 2 5 11 2 4" xfId="17565" xr:uid="{00000000-0005-0000-0000-00004B3E0000}"/>
    <cellStyle name="Normal 2 5 11 2 4 2" xfId="43118" xr:uid="{00000000-0005-0000-0000-00004C3E0000}"/>
    <cellStyle name="Normal 2 5 11 2 5" xfId="29055" xr:uid="{00000000-0005-0000-0000-00004D3E0000}"/>
    <cellStyle name="Normal 2 5 11 3" xfId="4540" xr:uid="{00000000-0005-0000-0000-00004E3E0000}"/>
    <cellStyle name="Normal 2 5 11 3 2" xfId="13378" xr:uid="{00000000-0005-0000-0000-00004F3E0000}"/>
    <cellStyle name="Normal 2 5 11 3 2 2" xfId="23629" xr:uid="{00000000-0005-0000-0000-0000503E0000}"/>
    <cellStyle name="Normal 2 5 11 3 2 2 2" xfId="49182" xr:uid="{00000000-0005-0000-0000-0000513E0000}"/>
    <cellStyle name="Normal 2 5 11 3 2 3" xfId="38933" xr:uid="{00000000-0005-0000-0000-0000523E0000}"/>
    <cellStyle name="Normal 2 5 11 3 3" xfId="9799" xr:uid="{00000000-0005-0000-0000-0000533E0000}"/>
    <cellStyle name="Normal 2 5 11 3 3 2" xfId="35356" xr:uid="{00000000-0005-0000-0000-0000543E0000}"/>
    <cellStyle name="Normal 2 5 11 3 4" xfId="18622" xr:uid="{00000000-0005-0000-0000-0000553E0000}"/>
    <cellStyle name="Normal 2 5 11 3 4 2" xfId="44175" xr:uid="{00000000-0005-0000-0000-0000563E0000}"/>
    <cellStyle name="Normal 2 5 11 3 5" xfId="30112" xr:uid="{00000000-0005-0000-0000-0000573E0000}"/>
    <cellStyle name="Normal 2 5 11 4" xfId="2320" xr:uid="{00000000-0005-0000-0000-0000583E0000}"/>
    <cellStyle name="Normal 2 5 11 4 2" xfId="11685" xr:uid="{00000000-0005-0000-0000-0000593E0000}"/>
    <cellStyle name="Normal 2 5 11 4 2 2" xfId="37240" xr:uid="{00000000-0005-0000-0000-00005A3E0000}"/>
    <cellStyle name="Normal 2 5 11 4 3" xfId="21689" xr:uid="{00000000-0005-0000-0000-00005B3E0000}"/>
    <cellStyle name="Normal 2 5 11 4 3 2" xfId="47242" xr:uid="{00000000-0005-0000-0000-00005C3E0000}"/>
    <cellStyle name="Normal 2 5 11 4 4" xfId="28172" xr:uid="{00000000-0005-0000-0000-00005D3E0000}"/>
    <cellStyle name="Normal 2 5 11 5" xfId="5996" xr:uid="{00000000-0005-0000-0000-00005E3E0000}"/>
    <cellStyle name="Normal 2 5 11 5 2" xfId="14823" xr:uid="{00000000-0005-0000-0000-00005F3E0000}"/>
    <cellStyle name="Normal 2 5 11 5 2 2" xfId="40378" xr:uid="{00000000-0005-0000-0000-0000603E0000}"/>
    <cellStyle name="Normal 2 5 11 5 3" xfId="25074" xr:uid="{00000000-0005-0000-0000-0000613E0000}"/>
    <cellStyle name="Normal 2 5 11 5 3 2" xfId="50627" xr:uid="{00000000-0005-0000-0000-0000623E0000}"/>
    <cellStyle name="Normal 2 5 11 5 4" xfId="31557" xr:uid="{00000000-0005-0000-0000-0000633E0000}"/>
    <cellStyle name="Normal 2 5 11 6" xfId="7440" xr:uid="{00000000-0005-0000-0000-0000643E0000}"/>
    <cellStyle name="Normal 2 5 11 6 2" xfId="20171" xr:uid="{00000000-0005-0000-0000-0000653E0000}"/>
    <cellStyle name="Normal 2 5 11 6 2 2" xfId="45724" xr:uid="{00000000-0005-0000-0000-0000663E0000}"/>
    <cellStyle name="Normal 2 5 11 6 3" xfId="32997" xr:uid="{00000000-0005-0000-0000-0000673E0000}"/>
    <cellStyle name="Normal 2 5 11 7" xfId="16682" xr:uid="{00000000-0005-0000-0000-0000683E0000}"/>
    <cellStyle name="Normal 2 5 11 7 2" xfId="42235" xr:uid="{00000000-0005-0000-0000-0000693E0000}"/>
    <cellStyle name="Normal 2 5 11 8" xfId="26654" xr:uid="{00000000-0005-0000-0000-00006A3E0000}"/>
    <cellStyle name="Normal 2 5 12" xfId="1038" xr:uid="{00000000-0005-0000-0000-00006B3E0000}"/>
    <cellStyle name="Normal 2 5 12 2" xfId="3467" xr:uid="{00000000-0005-0000-0000-00006C3E0000}"/>
    <cellStyle name="Normal 2 5 12 2 2" xfId="12603" xr:uid="{00000000-0005-0000-0000-00006D3E0000}"/>
    <cellStyle name="Normal 2 5 12 2 2 2" xfId="22822" xr:uid="{00000000-0005-0000-0000-00006E3E0000}"/>
    <cellStyle name="Normal 2 5 12 2 2 2 2" xfId="48375" xr:uid="{00000000-0005-0000-0000-00006F3E0000}"/>
    <cellStyle name="Normal 2 5 12 2 2 3" xfId="38158" xr:uid="{00000000-0005-0000-0000-0000703E0000}"/>
    <cellStyle name="Normal 2 5 12 2 3" xfId="9025" xr:uid="{00000000-0005-0000-0000-0000713E0000}"/>
    <cellStyle name="Normal 2 5 12 2 3 2" xfId="34582" xr:uid="{00000000-0005-0000-0000-0000723E0000}"/>
    <cellStyle name="Normal 2 5 12 2 4" xfId="17815" xr:uid="{00000000-0005-0000-0000-0000733E0000}"/>
    <cellStyle name="Normal 2 5 12 2 4 2" xfId="43368" xr:uid="{00000000-0005-0000-0000-0000743E0000}"/>
    <cellStyle name="Normal 2 5 12 2 5" xfId="29305" xr:uid="{00000000-0005-0000-0000-0000753E0000}"/>
    <cellStyle name="Normal 2 5 12 3" xfId="4889" xr:uid="{00000000-0005-0000-0000-0000763E0000}"/>
    <cellStyle name="Normal 2 5 12 3 2" xfId="13726" xr:uid="{00000000-0005-0000-0000-0000773E0000}"/>
    <cellStyle name="Normal 2 5 12 3 2 2" xfId="23977" xr:uid="{00000000-0005-0000-0000-0000783E0000}"/>
    <cellStyle name="Normal 2 5 12 3 2 2 2" xfId="49530" xr:uid="{00000000-0005-0000-0000-0000793E0000}"/>
    <cellStyle name="Normal 2 5 12 3 2 3" xfId="39281" xr:uid="{00000000-0005-0000-0000-00007A3E0000}"/>
    <cellStyle name="Normal 2 5 12 3 3" xfId="10147" xr:uid="{00000000-0005-0000-0000-00007B3E0000}"/>
    <cellStyle name="Normal 2 5 12 3 3 2" xfId="35704" xr:uid="{00000000-0005-0000-0000-00007C3E0000}"/>
    <cellStyle name="Normal 2 5 12 3 4" xfId="18970" xr:uid="{00000000-0005-0000-0000-00007D3E0000}"/>
    <cellStyle name="Normal 2 5 12 3 4 2" xfId="44523" xr:uid="{00000000-0005-0000-0000-00007E3E0000}"/>
    <cellStyle name="Normal 2 5 12 3 5" xfId="30460" xr:uid="{00000000-0005-0000-0000-00007F3E0000}"/>
    <cellStyle name="Normal 2 5 12 4" xfId="1710" xr:uid="{00000000-0005-0000-0000-0000803E0000}"/>
    <cellStyle name="Normal 2 5 12 4 2" xfId="11087" xr:uid="{00000000-0005-0000-0000-0000813E0000}"/>
    <cellStyle name="Normal 2 5 12 4 2 2" xfId="36642" xr:uid="{00000000-0005-0000-0000-0000823E0000}"/>
    <cellStyle name="Normal 2 5 12 4 3" xfId="21091" xr:uid="{00000000-0005-0000-0000-0000833E0000}"/>
    <cellStyle name="Normal 2 5 12 4 3 2" xfId="46644" xr:uid="{00000000-0005-0000-0000-0000843E0000}"/>
    <cellStyle name="Normal 2 5 12 4 4" xfId="27574" xr:uid="{00000000-0005-0000-0000-0000853E0000}"/>
    <cellStyle name="Normal 2 5 12 5" xfId="6344" xr:uid="{00000000-0005-0000-0000-0000863E0000}"/>
    <cellStyle name="Normal 2 5 12 5 2" xfId="15171" xr:uid="{00000000-0005-0000-0000-0000873E0000}"/>
    <cellStyle name="Normal 2 5 12 5 2 2" xfId="40726" xr:uid="{00000000-0005-0000-0000-0000883E0000}"/>
    <cellStyle name="Normal 2 5 12 5 3" xfId="25422" xr:uid="{00000000-0005-0000-0000-0000893E0000}"/>
    <cellStyle name="Normal 2 5 12 5 3 2" xfId="50975" xr:uid="{00000000-0005-0000-0000-00008A3E0000}"/>
    <cellStyle name="Normal 2 5 12 5 4" xfId="31905" xr:uid="{00000000-0005-0000-0000-00008B3E0000}"/>
    <cellStyle name="Normal 2 5 12 6" xfId="7790" xr:uid="{00000000-0005-0000-0000-00008C3E0000}"/>
    <cellStyle name="Normal 2 5 12 6 2" xfId="20421" xr:uid="{00000000-0005-0000-0000-00008D3E0000}"/>
    <cellStyle name="Normal 2 5 12 6 2 2" xfId="45974" xr:uid="{00000000-0005-0000-0000-00008E3E0000}"/>
    <cellStyle name="Normal 2 5 12 6 3" xfId="33347" xr:uid="{00000000-0005-0000-0000-00008F3E0000}"/>
    <cellStyle name="Normal 2 5 12 7" xfId="16084" xr:uid="{00000000-0005-0000-0000-0000903E0000}"/>
    <cellStyle name="Normal 2 5 12 7 2" xfId="41637" xr:uid="{00000000-0005-0000-0000-0000913E0000}"/>
    <cellStyle name="Normal 2 5 12 8" xfId="26904" xr:uid="{00000000-0005-0000-0000-0000923E0000}"/>
    <cellStyle name="Normal 2 5 13" xfId="2610" xr:uid="{00000000-0005-0000-0000-0000933E0000}"/>
    <cellStyle name="Normal 2 5 13 2" xfId="5130" xr:uid="{00000000-0005-0000-0000-0000943E0000}"/>
    <cellStyle name="Normal 2 5 13 2 2" xfId="13967" xr:uid="{00000000-0005-0000-0000-0000953E0000}"/>
    <cellStyle name="Normal 2 5 13 2 2 2" xfId="24218" xr:uid="{00000000-0005-0000-0000-0000963E0000}"/>
    <cellStyle name="Normal 2 5 13 2 2 2 2" xfId="49771" xr:uid="{00000000-0005-0000-0000-0000973E0000}"/>
    <cellStyle name="Normal 2 5 13 2 2 3" xfId="39522" xr:uid="{00000000-0005-0000-0000-0000983E0000}"/>
    <cellStyle name="Normal 2 5 13 2 3" xfId="10388" xr:uid="{00000000-0005-0000-0000-0000993E0000}"/>
    <cellStyle name="Normal 2 5 13 2 3 2" xfId="35945" xr:uid="{00000000-0005-0000-0000-00009A3E0000}"/>
    <cellStyle name="Normal 2 5 13 2 4" xfId="19211" xr:uid="{00000000-0005-0000-0000-00009B3E0000}"/>
    <cellStyle name="Normal 2 5 13 2 4 2" xfId="44764" xr:uid="{00000000-0005-0000-0000-00009C3E0000}"/>
    <cellStyle name="Normal 2 5 13 2 5" xfId="30701" xr:uid="{00000000-0005-0000-0000-00009D3E0000}"/>
    <cellStyle name="Normal 2 5 13 3" xfId="6585" xr:uid="{00000000-0005-0000-0000-00009E3E0000}"/>
    <cellStyle name="Normal 2 5 13 3 2" xfId="15412" xr:uid="{00000000-0005-0000-0000-00009F3E0000}"/>
    <cellStyle name="Normal 2 5 13 3 2 2" xfId="40967" xr:uid="{00000000-0005-0000-0000-0000A03E0000}"/>
    <cellStyle name="Normal 2 5 13 3 3" xfId="25663" xr:uid="{00000000-0005-0000-0000-0000A13E0000}"/>
    <cellStyle name="Normal 2 5 13 3 3 2" xfId="51216" xr:uid="{00000000-0005-0000-0000-0000A23E0000}"/>
    <cellStyle name="Normal 2 5 13 3 4" xfId="32146" xr:uid="{00000000-0005-0000-0000-0000A33E0000}"/>
    <cellStyle name="Normal 2 5 13 4" xfId="8031" xr:uid="{00000000-0005-0000-0000-0000A43E0000}"/>
    <cellStyle name="Normal 2 5 13 4 2" xfId="21974" xr:uid="{00000000-0005-0000-0000-0000A53E0000}"/>
    <cellStyle name="Normal 2 5 13 4 2 2" xfId="47527" xr:uid="{00000000-0005-0000-0000-0000A63E0000}"/>
    <cellStyle name="Normal 2 5 13 4 3" xfId="33588" xr:uid="{00000000-0005-0000-0000-0000A73E0000}"/>
    <cellStyle name="Normal 2 5 13 5" xfId="16967" xr:uid="{00000000-0005-0000-0000-0000A83E0000}"/>
    <cellStyle name="Normal 2 5 13 5 2" xfId="42520" xr:uid="{00000000-0005-0000-0000-0000A93E0000}"/>
    <cellStyle name="Normal 2 5 13 6" xfId="28457" xr:uid="{00000000-0005-0000-0000-0000AA3E0000}"/>
    <cellStyle name="Normal 2 5 14" xfId="4083" xr:uid="{00000000-0005-0000-0000-0000AB3E0000}"/>
    <cellStyle name="Normal 2 5 14 2" xfId="5542" xr:uid="{00000000-0005-0000-0000-0000AC3E0000}"/>
    <cellStyle name="Normal 2 5 14 2 2" xfId="14369" xr:uid="{00000000-0005-0000-0000-0000AD3E0000}"/>
    <cellStyle name="Normal 2 5 14 2 2 2" xfId="39924" xr:uid="{00000000-0005-0000-0000-0000AE3E0000}"/>
    <cellStyle name="Normal 2 5 14 2 3" xfId="24620" xr:uid="{00000000-0005-0000-0000-0000AF3E0000}"/>
    <cellStyle name="Normal 2 5 14 2 3 2" xfId="50173" xr:uid="{00000000-0005-0000-0000-0000B03E0000}"/>
    <cellStyle name="Normal 2 5 14 2 4" xfId="31103" xr:uid="{00000000-0005-0000-0000-0000B13E0000}"/>
    <cellStyle name="Normal 2 5 14 3" xfId="6986" xr:uid="{00000000-0005-0000-0000-0000B23E0000}"/>
    <cellStyle name="Normal 2 5 14 3 2" xfId="23172" xr:uid="{00000000-0005-0000-0000-0000B33E0000}"/>
    <cellStyle name="Normal 2 5 14 3 2 2" xfId="48725" xr:uid="{00000000-0005-0000-0000-0000B43E0000}"/>
    <cellStyle name="Normal 2 5 14 3 3" xfId="32543" xr:uid="{00000000-0005-0000-0000-0000B53E0000}"/>
    <cellStyle name="Normal 2 5 14 4" xfId="18165" xr:uid="{00000000-0005-0000-0000-0000B63E0000}"/>
    <cellStyle name="Normal 2 5 14 4 2" xfId="43718" xr:uid="{00000000-0005-0000-0000-0000B73E0000}"/>
    <cellStyle name="Normal 2 5 14 5" xfId="29655" xr:uid="{00000000-0005-0000-0000-0000B83E0000}"/>
    <cellStyle name="Normal 2 5 15" xfId="1390" xr:uid="{00000000-0005-0000-0000-0000B93E0000}"/>
    <cellStyle name="Normal 2 5 15 2" xfId="10767" xr:uid="{00000000-0005-0000-0000-0000BA3E0000}"/>
    <cellStyle name="Normal 2 5 15 2 2" xfId="36322" xr:uid="{00000000-0005-0000-0000-0000BB3E0000}"/>
    <cellStyle name="Normal 2 5 15 3" xfId="20771" xr:uid="{00000000-0005-0000-0000-0000BC3E0000}"/>
    <cellStyle name="Normal 2 5 15 3 2" xfId="46324" xr:uid="{00000000-0005-0000-0000-0000BD3E0000}"/>
    <cellStyle name="Normal 2 5 15 4" xfId="27254" xr:uid="{00000000-0005-0000-0000-0000BE3E0000}"/>
    <cellStyle name="Normal 2 5 16" xfId="5502" xr:uid="{00000000-0005-0000-0000-0000BF3E0000}"/>
    <cellStyle name="Normal 2 5 16 2" xfId="14329" xr:uid="{00000000-0005-0000-0000-0000C03E0000}"/>
    <cellStyle name="Normal 2 5 16 2 2" xfId="39884" xr:uid="{00000000-0005-0000-0000-0000C13E0000}"/>
    <cellStyle name="Normal 2 5 16 3" xfId="24580" xr:uid="{00000000-0005-0000-0000-0000C23E0000}"/>
    <cellStyle name="Normal 2 5 16 3 2" xfId="50133" xr:uid="{00000000-0005-0000-0000-0000C33E0000}"/>
    <cellStyle name="Normal 2 5 16 4" xfId="31063" xr:uid="{00000000-0005-0000-0000-0000C43E0000}"/>
    <cellStyle name="Normal 2 5 17" xfId="6941" xr:uid="{00000000-0005-0000-0000-0000C53E0000}"/>
    <cellStyle name="Normal 2 5 17 2" xfId="19574" xr:uid="{00000000-0005-0000-0000-0000C63E0000}"/>
    <cellStyle name="Normal 2 5 17 2 2" xfId="45127" xr:uid="{00000000-0005-0000-0000-0000C73E0000}"/>
    <cellStyle name="Normal 2 5 17 3" xfId="32499" xr:uid="{00000000-0005-0000-0000-0000C83E0000}"/>
    <cellStyle name="Normal 2 5 18" xfId="15764" xr:uid="{00000000-0005-0000-0000-0000C93E0000}"/>
    <cellStyle name="Normal 2 5 18 2" xfId="41317" xr:uid="{00000000-0005-0000-0000-0000CA3E0000}"/>
    <cellStyle name="Normal 2 5 19" xfId="26057" xr:uid="{00000000-0005-0000-0000-0000CB3E0000}"/>
    <cellStyle name="Normal 2 5 2" xfId="114" xr:uid="{00000000-0005-0000-0000-0000CC3E0000}"/>
    <cellStyle name="Normal 2 5 2 10" xfId="2624" xr:uid="{00000000-0005-0000-0000-0000CD3E0000}"/>
    <cellStyle name="Normal 2 5 2 10 2" xfId="5138" xr:uid="{00000000-0005-0000-0000-0000CE3E0000}"/>
    <cellStyle name="Normal 2 5 2 10 2 2" xfId="13975" xr:uid="{00000000-0005-0000-0000-0000CF3E0000}"/>
    <cellStyle name="Normal 2 5 2 10 2 2 2" xfId="24226" xr:uid="{00000000-0005-0000-0000-0000D03E0000}"/>
    <cellStyle name="Normal 2 5 2 10 2 2 2 2" xfId="49779" xr:uid="{00000000-0005-0000-0000-0000D13E0000}"/>
    <cellStyle name="Normal 2 5 2 10 2 2 3" xfId="39530" xr:uid="{00000000-0005-0000-0000-0000D23E0000}"/>
    <cellStyle name="Normal 2 5 2 10 2 3" xfId="10396" xr:uid="{00000000-0005-0000-0000-0000D33E0000}"/>
    <cellStyle name="Normal 2 5 2 10 2 3 2" xfId="35953" xr:uid="{00000000-0005-0000-0000-0000D43E0000}"/>
    <cellStyle name="Normal 2 5 2 10 2 4" xfId="19219" xr:uid="{00000000-0005-0000-0000-0000D53E0000}"/>
    <cellStyle name="Normal 2 5 2 10 2 4 2" xfId="44772" xr:uid="{00000000-0005-0000-0000-0000D63E0000}"/>
    <cellStyle name="Normal 2 5 2 10 2 5" xfId="30709" xr:uid="{00000000-0005-0000-0000-0000D73E0000}"/>
    <cellStyle name="Normal 2 5 2 10 3" xfId="6593" xr:uid="{00000000-0005-0000-0000-0000D83E0000}"/>
    <cellStyle name="Normal 2 5 2 10 3 2" xfId="15420" xr:uid="{00000000-0005-0000-0000-0000D93E0000}"/>
    <cellStyle name="Normal 2 5 2 10 3 2 2" xfId="40975" xr:uid="{00000000-0005-0000-0000-0000DA3E0000}"/>
    <cellStyle name="Normal 2 5 2 10 3 3" xfId="25671" xr:uid="{00000000-0005-0000-0000-0000DB3E0000}"/>
    <cellStyle name="Normal 2 5 2 10 3 3 2" xfId="51224" xr:uid="{00000000-0005-0000-0000-0000DC3E0000}"/>
    <cellStyle name="Normal 2 5 2 10 3 4" xfId="32154" xr:uid="{00000000-0005-0000-0000-0000DD3E0000}"/>
    <cellStyle name="Normal 2 5 2 10 4" xfId="8039" xr:uid="{00000000-0005-0000-0000-0000DE3E0000}"/>
    <cellStyle name="Normal 2 5 2 10 4 2" xfId="21987" xr:uid="{00000000-0005-0000-0000-0000DF3E0000}"/>
    <cellStyle name="Normal 2 5 2 10 4 2 2" xfId="47540" xr:uid="{00000000-0005-0000-0000-0000E03E0000}"/>
    <cellStyle name="Normal 2 5 2 10 4 3" xfId="33596" xr:uid="{00000000-0005-0000-0000-0000E13E0000}"/>
    <cellStyle name="Normal 2 5 2 10 5" xfId="16980" xr:uid="{00000000-0005-0000-0000-0000E23E0000}"/>
    <cellStyle name="Normal 2 5 2 10 5 2" xfId="42533" xr:uid="{00000000-0005-0000-0000-0000E33E0000}"/>
    <cellStyle name="Normal 2 5 2 10 6" xfId="28470" xr:uid="{00000000-0005-0000-0000-0000E43E0000}"/>
    <cellStyle name="Normal 2 5 2 11" xfId="4092" xr:uid="{00000000-0005-0000-0000-0000E53E0000}"/>
    <cellStyle name="Normal 2 5 2 11 2" xfId="5550" xr:uid="{00000000-0005-0000-0000-0000E63E0000}"/>
    <cellStyle name="Normal 2 5 2 11 2 2" xfId="14377" xr:uid="{00000000-0005-0000-0000-0000E73E0000}"/>
    <cellStyle name="Normal 2 5 2 11 2 2 2" xfId="39932" xr:uid="{00000000-0005-0000-0000-0000E83E0000}"/>
    <cellStyle name="Normal 2 5 2 11 2 3" xfId="24628" xr:uid="{00000000-0005-0000-0000-0000E93E0000}"/>
    <cellStyle name="Normal 2 5 2 11 2 3 2" xfId="50181" xr:uid="{00000000-0005-0000-0000-0000EA3E0000}"/>
    <cellStyle name="Normal 2 5 2 11 2 4" xfId="31111" xr:uid="{00000000-0005-0000-0000-0000EB3E0000}"/>
    <cellStyle name="Normal 2 5 2 11 3" xfId="6994" xr:uid="{00000000-0005-0000-0000-0000EC3E0000}"/>
    <cellStyle name="Normal 2 5 2 11 3 2" xfId="23181" xr:uid="{00000000-0005-0000-0000-0000ED3E0000}"/>
    <cellStyle name="Normal 2 5 2 11 3 2 2" xfId="48734" xr:uid="{00000000-0005-0000-0000-0000EE3E0000}"/>
    <cellStyle name="Normal 2 5 2 11 3 3" xfId="32551" xr:uid="{00000000-0005-0000-0000-0000EF3E0000}"/>
    <cellStyle name="Normal 2 5 2 11 4" xfId="18174" xr:uid="{00000000-0005-0000-0000-0000F03E0000}"/>
    <cellStyle name="Normal 2 5 2 11 4 2" xfId="43727" xr:uid="{00000000-0005-0000-0000-0000F13E0000}"/>
    <cellStyle name="Normal 2 5 2 11 5" xfId="29664" xr:uid="{00000000-0005-0000-0000-0000F23E0000}"/>
    <cellStyle name="Normal 2 5 2 12" xfId="1398" xr:uid="{00000000-0005-0000-0000-0000F33E0000}"/>
    <cellStyle name="Normal 2 5 2 12 2" xfId="10775" xr:uid="{00000000-0005-0000-0000-0000F43E0000}"/>
    <cellStyle name="Normal 2 5 2 12 2 2" xfId="36330" xr:uid="{00000000-0005-0000-0000-0000F53E0000}"/>
    <cellStyle name="Normal 2 5 2 12 3" xfId="20779" xr:uid="{00000000-0005-0000-0000-0000F63E0000}"/>
    <cellStyle name="Normal 2 5 2 12 3 2" xfId="46332" xr:uid="{00000000-0005-0000-0000-0000F73E0000}"/>
    <cellStyle name="Normal 2 5 2 12 4" xfId="27262" xr:uid="{00000000-0005-0000-0000-0000F83E0000}"/>
    <cellStyle name="Normal 2 5 2 13" xfId="5510" xr:uid="{00000000-0005-0000-0000-0000F93E0000}"/>
    <cellStyle name="Normal 2 5 2 13 2" xfId="14337" xr:uid="{00000000-0005-0000-0000-0000FA3E0000}"/>
    <cellStyle name="Normal 2 5 2 13 2 2" xfId="39892" xr:uid="{00000000-0005-0000-0000-0000FB3E0000}"/>
    <cellStyle name="Normal 2 5 2 13 3" xfId="24588" xr:uid="{00000000-0005-0000-0000-0000FC3E0000}"/>
    <cellStyle name="Normal 2 5 2 13 3 2" xfId="50141" xr:uid="{00000000-0005-0000-0000-0000FD3E0000}"/>
    <cellStyle name="Normal 2 5 2 13 4" xfId="31071" xr:uid="{00000000-0005-0000-0000-0000FE3E0000}"/>
    <cellStyle name="Normal 2 5 2 14" xfId="6950" xr:uid="{00000000-0005-0000-0000-0000FF3E0000}"/>
    <cellStyle name="Normal 2 5 2 14 2" xfId="19587" xr:uid="{00000000-0005-0000-0000-0000003F0000}"/>
    <cellStyle name="Normal 2 5 2 14 2 2" xfId="45140" xr:uid="{00000000-0005-0000-0000-0000013F0000}"/>
    <cellStyle name="Normal 2 5 2 14 3" xfId="32508" xr:uid="{00000000-0005-0000-0000-0000023F0000}"/>
    <cellStyle name="Normal 2 5 2 15" xfId="15772" xr:uid="{00000000-0005-0000-0000-0000033F0000}"/>
    <cellStyle name="Normal 2 5 2 15 2" xfId="41325" xr:uid="{00000000-0005-0000-0000-0000043F0000}"/>
    <cellStyle name="Normal 2 5 2 16" xfId="26070" xr:uid="{00000000-0005-0000-0000-0000053F0000}"/>
    <cellStyle name="Normal 2 5 2 2" xfId="158" xr:uid="{00000000-0005-0000-0000-0000063F0000}"/>
    <cellStyle name="Normal 2 5 2 2 10" xfId="1423" xr:uid="{00000000-0005-0000-0000-0000073F0000}"/>
    <cellStyle name="Normal 2 5 2 2 10 2" xfId="10800" xr:uid="{00000000-0005-0000-0000-0000083F0000}"/>
    <cellStyle name="Normal 2 5 2 2 10 2 2" xfId="36355" xr:uid="{00000000-0005-0000-0000-0000093F0000}"/>
    <cellStyle name="Normal 2 5 2 2 10 3" xfId="20804" xr:uid="{00000000-0005-0000-0000-00000A3F0000}"/>
    <cellStyle name="Normal 2 5 2 2 10 3 2" xfId="46357" xr:uid="{00000000-0005-0000-0000-00000B3F0000}"/>
    <cellStyle name="Normal 2 5 2 2 10 4" xfId="27287" xr:uid="{00000000-0005-0000-0000-00000C3F0000}"/>
    <cellStyle name="Normal 2 5 2 2 11" xfId="5532" xr:uid="{00000000-0005-0000-0000-00000D3F0000}"/>
    <cellStyle name="Normal 2 5 2 2 11 2" xfId="14359" xr:uid="{00000000-0005-0000-0000-00000E3F0000}"/>
    <cellStyle name="Normal 2 5 2 2 11 2 2" xfId="39914" xr:uid="{00000000-0005-0000-0000-00000F3F0000}"/>
    <cellStyle name="Normal 2 5 2 2 11 3" xfId="24610" xr:uid="{00000000-0005-0000-0000-0000103F0000}"/>
    <cellStyle name="Normal 2 5 2 2 11 3 2" xfId="50163" xr:uid="{00000000-0005-0000-0000-0000113F0000}"/>
    <cellStyle name="Normal 2 5 2 2 11 4" xfId="31093" xr:uid="{00000000-0005-0000-0000-0000123F0000}"/>
    <cellStyle name="Normal 2 5 2 2 12" xfId="6976" xr:uid="{00000000-0005-0000-0000-0000133F0000}"/>
    <cellStyle name="Normal 2 5 2 2 12 2" xfId="19617" xr:uid="{00000000-0005-0000-0000-0000143F0000}"/>
    <cellStyle name="Normal 2 5 2 2 12 2 2" xfId="45170" xr:uid="{00000000-0005-0000-0000-0000153F0000}"/>
    <cellStyle name="Normal 2 5 2 2 12 3" xfId="32533" xr:uid="{00000000-0005-0000-0000-0000163F0000}"/>
    <cellStyle name="Normal 2 5 2 2 13" xfId="15797" xr:uid="{00000000-0005-0000-0000-0000173F0000}"/>
    <cellStyle name="Normal 2 5 2 2 13 2" xfId="41350" xr:uid="{00000000-0005-0000-0000-0000183F0000}"/>
    <cellStyle name="Normal 2 5 2 2 14" xfId="26100" xr:uid="{00000000-0005-0000-0000-0000193F0000}"/>
    <cellStyle name="Normal 2 5 2 2 2" xfId="205" xr:uid="{00000000-0005-0000-0000-00001A3F0000}"/>
    <cellStyle name="Normal 2 5 2 2 2 10" xfId="7151" xr:uid="{00000000-0005-0000-0000-00001B3F0000}"/>
    <cellStyle name="Normal 2 5 2 2 2 10 2" xfId="19660" xr:uid="{00000000-0005-0000-0000-00001C3F0000}"/>
    <cellStyle name="Normal 2 5 2 2 2 10 2 2" xfId="45213" xr:uid="{00000000-0005-0000-0000-00001D3F0000}"/>
    <cellStyle name="Normal 2 5 2 2 2 10 3" xfId="32708" xr:uid="{00000000-0005-0000-0000-00001E3F0000}"/>
    <cellStyle name="Normal 2 5 2 2 2 11" xfId="15897" xr:uid="{00000000-0005-0000-0000-00001F3F0000}"/>
    <cellStyle name="Normal 2 5 2 2 2 11 2" xfId="41450" xr:uid="{00000000-0005-0000-0000-0000203F0000}"/>
    <cellStyle name="Normal 2 5 2 2 2 12" xfId="26143" xr:uid="{00000000-0005-0000-0000-0000213F0000}"/>
    <cellStyle name="Normal 2 5 2 2 2 2" xfId="531" xr:uid="{00000000-0005-0000-0000-0000223F0000}"/>
    <cellStyle name="Normal 2 5 2 2 2 2 10" xfId="26460" xr:uid="{00000000-0005-0000-0000-0000233F0000}"/>
    <cellStyle name="Normal 2 5 2 2 2 2 2" xfId="730" xr:uid="{00000000-0005-0000-0000-0000243F0000}"/>
    <cellStyle name="Normal 2 5 2 2 2 2 2 2" xfId="3216" xr:uid="{00000000-0005-0000-0000-0000253F0000}"/>
    <cellStyle name="Normal 2 5 2 2 2 2 2 2 2" xfId="12358" xr:uid="{00000000-0005-0000-0000-0000263F0000}"/>
    <cellStyle name="Normal 2 5 2 2 2 2 2 2 2 2" xfId="22577" xr:uid="{00000000-0005-0000-0000-0000273F0000}"/>
    <cellStyle name="Normal 2 5 2 2 2 2 2 2 2 2 2" xfId="48130" xr:uid="{00000000-0005-0000-0000-0000283F0000}"/>
    <cellStyle name="Normal 2 5 2 2 2 2 2 2 2 3" xfId="37913" xr:uid="{00000000-0005-0000-0000-0000293F0000}"/>
    <cellStyle name="Normal 2 5 2 2 2 2 2 2 3" xfId="8780" xr:uid="{00000000-0005-0000-0000-00002A3F0000}"/>
    <cellStyle name="Normal 2 5 2 2 2 2 2 2 3 2" xfId="34337" xr:uid="{00000000-0005-0000-0000-00002B3F0000}"/>
    <cellStyle name="Normal 2 5 2 2 2 2 2 2 4" xfId="17570" xr:uid="{00000000-0005-0000-0000-00002C3F0000}"/>
    <cellStyle name="Normal 2 5 2 2 2 2 2 2 4 2" xfId="43123" xr:uid="{00000000-0005-0000-0000-00002D3F0000}"/>
    <cellStyle name="Normal 2 5 2 2 2 2 2 2 5" xfId="29060" xr:uid="{00000000-0005-0000-0000-00002E3F0000}"/>
    <cellStyle name="Normal 2 5 2 2 2 2 2 3" xfId="4545" xr:uid="{00000000-0005-0000-0000-00002F3F0000}"/>
    <cellStyle name="Normal 2 5 2 2 2 2 2 3 2" xfId="13383" xr:uid="{00000000-0005-0000-0000-0000303F0000}"/>
    <cellStyle name="Normal 2 5 2 2 2 2 2 3 2 2" xfId="23634" xr:uid="{00000000-0005-0000-0000-0000313F0000}"/>
    <cellStyle name="Normal 2 5 2 2 2 2 2 3 2 2 2" xfId="49187" xr:uid="{00000000-0005-0000-0000-0000323F0000}"/>
    <cellStyle name="Normal 2 5 2 2 2 2 2 3 2 3" xfId="38938" xr:uid="{00000000-0005-0000-0000-0000333F0000}"/>
    <cellStyle name="Normal 2 5 2 2 2 2 2 3 3" xfId="9804" xr:uid="{00000000-0005-0000-0000-0000343F0000}"/>
    <cellStyle name="Normal 2 5 2 2 2 2 2 3 3 2" xfId="35361" xr:uid="{00000000-0005-0000-0000-0000353F0000}"/>
    <cellStyle name="Normal 2 5 2 2 2 2 2 3 4" xfId="18627" xr:uid="{00000000-0005-0000-0000-0000363F0000}"/>
    <cellStyle name="Normal 2 5 2 2 2 2 2 3 4 2" xfId="44180" xr:uid="{00000000-0005-0000-0000-0000373F0000}"/>
    <cellStyle name="Normal 2 5 2 2 2 2 2 3 5" xfId="30117" xr:uid="{00000000-0005-0000-0000-0000383F0000}"/>
    <cellStyle name="Normal 2 5 2 2 2 2 2 4" xfId="2325" xr:uid="{00000000-0005-0000-0000-0000393F0000}"/>
    <cellStyle name="Normal 2 5 2 2 2 2 2 4 2" xfId="11690" xr:uid="{00000000-0005-0000-0000-00003A3F0000}"/>
    <cellStyle name="Normal 2 5 2 2 2 2 2 4 2 2" xfId="37245" xr:uid="{00000000-0005-0000-0000-00003B3F0000}"/>
    <cellStyle name="Normal 2 5 2 2 2 2 2 4 3" xfId="21694" xr:uid="{00000000-0005-0000-0000-00003C3F0000}"/>
    <cellStyle name="Normal 2 5 2 2 2 2 2 4 3 2" xfId="47247" xr:uid="{00000000-0005-0000-0000-00003D3F0000}"/>
    <cellStyle name="Normal 2 5 2 2 2 2 2 4 4" xfId="28177" xr:uid="{00000000-0005-0000-0000-00003E3F0000}"/>
    <cellStyle name="Normal 2 5 2 2 2 2 2 5" xfId="6001" xr:uid="{00000000-0005-0000-0000-00003F3F0000}"/>
    <cellStyle name="Normal 2 5 2 2 2 2 2 5 2" xfId="14828" xr:uid="{00000000-0005-0000-0000-0000403F0000}"/>
    <cellStyle name="Normal 2 5 2 2 2 2 2 5 2 2" xfId="40383" xr:uid="{00000000-0005-0000-0000-0000413F0000}"/>
    <cellStyle name="Normal 2 5 2 2 2 2 2 5 3" xfId="25079" xr:uid="{00000000-0005-0000-0000-0000423F0000}"/>
    <cellStyle name="Normal 2 5 2 2 2 2 2 5 3 2" xfId="50632" xr:uid="{00000000-0005-0000-0000-0000433F0000}"/>
    <cellStyle name="Normal 2 5 2 2 2 2 2 5 4" xfId="31562" xr:uid="{00000000-0005-0000-0000-0000443F0000}"/>
    <cellStyle name="Normal 2 5 2 2 2 2 2 6" xfId="7445" xr:uid="{00000000-0005-0000-0000-0000453F0000}"/>
    <cellStyle name="Normal 2 5 2 2 2 2 2 6 2" xfId="20176" xr:uid="{00000000-0005-0000-0000-0000463F0000}"/>
    <cellStyle name="Normal 2 5 2 2 2 2 2 6 2 2" xfId="45729" xr:uid="{00000000-0005-0000-0000-0000473F0000}"/>
    <cellStyle name="Normal 2 5 2 2 2 2 2 6 3" xfId="33002" xr:uid="{00000000-0005-0000-0000-0000483F0000}"/>
    <cellStyle name="Normal 2 5 2 2 2 2 2 7" xfId="16687" xr:uid="{00000000-0005-0000-0000-0000493F0000}"/>
    <cellStyle name="Normal 2 5 2 2 2 2 2 7 2" xfId="42240" xr:uid="{00000000-0005-0000-0000-00004A3F0000}"/>
    <cellStyle name="Normal 2 5 2 2 2 2 2 8" xfId="26659" xr:uid="{00000000-0005-0000-0000-00004B3F0000}"/>
    <cellStyle name="Normal 2 5 2 2 2 2 3" xfId="1303" xr:uid="{00000000-0005-0000-0000-00004C3F0000}"/>
    <cellStyle name="Normal 2 5 2 2 2 2 3 2" xfId="3732" xr:uid="{00000000-0005-0000-0000-00004D3F0000}"/>
    <cellStyle name="Normal 2 5 2 2 2 2 3 2 2" xfId="12868" xr:uid="{00000000-0005-0000-0000-00004E3F0000}"/>
    <cellStyle name="Normal 2 5 2 2 2 2 3 2 2 2" xfId="23087" xr:uid="{00000000-0005-0000-0000-00004F3F0000}"/>
    <cellStyle name="Normal 2 5 2 2 2 2 3 2 2 2 2" xfId="48640" xr:uid="{00000000-0005-0000-0000-0000503F0000}"/>
    <cellStyle name="Normal 2 5 2 2 2 2 3 2 2 3" xfId="38423" xr:uid="{00000000-0005-0000-0000-0000513F0000}"/>
    <cellStyle name="Normal 2 5 2 2 2 2 3 2 3" xfId="9289" xr:uid="{00000000-0005-0000-0000-0000523F0000}"/>
    <cellStyle name="Normal 2 5 2 2 2 2 3 2 3 2" xfId="34846" xr:uid="{00000000-0005-0000-0000-0000533F0000}"/>
    <cellStyle name="Normal 2 5 2 2 2 2 3 2 4" xfId="18080" xr:uid="{00000000-0005-0000-0000-0000543F0000}"/>
    <cellStyle name="Normal 2 5 2 2 2 2 3 2 4 2" xfId="43633" xr:uid="{00000000-0005-0000-0000-0000553F0000}"/>
    <cellStyle name="Normal 2 5 2 2 2 2 3 2 5" xfId="29570" xr:uid="{00000000-0005-0000-0000-0000563F0000}"/>
    <cellStyle name="Normal 2 5 2 2 2 2 3 3" xfId="4894" xr:uid="{00000000-0005-0000-0000-0000573F0000}"/>
    <cellStyle name="Normal 2 5 2 2 2 2 3 3 2" xfId="13731" xr:uid="{00000000-0005-0000-0000-0000583F0000}"/>
    <cellStyle name="Normal 2 5 2 2 2 2 3 3 2 2" xfId="23982" xr:uid="{00000000-0005-0000-0000-0000593F0000}"/>
    <cellStyle name="Normal 2 5 2 2 2 2 3 3 2 2 2" xfId="49535" xr:uid="{00000000-0005-0000-0000-00005A3F0000}"/>
    <cellStyle name="Normal 2 5 2 2 2 2 3 3 2 3" xfId="39286" xr:uid="{00000000-0005-0000-0000-00005B3F0000}"/>
    <cellStyle name="Normal 2 5 2 2 2 2 3 3 3" xfId="10152" xr:uid="{00000000-0005-0000-0000-00005C3F0000}"/>
    <cellStyle name="Normal 2 5 2 2 2 2 3 3 3 2" xfId="35709" xr:uid="{00000000-0005-0000-0000-00005D3F0000}"/>
    <cellStyle name="Normal 2 5 2 2 2 2 3 3 4" xfId="18975" xr:uid="{00000000-0005-0000-0000-00005E3F0000}"/>
    <cellStyle name="Normal 2 5 2 2 2 2 3 3 4 2" xfId="44528" xr:uid="{00000000-0005-0000-0000-00005F3F0000}"/>
    <cellStyle name="Normal 2 5 2 2 2 2 3 3 5" xfId="30465" xr:uid="{00000000-0005-0000-0000-0000603F0000}"/>
    <cellStyle name="Normal 2 5 2 2 2 2 3 4" xfId="2126" xr:uid="{00000000-0005-0000-0000-0000613F0000}"/>
    <cellStyle name="Normal 2 5 2 2 2 2 3 4 2" xfId="11491" xr:uid="{00000000-0005-0000-0000-0000623F0000}"/>
    <cellStyle name="Normal 2 5 2 2 2 2 3 4 2 2" xfId="37046" xr:uid="{00000000-0005-0000-0000-0000633F0000}"/>
    <cellStyle name="Normal 2 5 2 2 2 2 3 4 3" xfId="21495" xr:uid="{00000000-0005-0000-0000-0000643F0000}"/>
    <cellStyle name="Normal 2 5 2 2 2 2 3 4 3 2" xfId="47048" xr:uid="{00000000-0005-0000-0000-0000653F0000}"/>
    <cellStyle name="Normal 2 5 2 2 2 2 3 4 4" xfId="27978" xr:uid="{00000000-0005-0000-0000-0000663F0000}"/>
    <cellStyle name="Normal 2 5 2 2 2 2 3 5" xfId="6349" xr:uid="{00000000-0005-0000-0000-0000673F0000}"/>
    <cellStyle name="Normal 2 5 2 2 2 2 3 5 2" xfId="15176" xr:uid="{00000000-0005-0000-0000-0000683F0000}"/>
    <cellStyle name="Normal 2 5 2 2 2 2 3 5 2 2" xfId="40731" xr:uid="{00000000-0005-0000-0000-0000693F0000}"/>
    <cellStyle name="Normal 2 5 2 2 2 2 3 5 3" xfId="25427" xr:uid="{00000000-0005-0000-0000-00006A3F0000}"/>
    <cellStyle name="Normal 2 5 2 2 2 2 3 5 3 2" xfId="50980" xr:uid="{00000000-0005-0000-0000-00006B3F0000}"/>
    <cellStyle name="Normal 2 5 2 2 2 2 3 5 4" xfId="31910" xr:uid="{00000000-0005-0000-0000-00006C3F0000}"/>
    <cellStyle name="Normal 2 5 2 2 2 2 3 6" xfId="7795" xr:uid="{00000000-0005-0000-0000-00006D3F0000}"/>
    <cellStyle name="Normal 2 5 2 2 2 2 3 6 2" xfId="20686" xr:uid="{00000000-0005-0000-0000-00006E3F0000}"/>
    <cellStyle name="Normal 2 5 2 2 2 2 3 6 2 2" xfId="46239" xr:uid="{00000000-0005-0000-0000-00006F3F0000}"/>
    <cellStyle name="Normal 2 5 2 2 2 2 3 6 3" xfId="33352" xr:uid="{00000000-0005-0000-0000-0000703F0000}"/>
    <cellStyle name="Normal 2 5 2 2 2 2 3 7" xfId="16488" xr:uid="{00000000-0005-0000-0000-0000713F0000}"/>
    <cellStyle name="Normal 2 5 2 2 2 2 3 7 2" xfId="42041" xr:uid="{00000000-0005-0000-0000-0000723F0000}"/>
    <cellStyle name="Normal 2 5 2 2 2 2 3 8" xfId="27169" xr:uid="{00000000-0005-0000-0000-0000733F0000}"/>
    <cellStyle name="Normal 2 5 2 2 2 2 4" xfId="3017" xr:uid="{00000000-0005-0000-0000-0000743F0000}"/>
    <cellStyle name="Normal 2 5 2 2 2 2 4 2" xfId="5395" xr:uid="{00000000-0005-0000-0000-0000753F0000}"/>
    <cellStyle name="Normal 2 5 2 2 2 2 4 2 2" xfId="14232" xr:uid="{00000000-0005-0000-0000-0000763F0000}"/>
    <cellStyle name="Normal 2 5 2 2 2 2 4 2 2 2" xfId="24483" xr:uid="{00000000-0005-0000-0000-0000773F0000}"/>
    <cellStyle name="Normal 2 5 2 2 2 2 4 2 2 2 2" xfId="50036" xr:uid="{00000000-0005-0000-0000-0000783F0000}"/>
    <cellStyle name="Normal 2 5 2 2 2 2 4 2 2 3" xfId="39787" xr:uid="{00000000-0005-0000-0000-0000793F0000}"/>
    <cellStyle name="Normal 2 5 2 2 2 2 4 2 3" xfId="10653" xr:uid="{00000000-0005-0000-0000-00007A3F0000}"/>
    <cellStyle name="Normal 2 5 2 2 2 2 4 2 3 2" xfId="36210" xr:uid="{00000000-0005-0000-0000-00007B3F0000}"/>
    <cellStyle name="Normal 2 5 2 2 2 2 4 2 4" xfId="19476" xr:uid="{00000000-0005-0000-0000-00007C3F0000}"/>
    <cellStyle name="Normal 2 5 2 2 2 2 4 2 4 2" xfId="45029" xr:uid="{00000000-0005-0000-0000-00007D3F0000}"/>
    <cellStyle name="Normal 2 5 2 2 2 2 4 2 5" xfId="30966" xr:uid="{00000000-0005-0000-0000-00007E3F0000}"/>
    <cellStyle name="Normal 2 5 2 2 2 2 4 3" xfId="6850" xr:uid="{00000000-0005-0000-0000-00007F3F0000}"/>
    <cellStyle name="Normal 2 5 2 2 2 2 4 3 2" xfId="15677" xr:uid="{00000000-0005-0000-0000-0000803F0000}"/>
    <cellStyle name="Normal 2 5 2 2 2 2 4 3 2 2" xfId="41232" xr:uid="{00000000-0005-0000-0000-0000813F0000}"/>
    <cellStyle name="Normal 2 5 2 2 2 2 4 3 3" xfId="25928" xr:uid="{00000000-0005-0000-0000-0000823F0000}"/>
    <cellStyle name="Normal 2 5 2 2 2 2 4 3 3 2" xfId="51481" xr:uid="{00000000-0005-0000-0000-0000833F0000}"/>
    <cellStyle name="Normal 2 5 2 2 2 2 4 3 4" xfId="32411" xr:uid="{00000000-0005-0000-0000-0000843F0000}"/>
    <cellStyle name="Normal 2 5 2 2 2 2 4 4" xfId="8296" xr:uid="{00000000-0005-0000-0000-0000853F0000}"/>
    <cellStyle name="Normal 2 5 2 2 2 2 4 4 2" xfId="22378" xr:uid="{00000000-0005-0000-0000-0000863F0000}"/>
    <cellStyle name="Normal 2 5 2 2 2 2 4 4 2 2" xfId="47931" xr:uid="{00000000-0005-0000-0000-0000873F0000}"/>
    <cellStyle name="Normal 2 5 2 2 2 2 4 4 3" xfId="33853" xr:uid="{00000000-0005-0000-0000-0000883F0000}"/>
    <cellStyle name="Normal 2 5 2 2 2 2 4 5" xfId="17371" xr:uid="{00000000-0005-0000-0000-0000893F0000}"/>
    <cellStyle name="Normal 2 5 2 2 2 2 4 5 2" xfId="42924" xr:uid="{00000000-0005-0000-0000-00008A3F0000}"/>
    <cellStyle name="Normal 2 5 2 2 2 2 4 6" xfId="28861" xr:uid="{00000000-0005-0000-0000-00008B3F0000}"/>
    <cellStyle name="Normal 2 5 2 2 2 2 5" xfId="4351" xr:uid="{00000000-0005-0000-0000-00008C3F0000}"/>
    <cellStyle name="Normal 2 5 2 2 2 2 5 2" xfId="13189" xr:uid="{00000000-0005-0000-0000-00008D3F0000}"/>
    <cellStyle name="Normal 2 5 2 2 2 2 5 2 2" xfId="23440" xr:uid="{00000000-0005-0000-0000-00008E3F0000}"/>
    <cellStyle name="Normal 2 5 2 2 2 2 5 2 2 2" xfId="48993" xr:uid="{00000000-0005-0000-0000-00008F3F0000}"/>
    <cellStyle name="Normal 2 5 2 2 2 2 5 2 3" xfId="38744" xr:uid="{00000000-0005-0000-0000-0000903F0000}"/>
    <cellStyle name="Normal 2 5 2 2 2 2 5 3" xfId="9610" xr:uid="{00000000-0005-0000-0000-0000913F0000}"/>
    <cellStyle name="Normal 2 5 2 2 2 2 5 3 2" xfId="35167" xr:uid="{00000000-0005-0000-0000-0000923F0000}"/>
    <cellStyle name="Normal 2 5 2 2 2 2 5 4" xfId="18433" xr:uid="{00000000-0005-0000-0000-0000933F0000}"/>
    <cellStyle name="Normal 2 5 2 2 2 2 5 4 2" xfId="43986" xr:uid="{00000000-0005-0000-0000-0000943F0000}"/>
    <cellStyle name="Normal 2 5 2 2 2 2 5 5" xfId="29923" xr:uid="{00000000-0005-0000-0000-0000953F0000}"/>
    <cellStyle name="Normal 2 5 2 2 2 2 6" xfId="1623" xr:uid="{00000000-0005-0000-0000-0000963F0000}"/>
    <cellStyle name="Normal 2 5 2 2 2 2 6 2" xfId="11000" xr:uid="{00000000-0005-0000-0000-0000973F0000}"/>
    <cellStyle name="Normal 2 5 2 2 2 2 6 2 2" xfId="36555" xr:uid="{00000000-0005-0000-0000-0000983F0000}"/>
    <cellStyle name="Normal 2 5 2 2 2 2 6 3" xfId="21004" xr:uid="{00000000-0005-0000-0000-0000993F0000}"/>
    <cellStyle name="Normal 2 5 2 2 2 2 6 3 2" xfId="46557" xr:uid="{00000000-0005-0000-0000-00009A3F0000}"/>
    <cellStyle name="Normal 2 5 2 2 2 2 6 4" xfId="27487" xr:uid="{00000000-0005-0000-0000-00009B3F0000}"/>
    <cellStyle name="Normal 2 5 2 2 2 2 7" xfId="5807" xr:uid="{00000000-0005-0000-0000-00009C3F0000}"/>
    <cellStyle name="Normal 2 5 2 2 2 2 7 2" xfId="14634" xr:uid="{00000000-0005-0000-0000-00009D3F0000}"/>
    <cellStyle name="Normal 2 5 2 2 2 2 7 2 2" xfId="40189" xr:uid="{00000000-0005-0000-0000-00009E3F0000}"/>
    <cellStyle name="Normal 2 5 2 2 2 2 7 3" xfId="24885" xr:uid="{00000000-0005-0000-0000-00009F3F0000}"/>
    <cellStyle name="Normal 2 5 2 2 2 2 7 3 2" xfId="50438" xr:uid="{00000000-0005-0000-0000-0000A03F0000}"/>
    <cellStyle name="Normal 2 5 2 2 2 2 7 4" xfId="31368" xr:uid="{00000000-0005-0000-0000-0000A13F0000}"/>
    <cellStyle name="Normal 2 5 2 2 2 2 8" xfId="7251" xr:uid="{00000000-0005-0000-0000-0000A23F0000}"/>
    <cellStyle name="Normal 2 5 2 2 2 2 8 2" xfId="19977" xr:uid="{00000000-0005-0000-0000-0000A33F0000}"/>
    <cellStyle name="Normal 2 5 2 2 2 2 8 2 2" xfId="45530" xr:uid="{00000000-0005-0000-0000-0000A43F0000}"/>
    <cellStyle name="Normal 2 5 2 2 2 2 8 3" xfId="32808" xr:uid="{00000000-0005-0000-0000-0000A53F0000}"/>
    <cellStyle name="Normal 2 5 2 2 2 2 9" xfId="15997" xr:uid="{00000000-0005-0000-0000-0000A63F0000}"/>
    <cellStyle name="Normal 2 5 2 2 2 2 9 2" xfId="41550" xr:uid="{00000000-0005-0000-0000-0000A73F0000}"/>
    <cellStyle name="Normal 2 5 2 2 2 2_Degree data" xfId="3857" xr:uid="{00000000-0005-0000-0000-0000A83F0000}"/>
    <cellStyle name="Normal 2 5 2 2 2 3" xfId="431" xr:uid="{00000000-0005-0000-0000-0000A93F0000}"/>
    <cellStyle name="Normal 2 5 2 2 2 3 2" xfId="2917" xr:uid="{00000000-0005-0000-0000-0000AA3F0000}"/>
    <cellStyle name="Normal 2 5 2 2 2 3 2 2" xfId="12205" xr:uid="{00000000-0005-0000-0000-0000AB3F0000}"/>
    <cellStyle name="Normal 2 5 2 2 2 3 2 2 2" xfId="22278" xr:uid="{00000000-0005-0000-0000-0000AC3F0000}"/>
    <cellStyle name="Normal 2 5 2 2 2 3 2 2 2 2" xfId="47831" xr:uid="{00000000-0005-0000-0000-0000AD3F0000}"/>
    <cellStyle name="Normal 2 5 2 2 2 3 2 2 3" xfId="37760" xr:uid="{00000000-0005-0000-0000-0000AE3F0000}"/>
    <cellStyle name="Normal 2 5 2 2 2 3 2 3" xfId="8506" xr:uid="{00000000-0005-0000-0000-0000AF3F0000}"/>
    <cellStyle name="Normal 2 5 2 2 2 3 2 3 2" xfId="34063" xr:uid="{00000000-0005-0000-0000-0000B03F0000}"/>
    <cellStyle name="Normal 2 5 2 2 2 3 2 4" xfId="17271" xr:uid="{00000000-0005-0000-0000-0000B13F0000}"/>
    <cellStyle name="Normal 2 5 2 2 2 3 2 4 2" xfId="42824" xr:uid="{00000000-0005-0000-0000-0000B23F0000}"/>
    <cellStyle name="Normal 2 5 2 2 2 3 2 5" xfId="28761" xr:uid="{00000000-0005-0000-0000-0000B33F0000}"/>
    <cellStyle name="Normal 2 5 2 2 2 3 3" xfId="4544" xr:uid="{00000000-0005-0000-0000-0000B43F0000}"/>
    <cellStyle name="Normal 2 5 2 2 2 3 3 2" xfId="13382" xr:uid="{00000000-0005-0000-0000-0000B53F0000}"/>
    <cellStyle name="Normal 2 5 2 2 2 3 3 2 2" xfId="23633" xr:uid="{00000000-0005-0000-0000-0000B63F0000}"/>
    <cellStyle name="Normal 2 5 2 2 2 3 3 2 2 2" xfId="49186" xr:uid="{00000000-0005-0000-0000-0000B73F0000}"/>
    <cellStyle name="Normal 2 5 2 2 2 3 3 2 3" xfId="38937" xr:uid="{00000000-0005-0000-0000-0000B83F0000}"/>
    <cellStyle name="Normal 2 5 2 2 2 3 3 3" xfId="9803" xr:uid="{00000000-0005-0000-0000-0000B93F0000}"/>
    <cellStyle name="Normal 2 5 2 2 2 3 3 3 2" xfId="35360" xr:uid="{00000000-0005-0000-0000-0000BA3F0000}"/>
    <cellStyle name="Normal 2 5 2 2 2 3 3 4" xfId="18626" xr:uid="{00000000-0005-0000-0000-0000BB3F0000}"/>
    <cellStyle name="Normal 2 5 2 2 2 3 3 4 2" xfId="44179" xr:uid="{00000000-0005-0000-0000-0000BC3F0000}"/>
    <cellStyle name="Normal 2 5 2 2 2 3 3 5" xfId="30116" xr:uid="{00000000-0005-0000-0000-0000BD3F0000}"/>
    <cellStyle name="Normal 2 5 2 2 2 3 4" xfId="2026" xr:uid="{00000000-0005-0000-0000-0000BE3F0000}"/>
    <cellStyle name="Normal 2 5 2 2 2 3 4 2" xfId="11391" xr:uid="{00000000-0005-0000-0000-0000BF3F0000}"/>
    <cellStyle name="Normal 2 5 2 2 2 3 4 2 2" xfId="36946" xr:uid="{00000000-0005-0000-0000-0000C03F0000}"/>
    <cellStyle name="Normal 2 5 2 2 2 3 4 3" xfId="21395" xr:uid="{00000000-0005-0000-0000-0000C13F0000}"/>
    <cellStyle name="Normal 2 5 2 2 2 3 4 3 2" xfId="46948" xr:uid="{00000000-0005-0000-0000-0000C23F0000}"/>
    <cellStyle name="Normal 2 5 2 2 2 3 4 4" xfId="27878" xr:uid="{00000000-0005-0000-0000-0000C33F0000}"/>
    <cellStyle name="Normal 2 5 2 2 2 3 5" xfId="6000" xr:uid="{00000000-0005-0000-0000-0000C43F0000}"/>
    <cellStyle name="Normal 2 5 2 2 2 3 5 2" xfId="14827" xr:uid="{00000000-0005-0000-0000-0000C53F0000}"/>
    <cellStyle name="Normal 2 5 2 2 2 3 5 2 2" xfId="40382" xr:uid="{00000000-0005-0000-0000-0000C63F0000}"/>
    <cellStyle name="Normal 2 5 2 2 2 3 5 3" xfId="25078" xr:uid="{00000000-0005-0000-0000-0000C73F0000}"/>
    <cellStyle name="Normal 2 5 2 2 2 3 5 3 2" xfId="50631" xr:uid="{00000000-0005-0000-0000-0000C83F0000}"/>
    <cellStyle name="Normal 2 5 2 2 2 3 5 4" xfId="31561" xr:uid="{00000000-0005-0000-0000-0000C93F0000}"/>
    <cellStyle name="Normal 2 5 2 2 2 3 6" xfId="7444" xr:uid="{00000000-0005-0000-0000-0000CA3F0000}"/>
    <cellStyle name="Normal 2 5 2 2 2 3 6 2" xfId="19877" xr:uid="{00000000-0005-0000-0000-0000CB3F0000}"/>
    <cellStyle name="Normal 2 5 2 2 2 3 6 2 2" xfId="45430" xr:uid="{00000000-0005-0000-0000-0000CC3F0000}"/>
    <cellStyle name="Normal 2 5 2 2 2 3 6 3" xfId="33001" xr:uid="{00000000-0005-0000-0000-0000CD3F0000}"/>
    <cellStyle name="Normal 2 5 2 2 2 3 7" xfId="16388" xr:uid="{00000000-0005-0000-0000-0000CE3F0000}"/>
    <cellStyle name="Normal 2 5 2 2 2 3 7 2" xfId="41941" xr:uid="{00000000-0005-0000-0000-0000CF3F0000}"/>
    <cellStyle name="Normal 2 5 2 2 2 3 8" xfId="26360" xr:uid="{00000000-0005-0000-0000-0000D03F0000}"/>
    <cellStyle name="Normal 2 5 2 2 2 4" xfId="729" xr:uid="{00000000-0005-0000-0000-0000D13F0000}"/>
    <cellStyle name="Normal 2 5 2 2 2 4 2" xfId="3215" xr:uid="{00000000-0005-0000-0000-0000D23F0000}"/>
    <cellStyle name="Normal 2 5 2 2 2 4 2 2" xfId="12357" xr:uid="{00000000-0005-0000-0000-0000D33F0000}"/>
    <cellStyle name="Normal 2 5 2 2 2 4 2 2 2" xfId="22576" xr:uid="{00000000-0005-0000-0000-0000D43F0000}"/>
    <cellStyle name="Normal 2 5 2 2 2 4 2 2 2 2" xfId="48129" xr:uid="{00000000-0005-0000-0000-0000D53F0000}"/>
    <cellStyle name="Normal 2 5 2 2 2 4 2 2 3" xfId="37912" xr:uid="{00000000-0005-0000-0000-0000D63F0000}"/>
    <cellStyle name="Normal 2 5 2 2 2 4 2 3" xfId="8779" xr:uid="{00000000-0005-0000-0000-0000D73F0000}"/>
    <cellStyle name="Normal 2 5 2 2 2 4 2 3 2" xfId="34336" xr:uid="{00000000-0005-0000-0000-0000D83F0000}"/>
    <cellStyle name="Normal 2 5 2 2 2 4 2 4" xfId="17569" xr:uid="{00000000-0005-0000-0000-0000D93F0000}"/>
    <cellStyle name="Normal 2 5 2 2 2 4 2 4 2" xfId="43122" xr:uid="{00000000-0005-0000-0000-0000DA3F0000}"/>
    <cellStyle name="Normal 2 5 2 2 2 4 2 5" xfId="29059" xr:uid="{00000000-0005-0000-0000-0000DB3F0000}"/>
    <cellStyle name="Normal 2 5 2 2 2 4 3" xfId="4893" xr:uid="{00000000-0005-0000-0000-0000DC3F0000}"/>
    <cellStyle name="Normal 2 5 2 2 2 4 3 2" xfId="13730" xr:uid="{00000000-0005-0000-0000-0000DD3F0000}"/>
    <cellStyle name="Normal 2 5 2 2 2 4 3 2 2" xfId="23981" xr:uid="{00000000-0005-0000-0000-0000DE3F0000}"/>
    <cellStyle name="Normal 2 5 2 2 2 4 3 2 2 2" xfId="49534" xr:uid="{00000000-0005-0000-0000-0000DF3F0000}"/>
    <cellStyle name="Normal 2 5 2 2 2 4 3 2 3" xfId="39285" xr:uid="{00000000-0005-0000-0000-0000E03F0000}"/>
    <cellStyle name="Normal 2 5 2 2 2 4 3 3" xfId="10151" xr:uid="{00000000-0005-0000-0000-0000E13F0000}"/>
    <cellStyle name="Normal 2 5 2 2 2 4 3 3 2" xfId="35708" xr:uid="{00000000-0005-0000-0000-0000E23F0000}"/>
    <cellStyle name="Normal 2 5 2 2 2 4 3 4" xfId="18974" xr:uid="{00000000-0005-0000-0000-0000E33F0000}"/>
    <cellStyle name="Normal 2 5 2 2 2 4 3 4 2" xfId="44527" xr:uid="{00000000-0005-0000-0000-0000E43F0000}"/>
    <cellStyle name="Normal 2 5 2 2 2 4 3 5" xfId="30464" xr:uid="{00000000-0005-0000-0000-0000E53F0000}"/>
    <cellStyle name="Normal 2 5 2 2 2 4 4" xfId="2324" xr:uid="{00000000-0005-0000-0000-0000E63F0000}"/>
    <cellStyle name="Normal 2 5 2 2 2 4 4 2" xfId="11689" xr:uid="{00000000-0005-0000-0000-0000E73F0000}"/>
    <cellStyle name="Normal 2 5 2 2 2 4 4 2 2" xfId="37244" xr:uid="{00000000-0005-0000-0000-0000E83F0000}"/>
    <cellStyle name="Normal 2 5 2 2 2 4 4 3" xfId="21693" xr:uid="{00000000-0005-0000-0000-0000E93F0000}"/>
    <cellStyle name="Normal 2 5 2 2 2 4 4 3 2" xfId="47246" xr:uid="{00000000-0005-0000-0000-0000EA3F0000}"/>
    <cellStyle name="Normal 2 5 2 2 2 4 4 4" xfId="28176" xr:uid="{00000000-0005-0000-0000-0000EB3F0000}"/>
    <cellStyle name="Normal 2 5 2 2 2 4 5" xfId="6348" xr:uid="{00000000-0005-0000-0000-0000EC3F0000}"/>
    <cellStyle name="Normal 2 5 2 2 2 4 5 2" xfId="15175" xr:uid="{00000000-0005-0000-0000-0000ED3F0000}"/>
    <cellStyle name="Normal 2 5 2 2 2 4 5 2 2" xfId="40730" xr:uid="{00000000-0005-0000-0000-0000EE3F0000}"/>
    <cellStyle name="Normal 2 5 2 2 2 4 5 3" xfId="25426" xr:uid="{00000000-0005-0000-0000-0000EF3F0000}"/>
    <cellStyle name="Normal 2 5 2 2 2 4 5 3 2" xfId="50979" xr:uid="{00000000-0005-0000-0000-0000F03F0000}"/>
    <cellStyle name="Normal 2 5 2 2 2 4 5 4" xfId="31909" xr:uid="{00000000-0005-0000-0000-0000F13F0000}"/>
    <cellStyle name="Normal 2 5 2 2 2 4 6" xfId="7794" xr:uid="{00000000-0005-0000-0000-0000F23F0000}"/>
    <cellStyle name="Normal 2 5 2 2 2 4 6 2" xfId="20175" xr:uid="{00000000-0005-0000-0000-0000F33F0000}"/>
    <cellStyle name="Normal 2 5 2 2 2 4 6 2 2" xfId="45728" xr:uid="{00000000-0005-0000-0000-0000F43F0000}"/>
    <cellStyle name="Normal 2 5 2 2 2 4 6 3" xfId="33351" xr:uid="{00000000-0005-0000-0000-0000F53F0000}"/>
    <cellStyle name="Normal 2 5 2 2 2 4 7" xfId="16686" xr:uid="{00000000-0005-0000-0000-0000F63F0000}"/>
    <cellStyle name="Normal 2 5 2 2 2 4 7 2" xfId="42239" xr:uid="{00000000-0005-0000-0000-0000F73F0000}"/>
    <cellStyle name="Normal 2 5 2 2 2 4 8" xfId="26658" xr:uid="{00000000-0005-0000-0000-0000F83F0000}"/>
    <cellStyle name="Normal 2 5 2 2 2 5" xfId="1203" xr:uid="{00000000-0005-0000-0000-0000F93F0000}"/>
    <cellStyle name="Normal 2 5 2 2 2 5 2" xfId="3632" xr:uid="{00000000-0005-0000-0000-0000FA3F0000}"/>
    <cellStyle name="Normal 2 5 2 2 2 5 2 2" xfId="12768" xr:uid="{00000000-0005-0000-0000-0000FB3F0000}"/>
    <cellStyle name="Normal 2 5 2 2 2 5 2 2 2" xfId="22987" xr:uid="{00000000-0005-0000-0000-0000FC3F0000}"/>
    <cellStyle name="Normal 2 5 2 2 2 5 2 2 2 2" xfId="48540" xr:uid="{00000000-0005-0000-0000-0000FD3F0000}"/>
    <cellStyle name="Normal 2 5 2 2 2 5 2 2 3" xfId="38323" xr:uid="{00000000-0005-0000-0000-0000FE3F0000}"/>
    <cellStyle name="Normal 2 5 2 2 2 5 2 3" xfId="9189" xr:uid="{00000000-0005-0000-0000-0000FF3F0000}"/>
    <cellStyle name="Normal 2 5 2 2 2 5 2 3 2" xfId="34746" xr:uid="{00000000-0005-0000-0000-000000400000}"/>
    <cellStyle name="Normal 2 5 2 2 2 5 2 4" xfId="17980" xr:uid="{00000000-0005-0000-0000-000001400000}"/>
    <cellStyle name="Normal 2 5 2 2 2 5 2 4 2" xfId="43533" xr:uid="{00000000-0005-0000-0000-000002400000}"/>
    <cellStyle name="Normal 2 5 2 2 2 5 2 5" xfId="29470" xr:uid="{00000000-0005-0000-0000-000003400000}"/>
    <cellStyle name="Normal 2 5 2 2 2 5 3" xfId="5295" xr:uid="{00000000-0005-0000-0000-000004400000}"/>
    <cellStyle name="Normal 2 5 2 2 2 5 3 2" xfId="14132" xr:uid="{00000000-0005-0000-0000-000005400000}"/>
    <cellStyle name="Normal 2 5 2 2 2 5 3 2 2" xfId="24383" xr:uid="{00000000-0005-0000-0000-000006400000}"/>
    <cellStyle name="Normal 2 5 2 2 2 5 3 2 2 2" xfId="49936" xr:uid="{00000000-0005-0000-0000-000007400000}"/>
    <cellStyle name="Normal 2 5 2 2 2 5 3 2 3" xfId="39687" xr:uid="{00000000-0005-0000-0000-000008400000}"/>
    <cellStyle name="Normal 2 5 2 2 2 5 3 3" xfId="10553" xr:uid="{00000000-0005-0000-0000-000009400000}"/>
    <cellStyle name="Normal 2 5 2 2 2 5 3 3 2" xfId="36110" xr:uid="{00000000-0005-0000-0000-00000A400000}"/>
    <cellStyle name="Normal 2 5 2 2 2 5 3 4" xfId="19376" xr:uid="{00000000-0005-0000-0000-00000B400000}"/>
    <cellStyle name="Normal 2 5 2 2 2 5 3 4 2" xfId="44929" xr:uid="{00000000-0005-0000-0000-00000C400000}"/>
    <cellStyle name="Normal 2 5 2 2 2 5 3 5" xfId="30866" xr:uid="{00000000-0005-0000-0000-00000D400000}"/>
    <cellStyle name="Normal 2 5 2 2 2 5 4" xfId="1806" xr:uid="{00000000-0005-0000-0000-00000E400000}"/>
    <cellStyle name="Normal 2 5 2 2 2 5 4 2" xfId="11174" xr:uid="{00000000-0005-0000-0000-00000F400000}"/>
    <cellStyle name="Normal 2 5 2 2 2 5 4 2 2" xfId="36729" xr:uid="{00000000-0005-0000-0000-000010400000}"/>
    <cellStyle name="Normal 2 5 2 2 2 5 4 3" xfId="21178" xr:uid="{00000000-0005-0000-0000-000011400000}"/>
    <cellStyle name="Normal 2 5 2 2 2 5 4 3 2" xfId="46731" xr:uid="{00000000-0005-0000-0000-000012400000}"/>
    <cellStyle name="Normal 2 5 2 2 2 5 4 4" xfId="27661" xr:uid="{00000000-0005-0000-0000-000013400000}"/>
    <cellStyle name="Normal 2 5 2 2 2 5 5" xfId="6750" xr:uid="{00000000-0005-0000-0000-000014400000}"/>
    <cellStyle name="Normal 2 5 2 2 2 5 5 2" xfId="15577" xr:uid="{00000000-0005-0000-0000-000015400000}"/>
    <cellStyle name="Normal 2 5 2 2 2 5 5 2 2" xfId="41132" xr:uid="{00000000-0005-0000-0000-000016400000}"/>
    <cellStyle name="Normal 2 5 2 2 2 5 5 3" xfId="25828" xr:uid="{00000000-0005-0000-0000-000017400000}"/>
    <cellStyle name="Normal 2 5 2 2 2 5 5 3 2" xfId="51381" xr:uid="{00000000-0005-0000-0000-000018400000}"/>
    <cellStyle name="Normal 2 5 2 2 2 5 5 4" xfId="32311" xr:uid="{00000000-0005-0000-0000-000019400000}"/>
    <cellStyle name="Normal 2 5 2 2 2 5 6" xfId="8196" xr:uid="{00000000-0005-0000-0000-00001A400000}"/>
    <cellStyle name="Normal 2 5 2 2 2 5 6 2" xfId="20586" xr:uid="{00000000-0005-0000-0000-00001B400000}"/>
    <cellStyle name="Normal 2 5 2 2 2 5 6 2 2" xfId="46139" xr:uid="{00000000-0005-0000-0000-00001C400000}"/>
    <cellStyle name="Normal 2 5 2 2 2 5 6 3" xfId="33753" xr:uid="{00000000-0005-0000-0000-00001D400000}"/>
    <cellStyle name="Normal 2 5 2 2 2 5 7" xfId="16171" xr:uid="{00000000-0005-0000-0000-00001E400000}"/>
    <cellStyle name="Normal 2 5 2 2 2 5 7 2" xfId="41724" xr:uid="{00000000-0005-0000-0000-00001F400000}"/>
    <cellStyle name="Normal 2 5 2 2 2 5 8" xfId="27069" xr:uid="{00000000-0005-0000-0000-000020400000}"/>
    <cellStyle name="Normal 2 5 2 2 2 6" xfId="2700" xr:uid="{00000000-0005-0000-0000-000021400000}"/>
    <cellStyle name="Normal 2 5 2 2 2 6 2" xfId="12017" xr:uid="{00000000-0005-0000-0000-000022400000}"/>
    <cellStyle name="Normal 2 5 2 2 2 6 2 2" xfId="22061" xr:uid="{00000000-0005-0000-0000-000023400000}"/>
    <cellStyle name="Normal 2 5 2 2 2 6 2 2 2" xfId="47614" xr:uid="{00000000-0005-0000-0000-000024400000}"/>
    <cellStyle name="Normal 2 5 2 2 2 6 2 3" xfId="37572" xr:uid="{00000000-0005-0000-0000-000025400000}"/>
    <cellStyle name="Normal 2 5 2 2 2 6 3" xfId="8426" xr:uid="{00000000-0005-0000-0000-000026400000}"/>
    <cellStyle name="Normal 2 5 2 2 2 6 3 2" xfId="33983" xr:uid="{00000000-0005-0000-0000-000027400000}"/>
    <cellStyle name="Normal 2 5 2 2 2 6 4" xfId="17054" xr:uid="{00000000-0005-0000-0000-000028400000}"/>
    <cellStyle name="Normal 2 5 2 2 2 6 4 2" xfId="42607" xr:uid="{00000000-0005-0000-0000-000029400000}"/>
    <cellStyle name="Normal 2 5 2 2 2 6 5" xfId="28544" xr:uid="{00000000-0005-0000-0000-00002A400000}"/>
    <cellStyle name="Normal 2 5 2 2 2 7" xfId="4251" xr:uid="{00000000-0005-0000-0000-00002B400000}"/>
    <cellStyle name="Normal 2 5 2 2 2 7 2" xfId="13089" xr:uid="{00000000-0005-0000-0000-00002C400000}"/>
    <cellStyle name="Normal 2 5 2 2 2 7 2 2" xfId="23340" xr:uid="{00000000-0005-0000-0000-00002D400000}"/>
    <cellStyle name="Normal 2 5 2 2 2 7 2 2 2" xfId="48893" xr:uid="{00000000-0005-0000-0000-00002E400000}"/>
    <cellStyle name="Normal 2 5 2 2 2 7 2 3" xfId="38644" xr:uid="{00000000-0005-0000-0000-00002F400000}"/>
    <cellStyle name="Normal 2 5 2 2 2 7 3" xfId="9510" xr:uid="{00000000-0005-0000-0000-000030400000}"/>
    <cellStyle name="Normal 2 5 2 2 2 7 3 2" xfId="35067" xr:uid="{00000000-0005-0000-0000-000031400000}"/>
    <cellStyle name="Normal 2 5 2 2 2 7 4" xfId="18333" xr:uid="{00000000-0005-0000-0000-000032400000}"/>
    <cellStyle name="Normal 2 5 2 2 2 7 4 2" xfId="43886" xr:uid="{00000000-0005-0000-0000-000033400000}"/>
    <cellStyle name="Normal 2 5 2 2 2 7 5" xfId="29823" xr:uid="{00000000-0005-0000-0000-000034400000}"/>
    <cellStyle name="Normal 2 5 2 2 2 8" xfId="1523" xr:uid="{00000000-0005-0000-0000-000035400000}"/>
    <cellStyle name="Normal 2 5 2 2 2 8 2" xfId="10900" xr:uid="{00000000-0005-0000-0000-000036400000}"/>
    <cellStyle name="Normal 2 5 2 2 2 8 2 2" xfId="36455" xr:uid="{00000000-0005-0000-0000-000037400000}"/>
    <cellStyle name="Normal 2 5 2 2 2 8 3" xfId="20904" xr:uid="{00000000-0005-0000-0000-000038400000}"/>
    <cellStyle name="Normal 2 5 2 2 2 8 3 2" xfId="46457" xr:uid="{00000000-0005-0000-0000-000039400000}"/>
    <cellStyle name="Normal 2 5 2 2 2 8 4" xfId="27387" xr:uid="{00000000-0005-0000-0000-00003A400000}"/>
    <cellStyle name="Normal 2 5 2 2 2 9" xfId="5707" xr:uid="{00000000-0005-0000-0000-00003B400000}"/>
    <cellStyle name="Normal 2 5 2 2 2 9 2" xfId="14534" xr:uid="{00000000-0005-0000-0000-00003C400000}"/>
    <cellStyle name="Normal 2 5 2 2 2 9 2 2" xfId="40089" xr:uid="{00000000-0005-0000-0000-00003D400000}"/>
    <cellStyle name="Normal 2 5 2 2 2 9 3" xfId="24785" xr:uid="{00000000-0005-0000-0000-00003E400000}"/>
    <cellStyle name="Normal 2 5 2 2 2 9 3 2" xfId="50338" xr:uid="{00000000-0005-0000-0000-00003F400000}"/>
    <cellStyle name="Normal 2 5 2 2 2 9 4" xfId="31268" xr:uid="{00000000-0005-0000-0000-000040400000}"/>
    <cellStyle name="Normal 2 5 2 2 2_Degree data" xfId="3918" xr:uid="{00000000-0005-0000-0000-000041400000}"/>
    <cellStyle name="Normal 2 5 2 2 3" xfId="270" xr:uid="{00000000-0005-0000-0000-000042400000}"/>
    <cellStyle name="Normal 2 5 2 2 3 10" xfId="7108" xr:uid="{00000000-0005-0000-0000-000043400000}"/>
    <cellStyle name="Normal 2 5 2 2 3 10 2" xfId="19721" xr:uid="{00000000-0005-0000-0000-000044400000}"/>
    <cellStyle name="Normal 2 5 2 2 3 10 2 2" xfId="45274" xr:uid="{00000000-0005-0000-0000-000045400000}"/>
    <cellStyle name="Normal 2 5 2 2 3 10 3" xfId="32665" xr:uid="{00000000-0005-0000-0000-000046400000}"/>
    <cellStyle name="Normal 2 5 2 2 3 11" xfId="15854" xr:uid="{00000000-0005-0000-0000-000047400000}"/>
    <cellStyle name="Normal 2 5 2 2 3 11 2" xfId="41407" xr:uid="{00000000-0005-0000-0000-000048400000}"/>
    <cellStyle name="Normal 2 5 2 2 3 12" xfId="26204" xr:uid="{00000000-0005-0000-0000-000049400000}"/>
    <cellStyle name="Normal 2 5 2 2 3 2" xfId="592" xr:uid="{00000000-0005-0000-0000-00004A400000}"/>
    <cellStyle name="Normal 2 5 2 2 3 2 10" xfId="26521" xr:uid="{00000000-0005-0000-0000-00004B400000}"/>
    <cellStyle name="Normal 2 5 2 2 3 2 2" xfId="732" xr:uid="{00000000-0005-0000-0000-00004C400000}"/>
    <cellStyle name="Normal 2 5 2 2 3 2 2 2" xfId="3218" xr:uid="{00000000-0005-0000-0000-00004D400000}"/>
    <cellStyle name="Normal 2 5 2 2 3 2 2 2 2" xfId="12360" xr:uid="{00000000-0005-0000-0000-00004E400000}"/>
    <cellStyle name="Normal 2 5 2 2 3 2 2 2 2 2" xfId="22579" xr:uid="{00000000-0005-0000-0000-00004F400000}"/>
    <cellStyle name="Normal 2 5 2 2 3 2 2 2 2 2 2" xfId="48132" xr:uid="{00000000-0005-0000-0000-000050400000}"/>
    <cellStyle name="Normal 2 5 2 2 3 2 2 2 2 3" xfId="37915" xr:uid="{00000000-0005-0000-0000-000051400000}"/>
    <cellStyle name="Normal 2 5 2 2 3 2 2 2 3" xfId="8782" xr:uid="{00000000-0005-0000-0000-000052400000}"/>
    <cellStyle name="Normal 2 5 2 2 3 2 2 2 3 2" xfId="34339" xr:uid="{00000000-0005-0000-0000-000053400000}"/>
    <cellStyle name="Normal 2 5 2 2 3 2 2 2 4" xfId="17572" xr:uid="{00000000-0005-0000-0000-000054400000}"/>
    <cellStyle name="Normal 2 5 2 2 3 2 2 2 4 2" xfId="43125" xr:uid="{00000000-0005-0000-0000-000055400000}"/>
    <cellStyle name="Normal 2 5 2 2 3 2 2 2 5" xfId="29062" xr:uid="{00000000-0005-0000-0000-000056400000}"/>
    <cellStyle name="Normal 2 5 2 2 3 2 2 3" xfId="4547" xr:uid="{00000000-0005-0000-0000-000057400000}"/>
    <cellStyle name="Normal 2 5 2 2 3 2 2 3 2" xfId="13385" xr:uid="{00000000-0005-0000-0000-000058400000}"/>
    <cellStyle name="Normal 2 5 2 2 3 2 2 3 2 2" xfId="23636" xr:uid="{00000000-0005-0000-0000-000059400000}"/>
    <cellStyle name="Normal 2 5 2 2 3 2 2 3 2 2 2" xfId="49189" xr:uid="{00000000-0005-0000-0000-00005A400000}"/>
    <cellStyle name="Normal 2 5 2 2 3 2 2 3 2 3" xfId="38940" xr:uid="{00000000-0005-0000-0000-00005B400000}"/>
    <cellStyle name="Normal 2 5 2 2 3 2 2 3 3" xfId="9806" xr:uid="{00000000-0005-0000-0000-00005C400000}"/>
    <cellStyle name="Normal 2 5 2 2 3 2 2 3 3 2" xfId="35363" xr:uid="{00000000-0005-0000-0000-00005D400000}"/>
    <cellStyle name="Normal 2 5 2 2 3 2 2 3 4" xfId="18629" xr:uid="{00000000-0005-0000-0000-00005E400000}"/>
    <cellStyle name="Normal 2 5 2 2 3 2 2 3 4 2" xfId="44182" xr:uid="{00000000-0005-0000-0000-00005F400000}"/>
    <cellStyle name="Normal 2 5 2 2 3 2 2 3 5" xfId="30119" xr:uid="{00000000-0005-0000-0000-000060400000}"/>
    <cellStyle name="Normal 2 5 2 2 3 2 2 4" xfId="2327" xr:uid="{00000000-0005-0000-0000-000061400000}"/>
    <cellStyle name="Normal 2 5 2 2 3 2 2 4 2" xfId="11692" xr:uid="{00000000-0005-0000-0000-000062400000}"/>
    <cellStyle name="Normal 2 5 2 2 3 2 2 4 2 2" xfId="37247" xr:uid="{00000000-0005-0000-0000-000063400000}"/>
    <cellStyle name="Normal 2 5 2 2 3 2 2 4 3" xfId="21696" xr:uid="{00000000-0005-0000-0000-000064400000}"/>
    <cellStyle name="Normal 2 5 2 2 3 2 2 4 3 2" xfId="47249" xr:uid="{00000000-0005-0000-0000-000065400000}"/>
    <cellStyle name="Normal 2 5 2 2 3 2 2 4 4" xfId="28179" xr:uid="{00000000-0005-0000-0000-000066400000}"/>
    <cellStyle name="Normal 2 5 2 2 3 2 2 5" xfId="6003" xr:uid="{00000000-0005-0000-0000-000067400000}"/>
    <cellStyle name="Normal 2 5 2 2 3 2 2 5 2" xfId="14830" xr:uid="{00000000-0005-0000-0000-000068400000}"/>
    <cellStyle name="Normal 2 5 2 2 3 2 2 5 2 2" xfId="40385" xr:uid="{00000000-0005-0000-0000-000069400000}"/>
    <cellStyle name="Normal 2 5 2 2 3 2 2 5 3" xfId="25081" xr:uid="{00000000-0005-0000-0000-00006A400000}"/>
    <cellStyle name="Normal 2 5 2 2 3 2 2 5 3 2" xfId="50634" xr:uid="{00000000-0005-0000-0000-00006B400000}"/>
    <cellStyle name="Normal 2 5 2 2 3 2 2 5 4" xfId="31564" xr:uid="{00000000-0005-0000-0000-00006C400000}"/>
    <cellStyle name="Normal 2 5 2 2 3 2 2 6" xfId="7447" xr:uid="{00000000-0005-0000-0000-00006D400000}"/>
    <cellStyle name="Normal 2 5 2 2 3 2 2 6 2" xfId="20178" xr:uid="{00000000-0005-0000-0000-00006E400000}"/>
    <cellStyle name="Normal 2 5 2 2 3 2 2 6 2 2" xfId="45731" xr:uid="{00000000-0005-0000-0000-00006F400000}"/>
    <cellStyle name="Normal 2 5 2 2 3 2 2 6 3" xfId="33004" xr:uid="{00000000-0005-0000-0000-000070400000}"/>
    <cellStyle name="Normal 2 5 2 2 3 2 2 7" xfId="16689" xr:uid="{00000000-0005-0000-0000-000071400000}"/>
    <cellStyle name="Normal 2 5 2 2 3 2 2 7 2" xfId="42242" xr:uid="{00000000-0005-0000-0000-000072400000}"/>
    <cellStyle name="Normal 2 5 2 2 3 2 2 8" xfId="26661" xr:uid="{00000000-0005-0000-0000-000073400000}"/>
    <cellStyle name="Normal 2 5 2 2 3 2 3" xfId="1364" xr:uid="{00000000-0005-0000-0000-000074400000}"/>
    <cellStyle name="Normal 2 5 2 2 3 2 3 2" xfId="3793" xr:uid="{00000000-0005-0000-0000-000075400000}"/>
    <cellStyle name="Normal 2 5 2 2 3 2 3 2 2" xfId="12929" xr:uid="{00000000-0005-0000-0000-000076400000}"/>
    <cellStyle name="Normal 2 5 2 2 3 2 3 2 2 2" xfId="23148" xr:uid="{00000000-0005-0000-0000-000077400000}"/>
    <cellStyle name="Normal 2 5 2 2 3 2 3 2 2 2 2" xfId="48701" xr:uid="{00000000-0005-0000-0000-000078400000}"/>
    <cellStyle name="Normal 2 5 2 2 3 2 3 2 2 3" xfId="38484" xr:uid="{00000000-0005-0000-0000-000079400000}"/>
    <cellStyle name="Normal 2 5 2 2 3 2 3 2 3" xfId="9350" xr:uid="{00000000-0005-0000-0000-00007A400000}"/>
    <cellStyle name="Normal 2 5 2 2 3 2 3 2 3 2" xfId="34907" xr:uid="{00000000-0005-0000-0000-00007B400000}"/>
    <cellStyle name="Normal 2 5 2 2 3 2 3 2 4" xfId="18141" xr:uid="{00000000-0005-0000-0000-00007C400000}"/>
    <cellStyle name="Normal 2 5 2 2 3 2 3 2 4 2" xfId="43694" xr:uid="{00000000-0005-0000-0000-00007D400000}"/>
    <cellStyle name="Normal 2 5 2 2 3 2 3 2 5" xfId="29631" xr:uid="{00000000-0005-0000-0000-00007E400000}"/>
    <cellStyle name="Normal 2 5 2 2 3 2 3 3" xfId="4896" xr:uid="{00000000-0005-0000-0000-00007F400000}"/>
    <cellStyle name="Normal 2 5 2 2 3 2 3 3 2" xfId="13733" xr:uid="{00000000-0005-0000-0000-000080400000}"/>
    <cellStyle name="Normal 2 5 2 2 3 2 3 3 2 2" xfId="23984" xr:uid="{00000000-0005-0000-0000-000081400000}"/>
    <cellStyle name="Normal 2 5 2 2 3 2 3 3 2 2 2" xfId="49537" xr:uid="{00000000-0005-0000-0000-000082400000}"/>
    <cellStyle name="Normal 2 5 2 2 3 2 3 3 2 3" xfId="39288" xr:uid="{00000000-0005-0000-0000-000083400000}"/>
    <cellStyle name="Normal 2 5 2 2 3 2 3 3 3" xfId="10154" xr:uid="{00000000-0005-0000-0000-000084400000}"/>
    <cellStyle name="Normal 2 5 2 2 3 2 3 3 3 2" xfId="35711" xr:uid="{00000000-0005-0000-0000-000085400000}"/>
    <cellStyle name="Normal 2 5 2 2 3 2 3 3 4" xfId="18977" xr:uid="{00000000-0005-0000-0000-000086400000}"/>
    <cellStyle name="Normal 2 5 2 2 3 2 3 3 4 2" xfId="44530" xr:uid="{00000000-0005-0000-0000-000087400000}"/>
    <cellStyle name="Normal 2 5 2 2 3 2 3 3 5" xfId="30467" xr:uid="{00000000-0005-0000-0000-000088400000}"/>
    <cellStyle name="Normal 2 5 2 2 3 2 3 4" xfId="2187" xr:uid="{00000000-0005-0000-0000-000089400000}"/>
    <cellStyle name="Normal 2 5 2 2 3 2 3 4 2" xfId="11552" xr:uid="{00000000-0005-0000-0000-00008A400000}"/>
    <cellStyle name="Normal 2 5 2 2 3 2 3 4 2 2" xfId="37107" xr:uid="{00000000-0005-0000-0000-00008B400000}"/>
    <cellStyle name="Normal 2 5 2 2 3 2 3 4 3" xfId="21556" xr:uid="{00000000-0005-0000-0000-00008C400000}"/>
    <cellStyle name="Normal 2 5 2 2 3 2 3 4 3 2" xfId="47109" xr:uid="{00000000-0005-0000-0000-00008D400000}"/>
    <cellStyle name="Normal 2 5 2 2 3 2 3 4 4" xfId="28039" xr:uid="{00000000-0005-0000-0000-00008E400000}"/>
    <cellStyle name="Normal 2 5 2 2 3 2 3 5" xfId="6351" xr:uid="{00000000-0005-0000-0000-00008F400000}"/>
    <cellStyle name="Normal 2 5 2 2 3 2 3 5 2" xfId="15178" xr:uid="{00000000-0005-0000-0000-000090400000}"/>
    <cellStyle name="Normal 2 5 2 2 3 2 3 5 2 2" xfId="40733" xr:uid="{00000000-0005-0000-0000-000091400000}"/>
    <cellStyle name="Normal 2 5 2 2 3 2 3 5 3" xfId="25429" xr:uid="{00000000-0005-0000-0000-000092400000}"/>
    <cellStyle name="Normal 2 5 2 2 3 2 3 5 3 2" xfId="50982" xr:uid="{00000000-0005-0000-0000-000093400000}"/>
    <cellStyle name="Normal 2 5 2 2 3 2 3 5 4" xfId="31912" xr:uid="{00000000-0005-0000-0000-000094400000}"/>
    <cellStyle name="Normal 2 5 2 2 3 2 3 6" xfId="7797" xr:uid="{00000000-0005-0000-0000-000095400000}"/>
    <cellStyle name="Normal 2 5 2 2 3 2 3 6 2" xfId="20747" xr:uid="{00000000-0005-0000-0000-000096400000}"/>
    <cellStyle name="Normal 2 5 2 2 3 2 3 6 2 2" xfId="46300" xr:uid="{00000000-0005-0000-0000-000097400000}"/>
    <cellStyle name="Normal 2 5 2 2 3 2 3 6 3" xfId="33354" xr:uid="{00000000-0005-0000-0000-000098400000}"/>
    <cellStyle name="Normal 2 5 2 2 3 2 3 7" xfId="16549" xr:uid="{00000000-0005-0000-0000-000099400000}"/>
    <cellStyle name="Normal 2 5 2 2 3 2 3 7 2" xfId="42102" xr:uid="{00000000-0005-0000-0000-00009A400000}"/>
    <cellStyle name="Normal 2 5 2 2 3 2 3 8" xfId="27230" xr:uid="{00000000-0005-0000-0000-00009B400000}"/>
    <cellStyle name="Normal 2 5 2 2 3 2 4" xfId="3078" xr:uid="{00000000-0005-0000-0000-00009C400000}"/>
    <cellStyle name="Normal 2 5 2 2 3 2 4 2" xfId="5456" xr:uid="{00000000-0005-0000-0000-00009D400000}"/>
    <cellStyle name="Normal 2 5 2 2 3 2 4 2 2" xfId="14293" xr:uid="{00000000-0005-0000-0000-00009E400000}"/>
    <cellStyle name="Normal 2 5 2 2 3 2 4 2 2 2" xfId="24544" xr:uid="{00000000-0005-0000-0000-00009F400000}"/>
    <cellStyle name="Normal 2 5 2 2 3 2 4 2 2 2 2" xfId="50097" xr:uid="{00000000-0005-0000-0000-0000A0400000}"/>
    <cellStyle name="Normal 2 5 2 2 3 2 4 2 2 3" xfId="39848" xr:uid="{00000000-0005-0000-0000-0000A1400000}"/>
    <cellStyle name="Normal 2 5 2 2 3 2 4 2 3" xfId="10714" xr:uid="{00000000-0005-0000-0000-0000A2400000}"/>
    <cellStyle name="Normal 2 5 2 2 3 2 4 2 3 2" xfId="36271" xr:uid="{00000000-0005-0000-0000-0000A3400000}"/>
    <cellStyle name="Normal 2 5 2 2 3 2 4 2 4" xfId="19537" xr:uid="{00000000-0005-0000-0000-0000A4400000}"/>
    <cellStyle name="Normal 2 5 2 2 3 2 4 2 4 2" xfId="45090" xr:uid="{00000000-0005-0000-0000-0000A5400000}"/>
    <cellStyle name="Normal 2 5 2 2 3 2 4 2 5" xfId="31027" xr:uid="{00000000-0005-0000-0000-0000A6400000}"/>
    <cellStyle name="Normal 2 5 2 2 3 2 4 3" xfId="6911" xr:uid="{00000000-0005-0000-0000-0000A7400000}"/>
    <cellStyle name="Normal 2 5 2 2 3 2 4 3 2" xfId="15738" xr:uid="{00000000-0005-0000-0000-0000A8400000}"/>
    <cellStyle name="Normal 2 5 2 2 3 2 4 3 2 2" xfId="41293" xr:uid="{00000000-0005-0000-0000-0000A9400000}"/>
    <cellStyle name="Normal 2 5 2 2 3 2 4 3 3" xfId="25989" xr:uid="{00000000-0005-0000-0000-0000AA400000}"/>
    <cellStyle name="Normal 2 5 2 2 3 2 4 3 3 2" xfId="51542" xr:uid="{00000000-0005-0000-0000-0000AB400000}"/>
    <cellStyle name="Normal 2 5 2 2 3 2 4 3 4" xfId="32472" xr:uid="{00000000-0005-0000-0000-0000AC400000}"/>
    <cellStyle name="Normal 2 5 2 2 3 2 4 4" xfId="8357" xr:uid="{00000000-0005-0000-0000-0000AD400000}"/>
    <cellStyle name="Normal 2 5 2 2 3 2 4 4 2" xfId="22439" xr:uid="{00000000-0005-0000-0000-0000AE400000}"/>
    <cellStyle name="Normal 2 5 2 2 3 2 4 4 2 2" xfId="47992" xr:uid="{00000000-0005-0000-0000-0000AF400000}"/>
    <cellStyle name="Normal 2 5 2 2 3 2 4 4 3" xfId="33914" xr:uid="{00000000-0005-0000-0000-0000B0400000}"/>
    <cellStyle name="Normal 2 5 2 2 3 2 4 5" xfId="17432" xr:uid="{00000000-0005-0000-0000-0000B1400000}"/>
    <cellStyle name="Normal 2 5 2 2 3 2 4 5 2" xfId="42985" xr:uid="{00000000-0005-0000-0000-0000B2400000}"/>
    <cellStyle name="Normal 2 5 2 2 3 2 4 6" xfId="28922" xr:uid="{00000000-0005-0000-0000-0000B3400000}"/>
    <cellStyle name="Normal 2 5 2 2 3 2 5" xfId="4412" xr:uid="{00000000-0005-0000-0000-0000B4400000}"/>
    <cellStyle name="Normal 2 5 2 2 3 2 5 2" xfId="13250" xr:uid="{00000000-0005-0000-0000-0000B5400000}"/>
    <cellStyle name="Normal 2 5 2 2 3 2 5 2 2" xfId="23501" xr:uid="{00000000-0005-0000-0000-0000B6400000}"/>
    <cellStyle name="Normal 2 5 2 2 3 2 5 2 2 2" xfId="49054" xr:uid="{00000000-0005-0000-0000-0000B7400000}"/>
    <cellStyle name="Normal 2 5 2 2 3 2 5 2 3" xfId="38805" xr:uid="{00000000-0005-0000-0000-0000B8400000}"/>
    <cellStyle name="Normal 2 5 2 2 3 2 5 3" xfId="9671" xr:uid="{00000000-0005-0000-0000-0000B9400000}"/>
    <cellStyle name="Normal 2 5 2 2 3 2 5 3 2" xfId="35228" xr:uid="{00000000-0005-0000-0000-0000BA400000}"/>
    <cellStyle name="Normal 2 5 2 2 3 2 5 4" xfId="18494" xr:uid="{00000000-0005-0000-0000-0000BB400000}"/>
    <cellStyle name="Normal 2 5 2 2 3 2 5 4 2" xfId="44047" xr:uid="{00000000-0005-0000-0000-0000BC400000}"/>
    <cellStyle name="Normal 2 5 2 2 3 2 5 5" xfId="29984" xr:uid="{00000000-0005-0000-0000-0000BD400000}"/>
    <cellStyle name="Normal 2 5 2 2 3 2 6" xfId="1684" xr:uid="{00000000-0005-0000-0000-0000BE400000}"/>
    <cellStyle name="Normal 2 5 2 2 3 2 6 2" xfId="11061" xr:uid="{00000000-0005-0000-0000-0000BF400000}"/>
    <cellStyle name="Normal 2 5 2 2 3 2 6 2 2" xfId="36616" xr:uid="{00000000-0005-0000-0000-0000C0400000}"/>
    <cellStyle name="Normal 2 5 2 2 3 2 6 3" xfId="21065" xr:uid="{00000000-0005-0000-0000-0000C1400000}"/>
    <cellStyle name="Normal 2 5 2 2 3 2 6 3 2" xfId="46618" xr:uid="{00000000-0005-0000-0000-0000C2400000}"/>
    <cellStyle name="Normal 2 5 2 2 3 2 6 4" xfId="27548" xr:uid="{00000000-0005-0000-0000-0000C3400000}"/>
    <cellStyle name="Normal 2 5 2 2 3 2 7" xfId="5868" xr:uid="{00000000-0005-0000-0000-0000C4400000}"/>
    <cellStyle name="Normal 2 5 2 2 3 2 7 2" xfId="14695" xr:uid="{00000000-0005-0000-0000-0000C5400000}"/>
    <cellStyle name="Normal 2 5 2 2 3 2 7 2 2" xfId="40250" xr:uid="{00000000-0005-0000-0000-0000C6400000}"/>
    <cellStyle name="Normal 2 5 2 2 3 2 7 3" xfId="24946" xr:uid="{00000000-0005-0000-0000-0000C7400000}"/>
    <cellStyle name="Normal 2 5 2 2 3 2 7 3 2" xfId="50499" xr:uid="{00000000-0005-0000-0000-0000C8400000}"/>
    <cellStyle name="Normal 2 5 2 2 3 2 7 4" xfId="31429" xr:uid="{00000000-0005-0000-0000-0000C9400000}"/>
    <cellStyle name="Normal 2 5 2 2 3 2 8" xfId="7312" xr:uid="{00000000-0005-0000-0000-0000CA400000}"/>
    <cellStyle name="Normal 2 5 2 2 3 2 8 2" xfId="20038" xr:uid="{00000000-0005-0000-0000-0000CB400000}"/>
    <cellStyle name="Normal 2 5 2 2 3 2 8 2 2" xfId="45591" xr:uid="{00000000-0005-0000-0000-0000CC400000}"/>
    <cellStyle name="Normal 2 5 2 2 3 2 8 3" xfId="32869" xr:uid="{00000000-0005-0000-0000-0000CD400000}"/>
    <cellStyle name="Normal 2 5 2 2 3 2 9" xfId="16058" xr:uid="{00000000-0005-0000-0000-0000CE400000}"/>
    <cellStyle name="Normal 2 5 2 2 3 2 9 2" xfId="41611" xr:uid="{00000000-0005-0000-0000-0000CF400000}"/>
    <cellStyle name="Normal 2 5 2 2 3 2_Degree data" xfId="3864" xr:uid="{00000000-0005-0000-0000-0000D0400000}"/>
    <cellStyle name="Normal 2 5 2 2 3 3" xfId="388" xr:uid="{00000000-0005-0000-0000-0000D1400000}"/>
    <cellStyle name="Normal 2 5 2 2 3 3 2" xfId="2874" xr:uid="{00000000-0005-0000-0000-0000D2400000}"/>
    <cellStyle name="Normal 2 5 2 2 3 3 2 2" xfId="12162" xr:uid="{00000000-0005-0000-0000-0000D3400000}"/>
    <cellStyle name="Normal 2 5 2 2 3 3 2 2 2" xfId="22235" xr:uid="{00000000-0005-0000-0000-0000D4400000}"/>
    <cellStyle name="Normal 2 5 2 2 3 3 2 2 2 2" xfId="47788" xr:uid="{00000000-0005-0000-0000-0000D5400000}"/>
    <cellStyle name="Normal 2 5 2 2 3 3 2 2 3" xfId="37717" xr:uid="{00000000-0005-0000-0000-0000D6400000}"/>
    <cellStyle name="Normal 2 5 2 2 3 3 2 3" xfId="8517" xr:uid="{00000000-0005-0000-0000-0000D7400000}"/>
    <cellStyle name="Normal 2 5 2 2 3 3 2 3 2" xfId="34074" xr:uid="{00000000-0005-0000-0000-0000D8400000}"/>
    <cellStyle name="Normal 2 5 2 2 3 3 2 4" xfId="17228" xr:uid="{00000000-0005-0000-0000-0000D9400000}"/>
    <cellStyle name="Normal 2 5 2 2 3 3 2 4 2" xfId="42781" xr:uid="{00000000-0005-0000-0000-0000DA400000}"/>
    <cellStyle name="Normal 2 5 2 2 3 3 2 5" xfId="28718" xr:uid="{00000000-0005-0000-0000-0000DB400000}"/>
    <cellStyle name="Normal 2 5 2 2 3 3 3" xfId="4546" xr:uid="{00000000-0005-0000-0000-0000DC400000}"/>
    <cellStyle name="Normal 2 5 2 2 3 3 3 2" xfId="13384" xr:uid="{00000000-0005-0000-0000-0000DD400000}"/>
    <cellStyle name="Normal 2 5 2 2 3 3 3 2 2" xfId="23635" xr:uid="{00000000-0005-0000-0000-0000DE400000}"/>
    <cellStyle name="Normal 2 5 2 2 3 3 3 2 2 2" xfId="49188" xr:uid="{00000000-0005-0000-0000-0000DF400000}"/>
    <cellStyle name="Normal 2 5 2 2 3 3 3 2 3" xfId="38939" xr:uid="{00000000-0005-0000-0000-0000E0400000}"/>
    <cellStyle name="Normal 2 5 2 2 3 3 3 3" xfId="9805" xr:uid="{00000000-0005-0000-0000-0000E1400000}"/>
    <cellStyle name="Normal 2 5 2 2 3 3 3 3 2" xfId="35362" xr:uid="{00000000-0005-0000-0000-0000E2400000}"/>
    <cellStyle name="Normal 2 5 2 2 3 3 3 4" xfId="18628" xr:uid="{00000000-0005-0000-0000-0000E3400000}"/>
    <cellStyle name="Normal 2 5 2 2 3 3 3 4 2" xfId="44181" xr:uid="{00000000-0005-0000-0000-0000E4400000}"/>
    <cellStyle name="Normal 2 5 2 2 3 3 3 5" xfId="30118" xr:uid="{00000000-0005-0000-0000-0000E5400000}"/>
    <cellStyle name="Normal 2 5 2 2 3 3 4" xfId="1983" xr:uid="{00000000-0005-0000-0000-0000E6400000}"/>
    <cellStyle name="Normal 2 5 2 2 3 3 4 2" xfId="11348" xr:uid="{00000000-0005-0000-0000-0000E7400000}"/>
    <cellStyle name="Normal 2 5 2 2 3 3 4 2 2" xfId="36903" xr:uid="{00000000-0005-0000-0000-0000E8400000}"/>
    <cellStyle name="Normal 2 5 2 2 3 3 4 3" xfId="21352" xr:uid="{00000000-0005-0000-0000-0000E9400000}"/>
    <cellStyle name="Normal 2 5 2 2 3 3 4 3 2" xfId="46905" xr:uid="{00000000-0005-0000-0000-0000EA400000}"/>
    <cellStyle name="Normal 2 5 2 2 3 3 4 4" xfId="27835" xr:uid="{00000000-0005-0000-0000-0000EB400000}"/>
    <cellStyle name="Normal 2 5 2 2 3 3 5" xfId="6002" xr:uid="{00000000-0005-0000-0000-0000EC400000}"/>
    <cellStyle name="Normal 2 5 2 2 3 3 5 2" xfId="14829" xr:uid="{00000000-0005-0000-0000-0000ED400000}"/>
    <cellStyle name="Normal 2 5 2 2 3 3 5 2 2" xfId="40384" xr:uid="{00000000-0005-0000-0000-0000EE400000}"/>
    <cellStyle name="Normal 2 5 2 2 3 3 5 3" xfId="25080" xr:uid="{00000000-0005-0000-0000-0000EF400000}"/>
    <cellStyle name="Normal 2 5 2 2 3 3 5 3 2" xfId="50633" xr:uid="{00000000-0005-0000-0000-0000F0400000}"/>
    <cellStyle name="Normal 2 5 2 2 3 3 5 4" xfId="31563" xr:uid="{00000000-0005-0000-0000-0000F1400000}"/>
    <cellStyle name="Normal 2 5 2 2 3 3 6" xfId="7446" xr:uid="{00000000-0005-0000-0000-0000F2400000}"/>
    <cellStyle name="Normal 2 5 2 2 3 3 6 2" xfId="19834" xr:uid="{00000000-0005-0000-0000-0000F3400000}"/>
    <cellStyle name="Normal 2 5 2 2 3 3 6 2 2" xfId="45387" xr:uid="{00000000-0005-0000-0000-0000F4400000}"/>
    <cellStyle name="Normal 2 5 2 2 3 3 6 3" xfId="33003" xr:uid="{00000000-0005-0000-0000-0000F5400000}"/>
    <cellStyle name="Normal 2 5 2 2 3 3 7" xfId="16345" xr:uid="{00000000-0005-0000-0000-0000F6400000}"/>
    <cellStyle name="Normal 2 5 2 2 3 3 7 2" xfId="41898" xr:uid="{00000000-0005-0000-0000-0000F7400000}"/>
    <cellStyle name="Normal 2 5 2 2 3 3 8" xfId="26317" xr:uid="{00000000-0005-0000-0000-0000F8400000}"/>
    <cellStyle name="Normal 2 5 2 2 3 4" xfId="731" xr:uid="{00000000-0005-0000-0000-0000F9400000}"/>
    <cellStyle name="Normal 2 5 2 2 3 4 2" xfId="3217" xr:uid="{00000000-0005-0000-0000-0000FA400000}"/>
    <cellStyle name="Normal 2 5 2 2 3 4 2 2" xfId="12359" xr:uid="{00000000-0005-0000-0000-0000FB400000}"/>
    <cellStyle name="Normal 2 5 2 2 3 4 2 2 2" xfId="22578" xr:uid="{00000000-0005-0000-0000-0000FC400000}"/>
    <cellStyle name="Normal 2 5 2 2 3 4 2 2 2 2" xfId="48131" xr:uid="{00000000-0005-0000-0000-0000FD400000}"/>
    <cellStyle name="Normal 2 5 2 2 3 4 2 2 3" xfId="37914" xr:uid="{00000000-0005-0000-0000-0000FE400000}"/>
    <cellStyle name="Normal 2 5 2 2 3 4 2 3" xfId="8781" xr:uid="{00000000-0005-0000-0000-0000FF400000}"/>
    <cellStyle name="Normal 2 5 2 2 3 4 2 3 2" xfId="34338" xr:uid="{00000000-0005-0000-0000-000000410000}"/>
    <cellStyle name="Normal 2 5 2 2 3 4 2 4" xfId="17571" xr:uid="{00000000-0005-0000-0000-000001410000}"/>
    <cellStyle name="Normal 2 5 2 2 3 4 2 4 2" xfId="43124" xr:uid="{00000000-0005-0000-0000-000002410000}"/>
    <cellStyle name="Normal 2 5 2 2 3 4 2 5" xfId="29061" xr:uid="{00000000-0005-0000-0000-000003410000}"/>
    <cellStyle name="Normal 2 5 2 2 3 4 3" xfId="4895" xr:uid="{00000000-0005-0000-0000-000004410000}"/>
    <cellStyle name="Normal 2 5 2 2 3 4 3 2" xfId="13732" xr:uid="{00000000-0005-0000-0000-000005410000}"/>
    <cellStyle name="Normal 2 5 2 2 3 4 3 2 2" xfId="23983" xr:uid="{00000000-0005-0000-0000-000006410000}"/>
    <cellStyle name="Normal 2 5 2 2 3 4 3 2 2 2" xfId="49536" xr:uid="{00000000-0005-0000-0000-000007410000}"/>
    <cellStyle name="Normal 2 5 2 2 3 4 3 2 3" xfId="39287" xr:uid="{00000000-0005-0000-0000-000008410000}"/>
    <cellStyle name="Normal 2 5 2 2 3 4 3 3" xfId="10153" xr:uid="{00000000-0005-0000-0000-000009410000}"/>
    <cellStyle name="Normal 2 5 2 2 3 4 3 3 2" xfId="35710" xr:uid="{00000000-0005-0000-0000-00000A410000}"/>
    <cellStyle name="Normal 2 5 2 2 3 4 3 4" xfId="18976" xr:uid="{00000000-0005-0000-0000-00000B410000}"/>
    <cellStyle name="Normal 2 5 2 2 3 4 3 4 2" xfId="44529" xr:uid="{00000000-0005-0000-0000-00000C410000}"/>
    <cellStyle name="Normal 2 5 2 2 3 4 3 5" xfId="30466" xr:uid="{00000000-0005-0000-0000-00000D410000}"/>
    <cellStyle name="Normal 2 5 2 2 3 4 4" xfId="2326" xr:uid="{00000000-0005-0000-0000-00000E410000}"/>
    <cellStyle name="Normal 2 5 2 2 3 4 4 2" xfId="11691" xr:uid="{00000000-0005-0000-0000-00000F410000}"/>
    <cellStyle name="Normal 2 5 2 2 3 4 4 2 2" xfId="37246" xr:uid="{00000000-0005-0000-0000-000010410000}"/>
    <cellStyle name="Normal 2 5 2 2 3 4 4 3" xfId="21695" xr:uid="{00000000-0005-0000-0000-000011410000}"/>
    <cellStyle name="Normal 2 5 2 2 3 4 4 3 2" xfId="47248" xr:uid="{00000000-0005-0000-0000-000012410000}"/>
    <cellStyle name="Normal 2 5 2 2 3 4 4 4" xfId="28178" xr:uid="{00000000-0005-0000-0000-000013410000}"/>
    <cellStyle name="Normal 2 5 2 2 3 4 5" xfId="6350" xr:uid="{00000000-0005-0000-0000-000014410000}"/>
    <cellStyle name="Normal 2 5 2 2 3 4 5 2" xfId="15177" xr:uid="{00000000-0005-0000-0000-000015410000}"/>
    <cellStyle name="Normal 2 5 2 2 3 4 5 2 2" xfId="40732" xr:uid="{00000000-0005-0000-0000-000016410000}"/>
    <cellStyle name="Normal 2 5 2 2 3 4 5 3" xfId="25428" xr:uid="{00000000-0005-0000-0000-000017410000}"/>
    <cellStyle name="Normal 2 5 2 2 3 4 5 3 2" xfId="50981" xr:uid="{00000000-0005-0000-0000-000018410000}"/>
    <cellStyle name="Normal 2 5 2 2 3 4 5 4" xfId="31911" xr:uid="{00000000-0005-0000-0000-000019410000}"/>
    <cellStyle name="Normal 2 5 2 2 3 4 6" xfId="7796" xr:uid="{00000000-0005-0000-0000-00001A410000}"/>
    <cellStyle name="Normal 2 5 2 2 3 4 6 2" xfId="20177" xr:uid="{00000000-0005-0000-0000-00001B410000}"/>
    <cellStyle name="Normal 2 5 2 2 3 4 6 2 2" xfId="45730" xr:uid="{00000000-0005-0000-0000-00001C410000}"/>
    <cellStyle name="Normal 2 5 2 2 3 4 6 3" xfId="33353" xr:uid="{00000000-0005-0000-0000-00001D410000}"/>
    <cellStyle name="Normal 2 5 2 2 3 4 7" xfId="16688" xr:uid="{00000000-0005-0000-0000-00001E410000}"/>
    <cellStyle name="Normal 2 5 2 2 3 4 7 2" xfId="42241" xr:uid="{00000000-0005-0000-0000-00001F410000}"/>
    <cellStyle name="Normal 2 5 2 2 3 4 8" xfId="26660" xr:uid="{00000000-0005-0000-0000-000020410000}"/>
    <cellStyle name="Normal 2 5 2 2 3 5" xfId="1160" xr:uid="{00000000-0005-0000-0000-000021410000}"/>
    <cellStyle name="Normal 2 5 2 2 3 5 2" xfId="3589" xr:uid="{00000000-0005-0000-0000-000022410000}"/>
    <cellStyle name="Normal 2 5 2 2 3 5 2 2" xfId="12725" xr:uid="{00000000-0005-0000-0000-000023410000}"/>
    <cellStyle name="Normal 2 5 2 2 3 5 2 2 2" xfId="22944" xr:uid="{00000000-0005-0000-0000-000024410000}"/>
    <cellStyle name="Normal 2 5 2 2 3 5 2 2 2 2" xfId="48497" xr:uid="{00000000-0005-0000-0000-000025410000}"/>
    <cellStyle name="Normal 2 5 2 2 3 5 2 2 3" xfId="38280" xr:uid="{00000000-0005-0000-0000-000026410000}"/>
    <cellStyle name="Normal 2 5 2 2 3 5 2 3" xfId="9146" xr:uid="{00000000-0005-0000-0000-000027410000}"/>
    <cellStyle name="Normal 2 5 2 2 3 5 2 3 2" xfId="34703" xr:uid="{00000000-0005-0000-0000-000028410000}"/>
    <cellStyle name="Normal 2 5 2 2 3 5 2 4" xfId="17937" xr:uid="{00000000-0005-0000-0000-000029410000}"/>
    <cellStyle name="Normal 2 5 2 2 3 5 2 4 2" xfId="43490" xr:uid="{00000000-0005-0000-0000-00002A410000}"/>
    <cellStyle name="Normal 2 5 2 2 3 5 2 5" xfId="29427" xr:uid="{00000000-0005-0000-0000-00002B410000}"/>
    <cellStyle name="Normal 2 5 2 2 3 5 3" xfId="5252" xr:uid="{00000000-0005-0000-0000-00002C410000}"/>
    <cellStyle name="Normal 2 5 2 2 3 5 3 2" xfId="14089" xr:uid="{00000000-0005-0000-0000-00002D410000}"/>
    <cellStyle name="Normal 2 5 2 2 3 5 3 2 2" xfId="24340" xr:uid="{00000000-0005-0000-0000-00002E410000}"/>
    <cellStyle name="Normal 2 5 2 2 3 5 3 2 2 2" xfId="49893" xr:uid="{00000000-0005-0000-0000-00002F410000}"/>
    <cellStyle name="Normal 2 5 2 2 3 5 3 2 3" xfId="39644" xr:uid="{00000000-0005-0000-0000-000030410000}"/>
    <cellStyle name="Normal 2 5 2 2 3 5 3 3" xfId="10510" xr:uid="{00000000-0005-0000-0000-000031410000}"/>
    <cellStyle name="Normal 2 5 2 2 3 5 3 3 2" xfId="36067" xr:uid="{00000000-0005-0000-0000-000032410000}"/>
    <cellStyle name="Normal 2 5 2 2 3 5 3 4" xfId="19333" xr:uid="{00000000-0005-0000-0000-000033410000}"/>
    <cellStyle name="Normal 2 5 2 2 3 5 3 4 2" xfId="44886" xr:uid="{00000000-0005-0000-0000-000034410000}"/>
    <cellStyle name="Normal 2 5 2 2 3 5 3 5" xfId="30823" xr:uid="{00000000-0005-0000-0000-000035410000}"/>
    <cellStyle name="Normal 2 5 2 2 3 5 4" xfId="1867" xr:uid="{00000000-0005-0000-0000-000036410000}"/>
    <cellStyle name="Normal 2 5 2 2 3 5 4 2" xfId="11235" xr:uid="{00000000-0005-0000-0000-000037410000}"/>
    <cellStyle name="Normal 2 5 2 2 3 5 4 2 2" xfId="36790" xr:uid="{00000000-0005-0000-0000-000038410000}"/>
    <cellStyle name="Normal 2 5 2 2 3 5 4 3" xfId="21239" xr:uid="{00000000-0005-0000-0000-000039410000}"/>
    <cellStyle name="Normal 2 5 2 2 3 5 4 3 2" xfId="46792" xr:uid="{00000000-0005-0000-0000-00003A410000}"/>
    <cellStyle name="Normal 2 5 2 2 3 5 4 4" xfId="27722" xr:uid="{00000000-0005-0000-0000-00003B410000}"/>
    <cellStyle name="Normal 2 5 2 2 3 5 5" xfId="6707" xr:uid="{00000000-0005-0000-0000-00003C410000}"/>
    <cellStyle name="Normal 2 5 2 2 3 5 5 2" xfId="15534" xr:uid="{00000000-0005-0000-0000-00003D410000}"/>
    <cellStyle name="Normal 2 5 2 2 3 5 5 2 2" xfId="41089" xr:uid="{00000000-0005-0000-0000-00003E410000}"/>
    <cellStyle name="Normal 2 5 2 2 3 5 5 3" xfId="25785" xr:uid="{00000000-0005-0000-0000-00003F410000}"/>
    <cellStyle name="Normal 2 5 2 2 3 5 5 3 2" xfId="51338" xr:uid="{00000000-0005-0000-0000-000040410000}"/>
    <cellStyle name="Normal 2 5 2 2 3 5 5 4" xfId="32268" xr:uid="{00000000-0005-0000-0000-000041410000}"/>
    <cellStyle name="Normal 2 5 2 2 3 5 6" xfId="8153" xr:uid="{00000000-0005-0000-0000-000042410000}"/>
    <cellStyle name="Normal 2 5 2 2 3 5 6 2" xfId="20543" xr:uid="{00000000-0005-0000-0000-000043410000}"/>
    <cellStyle name="Normal 2 5 2 2 3 5 6 2 2" xfId="46096" xr:uid="{00000000-0005-0000-0000-000044410000}"/>
    <cellStyle name="Normal 2 5 2 2 3 5 6 3" xfId="33710" xr:uid="{00000000-0005-0000-0000-000045410000}"/>
    <cellStyle name="Normal 2 5 2 2 3 5 7" xfId="16232" xr:uid="{00000000-0005-0000-0000-000046410000}"/>
    <cellStyle name="Normal 2 5 2 2 3 5 7 2" xfId="41785" xr:uid="{00000000-0005-0000-0000-000047410000}"/>
    <cellStyle name="Normal 2 5 2 2 3 5 8" xfId="27026" xr:uid="{00000000-0005-0000-0000-000048410000}"/>
    <cellStyle name="Normal 2 5 2 2 3 6" xfId="2761" xr:uid="{00000000-0005-0000-0000-000049410000}"/>
    <cellStyle name="Normal 2 5 2 2 3 6 2" xfId="12078" xr:uid="{00000000-0005-0000-0000-00004A410000}"/>
    <cellStyle name="Normal 2 5 2 2 3 6 2 2" xfId="22122" xr:uid="{00000000-0005-0000-0000-00004B410000}"/>
    <cellStyle name="Normal 2 5 2 2 3 6 2 2 2" xfId="47675" xr:uid="{00000000-0005-0000-0000-00004C410000}"/>
    <cellStyle name="Normal 2 5 2 2 3 6 2 3" xfId="37633" xr:uid="{00000000-0005-0000-0000-00004D410000}"/>
    <cellStyle name="Normal 2 5 2 2 3 6 3" xfId="8538" xr:uid="{00000000-0005-0000-0000-00004E410000}"/>
    <cellStyle name="Normal 2 5 2 2 3 6 3 2" xfId="34095" xr:uid="{00000000-0005-0000-0000-00004F410000}"/>
    <cellStyle name="Normal 2 5 2 2 3 6 4" xfId="17115" xr:uid="{00000000-0005-0000-0000-000050410000}"/>
    <cellStyle name="Normal 2 5 2 2 3 6 4 2" xfId="42668" xr:uid="{00000000-0005-0000-0000-000051410000}"/>
    <cellStyle name="Normal 2 5 2 2 3 6 5" xfId="28605" xr:uid="{00000000-0005-0000-0000-000052410000}"/>
    <cellStyle name="Normal 2 5 2 2 3 7" xfId="4208" xr:uid="{00000000-0005-0000-0000-000053410000}"/>
    <cellStyle name="Normal 2 5 2 2 3 7 2" xfId="13046" xr:uid="{00000000-0005-0000-0000-000054410000}"/>
    <cellStyle name="Normal 2 5 2 2 3 7 2 2" xfId="23297" xr:uid="{00000000-0005-0000-0000-000055410000}"/>
    <cellStyle name="Normal 2 5 2 2 3 7 2 2 2" xfId="48850" xr:uid="{00000000-0005-0000-0000-000056410000}"/>
    <cellStyle name="Normal 2 5 2 2 3 7 2 3" xfId="38601" xr:uid="{00000000-0005-0000-0000-000057410000}"/>
    <cellStyle name="Normal 2 5 2 2 3 7 3" xfId="9467" xr:uid="{00000000-0005-0000-0000-000058410000}"/>
    <cellStyle name="Normal 2 5 2 2 3 7 3 2" xfId="35024" xr:uid="{00000000-0005-0000-0000-000059410000}"/>
    <cellStyle name="Normal 2 5 2 2 3 7 4" xfId="18290" xr:uid="{00000000-0005-0000-0000-00005A410000}"/>
    <cellStyle name="Normal 2 5 2 2 3 7 4 2" xfId="43843" xr:uid="{00000000-0005-0000-0000-00005B410000}"/>
    <cellStyle name="Normal 2 5 2 2 3 7 5" xfId="29780" xr:uid="{00000000-0005-0000-0000-00005C410000}"/>
    <cellStyle name="Normal 2 5 2 2 3 8" xfId="1480" xr:uid="{00000000-0005-0000-0000-00005D410000}"/>
    <cellStyle name="Normal 2 5 2 2 3 8 2" xfId="10857" xr:uid="{00000000-0005-0000-0000-00005E410000}"/>
    <cellStyle name="Normal 2 5 2 2 3 8 2 2" xfId="36412" xr:uid="{00000000-0005-0000-0000-00005F410000}"/>
    <cellStyle name="Normal 2 5 2 2 3 8 3" xfId="20861" xr:uid="{00000000-0005-0000-0000-000060410000}"/>
    <cellStyle name="Normal 2 5 2 2 3 8 3 2" xfId="46414" xr:uid="{00000000-0005-0000-0000-000061410000}"/>
    <cellStyle name="Normal 2 5 2 2 3 8 4" xfId="27344" xr:uid="{00000000-0005-0000-0000-000062410000}"/>
    <cellStyle name="Normal 2 5 2 2 3 9" xfId="5664" xr:uid="{00000000-0005-0000-0000-000063410000}"/>
    <cellStyle name="Normal 2 5 2 2 3 9 2" xfId="14491" xr:uid="{00000000-0005-0000-0000-000064410000}"/>
    <cellStyle name="Normal 2 5 2 2 3 9 2 2" xfId="40046" xr:uid="{00000000-0005-0000-0000-000065410000}"/>
    <cellStyle name="Normal 2 5 2 2 3 9 3" xfId="24742" xr:uid="{00000000-0005-0000-0000-000066410000}"/>
    <cellStyle name="Normal 2 5 2 2 3 9 3 2" xfId="50295" xr:uid="{00000000-0005-0000-0000-000067410000}"/>
    <cellStyle name="Normal 2 5 2 2 3 9 4" xfId="31225" xr:uid="{00000000-0005-0000-0000-000068410000}"/>
    <cellStyle name="Normal 2 5 2 2 3_Degree data" xfId="3819" xr:uid="{00000000-0005-0000-0000-000069410000}"/>
    <cellStyle name="Normal 2 5 2 2 4" xfId="488" xr:uid="{00000000-0005-0000-0000-00006A410000}"/>
    <cellStyle name="Normal 2 5 2 2 4 10" xfId="26417" xr:uid="{00000000-0005-0000-0000-00006B410000}"/>
    <cellStyle name="Normal 2 5 2 2 4 2" xfId="733" xr:uid="{00000000-0005-0000-0000-00006C410000}"/>
    <cellStyle name="Normal 2 5 2 2 4 2 2" xfId="3219" xr:uid="{00000000-0005-0000-0000-00006D410000}"/>
    <cellStyle name="Normal 2 5 2 2 4 2 2 2" xfId="12361" xr:uid="{00000000-0005-0000-0000-00006E410000}"/>
    <cellStyle name="Normal 2 5 2 2 4 2 2 2 2" xfId="22580" xr:uid="{00000000-0005-0000-0000-00006F410000}"/>
    <cellStyle name="Normal 2 5 2 2 4 2 2 2 2 2" xfId="48133" xr:uid="{00000000-0005-0000-0000-000070410000}"/>
    <cellStyle name="Normal 2 5 2 2 4 2 2 2 3" xfId="37916" xr:uid="{00000000-0005-0000-0000-000071410000}"/>
    <cellStyle name="Normal 2 5 2 2 4 2 2 3" xfId="8783" xr:uid="{00000000-0005-0000-0000-000072410000}"/>
    <cellStyle name="Normal 2 5 2 2 4 2 2 3 2" xfId="34340" xr:uid="{00000000-0005-0000-0000-000073410000}"/>
    <cellStyle name="Normal 2 5 2 2 4 2 2 4" xfId="17573" xr:uid="{00000000-0005-0000-0000-000074410000}"/>
    <cellStyle name="Normal 2 5 2 2 4 2 2 4 2" xfId="43126" xr:uid="{00000000-0005-0000-0000-000075410000}"/>
    <cellStyle name="Normal 2 5 2 2 4 2 2 5" xfId="29063" xr:uid="{00000000-0005-0000-0000-000076410000}"/>
    <cellStyle name="Normal 2 5 2 2 4 2 3" xfId="4548" xr:uid="{00000000-0005-0000-0000-000077410000}"/>
    <cellStyle name="Normal 2 5 2 2 4 2 3 2" xfId="13386" xr:uid="{00000000-0005-0000-0000-000078410000}"/>
    <cellStyle name="Normal 2 5 2 2 4 2 3 2 2" xfId="23637" xr:uid="{00000000-0005-0000-0000-000079410000}"/>
    <cellStyle name="Normal 2 5 2 2 4 2 3 2 2 2" xfId="49190" xr:uid="{00000000-0005-0000-0000-00007A410000}"/>
    <cellStyle name="Normal 2 5 2 2 4 2 3 2 3" xfId="38941" xr:uid="{00000000-0005-0000-0000-00007B410000}"/>
    <cellStyle name="Normal 2 5 2 2 4 2 3 3" xfId="9807" xr:uid="{00000000-0005-0000-0000-00007C410000}"/>
    <cellStyle name="Normal 2 5 2 2 4 2 3 3 2" xfId="35364" xr:uid="{00000000-0005-0000-0000-00007D410000}"/>
    <cellStyle name="Normal 2 5 2 2 4 2 3 4" xfId="18630" xr:uid="{00000000-0005-0000-0000-00007E410000}"/>
    <cellStyle name="Normal 2 5 2 2 4 2 3 4 2" xfId="44183" xr:uid="{00000000-0005-0000-0000-00007F410000}"/>
    <cellStyle name="Normal 2 5 2 2 4 2 3 5" xfId="30120" xr:uid="{00000000-0005-0000-0000-000080410000}"/>
    <cellStyle name="Normal 2 5 2 2 4 2 4" xfId="2328" xr:uid="{00000000-0005-0000-0000-000081410000}"/>
    <cellStyle name="Normal 2 5 2 2 4 2 4 2" xfId="11693" xr:uid="{00000000-0005-0000-0000-000082410000}"/>
    <cellStyle name="Normal 2 5 2 2 4 2 4 2 2" xfId="37248" xr:uid="{00000000-0005-0000-0000-000083410000}"/>
    <cellStyle name="Normal 2 5 2 2 4 2 4 3" xfId="21697" xr:uid="{00000000-0005-0000-0000-000084410000}"/>
    <cellStyle name="Normal 2 5 2 2 4 2 4 3 2" xfId="47250" xr:uid="{00000000-0005-0000-0000-000085410000}"/>
    <cellStyle name="Normal 2 5 2 2 4 2 4 4" xfId="28180" xr:uid="{00000000-0005-0000-0000-000086410000}"/>
    <cellStyle name="Normal 2 5 2 2 4 2 5" xfId="6004" xr:uid="{00000000-0005-0000-0000-000087410000}"/>
    <cellStyle name="Normal 2 5 2 2 4 2 5 2" xfId="14831" xr:uid="{00000000-0005-0000-0000-000088410000}"/>
    <cellStyle name="Normal 2 5 2 2 4 2 5 2 2" xfId="40386" xr:uid="{00000000-0005-0000-0000-000089410000}"/>
    <cellStyle name="Normal 2 5 2 2 4 2 5 3" xfId="25082" xr:uid="{00000000-0005-0000-0000-00008A410000}"/>
    <cellStyle name="Normal 2 5 2 2 4 2 5 3 2" xfId="50635" xr:uid="{00000000-0005-0000-0000-00008B410000}"/>
    <cellStyle name="Normal 2 5 2 2 4 2 5 4" xfId="31565" xr:uid="{00000000-0005-0000-0000-00008C410000}"/>
    <cellStyle name="Normal 2 5 2 2 4 2 6" xfId="7448" xr:uid="{00000000-0005-0000-0000-00008D410000}"/>
    <cellStyle name="Normal 2 5 2 2 4 2 6 2" xfId="20179" xr:uid="{00000000-0005-0000-0000-00008E410000}"/>
    <cellStyle name="Normal 2 5 2 2 4 2 6 2 2" xfId="45732" xr:uid="{00000000-0005-0000-0000-00008F410000}"/>
    <cellStyle name="Normal 2 5 2 2 4 2 6 3" xfId="33005" xr:uid="{00000000-0005-0000-0000-000090410000}"/>
    <cellStyle name="Normal 2 5 2 2 4 2 7" xfId="16690" xr:uid="{00000000-0005-0000-0000-000091410000}"/>
    <cellStyle name="Normal 2 5 2 2 4 2 7 2" xfId="42243" xr:uid="{00000000-0005-0000-0000-000092410000}"/>
    <cellStyle name="Normal 2 5 2 2 4 2 8" xfId="26662" xr:uid="{00000000-0005-0000-0000-000093410000}"/>
    <cellStyle name="Normal 2 5 2 2 4 3" xfId="1260" xr:uid="{00000000-0005-0000-0000-000094410000}"/>
    <cellStyle name="Normal 2 5 2 2 4 3 2" xfId="3689" xr:uid="{00000000-0005-0000-0000-000095410000}"/>
    <cellStyle name="Normal 2 5 2 2 4 3 2 2" xfId="12825" xr:uid="{00000000-0005-0000-0000-000096410000}"/>
    <cellStyle name="Normal 2 5 2 2 4 3 2 2 2" xfId="23044" xr:uid="{00000000-0005-0000-0000-000097410000}"/>
    <cellStyle name="Normal 2 5 2 2 4 3 2 2 2 2" xfId="48597" xr:uid="{00000000-0005-0000-0000-000098410000}"/>
    <cellStyle name="Normal 2 5 2 2 4 3 2 2 3" xfId="38380" xr:uid="{00000000-0005-0000-0000-000099410000}"/>
    <cellStyle name="Normal 2 5 2 2 4 3 2 3" xfId="9246" xr:uid="{00000000-0005-0000-0000-00009A410000}"/>
    <cellStyle name="Normal 2 5 2 2 4 3 2 3 2" xfId="34803" xr:uid="{00000000-0005-0000-0000-00009B410000}"/>
    <cellStyle name="Normal 2 5 2 2 4 3 2 4" xfId="18037" xr:uid="{00000000-0005-0000-0000-00009C410000}"/>
    <cellStyle name="Normal 2 5 2 2 4 3 2 4 2" xfId="43590" xr:uid="{00000000-0005-0000-0000-00009D410000}"/>
    <cellStyle name="Normal 2 5 2 2 4 3 2 5" xfId="29527" xr:uid="{00000000-0005-0000-0000-00009E410000}"/>
    <cellStyle name="Normal 2 5 2 2 4 3 3" xfId="4897" xr:uid="{00000000-0005-0000-0000-00009F410000}"/>
    <cellStyle name="Normal 2 5 2 2 4 3 3 2" xfId="13734" xr:uid="{00000000-0005-0000-0000-0000A0410000}"/>
    <cellStyle name="Normal 2 5 2 2 4 3 3 2 2" xfId="23985" xr:uid="{00000000-0005-0000-0000-0000A1410000}"/>
    <cellStyle name="Normal 2 5 2 2 4 3 3 2 2 2" xfId="49538" xr:uid="{00000000-0005-0000-0000-0000A2410000}"/>
    <cellStyle name="Normal 2 5 2 2 4 3 3 2 3" xfId="39289" xr:uid="{00000000-0005-0000-0000-0000A3410000}"/>
    <cellStyle name="Normal 2 5 2 2 4 3 3 3" xfId="10155" xr:uid="{00000000-0005-0000-0000-0000A4410000}"/>
    <cellStyle name="Normal 2 5 2 2 4 3 3 3 2" xfId="35712" xr:uid="{00000000-0005-0000-0000-0000A5410000}"/>
    <cellStyle name="Normal 2 5 2 2 4 3 3 4" xfId="18978" xr:uid="{00000000-0005-0000-0000-0000A6410000}"/>
    <cellStyle name="Normal 2 5 2 2 4 3 3 4 2" xfId="44531" xr:uid="{00000000-0005-0000-0000-0000A7410000}"/>
    <cellStyle name="Normal 2 5 2 2 4 3 3 5" xfId="30468" xr:uid="{00000000-0005-0000-0000-0000A8410000}"/>
    <cellStyle name="Normal 2 5 2 2 4 3 4" xfId="2083" xr:uid="{00000000-0005-0000-0000-0000A9410000}"/>
    <cellStyle name="Normal 2 5 2 2 4 3 4 2" xfId="11448" xr:uid="{00000000-0005-0000-0000-0000AA410000}"/>
    <cellStyle name="Normal 2 5 2 2 4 3 4 2 2" xfId="37003" xr:uid="{00000000-0005-0000-0000-0000AB410000}"/>
    <cellStyle name="Normal 2 5 2 2 4 3 4 3" xfId="21452" xr:uid="{00000000-0005-0000-0000-0000AC410000}"/>
    <cellStyle name="Normal 2 5 2 2 4 3 4 3 2" xfId="47005" xr:uid="{00000000-0005-0000-0000-0000AD410000}"/>
    <cellStyle name="Normal 2 5 2 2 4 3 4 4" xfId="27935" xr:uid="{00000000-0005-0000-0000-0000AE410000}"/>
    <cellStyle name="Normal 2 5 2 2 4 3 5" xfId="6352" xr:uid="{00000000-0005-0000-0000-0000AF410000}"/>
    <cellStyle name="Normal 2 5 2 2 4 3 5 2" xfId="15179" xr:uid="{00000000-0005-0000-0000-0000B0410000}"/>
    <cellStyle name="Normal 2 5 2 2 4 3 5 2 2" xfId="40734" xr:uid="{00000000-0005-0000-0000-0000B1410000}"/>
    <cellStyle name="Normal 2 5 2 2 4 3 5 3" xfId="25430" xr:uid="{00000000-0005-0000-0000-0000B2410000}"/>
    <cellStyle name="Normal 2 5 2 2 4 3 5 3 2" xfId="50983" xr:uid="{00000000-0005-0000-0000-0000B3410000}"/>
    <cellStyle name="Normal 2 5 2 2 4 3 5 4" xfId="31913" xr:uid="{00000000-0005-0000-0000-0000B4410000}"/>
    <cellStyle name="Normal 2 5 2 2 4 3 6" xfId="7798" xr:uid="{00000000-0005-0000-0000-0000B5410000}"/>
    <cellStyle name="Normal 2 5 2 2 4 3 6 2" xfId="20643" xr:uid="{00000000-0005-0000-0000-0000B6410000}"/>
    <cellStyle name="Normal 2 5 2 2 4 3 6 2 2" xfId="46196" xr:uid="{00000000-0005-0000-0000-0000B7410000}"/>
    <cellStyle name="Normal 2 5 2 2 4 3 6 3" xfId="33355" xr:uid="{00000000-0005-0000-0000-0000B8410000}"/>
    <cellStyle name="Normal 2 5 2 2 4 3 7" xfId="16445" xr:uid="{00000000-0005-0000-0000-0000B9410000}"/>
    <cellStyle name="Normal 2 5 2 2 4 3 7 2" xfId="41998" xr:uid="{00000000-0005-0000-0000-0000BA410000}"/>
    <cellStyle name="Normal 2 5 2 2 4 3 8" xfId="27126" xr:uid="{00000000-0005-0000-0000-0000BB410000}"/>
    <cellStyle name="Normal 2 5 2 2 4 4" xfId="2974" xr:uid="{00000000-0005-0000-0000-0000BC410000}"/>
    <cellStyle name="Normal 2 5 2 2 4 4 2" xfId="5352" xr:uid="{00000000-0005-0000-0000-0000BD410000}"/>
    <cellStyle name="Normal 2 5 2 2 4 4 2 2" xfId="14189" xr:uid="{00000000-0005-0000-0000-0000BE410000}"/>
    <cellStyle name="Normal 2 5 2 2 4 4 2 2 2" xfId="24440" xr:uid="{00000000-0005-0000-0000-0000BF410000}"/>
    <cellStyle name="Normal 2 5 2 2 4 4 2 2 2 2" xfId="49993" xr:uid="{00000000-0005-0000-0000-0000C0410000}"/>
    <cellStyle name="Normal 2 5 2 2 4 4 2 2 3" xfId="39744" xr:uid="{00000000-0005-0000-0000-0000C1410000}"/>
    <cellStyle name="Normal 2 5 2 2 4 4 2 3" xfId="10610" xr:uid="{00000000-0005-0000-0000-0000C2410000}"/>
    <cellStyle name="Normal 2 5 2 2 4 4 2 3 2" xfId="36167" xr:uid="{00000000-0005-0000-0000-0000C3410000}"/>
    <cellStyle name="Normal 2 5 2 2 4 4 2 4" xfId="19433" xr:uid="{00000000-0005-0000-0000-0000C4410000}"/>
    <cellStyle name="Normal 2 5 2 2 4 4 2 4 2" xfId="44986" xr:uid="{00000000-0005-0000-0000-0000C5410000}"/>
    <cellStyle name="Normal 2 5 2 2 4 4 2 5" xfId="30923" xr:uid="{00000000-0005-0000-0000-0000C6410000}"/>
    <cellStyle name="Normal 2 5 2 2 4 4 3" xfId="6807" xr:uid="{00000000-0005-0000-0000-0000C7410000}"/>
    <cellStyle name="Normal 2 5 2 2 4 4 3 2" xfId="15634" xr:uid="{00000000-0005-0000-0000-0000C8410000}"/>
    <cellStyle name="Normal 2 5 2 2 4 4 3 2 2" xfId="41189" xr:uid="{00000000-0005-0000-0000-0000C9410000}"/>
    <cellStyle name="Normal 2 5 2 2 4 4 3 3" xfId="25885" xr:uid="{00000000-0005-0000-0000-0000CA410000}"/>
    <cellStyle name="Normal 2 5 2 2 4 4 3 3 2" xfId="51438" xr:uid="{00000000-0005-0000-0000-0000CB410000}"/>
    <cellStyle name="Normal 2 5 2 2 4 4 3 4" xfId="32368" xr:uid="{00000000-0005-0000-0000-0000CC410000}"/>
    <cellStyle name="Normal 2 5 2 2 4 4 4" xfId="8253" xr:uid="{00000000-0005-0000-0000-0000CD410000}"/>
    <cellStyle name="Normal 2 5 2 2 4 4 4 2" xfId="22335" xr:uid="{00000000-0005-0000-0000-0000CE410000}"/>
    <cellStyle name="Normal 2 5 2 2 4 4 4 2 2" xfId="47888" xr:uid="{00000000-0005-0000-0000-0000CF410000}"/>
    <cellStyle name="Normal 2 5 2 2 4 4 4 3" xfId="33810" xr:uid="{00000000-0005-0000-0000-0000D0410000}"/>
    <cellStyle name="Normal 2 5 2 2 4 4 5" xfId="17328" xr:uid="{00000000-0005-0000-0000-0000D1410000}"/>
    <cellStyle name="Normal 2 5 2 2 4 4 5 2" xfId="42881" xr:uid="{00000000-0005-0000-0000-0000D2410000}"/>
    <cellStyle name="Normal 2 5 2 2 4 4 6" xfId="28818" xr:uid="{00000000-0005-0000-0000-0000D3410000}"/>
    <cellStyle name="Normal 2 5 2 2 4 5" xfId="4308" xr:uid="{00000000-0005-0000-0000-0000D4410000}"/>
    <cellStyle name="Normal 2 5 2 2 4 5 2" xfId="13146" xr:uid="{00000000-0005-0000-0000-0000D5410000}"/>
    <cellStyle name="Normal 2 5 2 2 4 5 2 2" xfId="23397" xr:uid="{00000000-0005-0000-0000-0000D6410000}"/>
    <cellStyle name="Normal 2 5 2 2 4 5 2 2 2" xfId="48950" xr:uid="{00000000-0005-0000-0000-0000D7410000}"/>
    <cellStyle name="Normal 2 5 2 2 4 5 2 3" xfId="38701" xr:uid="{00000000-0005-0000-0000-0000D8410000}"/>
    <cellStyle name="Normal 2 5 2 2 4 5 3" xfId="9567" xr:uid="{00000000-0005-0000-0000-0000D9410000}"/>
    <cellStyle name="Normal 2 5 2 2 4 5 3 2" xfId="35124" xr:uid="{00000000-0005-0000-0000-0000DA410000}"/>
    <cellStyle name="Normal 2 5 2 2 4 5 4" xfId="18390" xr:uid="{00000000-0005-0000-0000-0000DB410000}"/>
    <cellStyle name="Normal 2 5 2 2 4 5 4 2" xfId="43943" xr:uid="{00000000-0005-0000-0000-0000DC410000}"/>
    <cellStyle name="Normal 2 5 2 2 4 5 5" xfId="29880" xr:uid="{00000000-0005-0000-0000-0000DD410000}"/>
    <cellStyle name="Normal 2 5 2 2 4 6" xfId="1580" xr:uid="{00000000-0005-0000-0000-0000DE410000}"/>
    <cellStyle name="Normal 2 5 2 2 4 6 2" xfId="10957" xr:uid="{00000000-0005-0000-0000-0000DF410000}"/>
    <cellStyle name="Normal 2 5 2 2 4 6 2 2" xfId="36512" xr:uid="{00000000-0005-0000-0000-0000E0410000}"/>
    <cellStyle name="Normal 2 5 2 2 4 6 3" xfId="20961" xr:uid="{00000000-0005-0000-0000-0000E1410000}"/>
    <cellStyle name="Normal 2 5 2 2 4 6 3 2" xfId="46514" xr:uid="{00000000-0005-0000-0000-0000E2410000}"/>
    <cellStyle name="Normal 2 5 2 2 4 6 4" xfId="27444" xr:uid="{00000000-0005-0000-0000-0000E3410000}"/>
    <cellStyle name="Normal 2 5 2 2 4 7" xfId="5764" xr:uid="{00000000-0005-0000-0000-0000E4410000}"/>
    <cellStyle name="Normal 2 5 2 2 4 7 2" xfId="14591" xr:uid="{00000000-0005-0000-0000-0000E5410000}"/>
    <cellStyle name="Normal 2 5 2 2 4 7 2 2" xfId="40146" xr:uid="{00000000-0005-0000-0000-0000E6410000}"/>
    <cellStyle name="Normal 2 5 2 2 4 7 3" xfId="24842" xr:uid="{00000000-0005-0000-0000-0000E7410000}"/>
    <cellStyle name="Normal 2 5 2 2 4 7 3 2" xfId="50395" xr:uid="{00000000-0005-0000-0000-0000E8410000}"/>
    <cellStyle name="Normal 2 5 2 2 4 7 4" xfId="31325" xr:uid="{00000000-0005-0000-0000-0000E9410000}"/>
    <cellStyle name="Normal 2 5 2 2 4 8" xfId="7208" xr:uid="{00000000-0005-0000-0000-0000EA410000}"/>
    <cellStyle name="Normal 2 5 2 2 4 8 2" xfId="19934" xr:uid="{00000000-0005-0000-0000-0000EB410000}"/>
    <cellStyle name="Normal 2 5 2 2 4 8 2 2" xfId="45487" xr:uid="{00000000-0005-0000-0000-0000EC410000}"/>
    <cellStyle name="Normal 2 5 2 2 4 8 3" xfId="32765" xr:uid="{00000000-0005-0000-0000-0000ED410000}"/>
    <cellStyle name="Normal 2 5 2 2 4 9" xfId="15954" xr:uid="{00000000-0005-0000-0000-0000EE410000}"/>
    <cellStyle name="Normal 2 5 2 2 4 9 2" xfId="41507" xr:uid="{00000000-0005-0000-0000-0000EF410000}"/>
    <cellStyle name="Normal 2 5 2 2 4_Degree data" xfId="3845" xr:uid="{00000000-0005-0000-0000-0000F0410000}"/>
    <cellStyle name="Normal 2 5 2 2 5" xfId="331" xr:uid="{00000000-0005-0000-0000-0000F1410000}"/>
    <cellStyle name="Normal 2 5 2 2 5 10" xfId="26260" xr:uid="{00000000-0005-0000-0000-0000F2410000}"/>
    <cellStyle name="Normal 2 5 2 2 5 2" xfId="734" xr:uid="{00000000-0005-0000-0000-0000F3410000}"/>
    <cellStyle name="Normal 2 5 2 2 5 2 2" xfId="3220" xr:uid="{00000000-0005-0000-0000-0000F4410000}"/>
    <cellStyle name="Normal 2 5 2 2 5 2 2 2" xfId="12362" xr:uid="{00000000-0005-0000-0000-0000F5410000}"/>
    <cellStyle name="Normal 2 5 2 2 5 2 2 2 2" xfId="22581" xr:uid="{00000000-0005-0000-0000-0000F6410000}"/>
    <cellStyle name="Normal 2 5 2 2 5 2 2 2 2 2" xfId="48134" xr:uid="{00000000-0005-0000-0000-0000F7410000}"/>
    <cellStyle name="Normal 2 5 2 2 5 2 2 2 3" xfId="37917" xr:uid="{00000000-0005-0000-0000-0000F8410000}"/>
    <cellStyle name="Normal 2 5 2 2 5 2 2 3" xfId="8784" xr:uid="{00000000-0005-0000-0000-0000F9410000}"/>
    <cellStyle name="Normal 2 5 2 2 5 2 2 3 2" xfId="34341" xr:uid="{00000000-0005-0000-0000-0000FA410000}"/>
    <cellStyle name="Normal 2 5 2 2 5 2 2 4" xfId="17574" xr:uid="{00000000-0005-0000-0000-0000FB410000}"/>
    <cellStyle name="Normal 2 5 2 2 5 2 2 4 2" xfId="43127" xr:uid="{00000000-0005-0000-0000-0000FC410000}"/>
    <cellStyle name="Normal 2 5 2 2 5 2 2 5" xfId="29064" xr:uid="{00000000-0005-0000-0000-0000FD410000}"/>
    <cellStyle name="Normal 2 5 2 2 5 2 3" xfId="4549" xr:uid="{00000000-0005-0000-0000-0000FE410000}"/>
    <cellStyle name="Normal 2 5 2 2 5 2 3 2" xfId="13387" xr:uid="{00000000-0005-0000-0000-0000FF410000}"/>
    <cellStyle name="Normal 2 5 2 2 5 2 3 2 2" xfId="23638" xr:uid="{00000000-0005-0000-0000-000000420000}"/>
    <cellStyle name="Normal 2 5 2 2 5 2 3 2 2 2" xfId="49191" xr:uid="{00000000-0005-0000-0000-000001420000}"/>
    <cellStyle name="Normal 2 5 2 2 5 2 3 2 3" xfId="38942" xr:uid="{00000000-0005-0000-0000-000002420000}"/>
    <cellStyle name="Normal 2 5 2 2 5 2 3 3" xfId="9808" xr:uid="{00000000-0005-0000-0000-000003420000}"/>
    <cellStyle name="Normal 2 5 2 2 5 2 3 3 2" xfId="35365" xr:uid="{00000000-0005-0000-0000-000004420000}"/>
    <cellStyle name="Normal 2 5 2 2 5 2 3 4" xfId="18631" xr:uid="{00000000-0005-0000-0000-000005420000}"/>
    <cellStyle name="Normal 2 5 2 2 5 2 3 4 2" xfId="44184" xr:uid="{00000000-0005-0000-0000-000006420000}"/>
    <cellStyle name="Normal 2 5 2 2 5 2 3 5" xfId="30121" xr:uid="{00000000-0005-0000-0000-000007420000}"/>
    <cellStyle name="Normal 2 5 2 2 5 2 4" xfId="2329" xr:uid="{00000000-0005-0000-0000-000008420000}"/>
    <cellStyle name="Normal 2 5 2 2 5 2 4 2" xfId="11694" xr:uid="{00000000-0005-0000-0000-000009420000}"/>
    <cellStyle name="Normal 2 5 2 2 5 2 4 2 2" xfId="37249" xr:uid="{00000000-0005-0000-0000-00000A420000}"/>
    <cellStyle name="Normal 2 5 2 2 5 2 4 3" xfId="21698" xr:uid="{00000000-0005-0000-0000-00000B420000}"/>
    <cellStyle name="Normal 2 5 2 2 5 2 4 3 2" xfId="47251" xr:uid="{00000000-0005-0000-0000-00000C420000}"/>
    <cellStyle name="Normal 2 5 2 2 5 2 4 4" xfId="28181" xr:uid="{00000000-0005-0000-0000-00000D420000}"/>
    <cellStyle name="Normal 2 5 2 2 5 2 5" xfId="6005" xr:uid="{00000000-0005-0000-0000-00000E420000}"/>
    <cellStyle name="Normal 2 5 2 2 5 2 5 2" xfId="14832" xr:uid="{00000000-0005-0000-0000-00000F420000}"/>
    <cellStyle name="Normal 2 5 2 2 5 2 5 2 2" xfId="40387" xr:uid="{00000000-0005-0000-0000-000010420000}"/>
    <cellStyle name="Normal 2 5 2 2 5 2 5 3" xfId="25083" xr:uid="{00000000-0005-0000-0000-000011420000}"/>
    <cellStyle name="Normal 2 5 2 2 5 2 5 3 2" xfId="50636" xr:uid="{00000000-0005-0000-0000-000012420000}"/>
    <cellStyle name="Normal 2 5 2 2 5 2 5 4" xfId="31566" xr:uid="{00000000-0005-0000-0000-000013420000}"/>
    <cellStyle name="Normal 2 5 2 2 5 2 6" xfId="7449" xr:uid="{00000000-0005-0000-0000-000014420000}"/>
    <cellStyle name="Normal 2 5 2 2 5 2 6 2" xfId="20180" xr:uid="{00000000-0005-0000-0000-000015420000}"/>
    <cellStyle name="Normal 2 5 2 2 5 2 6 2 2" xfId="45733" xr:uid="{00000000-0005-0000-0000-000016420000}"/>
    <cellStyle name="Normal 2 5 2 2 5 2 6 3" xfId="33006" xr:uid="{00000000-0005-0000-0000-000017420000}"/>
    <cellStyle name="Normal 2 5 2 2 5 2 7" xfId="16691" xr:uid="{00000000-0005-0000-0000-000018420000}"/>
    <cellStyle name="Normal 2 5 2 2 5 2 7 2" xfId="42244" xr:uid="{00000000-0005-0000-0000-000019420000}"/>
    <cellStyle name="Normal 2 5 2 2 5 2 8" xfId="26663" xr:uid="{00000000-0005-0000-0000-00001A420000}"/>
    <cellStyle name="Normal 2 5 2 2 5 3" xfId="1103" xr:uid="{00000000-0005-0000-0000-00001B420000}"/>
    <cellStyle name="Normal 2 5 2 2 5 3 2" xfId="3532" xr:uid="{00000000-0005-0000-0000-00001C420000}"/>
    <cellStyle name="Normal 2 5 2 2 5 3 2 2" xfId="12668" xr:uid="{00000000-0005-0000-0000-00001D420000}"/>
    <cellStyle name="Normal 2 5 2 2 5 3 2 2 2" xfId="22887" xr:uid="{00000000-0005-0000-0000-00001E420000}"/>
    <cellStyle name="Normal 2 5 2 2 5 3 2 2 2 2" xfId="48440" xr:uid="{00000000-0005-0000-0000-00001F420000}"/>
    <cellStyle name="Normal 2 5 2 2 5 3 2 2 3" xfId="38223" xr:uid="{00000000-0005-0000-0000-000020420000}"/>
    <cellStyle name="Normal 2 5 2 2 5 3 2 3" xfId="9089" xr:uid="{00000000-0005-0000-0000-000021420000}"/>
    <cellStyle name="Normal 2 5 2 2 5 3 2 3 2" xfId="34646" xr:uid="{00000000-0005-0000-0000-000022420000}"/>
    <cellStyle name="Normal 2 5 2 2 5 3 2 4" xfId="17880" xr:uid="{00000000-0005-0000-0000-000023420000}"/>
    <cellStyle name="Normal 2 5 2 2 5 3 2 4 2" xfId="43433" xr:uid="{00000000-0005-0000-0000-000024420000}"/>
    <cellStyle name="Normal 2 5 2 2 5 3 2 5" xfId="29370" xr:uid="{00000000-0005-0000-0000-000025420000}"/>
    <cellStyle name="Normal 2 5 2 2 5 3 3" xfId="4898" xr:uid="{00000000-0005-0000-0000-000026420000}"/>
    <cellStyle name="Normal 2 5 2 2 5 3 3 2" xfId="13735" xr:uid="{00000000-0005-0000-0000-000027420000}"/>
    <cellStyle name="Normal 2 5 2 2 5 3 3 2 2" xfId="23986" xr:uid="{00000000-0005-0000-0000-000028420000}"/>
    <cellStyle name="Normal 2 5 2 2 5 3 3 2 2 2" xfId="49539" xr:uid="{00000000-0005-0000-0000-000029420000}"/>
    <cellStyle name="Normal 2 5 2 2 5 3 3 2 3" xfId="39290" xr:uid="{00000000-0005-0000-0000-00002A420000}"/>
    <cellStyle name="Normal 2 5 2 2 5 3 3 3" xfId="10156" xr:uid="{00000000-0005-0000-0000-00002B420000}"/>
    <cellStyle name="Normal 2 5 2 2 5 3 3 3 2" xfId="35713" xr:uid="{00000000-0005-0000-0000-00002C420000}"/>
    <cellStyle name="Normal 2 5 2 2 5 3 3 4" xfId="18979" xr:uid="{00000000-0005-0000-0000-00002D420000}"/>
    <cellStyle name="Normal 2 5 2 2 5 3 3 4 2" xfId="44532" xr:uid="{00000000-0005-0000-0000-00002E420000}"/>
    <cellStyle name="Normal 2 5 2 2 5 3 3 5" xfId="30469" xr:uid="{00000000-0005-0000-0000-00002F420000}"/>
    <cellStyle name="Normal 2 5 2 2 5 3 4" xfId="2584" xr:uid="{00000000-0005-0000-0000-000030420000}"/>
    <cellStyle name="Normal 2 5 2 2 5 3 4 2" xfId="11948" xr:uid="{00000000-0005-0000-0000-000031420000}"/>
    <cellStyle name="Normal 2 5 2 2 5 3 4 2 2" xfId="37503" xr:uid="{00000000-0005-0000-0000-000032420000}"/>
    <cellStyle name="Normal 2 5 2 2 5 3 4 3" xfId="21952" xr:uid="{00000000-0005-0000-0000-000033420000}"/>
    <cellStyle name="Normal 2 5 2 2 5 3 4 3 2" xfId="47505" xr:uid="{00000000-0005-0000-0000-000034420000}"/>
    <cellStyle name="Normal 2 5 2 2 5 3 4 4" xfId="28435" xr:uid="{00000000-0005-0000-0000-000035420000}"/>
    <cellStyle name="Normal 2 5 2 2 5 3 5" xfId="6353" xr:uid="{00000000-0005-0000-0000-000036420000}"/>
    <cellStyle name="Normal 2 5 2 2 5 3 5 2" xfId="15180" xr:uid="{00000000-0005-0000-0000-000037420000}"/>
    <cellStyle name="Normal 2 5 2 2 5 3 5 2 2" xfId="40735" xr:uid="{00000000-0005-0000-0000-000038420000}"/>
    <cellStyle name="Normal 2 5 2 2 5 3 5 3" xfId="25431" xr:uid="{00000000-0005-0000-0000-000039420000}"/>
    <cellStyle name="Normal 2 5 2 2 5 3 5 3 2" xfId="50984" xr:uid="{00000000-0005-0000-0000-00003A420000}"/>
    <cellStyle name="Normal 2 5 2 2 5 3 5 4" xfId="31914" xr:uid="{00000000-0005-0000-0000-00003B420000}"/>
    <cellStyle name="Normal 2 5 2 2 5 3 6" xfId="7799" xr:uid="{00000000-0005-0000-0000-00003C420000}"/>
    <cellStyle name="Normal 2 5 2 2 5 3 6 2" xfId="20486" xr:uid="{00000000-0005-0000-0000-00003D420000}"/>
    <cellStyle name="Normal 2 5 2 2 5 3 6 2 2" xfId="46039" xr:uid="{00000000-0005-0000-0000-00003E420000}"/>
    <cellStyle name="Normal 2 5 2 2 5 3 6 3" xfId="33356" xr:uid="{00000000-0005-0000-0000-00003F420000}"/>
    <cellStyle name="Normal 2 5 2 2 5 3 7" xfId="16945" xr:uid="{00000000-0005-0000-0000-000040420000}"/>
    <cellStyle name="Normal 2 5 2 2 5 3 7 2" xfId="42498" xr:uid="{00000000-0005-0000-0000-000041420000}"/>
    <cellStyle name="Normal 2 5 2 2 5 3 8" xfId="26969" xr:uid="{00000000-0005-0000-0000-000042420000}"/>
    <cellStyle name="Normal 2 5 2 2 5 4" xfId="2817" xr:uid="{00000000-0005-0000-0000-000043420000}"/>
    <cellStyle name="Normal 2 5 2 2 5 4 2" xfId="5195" xr:uid="{00000000-0005-0000-0000-000044420000}"/>
    <cellStyle name="Normal 2 5 2 2 5 4 2 2" xfId="14032" xr:uid="{00000000-0005-0000-0000-000045420000}"/>
    <cellStyle name="Normal 2 5 2 2 5 4 2 2 2" xfId="24283" xr:uid="{00000000-0005-0000-0000-000046420000}"/>
    <cellStyle name="Normal 2 5 2 2 5 4 2 2 2 2" xfId="49836" xr:uid="{00000000-0005-0000-0000-000047420000}"/>
    <cellStyle name="Normal 2 5 2 2 5 4 2 2 3" xfId="39587" xr:uid="{00000000-0005-0000-0000-000048420000}"/>
    <cellStyle name="Normal 2 5 2 2 5 4 2 3" xfId="10453" xr:uid="{00000000-0005-0000-0000-000049420000}"/>
    <cellStyle name="Normal 2 5 2 2 5 4 2 3 2" xfId="36010" xr:uid="{00000000-0005-0000-0000-00004A420000}"/>
    <cellStyle name="Normal 2 5 2 2 5 4 2 4" xfId="19276" xr:uid="{00000000-0005-0000-0000-00004B420000}"/>
    <cellStyle name="Normal 2 5 2 2 5 4 2 4 2" xfId="44829" xr:uid="{00000000-0005-0000-0000-00004C420000}"/>
    <cellStyle name="Normal 2 5 2 2 5 4 2 5" xfId="30766" xr:uid="{00000000-0005-0000-0000-00004D420000}"/>
    <cellStyle name="Normal 2 5 2 2 5 4 3" xfId="6650" xr:uid="{00000000-0005-0000-0000-00004E420000}"/>
    <cellStyle name="Normal 2 5 2 2 5 4 3 2" xfId="15477" xr:uid="{00000000-0005-0000-0000-00004F420000}"/>
    <cellStyle name="Normal 2 5 2 2 5 4 3 2 2" xfId="41032" xr:uid="{00000000-0005-0000-0000-000050420000}"/>
    <cellStyle name="Normal 2 5 2 2 5 4 3 3" xfId="25728" xr:uid="{00000000-0005-0000-0000-000051420000}"/>
    <cellStyle name="Normal 2 5 2 2 5 4 3 3 2" xfId="51281" xr:uid="{00000000-0005-0000-0000-000052420000}"/>
    <cellStyle name="Normal 2 5 2 2 5 4 3 4" xfId="32211" xr:uid="{00000000-0005-0000-0000-000053420000}"/>
    <cellStyle name="Normal 2 5 2 2 5 4 4" xfId="8096" xr:uid="{00000000-0005-0000-0000-000054420000}"/>
    <cellStyle name="Normal 2 5 2 2 5 4 4 2" xfId="22178" xr:uid="{00000000-0005-0000-0000-000055420000}"/>
    <cellStyle name="Normal 2 5 2 2 5 4 4 2 2" xfId="47731" xr:uid="{00000000-0005-0000-0000-000056420000}"/>
    <cellStyle name="Normal 2 5 2 2 5 4 4 3" xfId="33653" xr:uid="{00000000-0005-0000-0000-000057420000}"/>
    <cellStyle name="Normal 2 5 2 2 5 4 5" xfId="17171" xr:uid="{00000000-0005-0000-0000-000058420000}"/>
    <cellStyle name="Normal 2 5 2 2 5 4 5 2" xfId="42724" xr:uid="{00000000-0005-0000-0000-000059420000}"/>
    <cellStyle name="Normal 2 5 2 2 5 4 6" xfId="28661" xr:uid="{00000000-0005-0000-0000-00005A420000}"/>
    <cellStyle name="Normal 2 5 2 2 5 5" xfId="4149" xr:uid="{00000000-0005-0000-0000-00005B420000}"/>
    <cellStyle name="Normal 2 5 2 2 5 5 2" xfId="12987" xr:uid="{00000000-0005-0000-0000-00005C420000}"/>
    <cellStyle name="Normal 2 5 2 2 5 5 2 2" xfId="23238" xr:uid="{00000000-0005-0000-0000-00005D420000}"/>
    <cellStyle name="Normal 2 5 2 2 5 5 2 2 2" xfId="48791" xr:uid="{00000000-0005-0000-0000-00005E420000}"/>
    <cellStyle name="Normal 2 5 2 2 5 5 2 3" xfId="38542" xr:uid="{00000000-0005-0000-0000-00005F420000}"/>
    <cellStyle name="Normal 2 5 2 2 5 5 3" xfId="9408" xr:uid="{00000000-0005-0000-0000-000060420000}"/>
    <cellStyle name="Normal 2 5 2 2 5 5 3 2" xfId="34965" xr:uid="{00000000-0005-0000-0000-000061420000}"/>
    <cellStyle name="Normal 2 5 2 2 5 5 4" xfId="18231" xr:uid="{00000000-0005-0000-0000-000062420000}"/>
    <cellStyle name="Normal 2 5 2 2 5 5 4 2" xfId="43784" xr:uid="{00000000-0005-0000-0000-000063420000}"/>
    <cellStyle name="Normal 2 5 2 2 5 5 5" xfId="29721" xr:uid="{00000000-0005-0000-0000-000064420000}"/>
    <cellStyle name="Normal 2 5 2 2 5 6" xfId="1926" xr:uid="{00000000-0005-0000-0000-000065420000}"/>
    <cellStyle name="Normal 2 5 2 2 5 6 2" xfId="11291" xr:uid="{00000000-0005-0000-0000-000066420000}"/>
    <cellStyle name="Normal 2 5 2 2 5 6 2 2" xfId="36846" xr:uid="{00000000-0005-0000-0000-000067420000}"/>
    <cellStyle name="Normal 2 5 2 2 5 6 3" xfId="21295" xr:uid="{00000000-0005-0000-0000-000068420000}"/>
    <cellStyle name="Normal 2 5 2 2 5 6 3 2" xfId="46848" xr:uid="{00000000-0005-0000-0000-000069420000}"/>
    <cellStyle name="Normal 2 5 2 2 5 6 4" xfId="27778" xr:uid="{00000000-0005-0000-0000-00006A420000}"/>
    <cellStyle name="Normal 2 5 2 2 5 7" xfId="5607" xr:uid="{00000000-0005-0000-0000-00006B420000}"/>
    <cellStyle name="Normal 2 5 2 2 5 7 2" xfId="14434" xr:uid="{00000000-0005-0000-0000-00006C420000}"/>
    <cellStyle name="Normal 2 5 2 2 5 7 2 2" xfId="39989" xr:uid="{00000000-0005-0000-0000-00006D420000}"/>
    <cellStyle name="Normal 2 5 2 2 5 7 3" xfId="24685" xr:uid="{00000000-0005-0000-0000-00006E420000}"/>
    <cellStyle name="Normal 2 5 2 2 5 7 3 2" xfId="50238" xr:uid="{00000000-0005-0000-0000-00006F420000}"/>
    <cellStyle name="Normal 2 5 2 2 5 7 4" xfId="31168" xr:uid="{00000000-0005-0000-0000-000070420000}"/>
    <cellStyle name="Normal 2 5 2 2 5 8" xfId="7051" xr:uid="{00000000-0005-0000-0000-000071420000}"/>
    <cellStyle name="Normal 2 5 2 2 5 8 2" xfId="19777" xr:uid="{00000000-0005-0000-0000-000072420000}"/>
    <cellStyle name="Normal 2 5 2 2 5 8 2 2" xfId="45330" xr:uid="{00000000-0005-0000-0000-000073420000}"/>
    <cellStyle name="Normal 2 5 2 2 5 8 3" xfId="32608" xr:uid="{00000000-0005-0000-0000-000074420000}"/>
    <cellStyle name="Normal 2 5 2 2 5 9" xfId="16288" xr:uid="{00000000-0005-0000-0000-000075420000}"/>
    <cellStyle name="Normal 2 5 2 2 5 9 2" xfId="41841" xr:uid="{00000000-0005-0000-0000-000076420000}"/>
    <cellStyle name="Normal 2 5 2 2 5_Degree data" xfId="3815" xr:uid="{00000000-0005-0000-0000-000077420000}"/>
    <cellStyle name="Normal 2 5 2 2 6" xfId="728" xr:uid="{00000000-0005-0000-0000-000078420000}"/>
    <cellStyle name="Normal 2 5 2 2 6 2" xfId="3214" xr:uid="{00000000-0005-0000-0000-000079420000}"/>
    <cellStyle name="Normal 2 5 2 2 6 2 2" xfId="12356" xr:uid="{00000000-0005-0000-0000-00007A420000}"/>
    <cellStyle name="Normal 2 5 2 2 6 2 2 2" xfId="22575" xr:uid="{00000000-0005-0000-0000-00007B420000}"/>
    <cellStyle name="Normal 2 5 2 2 6 2 2 2 2" xfId="48128" xr:uid="{00000000-0005-0000-0000-00007C420000}"/>
    <cellStyle name="Normal 2 5 2 2 6 2 2 3" xfId="37911" xr:uid="{00000000-0005-0000-0000-00007D420000}"/>
    <cellStyle name="Normal 2 5 2 2 6 2 3" xfId="8778" xr:uid="{00000000-0005-0000-0000-00007E420000}"/>
    <cellStyle name="Normal 2 5 2 2 6 2 3 2" xfId="34335" xr:uid="{00000000-0005-0000-0000-00007F420000}"/>
    <cellStyle name="Normal 2 5 2 2 6 2 4" xfId="17568" xr:uid="{00000000-0005-0000-0000-000080420000}"/>
    <cellStyle name="Normal 2 5 2 2 6 2 4 2" xfId="43121" xr:uid="{00000000-0005-0000-0000-000081420000}"/>
    <cellStyle name="Normal 2 5 2 2 6 2 5" xfId="29058" xr:uid="{00000000-0005-0000-0000-000082420000}"/>
    <cellStyle name="Normal 2 5 2 2 6 3" xfId="4543" xr:uid="{00000000-0005-0000-0000-000083420000}"/>
    <cellStyle name="Normal 2 5 2 2 6 3 2" xfId="13381" xr:uid="{00000000-0005-0000-0000-000084420000}"/>
    <cellStyle name="Normal 2 5 2 2 6 3 2 2" xfId="23632" xr:uid="{00000000-0005-0000-0000-000085420000}"/>
    <cellStyle name="Normal 2 5 2 2 6 3 2 2 2" xfId="49185" xr:uid="{00000000-0005-0000-0000-000086420000}"/>
    <cellStyle name="Normal 2 5 2 2 6 3 2 3" xfId="38936" xr:uid="{00000000-0005-0000-0000-000087420000}"/>
    <cellStyle name="Normal 2 5 2 2 6 3 3" xfId="9802" xr:uid="{00000000-0005-0000-0000-000088420000}"/>
    <cellStyle name="Normal 2 5 2 2 6 3 3 2" xfId="35359" xr:uid="{00000000-0005-0000-0000-000089420000}"/>
    <cellStyle name="Normal 2 5 2 2 6 3 4" xfId="18625" xr:uid="{00000000-0005-0000-0000-00008A420000}"/>
    <cellStyle name="Normal 2 5 2 2 6 3 4 2" xfId="44178" xr:uid="{00000000-0005-0000-0000-00008B420000}"/>
    <cellStyle name="Normal 2 5 2 2 6 3 5" xfId="30115" xr:uid="{00000000-0005-0000-0000-00008C420000}"/>
    <cellStyle name="Normal 2 5 2 2 6 4" xfId="2323" xr:uid="{00000000-0005-0000-0000-00008D420000}"/>
    <cellStyle name="Normal 2 5 2 2 6 4 2" xfId="11688" xr:uid="{00000000-0005-0000-0000-00008E420000}"/>
    <cellStyle name="Normal 2 5 2 2 6 4 2 2" xfId="37243" xr:uid="{00000000-0005-0000-0000-00008F420000}"/>
    <cellStyle name="Normal 2 5 2 2 6 4 3" xfId="21692" xr:uid="{00000000-0005-0000-0000-000090420000}"/>
    <cellStyle name="Normal 2 5 2 2 6 4 3 2" xfId="47245" xr:uid="{00000000-0005-0000-0000-000091420000}"/>
    <cellStyle name="Normal 2 5 2 2 6 4 4" xfId="28175" xr:uid="{00000000-0005-0000-0000-000092420000}"/>
    <cellStyle name="Normal 2 5 2 2 6 5" xfId="5999" xr:uid="{00000000-0005-0000-0000-000093420000}"/>
    <cellStyle name="Normal 2 5 2 2 6 5 2" xfId="14826" xr:uid="{00000000-0005-0000-0000-000094420000}"/>
    <cellStyle name="Normal 2 5 2 2 6 5 2 2" xfId="40381" xr:uid="{00000000-0005-0000-0000-000095420000}"/>
    <cellStyle name="Normal 2 5 2 2 6 5 3" xfId="25077" xr:uid="{00000000-0005-0000-0000-000096420000}"/>
    <cellStyle name="Normal 2 5 2 2 6 5 3 2" xfId="50630" xr:uid="{00000000-0005-0000-0000-000097420000}"/>
    <cellStyle name="Normal 2 5 2 2 6 5 4" xfId="31560" xr:uid="{00000000-0005-0000-0000-000098420000}"/>
    <cellStyle name="Normal 2 5 2 2 6 6" xfId="7443" xr:uid="{00000000-0005-0000-0000-000099420000}"/>
    <cellStyle name="Normal 2 5 2 2 6 6 2" xfId="20174" xr:uid="{00000000-0005-0000-0000-00009A420000}"/>
    <cellStyle name="Normal 2 5 2 2 6 6 2 2" xfId="45727" xr:uid="{00000000-0005-0000-0000-00009B420000}"/>
    <cellStyle name="Normal 2 5 2 2 6 6 3" xfId="33000" xr:uid="{00000000-0005-0000-0000-00009C420000}"/>
    <cellStyle name="Normal 2 5 2 2 6 7" xfId="16685" xr:uid="{00000000-0005-0000-0000-00009D420000}"/>
    <cellStyle name="Normal 2 5 2 2 6 7 2" xfId="42238" xr:uid="{00000000-0005-0000-0000-00009E420000}"/>
    <cellStyle name="Normal 2 5 2 2 6 8" xfId="26657" xr:uid="{00000000-0005-0000-0000-00009F420000}"/>
    <cellStyle name="Normal 2 5 2 2 7" xfId="1058" xr:uid="{00000000-0005-0000-0000-0000A0420000}"/>
    <cellStyle name="Normal 2 5 2 2 7 2" xfId="3487" xr:uid="{00000000-0005-0000-0000-0000A1420000}"/>
    <cellStyle name="Normal 2 5 2 2 7 2 2" xfId="12623" xr:uid="{00000000-0005-0000-0000-0000A2420000}"/>
    <cellStyle name="Normal 2 5 2 2 7 2 2 2" xfId="22842" xr:uid="{00000000-0005-0000-0000-0000A3420000}"/>
    <cellStyle name="Normal 2 5 2 2 7 2 2 2 2" xfId="48395" xr:uid="{00000000-0005-0000-0000-0000A4420000}"/>
    <cellStyle name="Normal 2 5 2 2 7 2 2 3" xfId="38178" xr:uid="{00000000-0005-0000-0000-0000A5420000}"/>
    <cellStyle name="Normal 2 5 2 2 7 2 3" xfId="9045" xr:uid="{00000000-0005-0000-0000-0000A6420000}"/>
    <cellStyle name="Normal 2 5 2 2 7 2 3 2" xfId="34602" xr:uid="{00000000-0005-0000-0000-0000A7420000}"/>
    <cellStyle name="Normal 2 5 2 2 7 2 4" xfId="17835" xr:uid="{00000000-0005-0000-0000-0000A8420000}"/>
    <cellStyle name="Normal 2 5 2 2 7 2 4 2" xfId="43388" xr:uid="{00000000-0005-0000-0000-0000A9420000}"/>
    <cellStyle name="Normal 2 5 2 2 7 2 5" xfId="29325" xr:uid="{00000000-0005-0000-0000-0000AA420000}"/>
    <cellStyle name="Normal 2 5 2 2 7 3" xfId="4892" xr:uid="{00000000-0005-0000-0000-0000AB420000}"/>
    <cellStyle name="Normal 2 5 2 2 7 3 2" xfId="13729" xr:uid="{00000000-0005-0000-0000-0000AC420000}"/>
    <cellStyle name="Normal 2 5 2 2 7 3 2 2" xfId="23980" xr:uid="{00000000-0005-0000-0000-0000AD420000}"/>
    <cellStyle name="Normal 2 5 2 2 7 3 2 2 2" xfId="49533" xr:uid="{00000000-0005-0000-0000-0000AE420000}"/>
    <cellStyle name="Normal 2 5 2 2 7 3 2 3" xfId="39284" xr:uid="{00000000-0005-0000-0000-0000AF420000}"/>
    <cellStyle name="Normal 2 5 2 2 7 3 3" xfId="10150" xr:uid="{00000000-0005-0000-0000-0000B0420000}"/>
    <cellStyle name="Normal 2 5 2 2 7 3 3 2" xfId="35707" xr:uid="{00000000-0005-0000-0000-0000B1420000}"/>
    <cellStyle name="Normal 2 5 2 2 7 3 4" xfId="18973" xr:uid="{00000000-0005-0000-0000-0000B2420000}"/>
    <cellStyle name="Normal 2 5 2 2 7 3 4 2" xfId="44526" xr:uid="{00000000-0005-0000-0000-0000B3420000}"/>
    <cellStyle name="Normal 2 5 2 2 7 3 5" xfId="30463" xr:uid="{00000000-0005-0000-0000-0000B4420000}"/>
    <cellStyle name="Normal 2 5 2 2 7 4" xfId="1760" xr:uid="{00000000-0005-0000-0000-0000B5420000}"/>
    <cellStyle name="Normal 2 5 2 2 7 4 2" xfId="11131" xr:uid="{00000000-0005-0000-0000-0000B6420000}"/>
    <cellStyle name="Normal 2 5 2 2 7 4 2 2" xfId="36686" xr:uid="{00000000-0005-0000-0000-0000B7420000}"/>
    <cellStyle name="Normal 2 5 2 2 7 4 3" xfId="21135" xr:uid="{00000000-0005-0000-0000-0000B8420000}"/>
    <cellStyle name="Normal 2 5 2 2 7 4 3 2" xfId="46688" xr:uid="{00000000-0005-0000-0000-0000B9420000}"/>
    <cellStyle name="Normal 2 5 2 2 7 4 4" xfId="27618" xr:uid="{00000000-0005-0000-0000-0000BA420000}"/>
    <cellStyle name="Normal 2 5 2 2 7 5" xfId="6347" xr:uid="{00000000-0005-0000-0000-0000BB420000}"/>
    <cellStyle name="Normal 2 5 2 2 7 5 2" xfId="15174" xr:uid="{00000000-0005-0000-0000-0000BC420000}"/>
    <cellStyle name="Normal 2 5 2 2 7 5 2 2" xfId="40729" xr:uid="{00000000-0005-0000-0000-0000BD420000}"/>
    <cellStyle name="Normal 2 5 2 2 7 5 3" xfId="25425" xr:uid="{00000000-0005-0000-0000-0000BE420000}"/>
    <cellStyle name="Normal 2 5 2 2 7 5 3 2" xfId="50978" xr:uid="{00000000-0005-0000-0000-0000BF420000}"/>
    <cellStyle name="Normal 2 5 2 2 7 5 4" xfId="31908" xr:uid="{00000000-0005-0000-0000-0000C0420000}"/>
    <cellStyle name="Normal 2 5 2 2 7 6" xfId="7793" xr:uid="{00000000-0005-0000-0000-0000C1420000}"/>
    <cellStyle name="Normal 2 5 2 2 7 6 2" xfId="20441" xr:uid="{00000000-0005-0000-0000-0000C2420000}"/>
    <cellStyle name="Normal 2 5 2 2 7 6 2 2" xfId="45994" xr:uid="{00000000-0005-0000-0000-0000C3420000}"/>
    <cellStyle name="Normal 2 5 2 2 7 6 3" xfId="33350" xr:uid="{00000000-0005-0000-0000-0000C4420000}"/>
    <cellStyle name="Normal 2 5 2 2 7 7" xfId="16128" xr:uid="{00000000-0005-0000-0000-0000C5420000}"/>
    <cellStyle name="Normal 2 5 2 2 7 7 2" xfId="41681" xr:uid="{00000000-0005-0000-0000-0000C6420000}"/>
    <cellStyle name="Normal 2 5 2 2 7 8" xfId="26924" xr:uid="{00000000-0005-0000-0000-0000C7420000}"/>
    <cellStyle name="Normal 2 5 2 2 8" xfId="2657" xr:uid="{00000000-0005-0000-0000-0000C8420000}"/>
    <cellStyle name="Normal 2 5 2 2 8 2" xfId="5150" xr:uid="{00000000-0005-0000-0000-0000C9420000}"/>
    <cellStyle name="Normal 2 5 2 2 8 2 2" xfId="13987" xr:uid="{00000000-0005-0000-0000-0000CA420000}"/>
    <cellStyle name="Normal 2 5 2 2 8 2 2 2" xfId="24238" xr:uid="{00000000-0005-0000-0000-0000CB420000}"/>
    <cellStyle name="Normal 2 5 2 2 8 2 2 2 2" xfId="49791" xr:uid="{00000000-0005-0000-0000-0000CC420000}"/>
    <cellStyle name="Normal 2 5 2 2 8 2 2 3" xfId="39542" xr:uid="{00000000-0005-0000-0000-0000CD420000}"/>
    <cellStyle name="Normal 2 5 2 2 8 2 3" xfId="10408" xr:uid="{00000000-0005-0000-0000-0000CE420000}"/>
    <cellStyle name="Normal 2 5 2 2 8 2 3 2" xfId="35965" xr:uid="{00000000-0005-0000-0000-0000CF420000}"/>
    <cellStyle name="Normal 2 5 2 2 8 2 4" xfId="19231" xr:uid="{00000000-0005-0000-0000-0000D0420000}"/>
    <cellStyle name="Normal 2 5 2 2 8 2 4 2" xfId="44784" xr:uid="{00000000-0005-0000-0000-0000D1420000}"/>
    <cellStyle name="Normal 2 5 2 2 8 2 5" xfId="30721" xr:uid="{00000000-0005-0000-0000-0000D2420000}"/>
    <cellStyle name="Normal 2 5 2 2 8 3" xfId="6605" xr:uid="{00000000-0005-0000-0000-0000D3420000}"/>
    <cellStyle name="Normal 2 5 2 2 8 3 2" xfId="15432" xr:uid="{00000000-0005-0000-0000-0000D4420000}"/>
    <cellStyle name="Normal 2 5 2 2 8 3 2 2" xfId="40987" xr:uid="{00000000-0005-0000-0000-0000D5420000}"/>
    <cellStyle name="Normal 2 5 2 2 8 3 3" xfId="25683" xr:uid="{00000000-0005-0000-0000-0000D6420000}"/>
    <cellStyle name="Normal 2 5 2 2 8 3 3 2" xfId="51236" xr:uid="{00000000-0005-0000-0000-0000D7420000}"/>
    <cellStyle name="Normal 2 5 2 2 8 3 4" xfId="32166" xr:uid="{00000000-0005-0000-0000-0000D8420000}"/>
    <cellStyle name="Normal 2 5 2 2 8 4" xfId="8051" xr:uid="{00000000-0005-0000-0000-0000D9420000}"/>
    <cellStyle name="Normal 2 5 2 2 8 4 2" xfId="22018" xr:uid="{00000000-0005-0000-0000-0000DA420000}"/>
    <cellStyle name="Normal 2 5 2 2 8 4 2 2" xfId="47571" xr:uid="{00000000-0005-0000-0000-0000DB420000}"/>
    <cellStyle name="Normal 2 5 2 2 8 4 3" xfId="33608" xr:uid="{00000000-0005-0000-0000-0000DC420000}"/>
    <cellStyle name="Normal 2 5 2 2 8 5" xfId="17011" xr:uid="{00000000-0005-0000-0000-0000DD420000}"/>
    <cellStyle name="Normal 2 5 2 2 8 5 2" xfId="42564" xr:uid="{00000000-0005-0000-0000-0000DE420000}"/>
    <cellStyle name="Normal 2 5 2 2 8 6" xfId="28501" xr:uid="{00000000-0005-0000-0000-0000DF420000}"/>
    <cellStyle name="Normal 2 5 2 2 9" xfId="4104" xr:uid="{00000000-0005-0000-0000-0000E0420000}"/>
    <cellStyle name="Normal 2 5 2 2 9 2" xfId="5562" xr:uid="{00000000-0005-0000-0000-0000E1420000}"/>
    <cellStyle name="Normal 2 5 2 2 9 2 2" xfId="14389" xr:uid="{00000000-0005-0000-0000-0000E2420000}"/>
    <cellStyle name="Normal 2 5 2 2 9 2 2 2" xfId="39944" xr:uid="{00000000-0005-0000-0000-0000E3420000}"/>
    <cellStyle name="Normal 2 5 2 2 9 2 3" xfId="24640" xr:uid="{00000000-0005-0000-0000-0000E4420000}"/>
    <cellStyle name="Normal 2 5 2 2 9 2 3 2" xfId="50193" xr:uid="{00000000-0005-0000-0000-0000E5420000}"/>
    <cellStyle name="Normal 2 5 2 2 9 2 4" xfId="31123" xr:uid="{00000000-0005-0000-0000-0000E6420000}"/>
    <cellStyle name="Normal 2 5 2 2 9 3" xfId="7006" xr:uid="{00000000-0005-0000-0000-0000E7420000}"/>
    <cellStyle name="Normal 2 5 2 2 9 3 2" xfId="23193" xr:uid="{00000000-0005-0000-0000-0000E8420000}"/>
    <cellStyle name="Normal 2 5 2 2 9 3 2 2" xfId="48746" xr:uid="{00000000-0005-0000-0000-0000E9420000}"/>
    <cellStyle name="Normal 2 5 2 2 9 3 3" xfId="32563" xr:uid="{00000000-0005-0000-0000-0000EA420000}"/>
    <cellStyle name="Normal 2 5 2 2 9 4" xfId="18186" xr:uid="{00000000-0005-0000-0000-0000EB420000}"/>
    <cellStyle name="Normal 2 5 2 2 9 4 2" xfId="43739" xr:uid="{00000000-0005-0000-0000-0000EC420000}"/>
    <cellStyle name="Normal 2 5 2 2 9 5" xfId="29676" xr:uid="{00000000-0005-0000-0000-0000ED420000}"/>
    <cellStyle name="Normal 2 5 2 2_Degree data" xfId="3920" xr:uid="{00000000-0005-0000-0000-0000EE420000}"/>
    <cellStyle name="Normal 2 5 2 3" xfId="141" xr:uid="{00000000-0005-0000-0000-0000EF420000}"/>
    <cellStyle name="Normal 2 5 2 3 10" xfId="1409" xr:uid="{00000000-0005-0000-0000-0000F0420000}"/>
    <cellStyle name="Normal 2 5 2 3 10 2" xfId="10786" xr:uid="{00000000-0005-0000-0000-0000F1420000}"/>
    <cellStyle name="Normal 2 5 2 3 10 2 2" xfId="36341" xr:uid="{00000000-0005-0000-0000-0000F2420000}"/>
    <cellStyle name="Normal 2 5 2 3 10 3" xfId="20790" xr:uid="{00000000-0005-0000-0000-0000F3420000}"/>
    <cellStyle name="Normal 2 5 2 3 10 3 2" xfId="46343" xr:uid="{00000000-0005-0000-0000-0000F4420000}"/>
    <cellStyle name="Normal 2 5 2 3 10 4" xfId="27273" xr:uid="{00000000-0005-0000-0000-0000F5420000}"/>
    <cellStyle name="Normal 2 5 2 3 11" xfId="5520" xr:uid="{00000000-0005-0000-0000-0000F6420000}"/>
    <cellStyle name="Normal 2 5 2 3 11 2" xfId="14347" xr:uid="{00000000-0005-0000-0000-0000F7420000}"/>
    <cellStyle name="Normal 2 5 2 3 11 2 2" xfId="39902" xr:uid="{00000000-0005-0000-0000-0000F8420000}"/>
    <cellStyle name="Normal 2 5 2 3 11 3" xfId="24598" xr:uid="{00000000-0005-0000-0000-0000F9420000}"/>
    <cellStyle name="Normal 2 5 2 3 11 3 2" xfId="50151" xr:uid="{00000000-0005-0000-0000-0000FA420000}"/>
    <cellStyle name="Normal 2 5 2 3 11 4" xfId="31081" xr:uid="{00000000-0005-0000-0000-0000FB420000}"/>
    <cellStyle name="Normal 2 5 2 3 12" xfId="6960" xr:uid="{00000000-0005-0000-0000-0000FC420000}"/>
    <cellStyle name="Normal 2 5 2 3 12 2" xfId="19605" xr:uid="{00000000-0005-0000-0000-0000FD420000}"/>
    <cellStyle name="Normal 2 5 2 3 12 2 2" xfId="45158" xr:uid="{00000000-0005-0000-0000-0000FE420000}"/>
    <cellStyle name="Normal 2 5 2 3 12 3" xfId="32518" xr:uid="{00000000-0005-0000-0000-0000FF420000}"/>
    <cellStyle name="Normal 2 5 2 3 13" xfId="15783" xr:uid="{00000000-0005-0000-0000-000000430000}"/>
    <cellStyle name="Normal 2 5 2 3 13 2" xfId="41336" xr:uid="{00000000-0005-0000-0000-000001430000}"/>
    <cellStyle name="Normal 2 5 2 3 14" xfId="26088" xr:uid="{00000000-0005-0000-0000-000002430000}"/>
    <cellStyle name="Normal 2 5 2 3 2" xfId="191" xr:uid="{00000000-0005-0000-0000-000003430000}"/>
    <cellStyle name="Normal 2 5 2 3 2 10" xfId="7139" xr:uid="{00000000-0005-0000-0000-000004430000}"/>
    <cellStyle name="Normal 2 5 2 3 2 10 2" xfId="19648" xr:uid="{00000000-0005-0000-0000-000005430000}"/>
    <cellStyle name="Normal 2 5 2 3 2 10 2 2" xfId="45201" xr:uid="{00000000-0005-0000-0000-000006430000}"/>
    <cellStyle name="Normal 2 5 2 3 2 10 3" xfId="32696" xr:uid="{00000000-0005-0000-0000-000007430000}"/>
    <cellStyle name="Normal 2 5 2 3 2 11" xfId="15885" xr:uid="{00000000-0005-0000-0000-000008430000}"/>
    <cellStyle name="Normal 2 5 2 3 2 11 2" xfId="41438" xr:uid="{00000000-0005-0000-0000-000009430000}"/>
    <cellStyle name="Normal 2 5 2 3 2 12" xfId="26131" xr:uid="{00000000-0005-0000-0000-00000A430000}"/>
    <cellStyle name="Normal 2 5 2 3 2 2" xfId="519" xr:uid="{00000000-0005-0000-0000-00000B430000}"/>
    <cellStyle name="Normal 2 5 2 3 2 2 10" xfId="26448" xr:uid="{00000000-0005-0000-0000-00000C430000}"/>
    <cellStyle name="Normal 2 5 2 3 2 2 2" xfId="737" xr:uid="{00000000-0005-0000-0000-00000D430000}"/>
    <cellStyle name="Normal 2 5 2 3 2 2 2 2" xfId="3223" xr:uid="{00000000-0005-0000-0000-00000E430000}"/>
    <cellStyle name="Normal 2 5 2 3 2 2 2 2 2" xfId="12365" xr:uid="{00000000-0005-0000-0000-00000F430000}"/>
    <cellStyle name="Normal 2 5 2 3 2 2 2 2 2 2" xfId="22584" xr:uid="{00000000-0005-0000-0000-000010430000}"/>
    <cellStyle name="Normal 2 5 2 3 2 2 2 2 2 2 2" xfId="48137" xr:uid="{00000000-0005-0000-0000-000011430000}"/>
    <cellStyle name="Normal 2 5 2 3 2 2 2 2 2 3" xfId="37920" xr:uid="{00000000-0005-0000-0000-000012430000}"/>
    <cellStyle name="Normal 2 5 2 3 2 2 2 2 3" xfId="8787" xr:uid="{00000000-0005-0000-0000-000013430000}"/>
    <cellStyle name="Normal 2 5 2 3 2 2 2 2 3 2" xfId="34344" xr:uid="{00000000-0005-0000-0000-000014430000}"/>
    <cellStyle name="Normal 2 5 2 3 2 2 2 2 4" xfId="17577" xr:uid="{00000000-0005-0000-0000-000015430000}"/>
    <cellStyle name="Normal 2 5 2 3 2 2 2 2 4 2" xfId="43130" xr:uid="{00000000-0005-0000-0000-000016430000}"/>
    <cellStyle name="Normal 2 5 2 3 2 2 2 2 5" xfId="29067" xr:uid="{00000000-0005-0000-0000-000017430000}"/>
    <cellStyle name="Normal 2 5 2 3 2 2 2 3" xfId="4552" xr:uid="{00000000-0005-0000-0000-000018430000}"/>
    <cellStyle name="Normal 2 5 2 3 2 2 2 3 2" xfId="13390" xr:uid="{00000000-0005-0000-0000-000019430000}"/>
    <cellStyle name="Normal 2 5 2 3 2 2 2 3 2 2" xfId="23641" xr:uid="{00000000-0005-0000-0000-00001A430000}"/>
    <cellStyle name="Normal 2 5 2 3 2 2 2 3 2 2 2" xfId="49194" xr:uid="{00000000-0005-0000-0000-00001B430000}"/>
    <cellStyle name="Normal 2 5 2 3 2 2 2 3 2 3" xfId="38945" xr:uid="{00000000-0005-0000-0000-00001C430000}"/>
    <cellStyle name="Normal 2 5 2 3 2 2 2 3 3" xfId="9811" xr:uid="{00000000-0005-0000-0000-00001D430000}"/>
    <cellStyle name="Normal 2 5 2 3 2 2 2 3 3 2" xfId="35368" xr:uid="{00000000-0005-0000-0000-00001E430000}"/>
    <cellStyle name="Normal 2 5 2 3 2 2 2 3 4" xfId="18634" xr:uid="{00000000-0005-0000-0000-00001F430000}"/>
    <cellStyle name="Normal 2 5 2 3 2 2 2 3 4 2" xfId="44187" xr:uid="{00000000-0005-0000-0000-000020430000}"/>
    <cellStyle name="Normal 2 5 2 3 2 2 2 3 5" xfId="30124" xr:uid="{00000000-0005-0000-0000-000021430000}"/>
    <cellStyle name="Normal 2 5 2 3 2 2 2 4" xfId="2332" xr:uid="{00000000-0005-0000-0000-000022430000}"/>
    <cellStyle name="Normal 2 5 2 3 2 2 2 4 2" xfId="11697" xr:uid="{00000000-0005-0000-0000-000023430000}"/>
    <cellStyle name="Normal 2 5 2 3 2 2 2 4 2 2" xfId="37252" xr:uid="{00000000-0005-0000-0000-000024430000}"/>
    <cellStyle name="Normal 2 5 2 3 2 2 2 4 3" xfId="21701" xr:uid="{00000000-0005-0000-0000-000025430000}"/>
    <cellStyle name="Normal 2 5 2 3 2 2 2 4 3 2" xfId="47254" xr:uid="{00000000-0005-0000-0000-000026430000}"/>
    <cellStyle name="Normal 2 5 2 3 2 2 2 4 4" xfId="28184" xr:uid="{00000000-0005-0000-0000-000027430000}"/>
    <cellStyle name="Normal 2 5 2 3 2 2 2 5" xfId="6008" xr:uid="{00000000-0005-0000-0000-000028430000}"/>
    <cellStyle name="Normal 2 5 2 3 2 2 2 5 2" xfId="14835" xr:uid="{00000000-0005-0000-0000-000029430000}"/>
    <cellStyle name="Normal 2 5 2 3 2 2 2 5 2 2" xfId="40390" xr:uid="{00000000-0005-0000-0000-00002A430000}"/>
    <cellStyle name="Normal 2 5 2 3 2 2 2 5 3" xfId="25086" xr:uid="{00000000-0005-0000-0000-00002B430000}"/>
    <cellStyle name="Normal 2 5 2 3 2 2 2 5 3 2" xfId="50639" xr:uid="{00000000-0005-0000-0000-00002C430000}"/>
    <cellStyle name="Normal 2 5 2 3 2 2 2 5 4" xfId="31569" xr:uid="{00000000-0005-0000-0000-00002D430000}"/>
    <cellStyle name="Normal 2 5 2 3 2 2 2 6" xfId="7452" xr:uid="{00000000-0005-0000-0000-00002E430000}"/>
    <cellStyle name="Normal 2 5 2 3 2 2 2 6 2" xfId="20183" xr:uid="{00000000-0005-0000-0000-00002F430000}"/>
    <cellStyle name="Normal 2 5 2 3 2 2 2 6 2 2" xfId="45736" xr:uid="{00000000-0005-0000-0000-000030430000}"/>
    <cellStyle name="Normal 2 5 2 3 2 2 2 6 3" xfId="33009" xr:uid="{00000000-0005-0000-0000-000031430000}"/>
    <cellStyle name="Normal 2 5 2 3 2 2 2 7" xfId="16694" xr:uid="{00000000-0005-0000-0000-000032430000}"/>
    <cellStyle name="Normal 2 5 2 3 2 2 2 7 2" xfId="42247" xr:uid="{00000000-0005-0000-0000-000033430000}"/>
    <cellStyle name="Normal 2 5 2 3 2 2 2 8" xfId="26666" xr:uid="{00000000-0005-0000-0000-000034430000}"/>
    <cellStyle name="Normal 2 5 2 3 2 2 3" xfId="1291" xr:uid="{00000000-0005-0000-0000-000035430000}"/>
    <cellStyle name="Normal 2 5 2 3 2 2 3 2" xfId="3720" xr:uid="{00000000-0005-0000-0000-000036430000}"/>
    <cellStyle name="Normal 2 5 2 3 2 2 3 2 2" xfId="12856" xr:uid="{00000000-0005-0000-0000-000037430000}"/>
    <cellStyle name="Normal 2 5 2 3 2 2 3 2 2 2" xfId="23075" xr:uid="{00000000-0005-0000-0000-000038430000}"/>
    <cellStyle name="Normal 2 5 2 3 2 2 3 2 2 2 2" xfId="48628" xr:uid="{00000000-0005-0000-0000-000039430000}"/>
    <cellStyle name="Normal 2 5 2 3 2 2 3 2 2 3" xfId="38411" xr:uid="{00000000-0005-0000-0000-00003A430000}"/>
    <cellStyle name="Normal 2 5 2 3 2 2 3 2 3" xfId="9277" xr:uid="{00000000-0005-0000-0000-00003B430000}"/>
    <cellStyle name="Normal 2 5 2 3 2 2 3 2 3 2" xfId="34834" xr:uid="{00000000-0005-0000-0000-00003C430000}"/>
    <cellStyle name="Normal 2 5 2 3 2 2 3 2 4" xfId="18068" xr:uid="{00000000-0005-0000-0000-00003D430000}"/>
    <cellStyle name="Normal 2 5 2 3 2 2 3 2 4 2" xfId="43621" xr:uid="{00000000-0005-0000-0000-00003E430000}"/>
    <cellStyle name="Normal 2 5 2 3 2 2 3 2 5" xfId="29558" xr:uid="{00000000-0005-0000-0000-00003F430000}"/>
    <cellStyle name="Normal 2 5 2 3 2 2 3 3" xfId="4901" xr:uid="{00000000-0005-0000-0000-000040430000}"/>
    <cellStyle name="Normal 2 5 2 3 2 2 3 3 2" xfId="13738" xr:uid="{00000000-0005-0000-0000-000041430000}"/>
    <cellStyle name="Normal 2 5 2 3 2 2 3 3 2 2" xfId="23989" xr:uid="{00000000-0005-0000-0000-000042430000}"/>
    <cellStyle name="Normal 2 5 2 3 2 2 3 3 2 2 2" xfId="49542" xr:uid="{00000000-0005-0000-0000-000043430000}"/>
    <cellStyle name="Normal 2 5 2 3 2 2 3 3 2 3" xfId="39293" xr:uid="{00000000-0005-0000-0000-000044430000}"/>
    <cellStyle name="Normal 2 5 2 3 2 2 3 3 3" xfId="10159" xr:uid="{00000000-0005-0000-0000-000045430000}"/>
    <cellStyle name="Normal 2 5 2 3 2 2 3 3 3 2" xfId="35716" xr:uid="{00000000-0005-0000-0000-000046430000}"/>
    <cellStyle name="Normal 2 5 2 3 2 2 3 3 4" xfId="18982" xr:uid="{00000000-0005-0000-0000-000047430000}"/>
    <cellStyle name="Normal 2 5 2 3 2 2 3 3 4 2" xfId="44535" xr:uid="{00000000-0005-0000-0000-000048430000}"/>
    <cellStyle name="Normal 2 5 2 3 2 2 3 3 5" xfId="30472" xr:uid="{00000000-0005-0000-0000-000049430000}"/>
    <cellStyle name="Normal 2 5 2 3 2 2 3 4" xfId="2114" xr:uid="{00000000-0005-0000-0000-00004A430000}"/>
    <cellStyle name="Normal 2 5 2 3 2 2 3 4 2" xfId="11479" xr:uid="{00000000-0005-0000-0000-00004B430000}"/>
    <cellStyle name="Normal 2 5 2 3 2 2 3 4 2 2" xfId="37034" xr:uid="{00000000-0005-0000-0000-00004C430000}"/>
    <cellStyle name="Normal 2 5 2 3 2 2 3 4 3" xfId="21483" xr:uid="{00000000-0005-0000-0000-00004D430000}"/>
    <cellStyle name="Normal 2 5 2 3 2 2 3 4 3 2" xfId="47036" xr:uid="{00000000-0005-0000-0000-00004E430000}"/>
    <cellStyle name="Normal 2 5 2 3 2 2 3 4 4" xfId="27966" xr:uid="{00000000-0005-0000-0000-00004F430000}"/>
    <cellStyle name="Normal 2 5 2 3 2 2 3 5" xfId="6356" xr:uid="{00000000-0005-0000-0000-000050430000}"/>
    <cellStyle name="Normal 2 5 2 3 2 2 3 5 2" xfId="15183" xr:uid="{00000000-0005-0000-0000-000051430000}"/>
    <cellStyle name="Normal 2 5 2 3 2 2 3 5 2 2" xfId="40738" xr:uid="{00000000-0005-0000-0000-000052430000}"/>
    <cellStyle name="Normal 2 5 2 3 2 2 3 5 3" xfId="25434" xr:uid="{00000000-0005-0000-0000-000053430000}"/>
    <cellStyle name="Normal 2 5 2 3 2 2 3 5 3 2" xfId="50987" xr:uid="{00000000-0005-0000-0000-000054430000}"/>
    <cellStyle name="Normal 2 5 2 3 2 2 3 5 4" xfId="31917" xr:uid="{00000000-0005-0000-0000-000055430000}"/>
    <cellStyle name="Normal 2 5 2 3 2 2 3 6" xfId="7802" xr:uid="{00000000-0005-0000-0000-000056430000}"/>
    <cellStyle name="Normal 2 5 2 3 2 2 3 6 2" xfId="20674" xr:uid="{00000000-0005-0000-0000-000057430000}"/>
    <cellStyle name="Normal 2 5 2 3 2 2 3 6 2 2" xfId="46227" xr:uid="{00000000-0005-0000-0000-000058430000}"/>
    <cellStyle name="Normal 2 5 2 3 2 2 3 6 3" xfId="33359" xr:uid="{00000000-0005-0000-0000-000059430000}"/>
    <cellStyle name="Normal 2 5 2 3 2 2 3 7" xfId="16476" xr:uid="{00000000-0005-0000-0000-00005A430000}"/>
    <cellStyle name="Normal 2 5 2 3 2 2 3 7 2" xfId="42029" xr:uid="{00000000-0005-0000-0000-00005B430000}"/>
    <cellStyle name="Normal 2 5 2 3 2 2 3 8" xfId="27157" xr:uid="{00000000-0005-0000-0000-00005C430000}"/>
    <cellStyle name="Normal 2 5 2 3 2 2 4" xfId="3005" xr:uid="{00000000-0005-0000-0000-00005D430000}"/>
    <cellStyle name="Normal 2 5 2 3 2 2 4 2" xfId="5383" xr:uid="{00000000-0005-0000-0000-00005E430000}"/>
    <cellStyle name="Normal 2 5 2 3 2 2 4 2 2" xfId="14220" xr:uid="{00000000-0005-0000-0000-00005F430000}"/>
    <cellStyle name="Normal 2 5 2 3 2 2 4 2 2 2" xfId="24471" xr:uid="{00000000-0005-0000-0000-000060430000}"/>
    <cellStyle name="Normal 2 5 2 3 2 2 4 2 2 2 2" xfId="50024" xr:uid="{00000000-0005-0000-0000-000061430000}"/>
    <cellStyle name="Normal 2 5 2 3 2 2 4 2 2 3" xfId="39775" xr:uid="{00000000-0005-0000-0000-000062430000}"/>
    <cellStyle name="Normal 2 5 2 3 2 2 4 2 3" xfId="10641" xr:uid="{00000000-0005-0000-0000-000063430000}"/>
    <cellStyle name="Normal 2 5 2 3 2 2 4 2 3 2" xfId="36198" xr:uid="{00000000-0005-0000-0000-000064430000}"/>
    <cellStyle name="Normal 2 5 2 3 2 2 4 2 4" xfId="19464" xr:uid="{00000000-0005-0000-0000-000065430000}"/>
    <cellStyle name="Normal 2 5 2 3 2 2 4 2 4 2" xfId="45017" xr:uid="{00000000-0005-0000-0000-000066430000}"/>
    <cellStyle name="Normal 2 5 2 3 2 2 4 2 5" xfId="30954" xr:uid="{00000000-0005-0000-0000-000067430000}"/>
    <cellStyle name="Normal 2 5 2 3 2 2 4 3" xfId="6838" xr:uid="{00000000-0005-0000-0000-000068430000}"/>
    <cellStyle name="Normal 2 5 2 3 2 2 4 3 2" xfId="15665" xr:uid="{00000000-0005-0000-0000-000069430000}"/>
    <cellStyle name="Normal 2 5 2 3 2 2 4 3 2 2" xfId="41220" xr:uid="{00000000-0005-0000-0000-00006A430000}"/>
    <cellStyle name="Normal 2 5 2 3 2 2 4 3 3" xfId="25916" xr:uid="{00000000-0005-0000-0000-00006B430000}"/>
    <cellStyle name="Normal 2 5 2 3 2 2 4 3 3 2" xfId="51469" xr:uid="{00000000-0005-0000-0000-00006C430000}"/>
    <cellStyle name="Normal 2 5 2 3 2 2 4 3 4" xfId="32399" xr:uid="{00000000-0005-0000-0000-00006D430000}"/>
    <cellStyle name="Normal 2 5 2 3 2 2 4 4" xfId="8284" xr:uid="{00000000-0005-0000-0000-00006E430000}"/>
    <cellStyle name="Normal 2 5 2 3 2 2 4 4 2" xfId="22366" xr:uid="{00000000-0005-0000-0000-00006F430000}"/>
    <cellStyle name="Normal 2 5 2 3 2 2 4 4 2 2" xfId="47919" xr:uid="{00000000-0005-0000-0000-000070430000}"/>
    <cellStyle name="Normal 2 5 2 3 2 2 4 4 3" xfId="33841" xr:uid="{00000000-0005-0000-0000-000071430000}"/>
    <cellStyle name="Normal 2 5 2 3 2 2 4 5" xfId="17359" xr:uid="{00000000-0005-0000-0000-000072430000}"/>
    <cellStyle name="Normal 2 5 2 3 2 2 4 5 2" xfId="42912" xr:uid="{00000000-0005-0000-0000-000073430000}"/>
    <cellStyle name="Normal 2 5 2 3 2 2 4 6" xfId="28849" xr:uid="{00000000-0005-0000-0000-000074430000}"/>
    <cellStyle name="Normal 2 5 2 3 2 2 5" xfId="4339" xr:uid="{00000000-0005-0000-0000-000075430000}"/>
    <cellStyle name="Normal 2 5 2 3 2 2 5 2" xfId="13177" xr:uid="{00000000-0005-0000-0000-000076430000}"/>
    <cellStyle name="Normal 2 5 2 3 2 2 5 2 2" xfId="23428" xr:uid="{00000000-0005-0000-0000-000077430000}"/>
    <cellStyle name="Normal 2 5 2 3 2 2 5 2 2 2" xfId="48981" xr:uid="{00000000-0005-0000-0000-000078430000}"/>
    <cellStyle name="Normal 2 5 2 3 2 2 5 2 3" xfId="38732" xr:uid="{00000000-0005-0000-0000-000079430000}"/>
    <cellStyle name="Normal 2 5 2 3 2 2 5 3" xfId="9598" xr:uid="{00000000-0005-0000-0000-00007A430000}"/>
    <cellStyle name="Normal 2 5 2 3 2 2 5 3 2" xfId="35155" xr:uid="{00000000-0005-0000-0000-00007B430000}"/>
    <cellStyle name="Normal 2 5 2 3 2 2 5 4" xfId="18421" xr:uid="{00000000-0005-0000-0000-00007C430000}"/>
    <cellStyle name="Normal 2 5 2 3 2 2 5 4 2" xfId="43974" xr:uid="{00000000-0005-0000-0000-00007D430000}"/>
    <cellStyle name="Normal 2 5 2 3 2 2 5 5" xfId="29911" xr:uid="{00000000-0005-0000-0000-00007E430000}"/>
    <cellStyle name="Normal 2 5 2 3 2 2 6" xfId="1611" xr:uid="{00000000-0005-0000-0000-00007F430000}"/>
    <cellStyle name="Normal 2 5 2 3 2 2 6 2" xfId="10988" xr:uid="{00000000-0005-0000-0000-000080430000}"/>
    <cellStyle name="Normal 2 5 2 3 2 2 6 2 2" xfId="36543" xr:uid="{00000000-0005-0000-0000-000081430000}"/>
    <cellStyle name="Normal 2 5 2 3 2 2 6 3" xfId="20992" xr:uid="{00000000-0005-0000-0000-000082430000}"/>
    <cellStyle name="Normal 2 5 2 3 2 2 6 3 2" xfId="46545" xr:uid="{00000000-0005-0000-0000-000083430000}"/>
    <cellStyle name="Normal 2 5 2 3 2 2 6 4" xfId="27475" xr:uid="{00000000-0005-0000-0000-000084430000}"/>
    <cellStyle name="Normal 2 5 2 3 2 2 7" xfId="5795" xr:uid="{00000000-0005-0000-0000-000085430000}"/>
    <cellStyle name="Normal 2 5 2 3 2 2 7 2" xfId="14622" xr:uid="{00000000-0005-0000-0000-000086430000}"/>
    <cellStyle name="Normal 2 5 2 3 2 2 7 2 2" xfId="40177" xr:uid="{00000000-0005-0000-0000-000087430000}"/>
    <cellStyle name="Normal 2 5 2 3 2 2 7 3" xfId="24873" xr:uid="{00000000-0005-0000-0000-000088430000}"/>
    <cellStyle name="Normal 2 5 2 3 2 2 7 3 2" xfId="50426" xr:uid="{00000000-0005-0000-0000-000089430000}"/>
    <cellStyle name="Normal 2 5 2 3 2 2 7 4" xfId="31356" xr:uid="{00000000-0005-0000-0000-00008A430000}"/>
    <cellStyle name="Normal 2 5 2 3 2 2 8" xfId="7239" xr:uid="{00000000-0005-0000-0000-00008B430000}"/>
    <cellStyle name="Normal 2 5 2 3 2 2 8 2" xfId="19965" xr:uid="{00000000-0005-0000-0000-00008C430000}"/>
    <cellStyle name="Normal 2 5 2 3 2 2 8 2 2" xfId="45518" xr:uid="{00000000-0005-0000-0000-00008D430000}"/>
    <cellStyle name="Normal 2 5 2 3 2 2 8 3" xfId="32796" xr:uid="{00000000-0005-0000-0000-00008E430000}"/>
    <cellStyle name="Normal 2 5 2 3 2 2 9" xfId="15985" xr:uid="{00000000-0005-0000-0000-00008F430000}"/>
    <cellStyle name="Normal 2 5 2 3 2 2 9 2" xfId="41538" xr:uid="{00000000-0005-0000-0000-000090430000}"/>
    <cellStyle name="Normal 2 5 2 3 2 2_Degree data" xfId="3849" xr:uid="{00000000-0005-0000-0000-000091430000}"/>
    <cellStyle name="Normal 2 5 2 3 2 3" xfId="419" xr:uid="{00000000-0005-0000-0000-000092430000}"/>
    <cellStyle name="Normal 2 5 2 3 2 3 2" xfId="2905" xr:uid="{00000000-0005-0000-0000-000093430000}"/>
    <cellStyle name="Normal 2 5 2 3 2 3 2 2" xfId="12193" xr:uid="{00000000-0005-0000-0000-000094430000}"/>
    <cellStyle name="Normal 2 5 2 3 2 3 2 2 2" xfId="22266" xr:uid="{00000000-0005-0000-0000-000095430000}"/>
    <cellStyle name="Normal 2 5 2 3 2 3 2 2 2 2" xfId="47819" xr:uid="{00000000-0005-0000-0000-000096430000}"/>
    <cellStyle name="Normal 2 5 2 3 2 3 2 2 3" xfId="37748" xr:uid="{00000000-0005-0000-0000-000097430000}"/>
    <cellStyle name="Normal 2 5 2 3 2 3 2 3" xfId="8430" xr:uid="{00000000-0005-0000-0000-000098430000}"/>
    <cellStyle name="Normal 2 5 2 3 2 3 2 3 2" xfId="33987" xr:uid="{00000000-0005-0000-0000-000099430000}"/>
    <cellStyle name="Normal 2 5 2 3 2 3 2 4" xfId="17259" xr:uid="{00000000-0005-0000-0000-00009A430000}"/>
    <cellStyle name="Normal 2 5 2 3 2 3 2 4 2" xfId="42812" xr:uid="{00000000-0005-0000-0000-00009B430000}"/>
    <cellStyle name="Normal 2 5 2 3 2 3 2 5" xfId="28749" xr:uid="{00000000-0005-0000-0000-00009C430000}"/>
    <cellStyle name="Normal 2 5 2 3 2 3 3" xfId="4551" xr:uid="{00000000-0005-0000-0000-00009D430000}"/>
    <cellStyle name="Normal 2 5 2 3 2 3 3 2" xfId="13389" xr:uid="{00000000-0005-0000-0000-00009E430000}"/>
    <cellStyle name="Normal 2 5 2 3 2 3 3 2 2" xfId="23640" xr:uid="{00000000-0005-0000-0000-00009F430000}"/>
    <cellStyle name="Normal 2 5 2 3 2 3 3 2 2 2" xfId="49193" xr:uid="{00000000-0005-0000-0000-0000A0430000}"/>
    <cellStyle name="Normal 2 5 2 3 2 3 3 2 3" xfId="38944" xr:uid="{00000000-0005-0000-0000-0000A1430000}"/>
    <cellStyle name="Normal 2 5 2 3 2 3 3 3" xfId="9810" xr:uid="{00000000-0005-0000-0000-0000A2430000}"/>
    <cellStyle name="Normal 2 5 2 3 2 3 3 3 2" xfId="35367" xr:uid="{00000000-0005-0000-0000-0000A3430000}"/>
    <cellStyle name="Normal 2 5 2 3 2 3 3 4" xfId="18633" xr:uid="{00000000-0005-0000-0000-0000A4430000}"/>
    <cellStyle name="Normal 2 5 2 3 2 3 3 4 2" xfId="44186" xr:uid="{00000000-0005-0000-0000-0000A5430000}"/>
    <cellStyle name="Normal 2 5 2 3 2 3 3 5" xfId="30123" xr:uid="{00000000-0005-0000-0000-0000A6430000}"/>
    <cellStyle name="Normal 2 5 2 3 2 3 4" xfId="2014" xr:uid="{00000000-0005-0000-0000-0000A7430000}"/>
    <cellStyle name="Normal 2 5 2 3 2 3 4 2" xfId="11379" xr:uid="{00000000-0005-0000-0000-0000A8430000}"/>
    <cellStyle name="Normal 2 5 2 3 2 3 4 2 2" xfId="36934" xr:uid="{00000000-0005-0000-0000-0000A9430000}"/>
    <cellStyle name="Normal 2 5 2 3 2 3 4 3" xfId="21383" xr:uid="{00000000-0005-0000-0000-0000AA430000}"/>
    <cellStyle name="Normal 2 5 2 3 2 3 4 3 2" xfId="46936" xr:uid="{00000000-0005-0000-0000-0000AB430000}"/>
    <cellStyle name="Normal 2 5 2 3 2 3 4 4" xfId="27866" xr:uid="{00000000-0005-0000-0000-0000AC430000}"/>
    <cellStyle name="Normal 2 5 2 3 2 3 5" xfId="6007" xr:uid="{00000000-0005-0000-0000-0000AD430000}"/>
    <cellStyle name="Normal 2 5 2 3 2 3 5 2" xfId="14834" xr:uid="{00000000-0005-0000-0000-0000AE430000}"/>
    <cellStyle name="Normal 2 5 2 3 2 3 5 2 2" xfId="40389" xr:uid="{00000000-0005-0000-0000-0000AF430000}"/>
    <cellStyle name="Normal 2 5 2 3 2 3 5 3" xfId="25085" xr:uid="{00000000-0005-0000-0000-0000B0430000}"/>
    <cellStyle name="Normal 2 5 2 3 2 3 5 3 2" xfId="50638" xr:uid="{00000000-0005-0000-0000-0000B1430000}"/>
    <cellStyle name="Normal 2 5 2 3 2 3 5 4" xfId="31568" xr:uid="{00000000-0005-0000-0000-0000B2430000}"/>
    <cellStyle name="Normal 2 5 2 3 2 3 6" xfId="7451" xr:uid="{00000000-0005-0000-0000-0000B3430000}"/>
    <cellStyle name="Normal 2 5 2 3 2 3 6 2" xfId="19865" xr:uid="{00000000-0005-0000-0000-0000B4430000}"/>
    <cellStyle name="Normal 2 5 2 3 2 3 6 2 2" xfId="45418" xr:uid="{00000000-0005-0000-0000-0000B5430000}"/>
    <cellStyle name="Normal 2 5 2 3 2 3 6 3" xfId="33008" xr:uid="{00000000-0005-0000-0000-0000B6430000}"/>
    <cellStyle name="Normal 2 5 2 3 2 3 7" xfId="16376" xr:uid="{00000000-0005-0000-0000-0000B7430000}"/>
    <cellStyle name="Normal 2 5 2 3 2 3 7 2" xfId="41929" xr:uid="{00000000-0005-0000-0000-0000B8430000}"/>
    <cellStyle name="Normal 2 5 2 3 2 3 8" xfId="26348" xr:uid="{00000000-0005-0000-0000-0000B9430000}"/>
    <cellStyle name="Normal 2 5 2 3 2 4" xfId="736" xr:uid="{00000000-0005-0000-0000-0000BA430000}"/>
    <cellStyle name="Normal 2 5 2 3 2 4 2" xfId="3222" xr:uid="{00000000-0005-0000-0000-0000BB430000}"/>
    <cellStyle name="Normal 2 5 2 3 2 4 2 2" xfId="12364" xr:uid="{00000000-0005-0000-0000-0000BC430000}"/>
    <cellStyle name="Normal 2 5 2 3 2 4 2 2 2" xfId="22583" xr:uid="{00000000-0005-0000-0000-0000BD430000}"/>
    <cellStyle name="Normal 2 5 2 3 2 4 2 2 2 2" xfId="48136" xr:uid="{00000000-0005-0000-0000-0000BE430000}"/>
    <cellStyle name="Normal 2 5 2 3 2 4 2 2 3" xfId="37919" xr:uid="{00000000-0005-0000-0000-0000BF430000}"/>
    <cellStyle name="Normal 2 5 2 3 2 4 2 3" xfId="8786" xr:uid="{00000000-0005-0000-0000-0000C0430000}"/>
    <cellStyle name="Normal 2 5 2 3 2 4 2 3 2" xfId="34343" xr:uid="{00000000-0005-0000-0000-0000C1430000}"/>
    <cellStyle name="Normal 2 5 2 3 2 4 2 4" xfId="17576" xr:uid="{00000000-0005-0000-0000-0000C2430000}"/>
    <cellStyle name="Normal 2 5 2 3 2 4 2 4 2" xfId="43129" xr:uid="{00000000-0005-0000-0000-0000C3430000}"/>
    <cellStyle name="Normal 2 5 2 3 2 4 2 5" xfId="29066" xr:uid="{00000000-0005-0000-0000-0000C4430000}"/>
    <cellStyle name="Normal 2 5 2 3 2 4 3" xfId="4900" xr:uid="{00000000-0005-0000-0000-0000C5430000}"/>
    <cellStyle name="Normal 2 5 2 3 2 4 3 2" xfId="13737" xr:uid="{00000000-0005-0000-0000-0000C6430000}"/>
    <cellStyle name="Normal 2 5 2 3 2 4 3 2 2" xfId="23988" xr:uid="{00000000-0005-0000-0000-0000C7430000}"/>
    <cellStyle name="Normal 2 5 2 3 2 4 3 2 2 2" xfId="49541" xr:uid="{00000000-0005-0000-0000-0000C8430000}"/>
    <cellStyle name="Normal 2 5 2 3 2 4 3 2 3" xfId="39292" xr:uid="{00000000-0005-0000-0000-0000C9430000}"/>
    <cellStyle name="Normal 2 5 2 3 2 4 3 3" xfId="10158" xr:uid="{00000000-0005-0000-0000-0000CA430000}"/>
    <cellStyle name="Normal 2 5 2 3 2 4 3 3 2" xfId="35715" xr:uid="{00000000-0005-0000-0000-0000CB430000}"/>
    <cellStyle name="Normal 2 5 2 3 2 4 3 4" xfId="18981" xr:uid="{00000000-0005-0000-0000-0000CC430000}"/>
    <cellStyle name="Normal 2 5 2 3 2 4 3 4 2" xfId="44534" xr:uid="{00000000-0005-0000-0000-0000CD430000}"/>
    <cellStyle name="Normal 2 5 2 3 2 4 3 5" xfId="30471" xr:uid="{00000000-0005-0000-0000-0000CE430000}"/>
    <cellStyle name="Normal 2 5 2 3 2 4 4" xfId="2331" xr:uid="{00000000-0005-0000-0000-0000CF430000}"/>
    <cellStyle name="Normal 2 5 2 3 2 4 4 2" xfId="11696" xr:uid="{00000000-0005-0000-0000-0000D0430000}"/>
    <cellStyle name="Normal 2 5 2 3 2 4 4 2 2" xfId="37251" xr:uid="{00000000-0005-0000-0000-0000D1430000}"/>
    <cellStyle name="Normal 2 5 2 3 2 4 4 3" xfId="21700" xr:uid="{00000000-0005-0000-0000-0000D2430000}"/>
    <cellStyle name="Normal 2 5 2 3 2 4 4 3 2" xfId="47253" xr:uid="{00000000-0005-0000-0000-0000D3430000}"/>
    <cellStyle name="Normal 2 5 2 3 2 4 4 4" xfId="28183" xr:uid="{00000000-0005-0000-0000-0000D4430000}"/>
    <cellStyle name="Normal 2 5 2 3 2 4 5" xfId="6355" xr:uid="{00000000-0005-0000-0000-0000D5430000}"/>
    <cellStyle name="Normal 2 5 2 3 2 4 5 2" xfId="15182" xr:uid="{00000000-0005-0000-0000-0000D6430000}"/>
    <cellStyle name="Normal 2 5 2 3 2 4 5 2 2" xfId="40737" xr:uid="{00000000-0005-0000-0000-0000D7430000}"/>
    <cellStyle name="Normal 2 5 2 3 2 4 5 3" xfId="25433" xr:uid="{00000000-0005-0000-0000-0000D8430000}"/>
    <cellStyle name="Normal 2 5 2 3 2 4 5 3 2" xfId="50986" xr:uid="{00000000-0005-0000-0000-0000D9430000}"/>
    <cellStyle name="Normal 2 5 2 3 2 4 5 4" xfId="31916" xr:uid="{00000000-0005-0000-0000-0000DA430000}"/>
    <cellStyle name="Normal 2 5 2 3 2 4 6" xfId="7801" xr:uid="{00000000-0005-0000-0000-0000DB430000}"/>
    <cellStyle name="Normal 2 5 2 3 2 4 6 2" xfId="20182" xr:uid="{00000000-0005-0000-0000-0000DC430000}"/>
    <cellStyle name="Normal 2 5 2 3 2 4 6 2 2" xfId="45735" xr:uid="{00000000-0005-0000-0000-0000DD430000}"/>
    <cellStyle name="Normal 2 5 2 3 2 4 6 3" xfId="33358" xr:uid="{00000000-0005-0000-0000-0000DE430000}"/>
    <cellStyle name="Normal 2 5 2 3 2 4 7" xfId="16693" xr:uid="{00000000-0005-0000-0000-0000DF430000}"/>
    <cellStyle name="Normal 2 5 2 3 2 4 7 2" xfId="42246" xr:uid="{00000000-0005-0000-0000-0000E0430000}"/>
    <cellStyle name="Normal 2 5 2 3 2 4 8" xfId="26665" xr:uid="{00000000-0005-0000-0000-0000E1430000}"/>
    <cellStyle name="Normal 2 5 2 3 2 5" xfId="1191" xr:uid="{00000000-0005-0000-0000-0000E2430000}"/>
    <cellStyle name="Normal 2 5 2 3 2 5 2" xfId="3620" xr:uid="{00000000-0005-0000-0000-0000E3430000}"/>
    <cellStyle name="Normal 2 5 2 3 2 5 2 2" xfId="12756" xr:uid="{00000000-0005-0000-0000-0000E4430000}"/>
    <cellStyle name="Normal 2 5 2 3 2 5 2 2 2" xfId="22975" xr:uid="{00000000-0005-0000-0000-0000E5430000}"/>
    <cellStyle name="Normal 2 5 2 3 2 5 2 2 2 2" xfId="48528" xr:uid="{00000000-0005-0000-0000-0000E6430000}"/>
    <cellStyle name="Normal 2 5 2 3 2 5 2 2 3" xfId="38311" xr:uid="{00000000-0005-0000-0000-0000E7430000}"/>
    <cellStyle name="Normal 2 5 2 3 2 5 2 3" xfId="9177" xr:uid="{00000000-0005-0000-0000-0000E8430000}"/>
    <cellStyle name="Normal 2 5 2 3 2 5 2 3 2" xfId="34734" xr:uid="{00000000-0005-0000-0000-0000E9430000}"/>
    <cellStyle name="Normal 2 5 2 3 2 5 2 4" xfId="17968" xr:uid="{00000000-0005-0000-0000-0000EA430000}"/>
    <cellStyle name="Normal 2 5 2 3 2 5 2 4 2" xfId="43521" xr:uid="{00000000-0005-0000-0000-0000EB430000}"/>
    <cellStyle name="Normal 2 5 2 3 2 5 2 5" xfId="29458" xr:uid="{00000000-0005-0000-0000-0000EC430000}"/>
    <cellStyle name="Normal 2 5 2 3 2 5 3" xfId="5283" xr:uid="{00000000-0005-0000-0000-0000ED430000}"/>
    <cellStyle name="Normal 2 5 2 3 2 5 3 2" xfId="14120" xr:uid="{00000000-0005-0000-0000-0000EE430000}"/>
    <cellStyle name="Normal 2 5 2 3 2 5 3 2 2" xfId="24371" xr:uid="{00000000-0005-0000-0000-0000EF430000}"/>
    <cellStyle name="Normal 2 5 2 3 2 5 3 2 2 2" xfId="49924" xr:uid="{00000000-0005-0000-0000-0000F0430000}"/>
    <cellStyle name="Normal 2 5 2 3 2 5 3 2 3" xfId="39675" xr:uid="{00000000-0005-0000-0000-0000F1430000}"/>
    <cellStyle name="Normal 2 5 2 3 2 5 3 3" xfId="10541" xr:uid="{00000000-0005-0000-0000-0000F2430000}"/>
    <cellStyle name="Normal 2 5 2 3 2 5 3 3 2" xfId="36098" xr:uid="{00000000-0005-0000-0000-0000F3430000}"/>
    <cellStyle name="Normal 2 5 2 3 2 5 3 4" xfId="19364" xr:uid="{00000000-0005-0000-0000-0000F4430000}"/>
    <cellStyle name="Normal 2 5 2 3 2 5 3 4 2" xfId="44917" xr:uid="{00000000-0005-0000-0000-0000F5430000}"/>
    <cellStyle name="Normal 2 5 2 3 2 5 3 5" xfId="30854" xr:uid="{00000000-0005-0000-0000-0000F6430000}"/>
    <cellStyle name="Normal 2 5 2 3 2 5 4" xfId="1793" xr:uid="{00000000-0005-0000-0000-0000F7430000}"/>
    <cellStyle name="Normal 2 5 2 3 2 5 4 2" xfId="11162" xr:uid="{00000000-0005-0000-0000-0000F8430000}"/>
    <cellStyle name="Normal 2 5 2 3 2 5 4 2 2" xfId="36717" xr:uid="{00000000-0005-0000-0000-0000F9430000}"/>
    <cellStyle name="Normal 2 5 2 3 2 5 4 3" xfId="21166" xr:uid="{00000000-0005-0000-0000-0000FA430000}"/>
    <cellStyle name="Normal 2 5 2 3 2 5 4 3 2" xfId="46719" xr:uid="{00000000-0005-0000-0000-0000FB430000}"/>
    <cellStyle name="Normal 2 5 2 3 2 5 4 4" xfId="27649" xr:uid="{00000000-0005-0000-0000-0000FC430000}"/>
    <cellStyle name="Normal 2 5 2 3 2 5 5" xfId="6738" xr:uid="{00000000-0005-0000-0000-0000FD430000}"/>
    <cellStyle name="Normal 2 5 2 3 2 5 5 2" xfId="15565" xr:uid="{00000000-0005-0000-0000-0000FE430000}"/>
    <cellStyle name="Normal 2 5 2 3 2 5 5 2 2" xfId="41120" xr:uid="{00000000-0005-0000-0000-0000FF430000}"/>
    <cellStyle name="Normal 2 5 2 3 2 5 5 3" xfId="25816" xr:uid="{00000000-0005-0000-0000-000000440000}"/>
    <cellStyle name="Normal 2 5 2 3 2 5 5 3 2" xfId="51369" xr:uid="{00000000-0005-0000-0000-000001440000}"/>
    <cellStyle name="Normal 2 5 2 3 2 5 5 4" xfId="32299" xr:uid="{00000000-0005-0000-0000-000002440000}"/>
    <cellStyle name="Normal 2 5 2 3 2 5 6" xfId="8184" xr:uid="{00000000-0005-0000-0000-000003440000}"/>
    <cellStyle name="Normal 2 5 2 3 2 5 6 2" xfId="20574" xr:uid="{00000000-0005-0000-0000-000004440000}"/>
    <cellStyle name="Normal 2 5 2 3 2 5 6 2 2" xfId="46127" xr:uid="{00000000-0005-0000-0000-000005440000}"/>
    <cellStyle name="Normal 2 5 2 3 2 5 6 3" xfId="33741" xr:uid="{00000000-0005-0000-0000-000006440000}"/>
    <cellStyle name="Normal 2 5 2 3 2 5 7" xfId="16159" xr:uid="{00000000-0005-0000-0000-000007440000}"/>
    <cellStyle name="Normal 2 5 2 3 2 5 7 2" xfId="41712" xr:uid="{00000000-0005-0000-0000-000008440000}"/>
    <cellStyle name="Normal 2 5 2 3 2 5 8" xfId="27057" xr:uid="{00000000-0005-0000-0000-000009440000}"/>
    <cellStyle name="Normal 2 5 2 3 2 6" xfId="2688" xr:uid="{00000000-0005-0000-0000-00000A440000}"/>
    <cellStyle name="Normal 2 5 2 3 2 6 2" xfId="12005" xr:uid="{00000000-0005-0000-0000-00000B440000}"/>
    <cellStyle name="Normal 2 5 2 3 2 6 2 2" xfId="22049" xr:uid="{00000000-0005-0000-0000-00000C440000}"/>
    <cellStyle name="Normal 2 5 2 3 2 6 2 2 2" xfId="47602" xr:uid="{00000000-0005-0000-0000-00000D440000}"/>
    <cellStyle name="Normal 2 5 2 3 2 6 2 3" xfId="37560" xr:uid="{00000000-0005-0000-0000-00000E440000}"/>
    <cellStyle name="Normal 2 5 2 3 2 6 3" xfId="8556" xr:uid="{00000000-0005-0000-0000-00000F440000}"/>
    <cellStyle name="Normal 2 5 2 3 2 6 3 2" xfId="34113" xr:uid="{00000000-0005-0000-0000-000010440000}"/>
    <cellStyle name="Normal 2 5 2 3 2 6 4" xfId="17042" xr:uid="{00000000-0005-0000-0000-000011440000}"/>
    <cellStyle name="Normal 2 5 2 3 2 6 4 2" xfId="42595" xr:uid="{00000000-0005-0000-0000-000012440000}"/>
    <cellStyle name="Normal 2 5 2 3 2 6 5" xfId="28532" xr:uid="{00000000-0005-0000-0000-000013440000}"/>
    <cellStyle name="Normal 2 5 2 3 2 7" xfId="4239" xr:uid="{00000000-0005-0000-0000-000014440000}"/>
    <cellStyle name="Normal 2 5 2 3 2 7 2" xfId="13077" xr:uid="{00000000-0005-0000-0000-000015440000}"/>
    <cellStyle name="Normal 2 5 2 3 2 7 2 2" xfId="23328" xr:uid="{00000000-0005-0000-0000-000016440000}"/>
    <cellStyle name="Normal 2 5 2 3 2 7 2 2 2" xfId="48881" xr:uid="{00000000-0005-0000-0000-000017440000}"/>
    <cellStyle name="Normal 2 5 2 3 2 7 2 3" xfId="38632" xr:uid="{00000000-0005-0000-0000-000018440000}"/>
    <cellStyle name="Normal 2 5 2 3 2 7 3" xfId="9498" xr:uid="{00000000-0005-0000-0000-000019440000}"/>
    <cellStyle name="Normal 2 5 2 3 2 7 3 2" xfId="35055" xr:uid="{00000000-0005-0000-0000-00001A440000}"/>
    <cellStyle name="Normal 2 5 2 3 2 7 4" xfId="18321" xr:uid="{00000000-0005-0000-0000-00001B440000}"/>
    <cellStyle name="Normal 2 5 2 3 2 7 4 2" xfId="43874" xr:uid="{00000000-0005-0000-0000-00001C440000}"/>
    <cellStyle name="Normal 2 5 2 3 2 7 5" xfId="29811" xr:uid="{00000000-0005-0000-0000-00001D440000}"/>
    <cellStyle name="Normal 2 5 2 3 2 8" xfId="1511" xr:uid="{00000000-0005-0000-0000-00001E440000}"/>
    <cellStyle name="Normal 2 5 2 3 2 8 2" xfId="10888" xr:uid="{00000000-0005-0000-0000-00001F440000}"/>
    <cellStyle name="Normal 2 5 2 3 2 8 2 2" xfId="36443" xr:uid="{00000000-0005-0000-0000-000020440000}"/>
    <cellStyle name="Normal 2 5 2 3 2 8 3" xfId="20892" xr:uid="{00000000-0005-0000-0000-000021440000}"/>
    <cellStyle name="Normal 2 5 2 3 2 8 3 2" xfId="46445" xr:uid="{00000000-0005-0000-0000-000022440000}"/>
    <cellStyle name="Normal 2 5 2 3 2 8 4" xfId="27375" xr:uid="{00000000-0005-0000-0000-000023440000}"/>
    <cellStyle name="Normal 2 5 2 3 2 9" xfId="5695" xr:uid="{00000000-0005-0000-0000-000024440000}"/>
    <cellStyle name="Normal 2 5 2 3 2 9 2" xfId="14522" xr:uid="{00000000-0005-0000-0000-000025440000}"/>
    <cellStyle name="Normal 2 5 2 3 2 9 2 2" xfId="40077" xr:uid="{00000000-0005-0000-0000-000026440000}"/>
    <cellStyle name="Normal 2 5 2 3 2 9 3" xfId="24773" xr:uid="{00000000-0005-0000-0000-000027440000}"/>
    <cellStyle name="Normal 2 5 2 3 2 9 3 2" xfId="50326" xr:uid="{00000000-0005-0000-0000-000028440000}"/>
    <cellStyle name="Normal 2 5 2 3 2 9 4" xfId="31256" xr:uid="{00000000-0005-0000-0000-000029440000}"/>
    <cellStyle name="Normal 2 5 2 3 2_Degree data" xfId="3913" xr:uid="{00000000-0005-0000-0000-00002A440000}"/>
    <cellStyle name="Normal 2 5 2 3 3" xfId="258" xr:uid="{00000000-0005-0000-0000-00002B440000}"/>
    <cellStyle name="Normal 2 5 2 3 3 10" xfId="7096" xr:uid="{00000000-0005-0000-0000-00002C440000}"/>
    <cellStyle name="Normal 2 5 2 3 3 10 2" xfId="19710" xr:uid="{00000000-0005-0000-0000-00002D440000}"/>
    <cellStyle name="Normal 2 5 2 3 3 10 2 2" xfId="45263" xr:uid="{00000000-0005-0000-0000-00002E440000}"/>
    <cellStyle name="Normal 2 5 2 3 3 10 3" xfId="32653" xr:uid="{00000000-0005-0000-0000-00002F440000}"/>
    <cellStyle name="Normal 2 5 2 3 3 11" xfId="15842" xr:uid="{00000000-0005-0000-0000-000030440000}"/>
    <cellStyle name="Normal 2 5 2 3 3 11 2" xfId="41395" xr:uid="{00000000-0005-0000-0000-000031440000}"/>
    <cellStyle name="Normal 2 5 2 3 3 12" xfId="26193" xr:uid="{00000000-0005-0000-0000-000032440000}"/>
    <cellStyle name="Normal 2 5 2 3 3 2" xfId="581" xr:uid="{00000000-0005-0000-0000-000033440000}"/>
    <cellStyle name="Normal 2 5 2 3 3 2 10" xfId="26510" xr:uid="{00000000-0005-0000-0000-000034440000}"/>
    <cellStyle name="Normal 2 5 2 3 3 2 2" xfId="739" xr:uid="{00000000-0005-0000-0000-000035440000}"/>
    <cellStyle name="Normal 2 5 2 3 3 2 2 2" xfId="3225" xr:uid="{00000000-0005-0000-0000-000036440000}"/>
    <cellStyle name="Normal 2 5 2 3 3 2 2 2 2" xfId="12367" xr:uid="{00000000-0005-0000-0000-000037440000}"/>
    <cellStyle name="Normal 2 5 2 3 3 2 2 2 2 2" xfId="22586" xr:uid="{00000000-0005-0000-0000-000038440000}"/>
    <cellStyle name="Normal 2 5 2 3 3 2 2 2 2 2 2" xfId="48139" xr:uid="{00000000-0005-0000-0000-000039440000}"/>
    <cellStyle name="Normal 2 5 2 3 3 2 2 2 2 3" xfId="37922" xr:uid="{00000000-0005-0000-0000-00003A440000}"/>
    <cellStyle name="Normal 2 5 2 3 3 2 2 2 3" xfId="8789" xr:uid="{00000000-0005-0000-0000-00003B440000}"/>
    <cellStyle name="Normal 2 5 2 3 3 2 2 2 3 2" xfId="34346" xr:uid="{00000000-0005-0000-0000-00003C440000}"/>
    <cellStyle name="Normal 2 5 2 3 3 2 2 2 4" xfId="17579" xr:uid="{00000000-0005-0000-0000-00003D440000}"/>
    <cellStyle name="Normal 2 5 2 3 3 2 2 2 4 2" xfId="43132" xr:uid="{00000000-0005-0000-0000-00003E440000}"/>
    <cellStyle name="Normal 2 5 2 3 3 2 2 2 5" xfId="29069" xr:uid="{00000000-0005-0000-0000-00003F440000}"/>
    <cellStyle name="Normal 2 5 2 3 3 2 2 3" xfId="4554" xr:uid="{00000000-0005-0000-0000-000040440000}"/>
    <cellStyle name="Normal 2 5 2 3 3 2 2 3 2" xfId="13392" xr:uid="{00000000-0005-0000-0000-000041440000}"/>
    <cellStyle name="Normal 2 5 2 3 3 2 2 3 2 2" xfId="23643" xr:uid="{00000000-0005-0000-0000-000042440000}"/>
    <cellStyle name="Normal 2 5 2 3 3 2 2 3 2 2 2" xfId="49196" xr:uid="{00000000-0005-0000-0000-000043440000}"/>
    <cellStyle name="Normal 2 5 2 3 3 2 2 3 2 3" xfId="38947" xr:uid="{00000000-0005-0000-0000-000044440000}"/>
    <cellStyle name="Normal 2 5 2 3 3 2 2 3 3" xfId="9813" xr:uid="{00000000-0005-0000-0000-000045440000}"/>
    <cellStyle name="Normal 2 5 2 3 3 2 2 3 3 2" xfId="35370" xr:uid="{00000000-0005-0000-0000-000046440000}"/>
    <cellStyle name="Normal 2 5 2 3 3 2 2 3 4" xfId="18636" xr:uid="{00000000-0005-0000-0000-000047440000}"/>
    <cellStyle name="Normal 2 5 2 3 3 2 2 3 4 2" xfId="44189" xr:uid="{00000000-0005-0000-0000-000048440000}"/>
    <cellStyle name="Normal 2 5 2 3 3 2 2 3 5" xfId="30126" xr:uid="{00000000-0005-0000-0000-000049440000}"/>
    <cellStyle name="Normal 2 5 2 3 3 2 2 4" xfId="2334" xr:uid="{00000000-0005-0000-0000-00004A440000}"/>
    <cellStyle name="Normal 2 5 2 3 3 2 2 4 2" xfId="11699" xr:uid="{00000000-0005-0000-0000-00004B440000}"/>
    <cellStyle name="Normal 2 5 2 3 3 2 2 4 2 2" xfId="37254" xr:uid="{00000000-0005-0000-0000-00004C440000}"/>
    <cellStyle name="Normal 2 5 2 3 3 2 2 4 3" xfId="21703" xr:uid="{00000000-0005-0000-0000-00004D440000}"/>
    <cellStyle name="Normal 2 5 2 3 3 2 2 4 3 2" xfId="47256" xr:uid="{00000000-0005-0000-0000-00004E440000}"/>
    <cellStyle name="Normal 2 5 2 3 3 2 2 4 4" xfId="28186" xr:uid="{00000000-0005-0000-0000-00004F440000}"/>
    <cellStyle name="Normal 2 5 2 3 3 2 2 5" xfId="6010" xr:uid="{00000000-0005-0000-0000-000050440000}"/>
    <cellStyle name="Normal 2 5 2 3 3 2 2 5 2" xfId="14837" xr:uid="{00000000-0005-0000-0000-000051440000}"/>
    <cellStyle name="Normal 2 5 2 3 3 2 2 5 2 2" xfId="40392" xr:uid="{00000000-0005-0000-0000-000052440000}"/>
    <cellStyle name="Normal 2 5 2 3 3 2 2 5 3" xfId="25088" xr:uid="{00000000-0005-0000-0000-000053440000}"/>
    <cellStyle name="Normal 2 5 2 3 3 2 2 5 3 2" xfId="50641" xr:uid="{00000000-0005-0000-0000-000054440000}"/>
    <cellStyle name="Normal 2 5 2 3 3 2 2 5 4" xfId="31571" xr:uid="{00000000-0005-0000-0000-000055440000}"/>
    <cellStyle name="Normal 2 5 2 3 3 2 2 6" xfId="7454" xr:uid="{00000000-0005-0000-0000-000056440000}"/>
    <cellStyle name="Normal 2 5 2 3 3 2 2 6 2" xfId="20185" xr:uid="{00000000-0005-0000-0000-000057440000}"/>
    <cellStyle name="Normal 2 5 2 3 3 2 2 6 2 2" xfId="45738" xr:uid="{00000000-0005-0000-0000-000058440000}"/>
    <cellStyle name="Normal 2 5 2 3 3 2 2 6 3" xfId="33011" xr:uid="{00000000-0005-0000-0000-000059440000}"/>
    <cellStyle name="Normal 2 5 2 3 3 2 2 7" xfId="16696" xr:uid="{00000000-0005-0000-0000-00005A440000}"/>
    <cellStyle name="Normal 2 5 2 3 3 2 2 7 2" xfId="42249" xr:uid="{00000000-0005-0000-0000-00005B440000}"/>
    <cellStyle name="Normal 2 5 2 3 3 2 2 8" xfId="26668" xr:uid="{00000000-0005-0000-0000-00005C440000}"/>
    <cellStyle name="Normal 2 5 2 3 3 2 3" xfId="1353" xr:uid="{00000000-0005-0000-0000-00005D440000}"/>
    <cellStyle name="Normal 2 5 2 3 3 2 3 2" xfId="3782" xr:uid="{00000000-0005-0000-0000-00005E440000}"/>
    <cellStyle name="Normal 2 5 2 3 3 2 3 2 2" xfId="12918" xr:uid="{00000000-0005-0000-0000-00005F440000}"/>
    <cellStyle name="Normal 2 5 2 3 3 2 3 2 2 2" xfId="23137" xr:uid="{00000000-0005-0000-0000-000060440000}"/>
    <cellStyle name="Normal 2 5 2 3 3 2 3 2 2 2 2" xfId="48690" xr:uid="{00000000-0005-0000-0000-000061440000}"/>
    <cellStyle name="Normal 2 5 2 3 3 2 3 2 2 3" xfId="38473" xr:uid="{00000000-0005-0000-0000-000062440000}"/>
    <cellStyle name="Normal 2 5 2 3 3 2 3 2 3" xfId="9339" xr:uid="{00000000-0005-0000-0000-000063440000}"/>
    <cellStyle name="Normal 2 5 2 3 3 2 3 2 3 2" xfId="34896" xr:uid="{00000000-0005-0000-0000-000064440000}"/>
    <cellStyle name="Normal 2 5 2 3 3 2 3 2 4" xfId="18130" xr:uid="{00000000-0005-0000-0000-000065440000}"/>
    <cellStyle name="Normal 2 5 2 3 3 2 3 2 4 2" xfId="43683" xr:uid="{00000000-0005-0000-0000-000066440000}"/>
    <cellStyle name="Normal 2 5 2 3 3 2 3 2 5" xfId="29620" xr:uid="{00000000-0005-0000-0000-000067440000}"/>
    <cellStyle name="Normal 2 5 2 3 3 2 3 3" xfId="4903" xr:uid="{00000000-0005-0000-0000-000068440000}"/>
    <cellStyle name="Normal 2 5 2 3 3 2 3 3 2" xfId="13740" xr:uid="{00000000-0005-0000-0000-000069440000}"/>
    <cellStyle name="Normal 2 5 2 3 3 2 3 3 2 2" xfId="23991" xr:uid="{00000000-0005-0000-0000-00006A440000}"/>
    <cellStyle name="Normal 2 5 2 3 3 2 3 3 2 2 2" xfId="49544" xr:uid="{00000000-0005-0000-0000-00006B440000}"/>
    <cellStyle name="Normal 2 5 2 3 3 2 3 3 2 3" xfId="39295" xr:uid="{00000000-0005-0000-0000-00006C440000}"/>
    <cellStyle name="Normal 2 5 2 3 3 2 3 3 3" xfId="10161" xr:uid="{00000000-0005-0000-0000-00006D440000}"/>
    <cellStyle name="Normal 2 5 2 3 3 2 3 3 3 2" xfId="35718" xr:uid="{00000000-0005-0000-0000-00006E440000}"/>
    <cellStyle name="Normal 2 5 2 3 3 2 3 3 4" xfId="18984" xr:uid="{00000000-0005-0000-0000-00006F440000}"/>
    <cellStyle name="Normal 2 5 2 3 3 2 3 3 4 2" xfId="44537" xr:uid="{00000000-0005-0000-0000-000070440000}"/>
    <cellStyle name="Normal 2 5 2 3 3 2 3 3 5" xfId="30474" xr:uid="{00000000-0005-0000-0000-000071440000}"/>
    <cellStyle name="Normal 2 5 2 3 3 2 3 4" xfId="2176" xr:uid="{00000000-0005-0000-0000-000072440000}"/>
    <cellStyle name="Normal 2 5 2 3 3 2 3 4 2" xfId="11541" xr:uid="{00000000-0005-0000-0000-000073440000}"/>
    <cellStyle name="Normal 2 5 2 3 3 2 3 4 2 2" xfId="37096" xr:uid="{00000000-0005-0000-0000-000074440000}"/>
    <cellStyle name="Normal 2 5 2 3 3 2 3 4 3" xfId="21545" xr:uid="{00000000-0005-0000-0000-000075440000}"/>
    <cellStyle name="Normal 2 5 2 3 3 2 3 4 3 2" xfId="47098" xr:uid="{00000000-0005-0000-0000-000076440000}"/>
    <cellStyle name="Normal 2 5 2 3 3 2 3 4 4" xfId="28028" xr:uid="{00000000-0005-0000-0000-000077440000}"/>
    <cellStyle name="Normal 2 5 2 3 3 2 3 5" xfId="6358" xr:uid="{00000000-0005-0000-0000-000078440000}"/>
    <cellStyle name="Normal 2 5 2 3 3 2 3 5 2" xfId="15185" xr:uid="{00000000-0005-0000-0000-000079440000}"/>
    <cellStyle name="Normal 2 5 2 3 3 2 3 5 2 2" xfId="40740" xr:uid="{00000000-0005-0000-0000-00007A440000}"/>
    <cellStyle name="Normal 2 5 2 3 3 2 3 5 3" xfId="25436" xr:uid="{00000000-0005-0000-0000-00007B440000}"/>
    <cellStyle name="Normal 2 5 2 3 3 2 3 5 3 2" xfId="50989" xr:uid="{00000000-0005-0000-0000-00007C440000}"/>
    <cellStyle name="Normal 2 5 2 3 3 2 3 5 4" xfId="31919" xr:uid="{00000000-0005-0000-0000-00007D440000}"/>
    <cellStyle name="Normal 2 5 2 3 3 2 3 6" xfId="7804" xr:uid="{00000000-0005-0000-0000-00007E440000}"/>
    <cellStyle name="Normal 2 5 2 3 3 2 3 6 2" xfId="20736" xr:uid="{00000000-0005-0000-0000-00007F440000}"/>
    <cellStyle name="Normal 2 5 2 3 3 2 3 6 2 2" xfId="46289" xr:uid="{00000000-0005-0000-0000-000080440000}"/>
    <cellStyle name="Normal 2 5 2 3 3 2 3 6 3" xfId="33361" xr:uid="{00000000-0005-0000-0000-000081440000}"/>
    <cellStyle name="Normal 2 5 2 3 3 2 3 7" xfId="16538" xr:uid="{00000000-0005-0000-0000-000082440000}"/>
    <cellStyle name="Normal 2 5 2 3 3 2 3 7 2" xfId="42091" xr:uid="{00000000-0005-0000-0000-000083440000}"/>
    <cellStyle name="Normal 2 5 2 3 3 2 3 8" xfId="27219" xr:uid="{00000000-0005-0000-0000-000084440000}"/>
    <cellStyle name="Normal 2 5 2 3 3 2 4" xfId="3067" xr:uid="{00000000-0005-0000-0000-000085440000}"/>
    <cellStyle name="Normal 2 5 2 3 3 2 4 2" xfId="5445" xr:uid="{00000000-0005-0000-0000-000086440000}"/>
    <cellStyle name="Normal 2 5 2 3 3 2 4 2 2" xfId="14282" xr:uid="{00000000-0005-0000-0000-000087440000}"/>
    <cellStyle name="Normal 2 5 2 3 3 2 4 2 2 2" xfId="24533" xr:uid="{00000000-0005-0000-0000-000088440000}"/>
    <cellStyle name="Normal 2 5 2 3 3 2 4 2 2 2 2" xfId="50086" xr:uid="{00000000-0005-0000-0000-000089440000}"/>
    <cellStyle name="Normal 2 5 2 3 3 2 4 2 2 3" xfId="39837" xr:uid="{00000000-0005-0000-0000-00008A440000}"/>
    <cellStyle name="Normal 2 5 2 3 3 2 4 2 3" xfId="10703" xr:uid="{00000000-0005-0000-0000-00008B440000}"/>
    <cellStyle name="Normal 2 5 2 3 3 2 4 2 3 2" xfId="36260" xr:uid="{00000000-0005-0000-0000-00008C440000}"/>
    <cellStyle name="Normal 2 5 2 3 3 2 4 2 4" xfId="19526" xr:uid="{00000000-0005-0000-0000-00008D440000}"/>
    <cellStyle name="Normal 2 5 2 3 3 2 4 2 4 2" xfId="45079" xr:uid="{00000000-0005-0000-0000-00008E440000}"/>
    <cellStyle name="Normal 2 5 2 3 3 2 4 2 5" xfId="31016" xr:uid="{00000000-0005-0000-0000-00008F440000}"/>
    <cellStyle name="Normal 2 5 2 3 3 2 4 3" xfId="6900" xr:uid="{00000000-0005-0000-0000-000090440000}"/>
    <cellStyle name="Normal 2 5 2 3 3 2 4 3 2" xfId="15727" xr:uid="{00000000-0005-0000-0000-000091440000}"/>
    <cellStyle name="Normal 2 5 2 3 3 2 4 3 2 2" xfId="41282" xr:uid="{00000000-0005-0000-0000-000092440000}"/>
    <cellStyle name="Normal 2 5 2 3 3 2 4 3 3" xfId="25978" xr:uid="{00000000-0005-0000-0000-000093440000}"/>
    <cellStyle name="Normal 2 5 2 3 3 2 4 3 3 2" xfId="51531" xr:uid="{00000000-0005-0000-0000-000094440000}"/>
    <cellStyle name="Normal 2 5 2 3 3 2 4 3 4" xfId="32461" xr:uid="{00000000-0005-0000-0000-000095440000}"/>
    <cellStyle name="Normal 2 5 2 3 3 2 4 4" xfId="8346" xr:uid="{00000000-0005-0000-0000-000096440000}"/>
    <cellStyle name="Normal 2 5 2 3 3 2 4 4 2" xfId="22428" xr:uid="{00000000-0005-0000-0000-000097440000}"/>
    <cellStyle name="Normal 2 5 2 3 3 2 4 4 2 2" xfId="47981" xr:uid="{00000000-0005-0000-0000-000098440000}"/>
    <cellStyle name="Normal 2 5 2 3 3 2 4 4 3" xfId="33903" xr:uid="{00000000-0005-0000-0000-000099440000}"/>
    <cellStyle name="Normal 2 5 2 3 3 2 4 5" xfId="17421" xr:uid="{00000000-0005-0000-0000-00009A440000}"/>
    <cellStyle name="Normal 2 5 2 3 3 2 4 5 2" xfId="42974" xr:uid="{00000000-0005-0000-0000-00009B440000}"/>
    <cellStyle name="Normal 2 5 2 3 3 2 4 6" xfId="28911" xr:uid="{00000000-0005-0000-0000-00009C440000}"/>
    <cellStyle name="Normal 2 5 2 3 3 2 5" xfId="4401" xr:uid="{00000000-0005-0000-0000-00009D440000}"/>
    <cellStyle name="Normal 2 5 2 3 3 2 5 2" xfId="13239" xr:uid="{00000000-0005-0000-0000-00009E440000}"/>
    <cellStyle name="Normal 2 5 2 3 3 2 5 2 2" xfId="23490" xr:uid="{00000000-0005-0000-0000-00009F440000}"/>
    <cellStyle name="Normal 2 5 2 3 3 2 5 2 2 2" xfId="49043" xr:uid="{00000000-0005-0000-0000-0000A0440000}"/>
    <cellStyle name="Normal 2 5 2 3 3 2 5 2 3" xfId="38794" xr:uid="{00000000-0005-0000-0000-0000A1440000}"/>
    <cellStyle name="Normal 2 5 2 3 3 2 5 3" xfId="9660" xr:uid="{00000000-0005-0000-0000-0000A2440000}"/>
    <cellStyle name="Normal 2 5 2 3 3 2 5 3 2" xfId="35217" xr:uid="{00000000-0005-0000-0000-0000A3440000}"/>
    <cellStyle name="Normal 2 5 2 3 3 2 5 4" xfId="18483" xr:uid="{00000000-0005-0000-0000-0000A4440000}"/>
    <cellStyle name="Normal 2 5 2 3 3 2 5 4 2" xfId="44036" xr:uid="{00000000-0005-0000-0000-0000A5440000}"/>
    <cellStyle name="Normal 2 5 2 3 3 2 5 5" xfId="29973" xr:uid="{00000000-0005-0000-0000-0000A6440000}"/>
    <cellStyle name="Normal 2 5 2 3 3 2 6" xfId="1673" xr:uid="{00000000-0005-0000-0000-0000A7440000}"/>
    <cellStyle name="Normal 2 5 2 3 3 2 6 2" xfId="11050" xr:uid="{00000000-0005-0000-0000-0000A8440000}"/>
    <cellStyle name="Normal 2 5 2 3 3 2 6 2 2" xfId="36605" xr:uid="{00000000-0005-0000-0000-0000A9440000}"/>
    <cellStyle name="Normal 2 5 2 3 3 2 6 3" xfId="21054" xr:uid="{00000000-0005-0000-0000-0000AA440000}"/>
    <cellStyle name="Normal 2 5 2 3 3 2 6 3 2" xfId="46607" xr:uid="{00000000-0005-0000-0000-0000AB440000}"/>
    <cellStyle name="Normal 2 5 2 3 3 2 6 4" xfId="27537" xr:uid="{00000000-0005-0000-0000-0000AC440000}"/>
    <cellStyle name="Normal 2 5 2 3 3 2 7" xfId="5857" xr:uid="{00000000-0005-0000-0000-0000AD440000}"/>
    <cellStyle name="Normal 2 5 2 3 3 2 7 2" xfId="14684" xr:uid="{00000000-0005-0000-0000-0000AE440000}"/>
    <cellStyle name="Normal 2 5 2 3 3 2 7 2 2" xfId="40239" xr:uid="{00000000-0005-0000-0000-0000AF440000}"/>
    <cellStyle name="Normal 2 5 2 3 3 2 7 3" xfId="24935" xr:uid="{00000000-0005-0000-0000-0000B0440000}"/>
    <cellStyle name="Normal 2 5 2 3 3 2 7 3 2" xfId="50488" xr:uid="{00000000-0005-0000-0000-0000B1440000}"/>
    <cellStyle name="Normal 2 5 2 3 3 2 7 4" xfId="31418" xr:uid="{00000000-0005-0000-0000-0000B2440000}"/>
    <cellStyle name="Normal 2 5 2 3 3 2 8" xfId="7301" xr:uid="{00000000-0005-0000-0000-0000B3440000}"/>
    <cellStyle name="Normal 2 5 2 3 3 2 8 2" xfId="20027" xr:uid="{00000000-0005-0000-0000-0000B4440000}"/>
    <cellStyle name="Normal 2 5 2 3 3 2 8 2 2" xfId="45580" xr:uid="{00000000-0005-0000-0000-0000B5440000}"/>
    <cellStyle name="Normal 2 5 2 3 3 2 8 3" xfId="32858" xr:uid="{00000000-0005-0000-0000-0000B6440000}"/>
    <cellStyle name="Normal 2 5 2 3 3 2 9" xfId="16047" xr:uid="{00000000-0005-0000-0000-0000B7440000}"/>
    <cellStyle name="Normal 2 5 2 3 3 2 9 2" xfId="41600" xr:uid="{00000000-0005-0000-0000-0000B8440000}"/>
    <cellStyle name="Normal 2 5 2 3 3 2_Degree data" xfId="3914" xr:uid="{00000000-0005-0000-0000-0000B9440000}"/>
    <cellStyle name="Normal 2 5 2 3 3 3" xfId="376" xr:uid="{00000000-0005-0000-0000-0000BA440000}"/>
    <cellStyle name="Normal 2 5 2 3 3 3 2" xfId="2862" xr:uid="{00000000-0005-0000-0000-0000BB440000}"/>
    <cellStyle name="Normal 2 5 2 3 3 3 2 2" xfId="12150" xr:uid="{00000000-0005-0000-0000-0000BC440000}"/>
    <cellStyle name="Normal 2 5 2 3 3 3 2 2 2" xfId="22223" xr:uid="{00000000-0005-0000-0000-0000BD440000}"/>
    <cellStyle name="Normal 2 5 2 3 3 3 2 2 2 2" xfId="47776" xr:uid="{00000000-0005-0000-0000-0000BE440000}"/>
    <cellStyle name="Normal 2 5 2 3 3 3 2 2 3" xfId="37705" xr:uid="{00000000-0005-0000-0000-0000BF440000}"/>
    <cellStyle name="Normal 2 5 2 3 3 3 2 3" xfId="8461" xr:uid="{00000000-0005-0000-0000-0000C0440000}"/>
    <cellStyle name="Normal 2 5 2 3 3 3 2 3 2" xfId="34018" xr:uid="{00000000-0005-0000-0000-0000C1440000}"/>
    <cellStyle name="Normal 2 5 2 3 3 3 2 4" xfId="17216" xr:uid="{00000000-0005-0000-0000-0000C2440000}"/>
    <cellStyle name="Normal 2 5 2 3 3 3 2 4 2" xfId="42769" xr:uid="{00000000-0005-0000-0000-0000C3440000}"/>
    <cellStyle name="Normal 2 5 2 3 3 3 2 5" xfId="28706" xr:uid="{00000000-0005-0000-0000-0000C4440000}"/>
    <cellStyle name="Normal 2 5 2 3 3 3 3" xfId="4553" xr:uid="{00000000-0005-0000-0000-0000C5440000}"/>
    <cellStyle name="Normal 2 5 2 3 3 3 3 2" xfId="13391" xr:uid="{00000000-0005-0000-0000-0000C6440000}"/>
    <cellStyle name="Normal 2 5 2 3 3 3 3 2 2" xfId="23642" xr:uid="{00000000-0005-0000-0000-0000C7440000}"/>
    <cellStyle name="Normal 2 5 2 3 3 3 3 2 2 2" xfId="49195" xr:uid="{00000000-0005-0000-0000-0000C8440000}"/>
    <cellStyle name="Normal 2 5 2 3 3 3 3 2 3" xfId="38946" xr:uid="{00000000-0005-0000-0000-0000C9440000}"/>
    <cellStyle name="Normal 2 5 2 3 3 3 3 3" xfId="9812" xr:uid="{00000000-0005-0000-0000-0000CA440000}"/>
    <cellStyle name="Normal 2 5 2 3 3 3 3 3 2" xfId="35369" xr:uid="{00000000-0005-0000-0000-0000CB440000}"/>
    <cellStyle name="Normal 2 5 2 3 3 3 3 4" xfId="18635" xr:uid="{00000000-0005-0000-0000-0000CC440000}"/>
    <cellStyle name="Normal 2 5 2 3 3 3 3 4 2" xfId="44188" xr:uid="{00000000-0005-0000-0000-0000CD440000}"/>
    <cellStyle name="Normal 2 5 2 3 3 3 3 5" xfId="30125" xr:uid="{00000000-0005-0000-0000-0000CE440000}"/>
    <cellStyle name="Normal 2 5 2 3 3 3 4" xfId="1971" xr:uid="{00000000-0005-0000-0000-0000CF440000}"/>
    <cellStyle name="Normal 2 5 2 3 3 3 4 2" xfId="11336" xr:uid="{00000000-0005-0000-0000-0000D0440000}"/>
    <cellStyle name="Normal 2 5 2 3 3 3 4 2 2" xfId="36891" xr:uid="{00000000-0005-0000-0000-0000D1440000}"/>
    <cellStyle name="Normal 2 5 2 3 3 3 4 3" xfId="21340" xr:uid="{00000000-0005-0000-0000-0000D2440000}"/>
    <cellStyle name="Normal 2 5 2 3 3 3 4 3 2" xfId="46893" xr:uid="{00000000-0005-0000-0000-0000D3440000}"/>
    <cellStyle name="Normal 2 5 2 3 3 3 4 4" xfId="27823" xr:uid="{00000000-0005-0000-0000-0000D4440000}"/>
    <cellStyle name="Normal 2 5 2 3 3 3 5" xfId="6009" xr:uid="{00000000-0005-0000-0000-0000D5440000}"/>
    <cellStyle name="Normal 2 5 2 3 3 3 5 2" xfId="14836" xr:uid="{00000000-0005-0000-0000-0000D6440000}"/>
    <cellStyle name="Normal 2 5 2 3 3 3 5 2 2" xfId="40391" xr:uid="{00000000-0005-0000-0000-0000D7440000}"/>
    <cellStyle name="Normal 2 5 2 3 3 3 5 3" xfId="25087" xr:uid="{00000000-0005-0000-0000-0000D8440000}"/>
    <cellStyle name="Normal 2 5 2 3 3 3 5 3 2" xfId="50640" xr:uid="{00000000-0005-0000-0000-0000D9440000}"/>
    <cellStyle name="Normal 2 5 2 3 3 3 5 4" xfId="31570" xr:uid="{00000000-0005-0000-0000-0000DA440000}"/>
    <cellStyle name="Normal 2 5 2 3 3 3 6" xfId="7453" xr:uid="{00000000-0005-0000-0000-0000DB440000}"/>
    <cellStyle name="Normal 2 5 2 3 3 3 6 2" xfId="19822" xr:uid="{00000000-0005-0000-0000-0000DC440000}"/>
    <cellStyle name="Normal 2 5 2 3 3 3 6 2 2" xfId="45375" xr:uid="{00000000-0005-0000-0000-0000DD440000}"/>
    <cellStyle name="Normal 2 5 2 3 3 3 6 3" xfId="33010" xr:uid="{00000000-0005-0000-0000-0000DE440000}"/>
    <cellStyle name="Normal 2 5 2 3 3 3 7" xfId="16333" xr:uid="{00000000-0005-0000-0000-0000DF440000}"/>
    <cellStyle name="Normal 2 5 2 3 3 3 7 2" xfId="41886" xr:uid="{00000000-0005-0000-0000-0000E0440000}"/>
    <cellStyle name="Normal 2 5 2 3 3 3 8" xfId="26305" xr:uid="{00000000-0005-0000-0000-0000E1440000}"/>
    <cellStyle name="Normal 2 5 2 3 3 4" xfId="738" xr:uid="{00000000-0005-0000-0000-0000E2440000}"/>
    <cellStyle name="Normal 2 5 2 3 3 4 2" xfId="3224" xr:uid="{00000000-0005-0000-0000-0000E3440000}"/>
    <cellStyle name="Normal 2 5 2 3 3 4 2 2" xfId="12366" xr:uid="{00000000-0005-0000-0000-0000E4440000}"/>
    <cellStyle name="Normal 2 5 2 3 3 4 2 2 2" xfId="22585" xr:uid="{00000000-0005-0000-0000-0000E5440000}"/>
    <cellStyle name="Normal 2 5 2 3 3 4 2 2 2 2" xfId="48138" xr:uid="{00000000-0005-0000-0000-0000E6440000}"/>
    <cellStyle name="Normal 2 5 2 3 3 4 2 2 3" xfId="37921" xr:uid="{00000000-0005-0000-0000-0000E7440000}"/>
    <cellStyle name="Normal 2 5 2 3 3 4 2 3" xfId="8788" xr:uid="{00000000-0005-0000-0000-0000E8440000}"/>
    <cellStyle name="Normal 2 5 2 3 3 4 2 3 2" xfId="34345" xr:uid="{00000000-0005-0000-0000-0000E9440000}"/>
    <cellStyle name="Normal 2 5 2 3 3 4 2 4" xfId="17578" xr:uid="{00000000-0005-0000-0000-0000EA440000}"/>
    <cellStyle name="Normal 2 5 2 3 3 4 2 4 2" xfId="43131" xr:uid="{00000000-0005-0000-0000-0000EB440000}"/>
    <cellStyle name="Normal 2 5 2 3 3 4 2 5" xfId="29068" xr:uid="{00000000-0005-0000-0000-0000EC440000}"/>
    <cellStyle name="Normal 2 5 2 3 3 4 3" xfId="4902" xr:uid="{00000000-0005-0000-0000-0000ED440000}"/>
    <cellStyle name="Normal 2 5 2 3 3 4 3 2" xfId="13739" xr:uid="{00000000-0005-0000-0000-0000EE440000}"/>
    <cellStyle name="Normal 2 5 2 3 3 4 3 2 2" xfId="23990" xr:uid="{00000000-0005-0000-0000-0000EF440000}"/>
    <cellStyle name="Normal 2 5 2 3 3 4 3 2 2 2" xfId="49543" xr:uid="{00000000-0005-0000-0000-0000F0440000}"/>
    <cellStyle name="Normal 2 5 2 3 3 4 3 2 3" xfId="39294" xr:uid="{00000000-0005-0000-0000-0000F1440000}"/>
    <cellStyle name="Normal 2 5 2 3 3 4 3 3" xfId="10160" xr:uid="{00000000-0005-0000-0000-0000F2440000}"/>
    <cellStyle name="Normal 2 5 2 3 3 4 3 3 2" xfId="35717" xr:uid="{00000000-0005-0000-0000-0000F3440000}"/>
    <cellStyle name="Normal 2 5 2 3 3 4 3 4" xfId="18983" xr:uid="{00000000-0005-0000-0000-0000F4440000}"/>
    <cellStyle name="Normal 2 5 2 3 3 4 3 4 2" xfId="44536" xr:uid="{00000000-0005-0000-0000-0000F5440000}"/>
    <cellStyle name="Normal 2 5 2 3 3 4 3 5" xfId="30473" xr:uid="{00000000-0005-0000-0000-0000F6440000}"/>
    <cellStyle name="Normal 2 5 2 3 3 4 4" xfId="2333" xr:uid="{00000000-0005-0000-0000-0000F7440000}"/>
    <cellStyle name="Normal 2 5 2 3 3 4 4 2" xfId="11698" xr:uid="{00000000-0005-0000-0000-0000F8440000}"/>
    <cellStyle name="Normal 2 5 2 3 3 4 4 2 2" xfId="37253" xr:uid="{00000000-0005-0000-0000-0000F9440000}"/>
    <cellStyle name="Normal 2 5 2 3 3 4 4 3" xfId="21702" xr:uid="{00000000-0005-0000-0000-0000FA440000}"/>
    <cellStyle name="Normal 2 5 2 3 3 4 4 3 2" xfId="47255" xr:uid="{00000000-0005-0000-0000-0000FB440000}"/>
    <cellStyle name="Normal 2 5 2 3 3 4 4 4" xfId="28185" xr:uid="{00000000-0005-0000-0000-0000FC440000}"/>
    <cellStyle name="Normal 2 5 2 3 3 4 5" xfId="6357" xr:uid="{00000000-0005-0000-0000-0000FD440000}"/>
    <cellStyle name="Normal 2 5 2 3 3 4 5 2" xfId="15184" xr:uid="{00000000-0005-0000-0000-0000FE440000}"/>
    <cellStyle name="Normal 2 5 2 3 3 4 5 2 2" xfId="40739" xr:uid="{00000000-0005-0000-0000-0000FF440000}"/>
    <cellStyle name="Normal 2 5 2 3 3 4 5 3" xfId="25435" xr:uid="{00000000-0005-0000-0000-000000450000}"/>
    <cellStyle name="Normal 2 5 2 3 3 4 5 3 2" xfId="50988" xr:uid="{00000000-0005-0000-0000-000001450000}"/>
    <cellStyle name="Normal 2 5 2 3 3 4 5 4" xfId="31918" xr:uid="{00000000-0005-0000-0000-000002450000}"/>
    <cellStyle name="Normal 2 5 2 3 3 4 6" xfId="7803" xr:uid="{00000000-0005-0000-0000-000003450000}"/>
    <cellStyle name="Normal 2 5 2 3 3 4 6 2" xfId="20184" xr:uid="{00000000-0005-0000-0000-000004450000}"/>
    <cellStyle name="Normal 2 5 2 3 3 4 6 2 2" xfId="45737" xr:uid="{00000000-0005-0000-0000-000005450000}"/>
    <cellStyle name="Normal 2 5 2 3 3 4 6 3" xfId="33360" xr:uid="{00000000-0005-0000-0000-000006450000}"/>
    <cellStyle name="Normal 2 5 2 3 3 4 7" xfId="16695" xr:uid="{00000000-0005-0000-0000-000007450000}"/>
    <cellStyle name="Normal 2 5 2 3 3 4 7 2" xfId="42248" xr:uid="{00000000-0005-0000-0000-000008450000}"/>
    <cellStyle name="Normal 2 5 2 3 3 4 8" xfId="26667" xr:uid="{00000000-0005-0000-0000-000009450000}"/>
    <cellStyle name="Normal 2 5 2 3 3 5" xfId="1148" xr:uid="{00000000-0005-0000-0000-00000A450000}"/>
    <cellStyle name="Normal 2 5 2 3 3 5 2" xfId="3577" xr:uid="{00000000-0005-0000-0000-00000B450000}"/>
    <cellStyle name="Normal 2 5 2 3 3 5 2 2" xfId="12713" xr:uid="{00000000-0005-0000-0000-00000C450000}"/>
    <cellStyle name="Normal 2 5 2 3 3 5 2 2 2" xfId="22932" xr:uid="{00000000-0005-0000-0000-00000D450000}"/>
    <cellStyle name="Normal 2 5 2 3 3 5 2 2 2 2" xfId="48485" xr:uid="{00000000-0005-0000-0000-00000E450000}"/>
    <cellStyle name="Normal 2 5 2 3 3 5 2 2 3" xfId="38268" xr:uid="{00000000-0005-0000-0000-00000F450000}"/>
    <cellStyle name="Normal 2 5 2 3 3 5 2 3" xfId="9134" xr:uid="{00000000-0005-0000-0000-000010450000}"/>
    <cellStyle name="Normal 2 5 2 3 3 5 2 3 2" xfId="34691" xr:uid="{00000000-0005-0000-0000-000011450000}"/>
    <cellStyle name="Normal 2 5 2 3 3 5 2 4" xfId="17925" xr:uid="{00000000-0005-0000-0000-000012450000}"/>
    <cellStyle name="Normal 2 5 2 3 3 5 2 4 2" xfId="43478" xr:uid="{00000000-0005-0000-0000-000013450000}"/>
    <cellStyle name="Normal 2 5 2 3 3 5 2 5" xfId="29415" xr:uid="{00000000-0005-0000-0000-000014450000}"/>
    <cellStyle name="Normal 2 5 2 3 3 5 3" xfId="5240" xr:uid="{00000000-0005-0000-0000-000015450000}"/>
    <cellStyle name="Normal 2 5 2 3 3 5 3 2" xfId="14077" xr:uid="{00000000-0005-0000-0000-000016450000}"/>
    <cellStyle name="Normal 2 5 2 3 3 5 3 2 2" xfId="24328" xr:uid="{00000000-0005-0000-0000-000017450000}"/>
    <cellStyle name="Normal 2 5 2 3 3 5 3 2 2 2" xfId="49881" xr:uid="{00000000-0005-0000-0000-000018450000}"/>
    <cellStyle name="Normal 2 5 2 3 3 5 3 2 3" xfId="39632" xr:uid="{00000000-0005-0000-0000-000019450000}"/>
    <cellStyle name="Normal 2 5 2 3 3 5 3 3" xfId="10498" xr:uid="{00000000-0005-0000-0000-00001A450000}"/>
    <cellStyle name="Normal 2 5 2 3 3 5 3 3 2" xfId="36055" xr:uid="{00000000-0005-0000-0000-00001B450000}"/>
    <cellStyle name="Normal 2 5 2 3 3 5 3 4" xfId="19321" xr:uid="{00000000-0005-0000-0000-00001C450000}"/>
    <cellStyle name="Normal 2 5 2 3 3 5 3 4 2" xfId="44874" xr:uid="{00000000-0005-0000-0000-00001D450000}"/>
    <cellStyle name="Normal 2 5 2 3 3 5 3 5" xfId="30811" xr:uid="{00000000-0005-0000-0000-00001E450000}"/>
    <cellStyle name="Normal 2 5 2 3 3 5 4" xfId="1856" xr:uid="{00000000-0005-0000-0000-00001F450000}"/>
    <cellStyle name="Normal 2 5 2 3 3 5 4 2" xfId="11224" xr:uid="{00000000-0005-0000-0000-000020450000}"/>
    <cellStyle name="Normal 2 5 2 3 3 5 4 2 2" xfId="36779" xr:uid="{00000000-0005-0000-0000-000021450000}"/>
    <cellStyle name="Normal 2 5 2 3 3 5 4 3" xfId="21228" xr:uid="{00000000-0005-0000-0000-000022450000}"/>
    <cellStyle name="Normal 2 5 2 3 3 5 4 3 2" xfId="46781" xr:uid="{00000000-0005-0000-0000-000023450000}"/>
    <cellStyle name="Normal 2 5 2 3 3 5 4 4" xfId="27711" xr:uid="{00000000-0005-0000-0000-000024450000}"/>
    <cellStyle name="Normal 2 5 2 3 3 5 5" xfId="6695" xr:uid="{00000000-0005-0000-0000-000025450000}"/>
    <cellStyle name="Normal 2 5 2 3 3 5 5 2" xfId="15522" xr:uid="{00000000-0005-0000-0000-000026450000}"/>
    <cellStyle name="Normal 2 5 2 3 3 5 5 2 2" xfId="41077" xr:uid="{00000000-0005-0000-0000-000027450000}"/>
    <cellStyle name="Normal 2 5 2 3 3 5 5 3" xfId="25773" xr:uid="{00000000-0005-0000-0000-000028450000}"/>
    <cellStyle name="Normal 2 5 2 3 3 5 5 3 2" xfId="51326" xr:uid="{00000000-0005-0000-0000-000029450000}"/>
    <cellStyle name="Normal 2 5 2 3 3 5 5 4" xfId="32256" xr:uid="{00000000-0005-0000-0000-00002A450000}"/>
    <cellStyle name="Normal 2 5 2 3 3 5 6" xfId="8141" xr:uid="{00000000-0005-0000-0000-00002B450000}"/>
    <cellStyle name="Normal 2 5 2 3 3 5 6 2" xfId="20531" xr:uid="{00000000-0005-0000-0000-00002C450000}"/>
    <cellStyle name="Normal 2 5 2 3 3 5 6 2 2" xfId="46084" xr:uid="{00000000-0005-0000-0000-00002D450000}"/>
    <cellStyle name="Normal 2 5 2 3 3 5 6 3" xfId="33698" xr:uid="{00000000-0005-0000-0000-00002E450000}"/>
    <cellStyle name="Normal 2 5 2 3 3 5 7" xfId="16221" xr:uid="{00000000-0005-0000-0000-00002F450000}"/>
    <cellStyle name="Normal 2 5 2 3 3 5 7 2" xfId="41774" xr:uid="{00000000-0005-0000-0000-000030450000}"/>
    <cellStyle name="Normal 2 5 2 3 3 5 8" xfId="27014" xr:uid="{00000000-0005-0000-0000-000031450000}"/>
    <cellStyle name="Normal 2 5 2 3 3 6" xfId="2750" xr:uid="{00000000-0005-0000-0000-000032450000}"/>
    <cellStyle name="Normal 2 5 2 3 3 6 2" xfId="12067" xr:uid="{00000000-0005-0000-0000-000033450000}"/>
    <cellStyle name="Normal 2 5 2 3 3 6 2 2" xfId="22111" xr:uid="{00000000-0005-0000-0000-000034450000}"/>
    <cellStyle name="Normal 2 5 2 3 3 6 2 2 2" xfId="47664" xr:uid="{00000000-0005-0000-0000-000035450000}"/>
    <cellStyle name="Normal 2 5 2 3 3 6 2 3" xfId="37622" xr:uid="{00000000-0005-0000-0000-000036450000}"/>
    <cellStyle name="Normal 2 5 2 3 3 6 3" xfId="8482" xr:uid="{00000000-0005-0000-0000-000037450000}"/>
    <cellStyle name="Normal 2 5 2 3 3 6 3 2" xfId="34039" xr:uid="{00000000-0005-0000-0000-000038450000}"/>
    <cellStyle name="Normal 2 5 2 3 3 6 4" xfId="17104" xr:uid="{00000000-0005-0000-0000-000039450000}"/>
    <cellStyle name="Normal 2 5 2 3 3 6 4 2" xfId="42657" xr:uid="{00000000-0005-0000-0000-00003A450000}"/>
    <cellStyle name="Normal 2 5 2 3 3 6 5" xfId="28594" xr:uid="{00000000-0005-0000-0000-00003B450000}"/>
    <cellStyle name="Normal 2 5 2 3 3 7" xfId="4196" xr:uid="{00000000-0005-0000-0000-00003C450000}"/>
    <cellStyle name="Normal 2 5 2 3 3 7 2" xfId="13034" xr:uid="{00000000-0005-0000-0000-00003D450000}"/>
    <cellStyle name="Normal 2 5 2 3 3 7 2 2" xfId="23285" xr:uid="{00000000-0005-0000-0000-00003E450000}"/>
    <cellStyle name="Normal 2 5 2 3 3 7 2 2 2" xfId="48838" xr:uid="{00000000-0005-0000-0000-00003F450000}"/>
    <cellStyle name="Normal 2 5 2 3 3 7 2 3" xfId="38589" xr:uid="{00000000-0005-0000-0000-000040450000}"/>
    <cellStyle name="Normal 2 5 2 3 3 7 3" xfId="9455" xr:uid="{00000000-0005-0000-0000-000041450000}"/>
    <cellStyle name="Normal 2 5 2 3 3 7 3 2" xfId="35012" xr:uid="{00000000-0005-0000-0000-000042450000}"/>
    <cellStyle name="Normal 2 5 2 3 3 7 4" xfId="18278" xr:uid="{00000000-0005-0000-0000-000043450000}"/>
    <cellStyle name="Normal 2 5 2 3 3 7 4 2" xfId="43831" xr:uid="{00000000-0005-0000-0000-000044450000}"/>
    <cellStyle name="Normal 2 5 2 3 3 7 5" xfId="29768" xr:uid="{00000000-0005-0000-0000-000045450000}"/>
    <cellStyle name="Normal 2 5 2 3 3 8" xfId="1468" xr:uid="{00000000-0005-0000-0000-000046450000}"/>
    <cellStyle name="Normal 2 5 2 3 3 8 2" xfId="10845" xr:uid="{00000000-0005-0000-0000-000047450000}"/>
    <cellStyle name="Normal 2 5 2 3 3 8 2 2" xfId="36400" xr:uid="{00000000-0005-0000-0000-000048450000}"/>
    <cellStyle name="Normal 2 5 2 3 3 8 3" xfId="20849" xr:uid="{00000000-0005-0000-0000-000049450000}"/>
    <cellStyle name="Normal 2 5 2 3 3 8 3 2" xfId="46402" xr:uid="{00000000-0005-0000-0000-00004A450000}"/>
    <cellStyle name="Normal 2 5 2 3 3 8 4" xfId="27332" xr:uid="{00000000-0005-0000-0000-00004B450000}"/>
    <cellStyle name="Normal 2 5 2 3 3 9" xfId="5652" xr:uid="{00000000-0005-0000-0000-00004C450000}"/>
    <cellStyle name="Normal 2 5 2 3 3 9 2" xfId="14479" xr:uid="{00000000-0005-0000-0000-00004D450000}"/>
    <cellStyle name="Normal 2 5 2 3 3 9 2 2" xfId="40034" xr:uid="{00000000-0005-0000-0000-00004E450000}"/>
    <cellStyle name="Normal 2 5 2 3 3 9 3" xfId="24730" xr:uid="{00000000-0005-0000-0000-00004F450000}"/>
    <cellStyle name="Normal 2 5 2 3 3 9 3 2" xfId="50283" xr:uid="{00000000-0005-0000-0000-000050450000}"/>
    <cellStyle name="Normal 2 5 2 3 3 9 4" xfId="31213" xr:uid="{00000000-0005-0000-0000-000051450000}"/>
    <cellStyle name="Normal 2 5 2 3 3_Degree data" xfId="3461" xr:uid="{00000000-0005-0000-0000-000052450000}"/>
    <cellStyle name="Normal 2 5 2 3 4" xfId="476" xr:uid="{00000000-0005-0000-0000-000053450000}"/>
    <cellStyle name="Normal 2 5 2 3 4 10" xfId="26405" xr:uid="{00000000-0005-0000-0000-000054450000}"/>
    <cellStyle name="Normal 2 5 2 3 4 2" xfId="740" xr:uid="{00000000-0005-0000-0000-000055450000}"/>
    <cellStyle name="Normal 2 5 2 3 4 2 2" xfId="3226" xr:uid="{00000000-0005-0000-0000-000056450000}"/>
    <cellStyle name="Normal 2 5 2 3 4 2 2 2" xfId="12368" xr:uid="{00000000-0005-0000-0000-000057450000}"/>
    <cellStyle name="Normal 2 5 2 3 4 2 2 2 2" xfId="22587" xr:uid="{00000000-0005-0000-0000-000058450000}"/>
    <cellStyle name="Normal 2 5 2 3 4 2 2 2 2 2" xfId="48140" xr:uid="{00000000-0005-0000-0000-000059450000}"/>
    <cellStyle name="Normal 2 5 2 3 4 2 2 2 3" xfId="37923" xr:uid="{00000000-0005-0000-0000-00005A450000}"/>
    <cellStyle name="Normal 2 5 2 3 4 2 2 3" xfId="8790" xr:uid="{00000000-0005-0000-0000-00005B450000}"/>
    <cellStyle name="Normal 2 5 2 3 4 2 2 3 2" xfId="34347" xr:uid="{00000000-0005-0000-0000-00005C450000}"/>
    <cellStyle name="Normal 2 5 2 3 4 2 2 4" xfId="17580" xr:uid="{00000000-0005-0000-0000-00005D450000}"/>
    <cellStyle name="Normal 2 5 2 3 4 2 2 4 2" xfId="43133" xr:uid="{00000000-0005-0000-0000-00005E450000}"/>
    <cellStyle name="Normal 2 5 2 3 4 2 2 5" xfId="29070" xr:uid="{00000000-0005-0000-0000-00005F450000}"/>
    <cellStyle name="Normal 2 5 2 3 4 2 3" xfId="4555" xr:uid="{00000000-0005-0000-0000-000060450000}"/>
    <cellStyle name="Normal 2 5 2 3 4 2 3 2" xfId="13393" xr:uid="{00000000-0005-0000-0000-000061450000}"/>
    <cellStyle name="Normal 2 5 2 3 4 2 3 2 2" xfId="23644" xr:uid="{00000000-0005-0000-0000-000062450000}"/>
    <cellStyle name="Normal 2 5 2 3 4 2 3 2 2 2" xfId="49197" xr:uid="{00000000-0005-0000-0000-000063450000}"/>
    <cellStyle name="Normal 2 5 2 3 4 2 3 2 3" xfId="38948" xr:uid="{00000000-0005-0000-0000-000064450000}"/>
    <cellStyle name="Normal 2 5 2 3 4 2 3 3" xfId="9814" xr:uid="{00000000-0005-0000-0000-000065450000}"/>
    <cellStyle name="Normal 2 5 2 3 4 2 3 3 2" xfId="35371" xr:uid="{00000000-0005-0000-0000-000066450000}"/>
    <cellStyle name="Normal 2 5 2 3 4 2 3 4" xfId="18637" xr:uid="{00000000-0005-0000-0000-000067450000}"/>
    <cellStyle name="Normal 2 5 2 3 4 2 3 4 2" xfId="44190" xr:uid="{00000000-0005-0000-0000-000068450000}"/>
    <cellStyle name="Normal 2 5 2 3 4 2 3 5" xfId="30127" xr:uid="{00000000-0005-0000-0000-000069450000}"/>
    <cellStyle name="Normal 2 5 2 3 4 2 4" xfId="2335" xr:uid="{00000000-0005-0000-0000-00006A450000}"/>
    <cellStyle name="Normal 2 5 2 3 4 2 4 2" xfId="11700" xr:uid="{00000000-0005-0000-0000-00006B450000}"/>
    <cellStyle name="Normal 2 5 2 3 4 2 4 2 2" xfId="37255" xr:uid="{00000000-0005-0000-0000-00006C450000}"/>
    <cellStyle name="Normal 2 5 2 3 4 2 4 3" xfId="21704" xr:uid="{00000000-0005-0000-0000-00006D450000}"/>
    <cellStyle name="Normal 2 5 2 3 4 2 4 3 2" xfId="47257" xr:uid="{00000000-0005-0000-0000-00006E450000}"/>
    <cellStyle name="Normal 2 5 2 3 4 2 4 4" xfId="28187" xr:uid="{00000000-0005-0000-0000-00006F450000}"/>
    <cellStyle name="Normal 2 5 2 3 4 2 5" xfId="6011" xr:uid="{00000000-0005-0000-0000-000070450000}"/>
    <cellStyle name="Normal 2 5 2 3 4 2 5 2" xfId="14838" xr:uid="{00000000-0005-0000-0000-000071450000}"/>
    <cellStyle name="Normal 2 5 2 3 4 2 5 2 2" xfId="40393" xr:uid="{00000000-0005-0000-0000-000072450000}"/>
    <cellStyle name="Normal 2 5 2 3 4 2 5 3" xfId="25089" xr:uid="{00000000-0005-0000-0000-000073450000}"/>
    <cellStyle name="Normal 2 5 2 3 4 2 5 3 2" xfId="50642" xr:uid="{00000000-0005-0000-0000-000074450000}"/>
    <cellStyle name="Normal 2 5 2 3 4 2 5 4" xfId="31572" xr:uid="{00000000-0005-0000-0000-000075450000}"/>
    <cellStyle name="Normal 2 5 2 3 4 2 6" xfId="7455" xr:uid="{00000000-0005-0000-0000-000076450000}"/>
    <cellStyle name="Normal 2 5 2 3 4 2 6 2" xfId="20186" xr:uid="{00000000-0005-0000-0000-000077450000}"/>
    <cellStyle name="Normal 2 5 2 3 4 2 6 2 2" xfId="45739" xr:uid="{00000000-0005-0000-0000-000078450000}"/>
    <cellStyle name="Normal 2 5 2 3 4 2 6 3" xfId="33012" xr:uid="{00000000-0005-0000-0000-000079450000}"/>
    <cellStyle name="Normal 2 5 2 3 4 2 7" xfId="16697" xr:uid="{00000000-0005-0000-0000-00007A450000}"/>
    <cellStyle name="Normal 2 5 2 3 4 2 7 2" xfId="42250" xr:uid="{00000000-0005-0000-0000-00007B450000}"/>
    <cellStyle name="Normal 2 5 2 3 4 2 8" xfId="26669" xr:uid="{00000000-0005-0000-0000-00007C450000}"/>
    <cellStyle name="Normal 2 5 2 3 4 3" xfId="1248" xr:uid="{00000000-0005-0000-0000-00007D450000}"/>
    <cellStyle name="Normal 2 5 2 3 4 3 2" xfId="3677" xr:uid="{00000000-0005-0000-0000-00007E450000}"/>
    <cellStyle name="Normal 2 5 2 3 4 3 2 2" xfId="12813" xr:uid="{00000000-0005-0000-0000-00007F450000}"/>
    <cellStyle name="Normal 2 5 2 3 4 3 2 2 2" xfId="23032" xr:uid="{00000000-0005-0000-0000-000080450000}"/>
    <cellStyle name="Normal 2 5 2 3 4 3 2 2 2 2" xfId="48585" xr:uid="{00000000-0005-0000-0000-000081450000}"/>
    <cellStyle name="Normal 2 5 2 3 4 3 2 2 3" xfId="38368" xr:uid="{00000000-0005-0000-0000-000082450000}"/>
    <cellStyle name="Normal 2 5 2 3 4 3 2 3" xfId="9234" xr:uid="{00000000-0005-0000-0000-000083450000}"/>
    <cellStyle name="Normal 2 5 2 3 4 3 2 3 2" xfId="34791" xr:uid="{00000000-0005-0000-0000-000084450000}"/>
    <cellStyle name="Normal 2 5 2 3 4 3 2 4" xfId="18025" xr:uid="{00000000-0005-0000-0000-000085450000}"/>
    <cellStyle name="Normal 2 5 2 3 4 3 2 4 2" xfId="43578" xr:uid="{00000000-0005-0000-0000-000086450000}"/>
    <cellStyle name="Normal 2 5 2 3 4 3 2 5" xfId="29515" xr:uid="{00000000-0005-0000-0000-000087450000}"/>
    <cellStyle name="Normal 2 5 2 3 4 3 3" xfId="4904" xr:uid="{00000000-0005-0000-0000-000088450000}"/>
    <cellStyle name="Normal 2 5 2 3 4 3 3 2" xfId="13741" xr:uid="{00000000-0005-0000-0000-000089450000}"/>
    <cellStyle name="Normal 2 5 2 3 4 3 3 2 2" xfId="23992" xr:uid="{00000000-0005-0000-0000-00008A450000}"/>
    <cellStyle name="Normal 2 5 2 3 4 3 3 2 2 2" xfId="49545" xr:uid="{00000000-0005-0000-0000-00008B450000}"/>
    <cellStyle name="Normal 2 5 2 3 4 3 3 2 3" xfId="39296" xr:uid="{00000000-0005-0000-0000-00008C450000}"/>
    <cellStyle name="Normal 2 5 2 3 4 3 3 3" xfId="10162" xr:uid="{00000000-0005-0000-0000-00008D450000}"/>
    <cellStyle name="Normal 2 5 2 3 4 3 3 3 2" xfId="35719" xr:uid="{00000000-0005-0000-0000-00008E450000}"/>
    <cellStyle name="Normal 2 5 2 3 4 3 3 4" xfId="18985" xr:uid="{00000000-0005-0000-0000-00008F450000}"/>
    <cellStyle name="Normal 2 5 2 3 4 3 3 4 2" xfId="44538" xr:uid="{00000000-0005-0000-0000-000090450000}"/>
    <cellStyle name="Normal 2 5 2 3 4 3 3 5" xfId="30475" xr:uid="{00000000-0005-0000-0000-000091450000}"/>
    <cellStyle name="Normal 2 5 2 3 4 3 4" xfId="2071" xr:uid="{00000000-0005-0000-0000-000092450000}"/>
    <cellStyle name="Normal 2 5 2 3 4 3 4 2" xfId="11436" xr:uid="{00000000-0005-0000-0000-000093450000}"/>
    <cellStyle name="Normal 2 5 2 3 4 3 4 2 2" xfId="36991" xr:uid="{00000000-0005-0000-0000-000094450000}"/>
    <cellStyle name="Normal 2 5 2 3 4 3 4 3" xfId="21440" xr:uid="{00000000-0005-0000-0000-000095450000}"/>
    <cellStyle name="Normal 2 5 2 3 4 3 4 3 2" xfId="46993" xr:uid="{00000000-0005-0000-0000-000096450000}"/>
    <cellStyle name="Normal 2 5 2 3 4 3 4 4" xfId="27923" xr:uid="{00000000-0005-0000-0000-000097450000}"/>
    <cellStyle name="Normal 2 5 2 3 4 3 5" xfId="6359" xr:uid="{00000000-0005-0000-0000-000098450000}"/>
    <cellStyle name="Normal 2 5 2 3 4 3 5 2" xfId="15186" xr:uid="{00000000-0005-0000-0000-000099450000}"/>
    <cellStyle name="Normal 2 5 2 3 4 3 5 2 2" xfId="40741" xr:uid="{00000000-0005-0000-0000-00009A450000}"/>
    <cellStyle name="Normal 2 5 2 3 4 3 5 3" xfId="25437" xr:uid="{00000000-0005-0000-0000-00009B450000}"/>
    <cellStyle name="Normal 2 5 2 3 4 3 5 3 2" xfId="50990" xr:uid="{00000000-0005-0000-0000-00009C450000}"/>
    <cellStyle name="Normal 2 5 2 3 4 3 5 4" xfId="31920" xr:uid="{00000000-0005-0000-0000-00009D450000}"/>
    <cellStyle name="Normal 2 5 2 3 4 3 6" xfId="7805" xr:uid="{00000000-0005-0000-0000-00009E450000}"/>
    <cellStyle name="Normal 2 5 2 3 4 3 6 2" xfId="20631" xr:uid="{00000000-0005-0000-0000-00009F450000}"/>
    <cellStyle name="Normal 2 5 2 3 4 3 6 2 2" xfId="46184" xr:uid="{00000000-0005-0000-0000-0000A0450000}"/>
    <cellStyle name="Normal 2 5 2 3 4 3 6 3" xfId="33362" xr:uid="{00000000-0005-0000-0000-0000A1450000}"/>
    <cellStyle name="Normal 2 5 2 3 4 3 7" xfId="16433" xr:uid="{00000000-0005-0000-0000-0000A2450000}"/>
    <cellStyle name="Normal 2 5 2 3 4 3 7 2" xfId="41986" xr:uid="{00000000-0005-0000-0000-0000A3450000}"/>
    <cellStyle name="Normal 2 5 2 3 4 3 8" xfId="27114" xr:uid="{00000000-0005-0000-0000-0000A4450000}"/>
    <cellStyle name="Normal 2 5 2 3 4 4" xfId="2962" xr:uid="{00000000-0005-0000-0000-0000A5450000}"/>
    <cellStyle name="Normal 2 5 2 3 4 4 2" xfId="5340" xr:uid="{00000000-0005-0000-0000-0000A6450000}"/>
    <cellStyle name="Normal 2 5 2 3 4 4 2 2" xfId="14177" xr:uid="{00000000-0005-0000-0000-0000A7450000}"/>
    <cellStyle name="Normal 2 5 2 3 4 4 2 2 2" xfId="24428" xr:uid="{00000000-0005-0000-0000-0000A8450000}"/>
    <cellStyle name="Normal 2 5 2 3 4 4 2 2 2 2" xfId="49981" xr:uid="{00000000-0005-0000-0000-0000A9450000}"/>
    <cellStyle name="Normal 2 5 2 3 4 4 2 2 3" xfId="39732" xr:uid="{00000000-0005-0000-0000-0000AA450000}"/>
    <cellStyle name="Normal 2 5 2 3 4 4 2 3" xfId="10598" xr:uid="{00000000-0005-0000-0000-0000AB450000}"/>
    <cellStyle name="Normal 2 5 2 3 4 4 2 3 2" xfId="36155" xr:uid="{00000000-0005-0000-0000-0000AC450000}"/>
    <cellStyle name="Normal 2 5 2 3 4 4 2 4" xfId="19421" xr:uid="{00000000-0005-0000-0000-0000AD450000}"/>
    <cellStyle name="Normal 2 5 2 3 4 4 2 4 2" xfId="44974" xr:uid="{00000000-0005-0000-0000-0000AE450000}"/>
    <cellStyle name="Normal 2 5 2 3 4 4 2 5" xfId="30911" xr:uid="{00000000-0005-0000-0000-0000AF450000}"/>
    <cellStyle name="Normal 2 5 2 3 4 4 3" xfId="6795" xr:uid="{00000000-0005-0000-0000-0000B0450000}"/>
    <cellStyle name="Normal 2 5 2 3 4 4 3 2" xfId="15622" xr:uid="{00000000-0005-0000-0000-0000B1450000}"/>
    <cellStyle name="Normal 2 5 2 3 4 4 3 2 2" xfId="41177" xr:uid="{00000000-0005-0000-0000-0000B2450000}"/>
    <cellStyle name="Normal 2 5 2 3 4 4 3 3" xfId="25873" xr:uid="{00000000-0005-0000-0000-0000B3450000}"/>
    <cellStyle name="Normal 2 5 2 3 4 4 3 3 2" xfId="51426" xr:uid="{00000000-0005-0000-0000-0000B4450000}"/>
    <cellStyle name="Normal 2 5 2 3 4 4 3 4" xfId="32356" xr:uid="{00000000-0005-0000-0000-0000B5450000}"/>
    <cellStyle name="Normal 2 5 2 3 4 4 4" xfId="8241" xr:uid="{00000000-0005-0000-0000-0000B6450000}"/>
    <cellStyle name="Normal 2 5 2 3 4 4 4 2" xfId="22323" xr:uid="{00000000-0005-0000-0000-0000B7450000}"/>
    <cellStyle name="Normal 2 5 2 3 4 4 4 2 2" xfId="47876" xr:uid="{00000000-0005-0000-0000-0000B8450000}"/>
    <cellStyle name="Normal 2 5 2 3 4 4 4 3" xfId="33798" xr:uid="{00000000-0005-0000-0000-0000B9450000}"/>
    <cellStyle name="Normal 2 5 2 3 4 4 5" xfId="17316" xr:uid="{00000000-0005-0000-0000-0000BA450000}"/>
    <cellStyle name="Normal 2 5 2 3 4 4 5 2" xfId="42869" xr:uid="{00000000-0005-0000-0000-0000BB450000}"/>
    <cellStyle name="Normal 2 5 2 3 4 4 6" xfId="28806" xr:uid="{00000000-0005-0000-0000-0000BC450000}"/>
    <cellStyle name="Normal 2 5 2 3 4 5" xfId="4296" xr:uid="{00000000-0005-0000-0000-0000BD450000}"/>
    <cellStyle name="Normal 2 5 2 3 4 5 2" xfId="13134" xr:uid="{00000000-0005-0000-0000-0000BE450000}"/>
    <cellStyle name="Normal 2 5 2 3 4 5 2 2" xfId="23385" xr:uid="{00000000-0005-0000-0000-0000BF450000}"/>
    <cellStyle name="Normal 2 5 2 3 4 5 2 2 2" xfId="48938" xr:uid="{00000000-0005-0000-0000-0000C0450000}"/>
    <cellStyle name="Normal 2 5 2 3 4 5 2 3" xfId="38689" xr:uid="{00000000-0005-0000-0000-0000C1450000}"/>
    <cellStyle name="Normal 2 5 2 3 4 5 3" xfId="9555" xr:uid="{00000000-0005-0000-0000-0000C2450000}"/>
    <cellStyle name="Normal 2 5 2 3 4 5 3 2" xfId="35112" xr:uid="{00000000-0005-0000-0000-0000C3450000}"/>
    <cellStyle name="Normal 2 5 2 3 4 5 4" xfId="18378" xr:uid="{00000000-0005-0000-0000-0000C4450000}"/>
    <cellStyle name="Normal 2 5 2 3 4 5 4 2" xfId="43931" xr:uid="{00000000-0005-0000-0000-0000C5450000}"/>
    <cellStyle name="Normal 2 5 2 3 4 5 5" xfId="29868" xr:uid="{00000000-0005-0000-0000-0000C6450000}"/>
    <cellStyle name="Normal 2 5 2 3 4 6" xfId="1568" xr:uid="{00000000-0005-0000-0000-0000C7450000}"/>
    <cellStyle name="Normal 2 5 2 3 4 6 2" xfId="10945" xr:uid="{00000000-0005-0000-0000-0000C8450000}"/>
    <cellStyle name="Normal 2 5 2 3 4 6 2 2" xfId="36500" xr:uid="{00000000-0005-0000-0000-0000C9450000}"/>
    <cellStyle name="Normal 2 5 2 3 4 6 3" xfId="20949" xr:uid="{00000000-0005-0000-0000-0000CA450000}"/>
    <cellStyle name="Normal 2 5 2 3 4 6 3 2" xfId="46502" xr:uid="{00000000-0005-0000-0000-0000CB450000}"/>
    <cellStyle name="Normal 2 5 2 3 4 6 4" xfId="27432" xr:uid="{00000000-0005-0000-0000-0000CC450000}"/>
    <cellStyle name="Normal 2 5 2 3 4 7" xfId="5752" xr:uid="{00000000-0005-0000-0000-0000CD450000}"/>
    <cellStyle name="Normal 2 5 2 3 4 7 2" xfId="14579" xr:uid="{00000000-0005-0000-0000-0000CE450000}"/>
    <cellStyle name="Normal 2 5 2 3 4 7 2 2" xfId="40134" xr:uid="{00000000-0005-0000-0000-0000CF450000}"/>
    <cellStyle name="Normal 2 5 2 3 4 7 3" xfId="24830" xr:uid="{00000000-0005-0000-0000-0000D0450000}"/>
    <cellStyle name="Normal 2 5 2 3 4 7 3 2" xfId="50383" xr:uid="{00000000-0005-0000-0000-0000D1450000}"/>
    <cellStyle name="Normal 2 5 2 3 4 7 4" xfId="31313" xr:uid="{00000000-0005-0000-0000-0000D2450000}"/>
    <cellStyle name="Normal 2 5 2 3 4 8" xfId="7196" xr:uid="{00000000-0005-0000-0000-0000D3450000}"/>
    <cellStyle name="Normal 2 5 2 3 4 8 2" xfId="19922" xr:uid="{00000000-0005-0000-0000-0000D4450000}"/>
    <cellStyle name="Normal 2 5 2 3 4 8 2 2" xfId="45475" xr:uid="{00000000-0005-0000-0000-0000D5450000}"/>
    <cellStyle name="Normal 2 5 2 3 4 8 3" xfId="32753" xr:uid="{00000000-0005-0000-0000-0000D6450000}"/>
    <cellStyle name="Normal 2 5 2 3 4 9" xfId="15942" xr:uid="{00000000-0005-0000-0000-0000D7450000}"/>
    <cellStyle name="Normal 2 5 2 3 4 9 2" xfId="41495" xr:uid="{00000000-0005-0000-0000-0000D8450000}"/>
    <cellStyle name="Normal 2 5 2 3 4_Degree data" xfId="3908" xr:uid="{00000000-0005-0000-0000-0000D9450000}"/>
    <cellStyle name="Normal 2 5 2 3 5" xfId="317" xr:uid="{00000000-0005-0000-0000-0000DA450000}"/>
    <cellStyle name="Normal 2 5 2 3 5 2" xfId="2803" xr:uid="{00000000-0005-0000-0000-0000DB450000}"/>
    <cellStyle name="Normal 2 5 2 3 5 2 2" xfId="12107" xr:uid="{00000000-0005-0000-0000-0000DC450000}"/>
    <cellStyle name="Normal 2 5 2 3 5 2 2 2" xfId="22164" xr:uid="{00000000-0005-0000-0000-0000DD450000}"/>
    <cellStyle name="Normal 2 5 2 3 5 2 2 2 2" xfId="47717" xr:uid="{00000000-0005-0000-0000-0000DE450000}"/>
    <cellStyle name="Normal 2 5 2 3 5 2 2 3" xfId="37662" xr:uid="{00000000-0005-0000-0000-0000DF450000}"/>
    <cellStyle name="Normal 2 5 2 3 5 2 3" xfId="8405" xr:uid="{00000000-0005-0000-0000-0000E0450000}"/>
    <cellStyle name="Normal 2 5 2 3 5 2 3 2" xfId="33962" xr:uid="{00000000-0005-0000-0000-0000E1450000}"/>
    <cellStyle name="Normal 2 5 2 3 5 2 4" xfId="17157" xr:uid="{00000000-0005-0000-0000-0000E2450000}"/>
    <cellStyle name="Normal 2 5 2 3 5 2 4 2" xfId="42710" xr:uid="{00000000-0005-0000-0000-0000E3450000}"/>
    <cellStyle name="Normal 2 5 2 3 5 2 5" xfId="28647" xr:uid="{00000000-0005-0000-0000-0000E4450000}"/>
    <cellStyle name="Normal 2 5 2 3 5 3" xfId="4550" xr:uid="{00000000-0005-0000-0000-0000E5450000}"/>
    <cellStyle name="Normal 2 5 2 3 5 3 2" xfId="13388" xr:uid="{00000000-0005-0000-0000-0000E6450000}"/>
    <cellStyle name="Normal 2 5 2 3 5 3 2 2" xfId="23639" xr:uid="{00000000-0005-0000-0000-0000E7450000}"/>
    <cellStyle name="Normal 2 5 2 3 5 3 2 2 2" xfId="49192" xr:uid="{00000000-0005-0000-0000-0000E8450000}"/>
    <cellStyle name="Normal 2 5 2 3 5 3 2 3" xfId="38943" xr:uid="{00000000-0005-0000-0000-0000E9450000}"/>
    <cellStyle name="Normal 2 5 2 3 5 3 3" xfId="9809" xr:uid="{00000000-0005-0000-0000-0000EA450000}"/>
    <cellStyle name="Normal 2 5 2 3 5 3 3 2" xfId="35366" xr:uid="{00000000-0005-0000-0000-0000EB450000}"/>
    <cellStyle name="Normal 2 5 2 3 5 3 4" xfId="18632" xr:uid="{00000000-0005-0000-0000-0000EC450000}"/>
    <cellStyle name="Normal 2 5 2 3 5 3 4 2" xfId="44185" xr:uid="{00000000-0005-0000-0000-0000ED450000}"/>
    <cellStyle name="Normal 2 5 2 3 5 3 5" xfId="30122" xr:uid="{00000000-0005-0000-0000-0000EE450000}"/>
    <cellStyle name="Normal 2 5 2 3 5 4" xfId="1912" xr:uid="{00000000-0005-0000-0000-0000EF450000}"/>
    <cellStyle name="Normal 2 5 2 3 5 4 2" xfId="11277" xr:uid="{00000000-0005-0000-0000-0000F0450000}"/>
    <cellStyle name="Normal 2 5 2 3 5 4 2 2" xfId="36832" xr:uid="{00000000-0005-0000-0000-0000F1450000}"/>
    <cellStyle name="Normal 2 5 2 3 5 4 3" xfId="21281" xr:uid="{00000000-0005-0000-0000-0000F2450000}"/>
    <cellStyle name="Normal 2 5 2 3 5 4 3 2" xfId="46834" xr:uid="{00000000-0005-0000-0000-0000F3450000}"/>
    <cellStyle name="Normal 2 5 2 3 5 4 4" xfId="27764" xr:uid="{00000000-0005-0000-0000-0000F4450000}"/>
    <cellStyle name="Normal 2 5 2 3 5 5" xfId="6006" xr:uid="{00000000-0005-0000-0000-0000F5450000}"/>
    <cellStyle name="Normal 2 5 2 3 5 5 2" xfId="14833" xr:uid="{00000000-0005-0000-0000-0000F6450000}"/>
    <cellStyle name="Normal 2 5 2 3 5 5 2 2" xfId="40388" xr:uid="{00000000-0005-0000-0000-0000F7450000}"/>
    <cellStyle name="Normal 2 5 2 3 5 5 3" xfId="25084" xr:uid="{00000000-0005-0000-0000-0000F8450000}"/>
    <cellStyle name="Normal 2 5 2 3 5 5 3 2" xfId="50637" xr:uid="{00000000-0005-0000-0000-0000F9450000}"/>
    <cellStyle name="Normal 2 5 2 3 5 5 4" xfId="31567" xr:uid="{00000000-0005-0000-0000-0000FA450000}"/>
    <cellStyle name="Normal 2 5 2 3 5 6" xfId="7450" xr:uid="{00000000-0005-0000-0000-0000FB450000}"/>
    <cellStyle name="Normal 2 5 2 3 5 6 2" xfId="19763" xr:uid="{00000000-0005-0000-0000-0000FC450000}"/>
    <cellStyle name="Normal 2 5 2 3 5 6 2 2" xfId="45316" xr:uid="{00000000-0005-0000-0000-0000FD450000}"/>
    <cellStyle name="Normal 2 5 2 3 5 6 3" xfId="33007" xr:uid="{00000000-0005-0000-0000-0000FE450000}"/>
    <cellStyle name="Normal 2 5 2 3 5 7" xfId="16274" xr:uid="{00000000-0005-0000-0000-0000FF450000}"/>
    <cellStyle name="Normal 2 5 2 3 5 7 2" xfId="41827" xr:uid="{00000000-0005-0000-0000-000000460000}"/>
    <cellStyle name="Normal 2 5 2 3 5 8" xfId="26246" xr:uid="{00000000-0005-0000-0000-000001460000}"/>
    <cellStyle name="Normal 2 5 2 3 6" xfId="735" xr:uid="{00000000-0005-0000-0000-000002460000}"/>
    <cellStyle name="Normal 2 5 2 3 6 2" xfId="3221" xr:uid="{00000000-0005-0000-0000-000003460000}"/>
    <cellStyle name="Normal 2 5 2 3 6 2 2" xfId="12363" xr:uid="{00000000-0005-0000-0000-000004460000}"/>
    <cellStyle name="Normal 2 5 2 3 6 2 2 2" xfId="22582" xr:uid="{00000000-0005-0000-0000-000005460000}"/>
    <cellStyle name="Normal 2 5 2 3 6 2 2 2 2" xfId="48135" xr:uid="{00000000-0005-0000-0000-000006460000}"/>
    <cellStyle name="Normal 2 5 2 3 6 2 2 3" xfId="37918" xr:uid="{00000000-0005-0000-0000-000007460000}"/>
    <cellStyle name="Normal 2 5 2 3 6 2 3" xfId="8785" xr:uid="{00000000-0005-0000-0000-000008460000}"/>
    <cellStyle name="Normal 2 5 2 3 6 2 3 2" xfId="34342" xr:uid="{00000000-0005-0000-0000-000009460000}"/>
    <cellStyle name="Normal 2 5 2 3 6 2 4" xfId="17575" xr:uid="{00000000-0005-0000-0000-00000A460000}"/>
    <cellStyle name="Normal 2 5 2 3 6 2 4 2" xfId="43128" xr:uid="{00000000-0005-0000-0000-00000B460000}"/>
    <cellStyle name="Normal 2 5 2 3 6 2 5" xfId="29065" xr:uid="{00000000-0005-0000-0000-00000C460000}"/>
    <cellStyle name="Normal 2 5 2 3 6 3" xfId="4899" xr:uid="{00000000-0005-0000-0000-00000D460000}"/>
    <cellStyle name="Normal 2 5 2 3 6 3 2" xfId="13736" xr:uid="{00000000-0005-0000-0000-00000E460000}"/>
    <cellStyle name="Normal 2 5 2 3 6 3 2 2" xfId="23987" xr:uid="{00000000-0005-0000-0000-00000F460000}"/>
    <cellStyle name="Normal 2 5 2 3 6 3 2 2 2" xfId="49540" xr:uid="{00000000-0005-0000-0000-000010460000}"/>
    <cellStyle name="Normal 2 5 2 3 6 3 2 3" xfId="39291" xr:uid="{00000000-0005-0000-0000-000011460000}"/>
    <cellStyle name="Normal 2 5 2 3 6 3 3" xfId="10157" xr:uid="{00000000-0005-0000-0000-000012460000}"/>
    <cellStyle name="Normal 2 5 2 3 6 3 3 2" xfId="35714" xr:uid="{00000000-0005-0000-0000-000013460000}"/>
    <cellStyle name="Normal 2 5 2 3 6 3 4" xfId="18980" xr:uid="{00000000-0005-0000-0000-000014460000}"/>
    <cellStyle name="Normal 2 5 2 3 6 3 4 2" xfId="44533" xr:uid="{00000000-0005-0000-0000-000015460000}"/>
    <cellStyle name="Normal 2 5 2 3 6 3 5" xfId="30470" xr:uid="{00000000-0005-0000-0000-000016460000}"/>
    <cellStyle name="Normal 2 5 2 3 6 4" xfId="2330" xr:uid="{00000000-0005-0000-0000-000017460000}"/>
    <cellStyle name="Normal 2 5 2 3 6 4 2" xfId="11695" xr:uid="{00000000-0005-0000-0000-000018460000}"/>
    <cellStyle name="Normal 2 5 2 3 6 4 2 2" xfId="37250" xr:uid="{00000000-0005-0000-0000-000019460000}"/>
    <cellStyle name="Normal 2 5 2 3 6 4 3" xfId="21699" xr:uid="{00000000-0005-0000-0000-00001A460000}"/>
    <cellStyle name="Normal 2 5 2 3 6 4 3 2" xfId="47252" xr:uid="{00000000-0005-0000-0000-00001B460000}"/>
    <cellStyle name="Normal 2 5 2 3 6 4 4" xfId="28182" xr:uid="{00000000-0005-0000-0000-00001C460000}"/>
    <cellStyle name="Normal 2 5 2 3 6 5" xfId="6354" xr:uid="{00000000-0005-0000-0000-00001D460000}"/>
    <cellStyle name="Normal 2 5 2 3 6 5 2" xfId="15181" xr:uid="{00000000-0005-0000-0000-00001E460000}"/>
    <cellStyle name="Normal 2 5 2 3 6 5 2 2" xfId="40736" xr:uid="{00000000-0005-0000-0000-00001F460000}"/>
    <cellStyle name="Normal 2 5 2 3 6 5 3" xfId="25432" xr:uid="{00000000-0005-0000-0000-000020460000}"/>
    <cellStyle name="Normal 2 5 2 3 6 5 3 2" xfId="50985" xr:uid="{00000000-0005-0000-0000-000021460000}"/>
    <cellStyle name="Normal 2 5 2 3 6 5 4" xfId="31915" xr:uid="{00000000-0005-0000-0000-000022460000}"/>
    <cellStyle name="Normal 2 5 2 3 6 6" xfId="7800" xr:uid="{00000000-0005-0000-0000-000023460000}"/>
    <cellStyle name="Normal 2 5 2 3 6 6 2" xfId="20181" xr:uid="{00000000-0005-0000-0000-000024460000}"/>
    <cellStyle name="Normal 2 5 2 3 6 6 2 2" xfId="45734" xr:uid="{00000000-0005-0000-0000-000025460000}"/>
    <cellStyle name="Normal 2 5 2 3 6 6 3" xfId="33357" xr:uid="{00000000-0005-0000-0000-000026460000}"/>
    <cellStyle name="Normal 2 5 2 3 6 7" xfId="16692" xr:uid="{00000000-0005-0000-0000-000027460000}"/>
    <cellStyle name="Normal 2 5 2 3 6 7 2" xfId="42245" xr:uid="{00000000-0005-0000-0000-000028460000}"/>
    <cellStyle name="Normal 2 5 2 3 6 8" xfId="26664" xr:uid="{00000000-0005-0000-0000-000029460000}"/>
    <cellStyle name="Normal 2 5 2 3 7" xfId="1089" xr:uid="{00000000-0005-0000-0000-00002A460000}"/>
    <cellStyle name="Normal 2 5 2 3 7 2" xfId="3518" xr:uid="{00000000-0005-0000-0000-00002B460000}"/>
    <cellStyle name="Normal 2 5 2 3 7 2 2" xfId="12654" xr:uid="{00000000-0005-0000-0000-00002C460000}"/>
    <cellStyle name="Normal 2 5 2 3 7 2 2 2" xfId="22873" xr:uid="{00000000-0005-0000-0000-00002D460000}"/>
    <cellStyle name="Normal 2 5 2 3 7 2 2 2 2" xfId="48426" xr:uid="{00000000-0005-0000-0000-00002E460000}"/>
    <cellStyle name="Normal 2 5 2 3 7 2 2 3" xfId="38209" xr:uid="{00000000-0005-0000-0000-00002F460000}"/>
    <cellStyle name="Normal 2 5 2 3 7 2 3" xfId="9076" xr:uid="{00000000-0005-0000-0000-000030460000}"/>
    <cellStyle name="Normal 2 5 2 3 7 2 3 2" xfId="34633" xr:uid="{00000000-0005-0000-0000-000031460000}"/>
    <cellStyle name="Normal 2 5 2 3 7 2 4" xfId="17866" xr:uid="{00000000-0005-0000-0000-000032460000}"/>
    <cellStyle name="Normal 2 5 2 3 7 2 4 2" xfId="43419" xr:uid="{00000000-0005-0000-0000-000033460000}"/>
    <cellStyle name="Normal 2 5 2 3 7 2 5" xfId="29356" xr:uid="{00000000-0005-0000-0000-000034460000}"/>
    <cellStyle name="Normal 2 5 2 3 7 3" xfId="5181" xr:uid="{00000000-0005-0000-0000-000035460000}"/>
    <cellStyle name="Normal 2 5 2 3 7 3 2" xfId="14018" xr:uid="{00000000-0005-0000-0000-000036460000}"/>
    <cellStyle name="Normal 2 5 2 3 7 3 2 2" xfId="24269" xr:uid="{00000000-0005-0000-0000-000037460000}"/>
    <cellStyle name="Normal 2 5 2 3 7 3 2 2 2" xfId="49822" xr:uid="{00000000-0005-0000-0000-000038460000}"/>
    <cellStyle name="Normal 2 5 2 3 7 3 2 3" xfId="39573" xr:uid="{00000000-0005-0000-0000-000039460000}"/>
    <cellStyle name="Normal 2 5 2 3 7 3 3" xfId="10439" xr:uid="{00000000-0005-0000-0000-00003A460000}"/>
    <cellStyle name="Normal 2 5 2 3 7 3 3 2" xfId="35996" xr:uid="{00000000-0005-0000-0000-00003B460000}"/>
    <cellStyle name="Normal 2 5 2 3 7 3 4" xfId="19262" xr:uid="{00000000-0005-0000-0000-00003C460000}"/>
    <cellStyle name="Normal 2 5 2 3 7 3 4 2" xfId="44815" xr:uid="{00000000-0005-0000-0000-00003D460000}"/>
    <cellStyle name="Normal 2 5 2 3 7 3 5" xfId="30752" xr:uid="{00000000-0005-0000-0000-00003E460000}"/>
    <cellStyle name="Normal 2 5 2 3 7 4" xfId="1747" xr:uid="{00000000-0005-0000-0000-00003F460000}"/>
    <cellStyle name="Normal 2 5 2 3 7 4 2" xfId="11118" xr:uid="{00000000-0005-0000-0000-000040460000}"/>
    <cellStyle name="Normal 2 5 2 3 7 4 2 2" xfId="36673" xr:uid="{00000000-0005-0000-0000-000041460000}"/>
    <cellStyle name="Normal 2 5 2 3 7 4 3" xfId="21122" xr:uid="{00000000-0005-0000-0000-000042460000}"/>
    <cellStyle name="Normal 2 5 2 3 7 4 3 2" xfId="46675" xr:uid="{00000000-0005-0000-0000-000043460000}"/>
    <cellStyle name="Normal 2 5 2 3 7 4 4" xfId="27605" xr:uid="{00000000-0005-0000-0000-000044460000}"/>
    <cellStyle name="Normal 2 5 2 3 7 5" xfId="6636" xr:uid="{00000000-0005-0000-0000-000045460000}"/>
    <cellStyle name="Normal 2 5 2 3 7 5 2" xfId="15463" xr:uid="{00000000-0005-0000-0000-000046460000}"/>
    <cellStyle name="Normal 2 5 2 3 7 5 2 2" xfId="41018" xr:uid="{00000000-0005-0000-0000-000047460000}"/>
    <cellStyle name="Normal 2 5 2 3 7 5 3" xfId="25714" xr:uid="{00000000-0005-0000-0000-000048460000}"/>
    <cellStyle name="Normal 2 5 2 3 7 5 3 2" xfId="51267" xr:uid="{00000000-0005-0000-0000-000049460000}"/>
    <cellStyle name="Normal 2 5 2 3 7 5 4" xfId="32197" xr:uid="{00000000-0005-0000-0000-00004A460000}"/>
    <cellStyle name="Normal 2 5 2 3 7 6" xfId="8082" xr:uid="{00000000-0005-0000-0000-00004B460000}"/>
    <cellStyle name="Normal 2 5 2 3 7 6 2" xfId="20472" xr:uid="{00000000-0005-0000-0000-00004C460000}"/>
    <cellStyle name="Normal 2 5 2 3 7 6 2 2" xfId="46025" xr:uid="{00000000-0005-0000-0000-00004D460000}"/>
    <cellStyle name="Normal 2 5 2 3 7 6 3" xfId="33639" xr:uid="{00000000-0005-0000-0000-00004E460000}"/>
    <cellStyle name="Normal 2 5 2 3 7 7" xfId="16115" xr:uid="{00000000-0005-0000-0000-00004F460000}"/>
    <cellStyle name="Normal 2 5 2 3 7 7 2" xfId="41668" xr:uid="{00000000-0005-0000-0000-000050460000}"/>
    <cellStyle name="Normal 2 5 2 3 7 8" xfId="26955" xr:uid="{00000000-0005-0000-0000-000051460000}"/>
    <cellStyle name="Normal 2 5 2 3 8" xfId="2645" xr:uid="{00000000-0005-0000-0000-000052460000}"/>
    <cellStyle name="Normal 2 5 2 3 8 2" xfId="5593" xr:uid="{00000000-0005-0000-0000-000053460000}"/>
    <cellStyle name="Normal 2 5 2 3 8 2 2" xfId="14420" xr:uid="{00000000-0005-0000-0000-000054460000}"/>
    <cellStyle name="Normal 2 5 2 3 8 2 2 2" xfId="39975" xr:uid="{00000000-0005-0000-0000-000055460000}"/>
    <cellStyle name="Normal 2 5 2 3 8 2 3" xfId="24671" xr:uid="{00000000-0005-0000-0000-000056460000}"/>
    <cellStyle name="Normal 2 5 2 3 8 2 3 2" xfId="50224" xr:uid="{00000000-0005-0000-0000-000057460000}"/>
    <cellStyle name="Normal 2 5 2 3 8 2 4" xfId="31154" xr:uid="{00000000-0005-0000-0000-000058460000}"/>
    <cellStyle name="Normal 2 5 2 3 8 3" xfId="7037" xr:uid="{00000000-0005-0000-0000-000059460000}"/>
    <cellStyle name="Normal 2 5 2 3 8 3 2" xfId="22006" xr:uid="{00000000-0005-0000-0000-00005A460000}"/>
    <cellStyle name="Normal 2 5 2 3 8 3 2 2" xfId="47559" xr:uid="{00000000-0005-0000-0000-00005B460000}"/>
    <cellStyle name="Normal 2 5 2 3 8 3 3" xfId="32594" xr:uid="{00000000-0005-0000-0000-00005C460000}"/>
    <cellStyle name="Normal 2 5 2 3 8 4" xfId="16999" xr:uid="{00000000-0005-0000-0000-00005D460000}"/>
    <cellStyle name="Normal 2 5 2 3 8 4 2" xfId="42552" xr:uid="{00000000-0005-0000-0000-00005E460000}"/>
    <cellStyle name="Normal 2 5 2 3 8 5" xfId="28489" xr:uid="{00000000-0005-0000-0000-00005F460000}"/>
    <cellStyle name="Normal 2 5 2 3 9" xfId="4135" xr:uid="{00000000-0005-0000-0000-000060460000}"/>
    <cellStyle name="Normal 2 5 2 3 9 2" xfId="12973" xr:uid="{00000000-0005-0000-0000-000061460000}"/>
    <cellStyle name="Normal 2 5 2 3 9 2 2" xfId="23224" xr:uid="{00000000-0005-0000-0000-000062460000}"/>
    <cellStyle name="Normal 2 5 2 3 9 2 2 2" xfId="48777" xr:uid="{00000000-0005-0000-0000-000063460000}"/>
    <cellStyle name="Normal 2 5 2 3 9 2 3" xfId="38528" xr:uid="{00000000-0005-0000-0000-000064460000}"/>
    <cellStyle name="Normal 2 5 2 3 9 3" xfId="9394" xr:uid="{00000000-0005-0000-0000-000065460000}"/>
    <cellStyle name="Normal 2 5 2 3 9 3 2" xfId="34951" xr:uid="{00000000-0005-0000-0000-000066460000}"/>
    <cellStyle name="Normal 2 5 2 3 9 4" xfId="18217" xr:uid="{00000000-0005-0000-0000-000067460000}"/>
    <cellStyle name="Normal 2 5 2 3 9 4 2" xfId="43770" xr:uid="{00000000-0005-0000-0000-000068460000}"/>
    <cellStyle name="Normal 2 5 2 3 9 5" xfId="29707" xr:uid="{00000000-0005-0000-0000-000069460000}"/>
    <cellStyle name="Normal 2 5 2 3_Degree data" xfId="3818" xr:uid="{00000000-0005-0000-0000-00006A460000}"/>
    <cellStyle name="Normal 2 5 2 4" xfId="181" xr:uid="{00000000-0005-0000-0000-00006B460000}"/>
    <cellStyle name="Normal 2 5 2 4 10" xfId="7129" xr:uid="{00000000-0005-0000-0000-00006C460000}"/>
    <cellStyle name="Normal 2 5 2 4 10 2" xfId="19638" xr:uid="{00000000-0005-0000-0000-00006D460000}"/>
    <cellStyle name="Normal 2 5 2 4 10 2 2" xfId="45191" xr:uid="{00000000-0005-0000-0000-00006E460000}"/>
    <cellStyle name="Normal 2 5 2 4 10 3" xfId="32686" xr:uid="{00000000-0005-0000-0000-00006F460000}"/>
    <cellStyle name="Normal 2 5 2 4 11" xfId="15875" xr:uid="{00000000-0005-0000-0000-000070460000}"/>
    <cellStyle name="Normal 2 5 2 4 11 2" xfId="41428" xr:uid="{00000000-0005-0000-0000-000071460000}"/>
    <cellStyle name="Normal 2 5 2 4 12" xfId="26121" xr:uid="{00000000-0005-0000-0000-000072460000}"/>
    <cellStyle name="Normal 2 5 2 4 2" xfId="509" xr:uid="{00000000-0005-0000-0000-000073460000}"/>
    <cellStyle name="Normal 2 5 2 4 2 10" xfId="26438" xr:uid="{00000000-0005-0000-0000-000074460000}"/>
    <cellStyle name="Normal 2 5 2 4 2 2" xfId="742" xr:uid="{00000000-0005-0000-0000-000075460000}"/>
    <cellStyle name="Normal 2 5 2 4 2 2 2" xfId="3228" xr:uid="{00000000-0005-0000-0000-000076460000}"/>
    <cellStyle name="Normal 2 5 2 4 2 2 2 2" xfId="12370" xr:uid="{00000000-0005-0000-0000-000077460000}"/>
    <cellStyle name="Normal 2 5 2 4 2 2 2 2 2" xfId="22589" xr:uid="{00000000-0005-0000-0000-000078460000}"/>
    <cellStyle name="Normal 2 5 2 4 2 2 2 2 2 2" xfId="48142" xr:uid="{00000000-0005-0000-0000-000079460000}"/>
    <cellStyle name="Normal 2 5 2 4 2 2 2 2 3" xfId="37925" xr:uid="{00000000-0005-0000-0000-00007A460000}"/>
    <cellStyle name="Normal 2 5 2 4 2 2 2 3" xfId="8792" xr:uid="{00000000-0005-0000-0000-00007B460000}"/>
    <cellStyle name="Normal 2 5 2 4 2 2 2 3 2" xfId="34349" xr:uid="{00000000-0005-0000-0000-00007C460000}"/>
    <cellStyle name="Normal 2 5 2 4 2 2 2 4" xfId="17582" xr:uid="{00000000-0005-0000-0000-00007D460000}"/>
    <cellStyle name="Normal 2 5 2 4 2 2 2 4 2" xfId="43135" xr:uid="{00000000-0005-0000-0000-00007E460000}"/>
    <cellStyle name="Normal 2 5 2 4 2 2 2 5" xfId="29072" xr:uid="{00000000-0005-0000-0000-00007F460000}"/>
    <cellStyle name="Normal 2 5 2 4 2 2 3" xfId="4557" xr:uid="{00000000-0005-0000-0000-000080460000}"/>
    <cellStyle name="Normal 2 5 2 4 2 2 3 2" xfId="13395" xr:uid="{00000000-0005-0000-0000-000081460000}"/>
    <cellStyle name="Normal 2 5 2 4 2 2 3 2 2" xfId="23646" xr:uid="{00000000-0005-0000-0000-000082460000}"/>
    <cellStyle name="Normal 2 5 2 4 2 2 3 2 2 2" xfId="49199" xr:uid="{00000000-0005-0000-0000-000083460000}"/>
    <cellStyle name="Normal 2 5 2 4 2 2 3 2 3" xfId="38950" xr:uid="{00000000-0005-0000-0000-000084460000}"/>
    <cellStyle name="Normal 2 5 2 4 2 2 3 3" xfId="9816" xr:uid="{00000000-0005-0000-0000-000085460000}"/>
    <cellStyle name="Normal 2 5 2 4 2 2 3 3 2" xfId="35373" xr:uid="{00000000-0005-0000-0000-000086460000}"/>
    <cellStyle name="Normal 2 5 2 4 2 2 3 4" xfId="18639" xr:uid="{00000000-0005-0000-0000-000087460000}"/>
    <cellStyle name="Normal 2 5 2 4 2 2 3 4 2" xfId="44192" xr:uid="{00000000-0005-0000-0000-000088460000}"/>
    <cellStyle name="Normal 2 5 2 4 2 2 3 5" xfId="30129" xr:uid="{00000000-0005-0000-0000-000089460000}"/>
    <cellStyle name="Normal 2 5 2 4 2 2 4" xfId="2337" xr:uid="{00000000-0005-0000-0000-00008A460000}"/>
    <cellStyle name="Normal 2 5 2 4 2 2 4 2" xfId="11702" xr:uid="{00000000-0005-0000-0000-00008B460000}"/>
    <cellStyle name="Normal 2 5 2 4 2 2 4 2 2" xfId="37257" xr:uid="{00000000-0005-0000-0000-00008C460000}"/>
    <cellStyle name="Normal 2 5 2 4 2 2 4 3" xfId="21706" xr:uid="{00000000-0005-0000-0000-00008D460000}"/>
    <cellStyle name="Normal 2 5 2 4 2 2 4 3 2" xfId="47259" xr:uid="{00000000-0005-0000-0000-00008E460000}"/>
    <cellStyle name="Normal 2 5 2 4 2 2 4 4" xfId="28189" xr:uid="{00000000-0005-0000-0000-00008F460000}"/>
    <cellStyle name="Normal 2 5 2 4 2 2 5" xfId="6013" xr:uid="{00000000-0005-0000-0000-000090460000}"/>
    <cellStyle name="Normal 2 5 2 4 2 2 5 2" xfId="14840" xr:uid="{00000000-0005-0000-0000-000091460000}"/>
    <cellStyle name="Normal 2 5 2 4 2 2 5 2 2" xfId="40395" xr:uid="{00000000-0005-0000-0000-000092460000}"/>
    <cellStyle name="Normal 2 5 2 4 2 2 5 3" xfId="25091" xr:uid="{00000000-0005-0000-0000-000093460000}"/>
    <cellStyle name="Normal 2 5 2 4 2 2 5 3 2" xfId="50644" xr:uid="{00000000-0005-0000-0000-000094460000}"/>
    <cellStyle name="Normal 2 5 2 4 2 2 5 4" xfId="31574" xr:uid="{00000000-0005-0000-0000-000095460000}"/>
    <cellStyle name="Normal 2 5 2 4 2 2 6" xfId="7457" xr:uid="{00000000-0005-0000-0000-000096460000}"/>
    <cellStyle name="Normal 2 5 2 4 2 2 6 2" xfId="20188" xr:uid="{00000000-0005-0000-0000-000097460000}"/>
    <cellStyle name="Normal 2 5 2 4 2 2 6 2 2" xfId="45741" xr:uid="{00000000-0005-0000-0000-000098460000}"/>
    <cellStyle name="Normal 2 5 2 4 2 2 6 3" xfId="33014" xr:uid="{00000000-0005-0000-0000-000099460000}"/>
    <cellStyle name="Normal 2 5 2 4 2 2 7" xfId="16699" xr:uid="{00000000-0005-0000-0000-00009A460000}"/>
    <cellStyle name="Normal 2 5 2 4 2 2 7 2" xfId="42252" xr:uid="{00000000-0005-0000-0000-00009B460000}"/>
    <cellStyle name="Normal 2 5 2 4 2 2 8" xfId="26671" xr:uid="{00000000-0005-0000-0000-00009C460000}"/>
    <cellStyle name="Normal 2 5 2 4 2 3" xfId="1281" xr:uid="{00000000-0005-0000-0000-00009D460000}"/>
    <cellStyle name="Normal 2 5 2 4 2 3 2" xfId="3710" xr:uid="{00000000-0005-0000-0000-00009E460000}"/>
    <cellStyle name="Normal 2 5 2 4 2 3 2 2" xfId="12846" xr:uid="{00000000-0005-0000-0000-00009F460000}"/>
    <cellStyle name="Normal 2 5 2 4 2 3 2 2 2" xfId="23065" xr:uid="{00000000-0005-0000-0000-0000A0460000}"/>
    <cellStyle name="Normal 2 5 2 4 2 3 2 2 2 2" xfId="48618" xr:uid="{00000000-0005-0000-0000-0000A1460000}"/>
    <cellStyle name="Normal 2 5 2 4 2 3 2 2 3" xfId="38401" xr:uid="{00000000-0005-0000-0000-0000A2460000}"/>
    <cellStyle name="Normal 2 5 2 4 2 3 2 3" xfId="9267" xr:uid="{00000000-0005-0000-0000-0000A3460000}"/>
    <cellStyle name="Normal 2 5 2 4 2 3 2 3 2" xfId="34824" xr:uid="{00000000-0005-0000-0000-0000A4460000}"/>
    <cellStyle name="Normal 2 5 2 4 2 3 2 4" xfId="18058" xr:uid="{00000000-0005-0000-0000-0000A5460000}"/>
    <cellStyle name="Normal 2 5 2 4 2 3 2 4 2" xfId="43611" xr:uid="{00000000-0005-0000-0000-0000A6460000}"/>
    <cellStyle name="Normal 2 5 2 4 2 3 2 5" xfId="29548" xr:uid="{00000000-0005-0000-0000-0000A7460000}"/>
    <cellStyle name="Normal 2 5 2 4 2 3 3" xfId="4906" xr:uid="{00000000-0005-0000-0000-0000A8460000}"/>
    <cellStyle name="Normal 2 5 2 4 2 3 3 2" xfId="13743" xr:uid="{00000000-0005-0000-0000-0000A9460000}"/>
    <cellStyle name="Normal 2 5 2 4 2 3 3 2 2" xfId="23994" xr:uid="{00000000-0005-0000-0000-0000AA460000}"/>
    <cellStyle name="Normal 2 5 2 4 2 3 3 2 2 2" xfId="49547" xr:uid="{00000000-0005-0000-0000-0000AB460000}"/>
    <cellStyle name="Normal 2 5 2 4 2 3 3 2 3" xfId="39298" xr:uid="{00000000-0005-0000-0000-0000AC460000}"/>
    <cellStyle name="Normal 2 5 2 4 2 3 3 3" xfId="10164" xr:uid="{00000000-0005-0000-0000-0000AD460000}"/>
    <cellStyle name="Normal 2 5 2 4 2 3 3 3 2" xfId="35721" xr:uid="{00000000-0005-0000-0000-0000AE460000}"/>
    <cellStyle name="Normal 2 5 2 4 2 3 3 4" xfId="18987" xr:uid="{00000000-0005-0000-0000-0000AF460000}"/>
    <cellStyle name="Normal 2 5 2 4 2 3 3 4 2" xfId="44540" xr:uid="{00000000-0005-0000-0000-0000B0460000}"/>
    <cellStyle name="Normal 2 5 2 4 2 3 3 5" xfId="30477" xr:uid="{00000000-0005-0000-0000-0000B1460000}"/>
    <cellStyle name="Normal 2 5 2 4 2 3 4" xfId="2104" xr:uid="{00000000-0005-0000-0000-0000B2460000}"/>
    <cellStyle name="Normal 2 5 2 4 2 3 4 2" xfId="11469" xr:uid="{00000000-0005-0000-0000-0000B3460000}"/>
    <cellStyle name="Normal 2 5 2 4 2 3 4 2 2" xfId="37024" xr:uid="{00000000-0005-0000-0000-0000B4460000}"/>
    <cellStyle name="Normal 2 5 2 4 2 3 4 3" xfId="21473" xr:uid="{00000000-0005-0000-0000-0000B5460000}"/>
    <cellStyle name="Normal 2 5 2 4 2 3 4 3 2" xfId="47026" xr:uid="{00000000-0005-0000-0000-0000B6460000}"/>
    <cellStyle name="Normal 2 5 2 4 2 3 4 4" xfId="27956" xr:uid="{00000000-0005-0000-0000-0000B7460000}"/>
    <cellStyle name="Normal 2 5 2 4 2 3 5" xfId="6361" xr:uid="{00000000-0005-0000-0000-0000B8460000}"/>
    <cellStyle name="Normal 2 5 2 4 2 3 5 2" xfId="15188" xr:uid="{00000000-0005-0000-0000-0000B9460000}"/>
    <cellStyle name="Normal 2 5 2 4 2 3 5 2 2" xfId="40743" xr:uid="{00000000-0005-0000-0000-0000BA460000}"/>
    <cellStyle name="Normal 2 5 2 4 2 3 5 3" xfId="25439" xr:uid="{00000000-0005-0000-0000-0000BB460000}"/>
    <cellStyle name="Normal 2 5 2 4 2 3 5 3 2" xfId="50992" xr:uid="{00000000-0005-0000-0000-0000BC460000}"/>
    <cellStyle name="Normal 2 5 2 4 2 3 5 4" xfId="31922" xr:uid="{00000000-0005-0000-0000-0000BD460000}"/>
    <cellStyle name="Normal 2 5 2 4 2 3 6" xfId="7807" xr:uid="{00000000-0005-0000-0000-0000BE460000}"/>
    <cellStyle name="Normal 2 5 2 4 2 3 6 2" xfId="20664" xr:uid="{00000000-0005-0000-0000-0000BF460000}"/>
    <cellStyle name="Normal 2 5 2 4 2 3 6 2 2" xfId="46217" xr:uid="{00000000-0005-0000-0000-0000C0460000}"/>
    <cellStyle name="Normal 2 5 2 4 2 3 6 3" xfId="33364" xr:uid="{00000000-0005-0000-0000-0000C1460000}"/>
    <cellStyle name="Normal 2 5 2 4 2 3 7" xfId="16466" xr:uid="{00000000-0005-0000-0000-0000C2460000}"/>
    <cellStyle name="Normal 2 5 2 4 2 3 7 2" xfId="42019" xr:uid="{00000000-0005-0000-0000-0000C3460000}"/>
    <cellStyle name="Normal 2 5 2 4 2 3 8" xfId="27147" xr:uid="{00000000-0005-0000-0000-0000C4460000}"/>
    <cellStyle name="Normal 2 5 2 4 2 4" xfId="2995" xr:uid="{00000000-0005-0000-0000-0000C5460000}"/>
    <cellStyle name="Normal 2 5 2 4 2 4 2" xfId="5373" xr:uid="{00000000-0005-0000-0000-0000C6460000}"/>
    <cellStyle name="Normal 2 5 2 4 2 4 2 2" xfId="14210" xr:uid="{00000000-0005-0000-0000-0000C7460000}"/>
    <cellStyle name="Normal 2 5 2 4 2 4 2 2 2" xfId="24461" xr:uid="{00000000-0005-0000-0000-0000C8460000}"/>
    <cellStyle name="Normal 2 5 2 4 2 4 2 2 2 2" xfId="50014" xr:uid="{00000000-0005-0000-0000-0000C9460000}"/>
    <cellStyle name="Normal 2 5 2 4 2 4 2 2 3" xfId="39765" xr:uid="{00000000-0005-0000-0000-0000CA460000}"/>
    <cellStyle name="Normal 2 5 2 4 2 4 2 3" xfId="10631" xr:uid="{00000000-0005-0000-0000-0000CB460000}"/>
    <cellStyle name="Normal 2 5 2 4 2 4 2 3 2" xfId="36188" xr:uid="{00000000-0005-0000-0000-0000CC460000}"/>
    <cellStyle name="Normal 2 5 2 4 2 4 2 4" xfId="19454" xr:uid="{00000000-0005-0000-0000-0000CD460000}"/>
    <cellStyle name="Normal 2 5 2 4 2 4 2 4 2" xfId="45007" xr:uid="{00000000-0005-0000-0000-0000CE460000}"/>
    <cellStyle name="Normal 2 5 2 4 2 4 2 5" xfId="30944" xr:uid="{00000000-0005-0000-0000-0000CF460000}"/>
    <cellStyle name="Normal 2 5 2 4 2 4 3" xfId="6828" xr:uid="{00000000-0005-0000-0000-0000D0460000}"/>
    <cellStyle name="Normal 2 5 2 4 2 4 3 2" xfId="15655" xr:uid="{00000000-0005-0000-0000-0000D1460000}"/>
    <cellStyle name="Normal 2 5 2 4 2 4 3 2 2" xfId="41210" xr:uid="{00000000-0005-0000-0000-0000D2460000}"/>
    <cellStyle name="Normal 2 5 2 4 2 4 3 3" xfId="25906" xr:uid="{00000000-0005-0000-0000-0000D3460000}"/>
    <cellStyle name="Normal 2 5 2 4 2 4 3 3 2" xfId="51459" xr:uid="{00000000-0005-0000-0000-0000D4460000}"/>
    <cellStyle name="Normal 2 5 2 4 2 4 3 4" xfId="32389" xr:uid="{00000000-0005-0000-0000-0000D5460000}"/>
    <cellStyle name="Normal 2 5 2 4 2 4 4" xfId="8274" xr:uid="{00000000-0005-0000-0000-0000D6460000}"/>
    <cellStyle name="Normal 2 5 2 4 2 4 4 2" xfId="22356" xr:uid="{00000000-0005-0000-0000-0000D7460000}"/>
    <cellStyle name="Normal 2 5 2 4 2 4 4 2 2" xfId="47909" xr:uid="{00000000-0005-0000-0000-0000D8460000}"/>
    <cellStyle name="Normal 2 5 2 4 2 4 4 3" xfId="33831" xr:uid="{00000000-0005-0000-0000-0000D9460000}"/>
    <cellStyle name="Normal 2 5 2 4 2 4 5" xfId="17349" xr:uid="{00000000-0005-0000-0000-0000DA460000}"/>
    <cellStyle name="Normal 2 5 2 4 2 4 5 2" xfId="42902" xr:uid="{00000000-0005-0000-0000-0000DB460000}"/>
    <cellStyle name="Normal 2 5 2 4 2 4 6" xfId="28839" xr:uid="{00000000-0005-0000-0000-0000DC460000}"/>
    <cellStyle name="Normal 2 5 2 4 2 5" xfId="4329" xr:uid="{00000000-0005-0000-0000-0000DD460000}"/>
    <cellStyle name="Normal 2 5 2 4 2 5 2" xfId="13167" xr:uid="{00000000-0005-0000-0000-0000DE460000}"/>
    <cellStyle name="Normal 2 5 2 4 2 5 2 2" xfId="23418" xr:uid="{00000000-0005-0000-0000-0000DF460000}"/>
    <cellStyle name="Normal 2 5 2 4 2 5 2 2 2" xfId="48971" xr:uid="{00000000-0005-0000-0000-0000E0460000}"/>
    <cellStyle name="Normal 2 5 2 4 2 5 2 3" xfId="38722" xr:uid="{00000000-0005-0000-0000-0000E1460000}"/>
    <cellStyle name="Normal 2 5 2 4 2 5 3" xfId="9588" xr:uid="{00000000-0005-0000-0000-0000E2460000}"/>
    <cellStyle name="Normal 2 5 2 4 2 5 3 2" xfId="35145" xr:uid="{00000000-0005-0000-0000-0000E3460000}"/>
    <cellStyle name="Normal 2 5 2 4 2 5 4" xfId="18411" xr:uid="{00000000-0005-0000-0000-0000E4460000}"/>
    <cellStyle name="Normal 2 5 2 4 2 5 4 2" xfId="43964" xr:uid="{00000000-0005-0000-0000-0000E5460000}"/>
    <cellStyle name="Normal 2 5 2 4 2 5 5" xfId="29901" xr:uid="{00000000-0005-0000-0000-0000E6460000}"/>
    <cellStyle name="Normal 2 5 2 4 2 6" xfId="1601" xr:uid="{00000000-0005-0000-0000-0000E7460000}"/>
    <cellStyle name="Normal 2 5 2 4 2 6 2" xfId="10978" xr:uid="{00000000-0005-0000-0000-0000E8460000}"/>
    <cellStyle name="Normal 2 5 2 4 2 6 2 2" xfId="36533" xr:uid="{00000000-0005-0000-0000-0000E9460000}"/>
    <cellStyle name="Normal 2 5 2 4 2 6 3" xfId="20982" xr:uid="{00000000-0005-0000-0000-0000EA460000}"/>
    <cellStyle name="Normal 2 5 2 4 2 6 3 2" xfId="46535" xr:uid="{00000000-0005-0000-0000-0000EB460000}"/>
    <cellStyle name="Normal 2 5 2 4 2 6 4" xfId="27465" xr:uid="{00000000-0005-0000-0000-0000EC460000}"/>
    <cellStyle name="Normal 2 5 2 4 2 7" xfId="5785" xr:uid="{00000000-0005-0000-0000-0000ED460000}"/>
    <cellStyle name="Normal 2 5 2 4 2 7 2" xfId="14612" xr:uid="{00000000-0005-0000-0000-0000EE460000}"/>
    <cellStyle name="Normal 2 5 2 4 2 7 2 2" xfId="40167" xr:uid="{00000000-0005-0000-0000-0000EF460000}"/>
    <cellStyle name="Normal 2 5 2 4 2 7 3" xfId="24863" xr:uid="{00000000-0005-0000-0000-0000F0460000}"/>
    <cellStyle name="Normal 2 5 2 4 2 7 3 2" xfId="50416" xr:uid="{00000000-0005-0000-0000-0000F1460000}"/>
    <cellStyle name="Normal 2 5 2 4 2 7 4" xfId="31346" xr:uid="{00000000-0005-0000-0000-0000F2460000}"/>
    <cellStyle name="Normal 2 5 2 4 2 8" xfId="7229" xr:uid="{00000000-0005-0000-0000-0000F3460000}"/>
    <cellStyle name="Normal 2 5 2 4 2 8 2" xfId="19955" xr:uid="{00000000-0005-0000-0000-0000F4460000}"/>
    <cellStyle name="Normal 2 5 2 4 2 8 2 2" xfId="45508" xr:uid="{00000000-0005-0000-0000-0000F5460000}"/>
    <cellStyle name="Normal 2 5 2 4 2 8 3" xfId="32786" xr:uid="{00000000-0005-0000-0000-0000F6460000}"/>
    <cellStyle name="Normal 2 5 2 4 2 9" xfId="15975" xr:uid="{00000000-0005-0000-0000-0000F7460000}"/>
    <cellStyle name="Normal 2 5 2 4 2 9 2" xfId="41528" xr:uid="{00000000-0005-0000-0000-0000F8460000}"/>
    <cellStyle name="Normal 2 5 2 4 2_Degree data" xfId="3873" xr:uid="{00000000-0005-0000-0000-0000F9460000}"/>
    <cellStyle name="Normal 2 5 2 4 3" xfId="409" xr:uid="{00000000-0005-0000-0000-0000FA460000}"/>
    <cellStyle name="Normal 2 5 2 4 3 2" xfId="2895" xr:uid="{00000000-0005-0000-0000-0000FB460000}"/>
    <cellStyle name="Normal 2 5 2 4 3 2 2" xfId="12183" xr:uid="{00000000-0005-0000-0000-0000FC460000}"/>
    <cellStyle name="Normal 2 5 2 4 3 2 2 2" xfId="22256" xr:uid="{00000000-0005-0000-0000-0000FD460000}"/>
    <cellStyle name="Normal 2 5 2 4 3 2 2 2 2" xfId="47809" xr:uid="{00000000-0005-0000-0000-0000FE460000}"/>
    <cellStyle name="Normal 2 5 2 4 3 2 2 3" xfId="37738" xr:uid="{00000000-0005-0000-0000-0000FF460000}"/>
    <cellStyle name="Normal 2 5 2 4 3 2 3" xfId="8640" xr:uid="{00000000-0005-0000-0000-000000470000}"/>
    <cellStyle name="Normal 2 5 2 4 3 2 3 2" xfId="34197" xr:uid="{00000000-0005-0000-0000-000001470000}"/>
    <cellStyle name="Normal 2 5 2 4 3 2 4" xfId="17249" xr:uid="{00000000-0005-0000-0000-000002470000}"/>
    <cellStyle name="Normal 2 5 2 4 3 2 4 2" xfId="42802" xr:uid="{00000000-0005-0000-0000-000003470000}"/>
    <cellStyle name="Normal 2 5 2 4 3 2 5" xfId="28739" xr:uid="{00000000-0005-0000-0000-000004470000}"/>
    <cellStyle name="Normal 2 5 2 4 3 3" xfId="4556" xr:uid="{00000000-0005-0000-0000-000005470000}"/>
    <cellStyle name="Normal 2 5 2 4 3 3 2" xfId="13394" xr:uid="{00000000-0005-0000-0000-000006470000}"/>
    <cellStyle name="Normal 2 5 2 4 3 3 2 2" xfId="23645" xr:uid="{00000000-0005-0000-0000-000007470000}"/>
    <cellStyle name="Normal 2 5 2 4 3 3 2 2 2" xfId="49198" xr:uid="{00000000-0005-0000-0000-000008470000}"/>
    <cellStyle name="Normal 2 5 2 4 3 3 2 3" xfId="38949" xr:uid="{00000000-0005-0000-0000-000009470000}"/>
    <cellStyle name="Normal 2 5 2 4 3 3 3" xfId="9815" xr:uid="{00000000-0005-0000-0000-00000A470000}"/>
    <cellStyle name="Normal 2 5 2 4 3 3 3 2" xfId="35372" xr:uid="{00000000-0005-0000-0000-00000B470000}"/>
    <cellStyle name="Normal 2 5 2 4 3 3 4" xfId="18638" xr:uid="{00000000-0005-0000-0000-00000C470000}"/>
    <cellStyle name="Normal 2 5 2 4 3 3 4 2" xfId="44191" xr:uid="{00000000-0005-0000-0000-00000D470000}"/>
    <cellStyle name="Normal 2 5 2 4 3 3 5" xfId="30128" xr:uid="{00000000-0005-0000-0000-00000E470000}"/>
    <cellStyle name="Normal 2 5 2 4 3 4" xfId="2004" xr:uid="{00000000-0005-0000-0000-00000F470000}"/>
    <cellStyle name="Normal 2 5 2 4 3 4 2" xfId="11369" xr:uid="{00000000-0005-0000-0000-000010470000}"/>
    <cellStyle name="Normal 2 5 2 4 3 4 2 2" xfId="36924" xr:uid="{00000000-0005-0000-0000-000011470000}"/>
    <cellStyle name="Normal 2 5 2 4 3 4 3" xfId="21373" xr:uid="{00000000-0005-0000-0000-000012470000}"/>
    <cellStyle name="Normal 2 5 2 4 3 4 3 2" xfId="46926" xr:uid="{00000000-0005-0000-0000-000013470000}"/>
    <cellStyle name="Normal 2 5 2 4 3 4 4" xfId="27856" xr:uid="{00000000-0005-0000-0000-000014470000}"/>
    <cellStyle name="Normal 2 5 2 4 3 5" xfId="6012" xr:uid="{00000000-0005-0000-0000-000015470000}"/>
    <cellStyle name="Normal 2 5 2 4 3 5 2" xfId="14839" xr:uid="{00000000-0005-0000-0000-000016470000}"/>
    <cellStyle name="Normal 2 5 2 4 3 5 2 2" xfId="40394" xr:uid="{00000000-0005-0000-0000-000017470000}"/>
    <cellStyle name="Normal 2 5 2 4 3 5 3" xfId="25090" xr:uid="{00000000-0005-0000-0000-000018470000}"/>
    <cellStyle name="Normal 2 5 2 4 3 5 3 2" xfId="50643" xr:uid="{00000000-0005-0000-0000-000019470000}"/>
    <cellStyle name="Normal 2 5 2 4 3 5 4" xfId="31573" xr:uid="{00000000-0005-0000-0000-00001A470000}"/>
    <cellStyle name="Normal 2 5 2 4 3 6" xfId="7456" xr:uid="{00000000-0005-0000-0000-00001B470000}"/>
    <cellStyle name="Normal 2 5 2 4 3 6 2" xfId="19855" xr:uid="{00000000-0005-0000-0000-00001C470000}"/>
    <cellStyle name="Normal 2 5 2 4 3 6 2 2" xfId="45408" xr:uid="{00000000-0005-0000-0000-00001D470000}"/>
    <cellStyle name="Normal 2 5 2 4 3 6 3" xfId="33013" xr:uid="{00000000-0005-0000-0000-00001E470000}"/>
    <cellStyle name="Normal 2 5 2 4 3 7" xfId="16366" xr:uid="{00000000-0005-0000-0000-00001F470000}"/>
    <cellStyle name="Normal 2 5 2 4 3 7 2" xfId="41919" xr:uid="{00000000-0005-0000-0000-000020470000}"/>
    <cellStyle name="Normal 2 5 2 4 3 8" xfId="26338" xr:uid="{00000000-0005-0000-0000-000021470000}"/>
    <cellStyle name="Normal 2 5 2 4 4" xfId="741" xr:uid="{00000000-0005-0000-0000-000022470000}"/>
    <cellStyle name="Normal 2 5 2 4 4 2" xfId="3227" xr:uid="{00000000-0005-0000-0000-000023470000}"/>
    <cellStyle name="Normal 2 5 2 4 4 2 2" xfId="12369" xr:uid="{00000000-0005-0000-0000-000024470000}"/>
    <cellStyle name="Normal 2 5 2 4 4 2 2 2" xfId="22588" xr:uid="{00000000-0005-0000-0000-000025470000}"/>
    <cellStyle name="Normal 2 5 2 4 4 2 2 2 2" xfId="48141" xr:uid="{00000000-0005-0000-0000-000026470000}"/>
    <cellStyle name="Normal 2 5 2 4 4 2 2 3" xfId="37924" xr:uid="{00000000-0005-0000-0000-000027470000}"/>
    <cellStyle name="Normal 2 5 2 4 4 2 3" xfId="8791" xr:uid="{00000000-0005-0000-0000-000028470000}"/>
    <cellStyle name="Normal 2 5 2 4 4 2 3 2" xfId="34348" xr:uid="{00000000-0005-0000-0000-000029470000}"/>
    <cellStyle name="Normal 2 5 2 4 4 2 4" xfId="17581" xr:uid="{00000000-0005-0000-0000-00002A470000}"/>
    <cellStyle name="Normal 2 5 2 4 4 2 4 2" xfId="43134" xr:uid="{00000000-0005-0000-0000-00002B470000}"/>
    <cellStyle name="Normal 2 5 2 4 4 2 5" xfId="29071" xr:uid="{00000000-0005-0000-0000-00002C470000}"/>
    <cellStyle name="Normal 2 5 2 4 4 3" xfId="4905" xr:uid="{00000000-0005-0000-0000-00002D470000}"/>
    <cellStyle name="Normal 2 5 2 4 4 3 2" xfId="13742" xr:uid="{00000000-0005-0000-0000-00002E470000}"/>
    <cellStyle name="Normal 2 5 2 4 4 3 2 2" xfId="23993" xr:uid="{00000000-0005-0000-0000-00002F470000}"/>
    <cellStyle name="Normal 2 5 2 4 4 3 2 2 2" xfId="49546" xr:uid="{00000000-0005-0000-0000-000030470000}"/>
    <cellStyle name="Normal 2 5 2 4 4 3 2 3" xfId="39297" xr:uid="{00000000-0005-0000-0000-000031470000}"/>
    <cellStyle name="Normal 2 5 2 4 4 3 3" xfId="10163" xr:uid="{00000000-0005-0000-0000-000032470000}"/>
    <cellStyle name="Normal 2 5 2 4 4 3 3 2" xfId="35720" xr:uid="{00000000-0005-0000-0000-000033470000}"/>
    <cellStyle name="Normal 2 5 2 4 4 3 4" xfId="18986" xr:uid="{00000000-0005-0000-0000-000034470000}"/>
    <cellStyle name="Normal 2 5 2 4 4 3 4 2" xfId="44539" xr:uid="{00000000-0005-0000-0000-000035470000}"/>
    <cellStyle name="Normal 2 5 2 4 4 3 5" xfId="30476" xr:uid="{00000000-0005-0000-0000-000036470000}"/>
    <cellStyle name="Normal 2 5 2 4 4 4" xfId="2336" xr:uid="{00000000-0005-0000-0000-000037470000}"/>
    <cellStyle name="Normal 2 5 2 4 4 4 2" xfId="11701" xr:uid="{00000000-0005-0000-0000-000038470000}"/>
    <cellStyle name="Normal 2 5 2 4 4 4 2 2" xfId="37256" xr:uid="{00000000-0005-0000-0000-000039470000}"/>
    <cellStyle name="Normal 2 5 2 4 4 4 3" xfId="21705" xr:uid="{00000000-0005-0000-0000-00003A470000}"/>
    <cellStyle name="Normal 2 5 2 4 4 4 3 2" xfId="47258" xr:uid="{00000000-0005-0000-0000-00003B470000}"/>
    <cellStyle name="Normal 2 5 2 4 4 4 4" xfId="28188" xr:uid="{00000000-0005-0000-0000-00003C470000}"/>
    <cellStyle name="Normal 2 5 2 4 4 5" xfId="6360" xr:uid="{00000000-0005-0000-0000-00003D470000}"/>
    <cellStyle name="Normal 2 5 2 4 4 5 2" xfId="15187" xr:uid="{00000000-0005-0000-0000-00003E470000}"/>
    <cellStyle name="Normal 2 5 2 4 4 5 2 2" xfId="40742" xr:uid="{00000000-0005-0000-0000-00003F470000}"/>
    <cellStyle name="Normal 2 5 2 4 4 5 3" xfId="25438" xr:uid="{00000000-0005-0000-0000-000040470000}"/>
    <cellStyle name="Normal 2 5 2 4 4 5 3 2" xfId="50991" xr:uid="{00000000-0005-0000-0000-000041470000}"/>
    <cellStyle name="Normal 2 5 2 4 4 5 4" xfId="31921" xr:uid="{00000000-0005-0000-0000-000042470000}"/>
    <cellStyle name="Normal 2 5 2 4 4 6" xfId="7806" xr:uid="{00000000-0005-0000-0000-000043470000}"/>
    <cellStyle name="Normal 2 5 2 4 4 6 2" xfId="20187" xr:uid="{00000000-0005-0000-0000-000044470000}"/>
    <cellStyle name="Normal 2 5 2 4 4 6 2 2" xfId="45740" xr:uid="{00000000-0005-0000-0000-000045470000}"/>
    <cellStyle name="Normal 2 5 2 4 4 6 3" xfId="33363" xr:uid="{00000000-0005-0000-0000-000046470000}"/>
    <cellStyle name="Normal 2 5 2 4 4 7" xfId="16698" xr:uid="{00000000-0005-0000-0000-000047470000}"/>
    <cellStyle name="Normal 2 5 2 4 4 7 2" xfId="42251" xr:uid="{00000000-0005-0000-0000-000048470000}"/>
    <cellStyle name="Normal 2 5 2 4 4 8" xfId="26670" xr:uid="{00000000-0005-0000-0000-000049470000}"/>
    <cellStyle name="Normal 2 5 2 4 5" xfId="1181" xr:uid="{00000000-0005-0000-0000-00004A470000}"/>
    <cellStyle name="Normal 2 5 2 4 5 2" xfId="3610" xr:uid="{00000000-0005-0000-0000-00004B470000}"/>
    <cellStyle name="Normal 2 5 2 4 5 2 2" xfId="12746" xr:uid="{00000000-0005-0000-0000-00004C470000}"/>
    <cellStyle name="Normal 2 5 2 4 5 2 2 2" xfId="22965" xr:uid="{00000000-0005-0000-0000-00004D470000}"/>
    <cellStyle name="Normal 2 5 2 4 5 2 2 2 2" xfId="48518" xr:uid="{00000000-0005-0000-0000-00004E470000}"/>
    <cellStyle name="Normal 2 5 2 4 5 2 2 3" xfId="38301" xr:uid="{00000000-0005-0000-0000-00004F470000}"/>
    <cellStyle name="Normal 2 5 2 4 5 2 3" xfId="9167" xr:uid="{00000000-0005-0000-0000-000050470000}"/>
    <cellStyle name="Normal 2 5 2 4 5 2 3 2" xfId="34724" xr:uid="{00000000-0005-0000-0000-000051470000}"/>
    <cellStyle name="Normal 2 5 2 4 5 2 4" xfId="17958" xr:uid="{00000000-0005-0000-0000-000052470000}"/>
    <cellStyle name="Normal 2 5 2 4 5 2 4 2" xfId="43511" xr:uid="{00000000-0005-0000-0000-000053470000}"/>
    <cellStyle name="Normal 2 5 2 4 5 2 5" xfId="29448" xr:uid="{00000000-0005-0000-0000-000054470000}"/>
    <cellStyle name="Normal 2 5 2 4 5 3" xfId="5273" xr:uid="{00000000-0005-0000-0000-000055470000}"/>
    <cellStyle name="Normal 2 5 2 4 5 3 2" xfId="14110" xr:uid="{00000000-0005-0000-0000-000056470000}"/>
    <cellStyle name="Normal 2 5 2 4 5 3 2 2" xfId="24361" xr:uid="{00000000-0005-0000-0000-000057470000}"/>
    <cellStyle name="Normal 2 5 2 4 5 3 2 2 2" xfId="49914" xr:uid="{00000000-0005-0000-0000-000058470000}"/>
    <cellStyle name="Normal 2 5 2 4 5 3 2 3" xfId="39665" xr:uid="{00000000-0005-0000-0000-000059470000}"/>
    <cellStyle name="Normal 2 5 2 4 5 3 3" xfId="10531" xr:uid="{00000000-0005-0000-0000-00005A470000}"/>
    <cellStyle name="Normal 2 5 2 4 5 3 3 2" xfId="36088" xr:uid="{00000000-0005-0000-0000-00005B470000}"/>
    <cellStyle name="Normal 2 5 2 4 5 3 4" xfId="19354" xr:uid="{00000000-0005-0000-0000-00005C470000}"/>
    <cellStyle name="Normal 2 5 2 4 5 3 4 2" xfId="44907" xr:uid="{00000000-0005-0000-0000-00005D470000}"/>
    <cellStyle name="Normal 2 5 2 4 5 3 5" xfId="30844" xr:uid="{00000000-0005-0000-0000-00005E470000}"/>
    <cellStyle name="Normal 2 5 2 4 5 4" xfId="1783" xr:uid="{00000000-0005-0000-0000-00005F470000}"/>
    <cellStyle name="Normal 2 5 2 4 5 4 2" xfId="11152" xr:uid="{00000000-0005-0000-0000-000060470000}"/>
    <cellStyle name="Normal 2 5 2 4 5 4 2 2" xfId="36707" xr:uid="{00000000-0005-0000-0000-000061470000}"/>
    <cellStyle name="Normal 2 5 2 4 5 4 3" xfId="21156" xr:uid="{00000000-0005-0000-0000-000062470000}"/>
    <cellStyle name="Normal 2 5 2 4 5 4 3 2" xfId="46709" xr:uid="{00000000-0005-0000-0000-000063470000}"/>
    <cellStyle name="Normal 2 5 2 4 5 4 4" xfId="27639" xr:uid="{00000000-0005-0000-0000-000064470000}"/>
    <cellStyle name="Normal 2 5 2 4 5 5" xfId="6728" xr:uid="{00000000-0005-0000-0000-000065470000}"/>
    <cellStyle name="Normal 2 5 2 4 5 5 2" xfId="15555" xr:uid="{00000000-0005-0000-0000-000066470000}"/>
    <cellStyle name="Normal 2 5 2 4 5 5 2 2" xfId="41110" xr:uid="{00000000-0005-0000-0000-000067470000}"/>
    <cellStyle name="Normal 2 5 2 4 5 5 3" xfId="25806" xr:uid="{00000000-0005-0000-0000-000068470000}"/>
    <cellStyle name="Normal 2 5 2 4 5 5 3 2" xfId="51359" xr:uid="{00000000-0005-0000-0000-000069470000}"/>
    <cellStyle name="Normal 2 5 2 4 5 5 4" xfId="32289" xr:uid="{00000000-0005-0000-0000-00006A470000}"/>
    <cellStyle name="Normal 2 5 2 4 5 6" xfId="8174" xr:uid="{00000000-0005-0000-0000-00006B470000}"/>
    <cellStyle name="Normal 2 5 2 4 5 6 2" xfId="20564" xr:uid="{00000000-0005-0000-0000-00006C470000}"/>
    <cellStyle name="Normal 2 5 2 4 5 6 2 2" xfId="46117" xr:uid="{00000000-0005-0000-0000-00006D470000}"/>
    <cellStyle name="Normal 2 5 2 4 5 6 3" xfId="33731" xr:uid="{00000000-0005-0000-0000-00006E470000}"/>
    <cellStyle name="Normal 2 5 2 4 5 7" xfId="16149" xr:uid="{00000000-0005-0000-0000-00006F470000}"/>
    <cellStyle name="Normal 2 5 2 4 5 7 2" xfId="41702" xr:uid="{00000000-0005-0000-0000-000070470000}"/>
    <cellStyle name="Normal 2 5 2 4 5 8" xfId="27047" xr:uid="{00000000-0005-0000-0000-000071470000}"/>
    <cellStyle name="Normal 2 5 2 4 6" xfId="2678" xr:uid="{00000000-0005-0000-0000-000072470000}"/>
    <cellStyle name="Normal 2 5 2 4 6 2" xfId="11995" xr:uid="{00000000-0005-0000-0000-000073470000}"/>
    <cellStyle name="Normal 2 5 2 4 6 2 2" xfId="22039" xr:uid="{00000000-0005-0000-0000-000074470000}"/>
    <cellStyle name="Normal 2 5 2 4 6 2 2 2" xfId="47592" xr:uid="{00000000-0005-0000-0000-000075470000}"/>
    <cellStyle name="Normal 2 5 2 4 6 2 3" xfId="37550" xr:uid="{00000000-0005-0000-0000-000076470000}"/>
    <cellStyle name="Normal 2 5 2 4 6 3" xfId="8617" xr:uid="{00000000-0005-0000-0000-000077470000}"/>
    <cellStyle name="Normal 2 5 2 4 6 3 2" xfId="34174" xr:uid="{00000000-0005-0000-0000-000078470000}"/>
    <cellStyle name="Normal 2 5 2 4 6 4" xfId="17032" xr:uid="{00000000-0005-0000-0000-000079470000}"/>
    <cellStyle name="Normal 2 5 2 4 6 4 2" xfId="42585" xr:uid="{00000000-0005-0000-0000-00007A470000}"/>
    <cellStyle name="Normal 2 5 2 4 6 5" xfId="28522" xr:uid="{00000000-0005-0000-0000-00007B470000}"/>
    <cellStyle name="Normal 2 5 2 4 7" xfId="4229" xr:uid="{00000000-0005-0000-0000-00007C470000}"/>
    <cellStyle name="Normal 2 5 2 4 7 2" xfId="13067" xr:uid="{00000000-0005-0000-0000-00007D470000}"/>
    <cellStyle name="Normal 2 5 2 4 7 2 2" xfId="23318" xr:uid="{00000000-0005-0000-0000-00007E470000}"/>
    <cellStyle name="Normal 2 5 2 4 7 2 2 2" xfId="48871" xr:uid="{00000000-0005-0000-0000-00007F470000}"/>
    <cellStyle name="Normal 2 5 2 4 7 2 3" xfId="38622" xr:uid="{00000000-0005-0000-0000-000080470000}"/>
    <cellStyle name="Normal 2 5 2 4 7 3" xfId="9488" xr:uid="{00000000-0005-0000-0000-000081470000}"/>
    <cellStyle name="Normal 2 5 2 4 7 3 2" xfId="35045" xr:uid="{00000000-0005-0000-0000-000082470000}"/>
    <cellStyle name="Normal 2 5 2 4 7 4" xfId="18311" xr:uid="{00000000-0005-0000-0000-000083470000}"/>
    <cellStyle name="Normal 2 5 2 4 7 4 2" xfId="43864" xr:uid="{00000000-0005-0000-0000-000084470000}"/>
    <cellStyle name="Normal 2 5 2 4 7 5" xfId="29801" xr:uid="{00000000-0005-0000-0000-000085470000}"/>
    <cellStyle name="Normal 2 5 2 4 8" xfId="1501" xr:uid="{00000000-0005-0000-0000-000086470000}"/>
    <cellStyle name="Normal 2 5 2 4 8 2" xfId="10878" xr:uid="{00000000-0005-0000-0000-000087470000}"/>
    <cellStyle name="Normal 2 5 2 4 8 2 2" xfId="36433" xr:uid="{00000000-0005-0000-0000-000088470000}"/>
    <cellStyle name="Normal 2 5 2 4 8 3" xfId="20882" xr:uid="{00000000-0005-0000-0000-000089470000}"/>
    <cellStyle name="Normal 2 5 2 4 8 3 2" xfId="46435" xr:uid="{00000000-0005-0000-0000-00008A470000}"/>
    <cellStyle name="Normal 2 5 2 4 8 4" xfId="27365" xr:uid="{00000000-0005-0000-0000-00008B470000}"/>
    <cellStyle name="Normal 2 5 2 4 9" xfId="5685" xr:uid="{00000000-0005-0000-0000-00008C470000}"/>
    <cellStyle name="Normal 2 5 2 4 9 2" xfId="14512" xr:uid="{00000000-0005-0000-0000-00008D470000}"/>
    <cellStyle name="Normal 2 5 2 4 9 2 2" xfId="40067" xr:uid="{00000000-0005-0000-0000-00008E470000}"/>
    <cellStyle name="Normal 2 5 2 4 9 3" xfId="24763" xr:uid="{00000000-0005-0000-0000-00008F470000}"/>
    <cellStyle name="Normal 2 5 2 4 9 3 2" xfId="50316" xr:uid="{00000000-0005-0000-0000-000090470000}"/>
    <cellStyle name="Normal 2 5 2 4 9 4" xfId="31246" xr:uid="{00000000-0005-0000-0000-000091470000}"/>
    <cellStyle name="Normal 2 5 2 4_Degree data" xfId="3839" xr:uid="{00000000-0005-0000-0000-000092470000}"/>
    <cellStyle name="Normal 2 5 2 5" xfId="240" xr:uid="{00000000-0005-0000-0000-000093470000}"/>
    <cellStyle name="Normal 2 5 2 5 10" xfId="7078" xr:uid="{00000000-0005-0000-0000-000094470000}"/>
    <cellStyle name="Normal 2 5 2 5 10 2" xfId="19692" xr:uid="{00000000-0005-0000-0000-000095470000}"/>
    <cellStyle name="Normal 2 5 2 5 10 2 2" xfId="45245" xr:uid="{00000000-0005-0000-0000-000096470000}"/>
    <cellStyle name="Normal 2 5 2 5 10 3" xfId="32635" xr:uid="{00000000-0005-0000-0000-000097470000}"/>
    <cellStyle name="Normal 2 5 2 5 11" xfId="15824" xr:uid="{00000000-0005-0000-0000-000098470000}"/>
    <cellStyle name="Normal 2 5 2 5 11 2" xfId="41377" xr:uid="{00000000-0005-0000-0000-000099470000}"/>
    <cellStyle name="Normal 2 5 2 5 12" xfId="26175" xr:uid="{00000000-0005-0000-0000-00009A470000}"/>
    <cellStyle name="Normal 2 5 2 5 2" xfId="563" xr:uid="{00000000-0005-0000-0000-00009B470000}"/>
    <cellStyle name="Normal 2 5 2 5 2 10" xfId="26492" xr:uid="{00000000-0005-0000-0000-00009C470000}"/>
    <cellStyle name="Normal 2 5 2 5 2 2" xfId="744" xr:uid="{00000000-0005-0000-0000-00009D470000}"/>
    <cellStyle name="Normal 2 5 2 5 2 2 2" xfId="3230" xr:uid="{00000000-0005-0000-0000-00009E470000}"/>
    <cellStyle name="Normal 2 5 2 5 2 2 2 2" xfId="12372" xr:uid="{00000000-0005-0000-0000-00009F470000}"/>
    <cellStyle name="Normal 2 5 2 5 2 2 2 2 2" xfId="22591" xr:uid="{00000000-0005-0000-0000-0000A0470000}"/>
    <cellStyle name="Normal 2 5 2 5 2 2 2 2 2 2" xfId="48144" xr:uid="{00000000-0005-0000-0000-0000A1470000}"/>
    <cellStyle name="Normal 2 5 2 5 2 2 2 2 3" xfId="37927" xr:uid="{00000000-0005-0000-0000-0000A2470000}"/>
    <cellStyle name="Normal 2 5 2 5 2 2 2 3" xfId="8794" xr:uid="{00000000-0005-0000-0000-0000A3470000}"/>
    <cellStyle name="Normal 2 5 2 5 2 2 2 3 2" xfId="34351" xr:uid="{00000000-0005-0000-0000-0000A4470000}"/>
    <cellStyle name="Normal 2 5 2 5 2 2 2 4" xfId="17584" xr:uid="{00000000-0005-0000-0000-0000A5470000}"/>
    <cellStyle name="Normal 2 5 2 5 2 2 2 4 2" xfId="43137" xr:uid="{00000000-0005-0000-0000-0000A6470000}"/>
    <cellStyle name="Normal 2 5 2 5 2 2 2 5" xfId="29074" xr:uid="{00000000-0005-0000-0000-0000A7470000}"/>
    <cellStyle name="Normal 2 5 2 5 2 2 3" xfId="4559" xr:uid="{00000000-0005-0000-0000-0000A8470000}"/>
    <cellStyle name="Normal 2 5 2 5 2 2 3 2" xfId="13397" xr:uid="{00000000-0005-0000-0000-0000A9470000}"/>
    <cellStyle name="Normal 2 5 2 5 2 2 3 2 2" xfId="23648" xr:uid="{00000000-0005-0000-0000-0000AA470000}"/>
    <cellStyle name="Normal 2 5 2 5 2 2 3 2 2 2" xfId="49201" xr:uid="{00000000-0005-0000-0000-0000AB470000}"/>
    <cellStyle name="Normal 2 5 2 5 2 2 3 2 3" xfId="38952" xr:uid="{00000000-0005-0000-0000-0000AC470000}"/>
    <cellStyle name="Normal 2 5 2 5 2 2 3 3" xfId="9818" xr:uid="{00000000-0005-0000-0000-0000AD470000}"/>
    <cellStyle name="Normal 2 5 2 5 2 2 3 3 2" xfId="35375" xr:uid="{00000000-0005-0000-0000-0000AE470000}"/>
    <cellStyle name="Normal 2 5 2 5 2 2 3 4" xfId="18641" xr:uid="{00000000-0005-0000-0000-0000AF470000}"/>
    <cellStyle name="Normal 2 5 2 5 2 2 3 4 2" xfId="44194" xr:uid="{00000000-0005-0000-0000-0000B0470000}"/>
    <cellStyle name="Normal 2 5 2 5 2 2 3 5" xfId="30131" xr:uid="{00000000-0005-0000-0000-0000B1470000}"/>
    <cellStyle name="Normal 2 5 2 5 2 2 4" xfId="2339" xr:uid="{00000000-0005-0000-0000-0000B2470000}"/>
    <cellStyle name="Normal 2 5 2 5 2 2 4 2" xfId="11704" xr:uid="{00000000-0005-0000-0000-0000B3470000}"/>
    <cellStyle name="Normal 2 5 2 5 2 2 4 2 2" xfId="37259" xr:uid="{00000000-0005-0000-0000-0000B4470000}"/>
    <cellStyle name="Normal 2 5 2 5 2 2 4 3" xfId="21708" xr:uid="{00000000-0005-0000-0000-0000B5470000}"/>
    <cellStyle name="Normal 2 5 2 5 2 2 4 3 2" xfId="47261" xr:uid="{00000000-0005-0000-0000-0000B6470000}"/>
    <cellStyle name="Normal 2 5 2 5 2 2 4 4" xfId="28191" xr:uid="{00000000-0005-0000-0000-0000B7470000}"/>
    <cellStyle name="Normal 2 5 2 5 2 2 5" xfId="6015" xr:uid="{00000000-0005-0000-0000-0000B8470000}"/>
    <cellStyle name="Normal 2 5 2 5 2 2 5 2" xfId="14842" xr:uid="{00000000-0005-0000-0000-0000B9470000}"/>
    <cellStyle name="Normal 2 5 2 5 2 2 5 2 2" xfId="40397" xr:uid="{00000000-0005-0000-0000-0000BA470000}"/>
    <cellStyle name="Normal 2 5 2 5 2 2 5 3" xfId="25093" xr:uid="{00000000-0005-0000-0000-0000BB470000}"/>
    <cellStyle name="Normal 2 5 2 5 2 2 5 3 2" xfId="50646" xr:uid="{00000000-0005-0000-0000-0000BC470000}"/>
    <cellStyle name="Normal 2 5 2 5 2 2 5 4" xfId="31576" xr:uid="{00000000-0005-0000-0000-0000BD470000}"/>
    <cellStyle name="Normal 2 5 2 5 2 2 6" xfId="7459" xr:uid="{00000000-0005-0000-0000-0000BE470000}"/>
    <cellStyle name="Normal 2 5 2 5 2 2 6 2" xfId="20190" xr:uid="{00000000-0005-0000-0000-0000BF470000}"/>
    <cellStyle name="Normal 2 5 2 5 2 2 6 2 2" xfId="45743" xr:uid="{00000000-0005-0000-0000-0000C0470000}"/>
    <cellStyle name="Normal 2 5 2 5 2 2 6 3" xfId="33016" xr:uid="{00000000-0005-0000-0000-0000C1470000}"/>
    <cellStyle name="Normal 2 5 2 5 2 2 7" xfId="16701" xr:uid="{00000000-0005-0000-0000-0000C2470000}"/>
    <cellStyle name="Normal 2 5 2 5 2 2 7 2" xfId="42254" xr:uid="{00000000-0005-0000-0000-0000C3470000}"/>
    <cellStyle name="Normal 2 5 2 5 2 2 8" xfId="26673" xr:uid="{00000000-0005-0000-0000-0000C4470000}"/>
    <cellStyle name="Normal 2 5 2 5 2 3" xfId="1335" xr:uid="{00000000-0005-0000-0000-0000C5470000}"/>
    <cellStyle name="Normal 2 5 2 5 2 3 2" xfId="3764" xr:uid="{00000000-0005-0000-0000-0000C6470000}"/>
    <cellStyle name="Normal 2 5 2 5 2 3 2 2" xfId="12900" xr:uid="{00000000-0005-0000-0000-0000C7470000}"/>
    <cellStyle name="Normal 2 5 2 5 2 3 2 2 2" xfId="23119" xr:uid="{00000000-0005-0000-0000-0000C8470000}"/>
    <cellStyle name="Normal 2 5 2 5 2 3 2 2 2 2" xfId="48672" xr:uid="{00000000-0005-0000-0000-0000C9470000}"/>
    <cellStyle name="Normal 2 5 2 5 2 3 2 2 3" xfId="38455" xr:uid="{00000000-0005-0000-0000-0000CA470000}"/>
    <cellStyle name="Normal 2 5 2 5 2 3 2 3" xfId="9321" xr:uid="{00000000-0005-0000-0000-0000CB470000}"/>
    <cellStyle name="Normal 2 5 2 5 2 3 2 3 2" xfId="34878" xr:uid="{00000000-0005-0000-0000-0000CC470000}"/>
    <cellStyle name="Normal 2 5 2 5 2 3 2 4" xfId="18112" xr:uid="{00000000-0005-0000-0000-0000CD470000}"/>
    <cellStyle name="Normal 2 5 2 5 2 3 2 4 2" xfId="43665" xr:uid="{00000000-0005-0000-0000-0000CE470000}"/>
    <cellStyle name="Normal 2 5 2 5 2 3 2 5" xfId="29602" xr:uid="{00000000-0005-0000-0000-0000CF470000}"/>
    <cellStyle name="Normal 2 5 2 5 2 3 3" xfId="4908" xr:uid="{00000000-0005-0000-0000-0000D0470000}"/>
    <cellStyle name="Normal 2 5 2 5 2 3 3 2" xfId="13745" xr:uid="{00000000-0005-0000-0000-0000D1470000}"/>
    <cellStyle name="Normal 2 5 2 5 2 3 3 2 2" xfId="23996" xr:uid="{00000000-0005-0000-0000-0000D2470000}"/>
    <cellStyle name="Normal 2 5 2 5 2 3 3 2 2 2" xfId="49549" xr:uid="{00000000-0005-0000-0000-0000D3470000}"/>
    <cellStyle name="Normal 2 5 2 5 2 3 3 2 3" xfId="39300" xr:uid="{00000000-0005-0000-0000-0000D4470000}"/>
    <cellStyle name="Normal 2 5 2 5 2 3 3 3" xfId="10166" xr:uid="{00000000-0005-0000-0000-0000D5470000}"/>
    <cellStyle name="Normal 2 5 2 5 2 3 3 3 2" xfId="35723" xr:uid="{00000000-0005-0000-0000-0000D6470000}"/>
    <cellStyle name="Normal 2 5 2 5 2 3 3 4" xfId="18989" xr:uid="{00000000-0005-0000-0000-0000D7470000}"/>
    <cellStyle name="Normal 2 5 2 5 2 3 3 4 2" xfId="44542" xr:uid="{00000000-0005-0000-0000-0000D8470000}"/>
    <cellStyle name="Normal 2 5 2 5 2 3 3 5" xfId="30479" xr:uid="{00000000-0005-0000-0000-0000D9470000}"/>
    <cellStyle name="Normal 2 5 2 5 2 3 4" xfId="2158" xr:uid="{00000000-0005-0000-0000-0000DA470000}"/>
    <cellStyle name="Normal 2 5 2 5 2 3 4 2" xfId="11523" xr:uid="{00000000-0005-0000-0000-0000DB470000}"/>
    <cellStyle name="Normal 2 5 2 5 2 3 4 2 2" xfId="37078" xr:uid="{00000000-0005-0000-0000-0000DC470000}"/>
    <cellStyle name="Normal 2 5 2 5 2 3 4 3" xfId="21527" xr:uid="{00000000-0005-0000-0000-0000DD470000}"/>
    <cellStyle name="Normal 2 5 2 5 2 3 4 3 2" xfId="47080" xr:uid="{00000000-0005-0000-0000-0000DE470000}"/>
    <cellStyle name="Normal 2 5 2 5 2 3 4 4" xfId="28010" xr:uid="{00000000-0005-0000-0000-0000DF470000}"/>
    <cellStyle name="Normal 2 5 2 5 2 3 5" xfId="6363" xr:uid="{00000000-0005-0000-0000-0000E0470000}"/>
    <cellStyle name="Normal 2 5 2 5 2 3 5 2" xfId="15190" xr:uid="{00000000-0005-0000-0000-0000E1470000}"/>
    <cellStyle name="Normal 2 5 2 5 2 3 5 2 2" xfId="40745" xr:uid="{00000000-0005-0000-0000-0000E2470000}"/>
    <cellStyle name="Normal 2 5 2 5 2 3 5 3" xfId="25441" xr:uid="{00000000-0005-0000-0000-0000E3470000}"/>
    <cellStyle name="Normal 2 5 2 5 2 3 5 3 2" xfId="50994" xr:uid="{00000000-0005-0000-0000-0000E4470000}"/>
    <cellStyle name="Normal 2 5 2 5 2 3 5 4" xfId="31924" xr:uid="{00000000-0005-0000-0000-0000E5470000}"/>
    <cellStyle name="Normal 2 5 2 5 2 3 6" xfId="7809" xr:uid="{00000000-0005-0000-0000-0000E6470000}"/>
    <cellStyle name="Normal 2 5 2 5 2 3 6 2" xfId="20718" xr:uid="{00000000-0005-0000-0000-0000E7470000}"/>
    <cellStyle name="Normal 2 5 2 5 2 3 6 2 2" xfId="46271" xr:uid="{00000000-0005-0000-0000-0000E8470000}"/>
    <cellStyle name="Normal 2 5 2 5 2 3 6 3" xfId="33366" xr:uid="{00000000-0005-0000-0000-0000E9470000}"/>
    <cellStyle name="Normal 2 5 2 5 2 3 7" xfId="16520" xr:uid="{00000000-0005-0000-0000-0000EA470000}"/>
    <cellStyle name="Normal 2 5 2 5 2 3 7 2" xfId="42073" xr:uid="{00000000-0005-0000-0000-0000EB470000}"/>
    <cellStyle name="Normal 2 5 2 5 2 3 8" xfId="27201" xr:uid="{00000000-0005-0000-0000-0000EC470000}"/>
    <cellStyle name="Normal 2 5 2 5 2 4" xfId="3049" xr:uid="{00000000-0005-0000-0000-0000ED470000}"/>
    <cellStyle name="Normal 2 5 2 5 2 4 2" xfId="5427" xr:uid="{00000000-0005-0000-0000-0000EE470000}"/>
    <cellStyle name="Normal 2 5 2 5 2 4 2 2" xfId="14264" xr:uid="{00000000-0005-0000-0000-0000EF470000}"/>
    <cellStyle name="Normal 2 5 2 5 2 4 2 2 2" xfId="24515" xr:uid="{00000000-0005-0000-0000-0000F0470000}"/>
    <cellStyle name="Normal 2 5 2 5 2 4 2 2 2 2" xfId="50068" xr:uid="{00000000-0005-0000-0000-0000F1470000}"/>
    <cellStyle name="Normal 2 5 2 5 2 4 2 2 3" xfId="39819" xr:uid="{00000000-0005-0000-0000-0000F2470000}"/>
    <cellStyle name="Normal 2 5 2 5 2 4 2 3" xfId="10685" xr:uid="{00000000-0005-0000-0000-0000F3470000}"/>
    <cellStyle name="Normal 2 5 2 5 2 4 2 3 2" xfId="36242" xr:uid="{00000000-0005-0000-0000-0000F4470000}"/>
    <cellStyle name="Normal 2 5 2 5 2 4 2 4" xfId="19508" xr:uid="{00000000-0005-0000-0000-0000F5470000}"/>
    <cellStyle name="Normal 2 5 2 5 2 4 2 4 2" xfId="45061" xr:uid="{00000000-0005-0000-0000-0000F6470000}"/>
    <cellStyle name="Normal 2 5 2 5 2 4 2 5" xfId="30998" xr:uid="{00000000-0005-0000-0000-0000F7470000}"/>
    <cellStyle name="Normal 2 5 2 5 2 4 3" xfId="6882" xr:uid="{00000000-0005-0000-0000-0000F8470000}"/>
    <cellStyle name="Normal 2 5 2 5 2 4 3 2" xfId="15709" xr:uid="{00000000-0005-0000-0000-0000F9470000}"/>
    <cellStyle name="Normal 2 5 2 5 2 4 3 2 2" xfId="41264" xr:uid="{00000000-0005-0000-0000-0000FA470000}"/>
    <cellStyle name="Normal 2 5 2 5 2 4 3 3" xfId="25960" xr:uid="{00000000-0005-0000-0000-0000FB470000}"/>
    <cellStyle name="Normal 2 5 2 5 2 4 3 3 2" xfId="51513" xr:uid="{00000000-0005-0000-0000-0000FC470000}"/>
    <cellStyle name="Normal 2 5 2 5 2 4 3 4" xfId="32443" xr:uid="{00000000-0005-0000-0000-0000FD470000}"/>
    <cellStyle name="Normal 2 5 2 5 2 4 4" xfId="8328" xr:uid="{00000000-0005-0000-0000-0000FE470000}"/>
    <cellStyle name="Normal 2 5 2 5 2 4 4 2" xfId="22410" xr:uid="{00000000-0005-0000-0000-0000FF470000}"/>
    <cellStyle name="Normal 2 5 2 5 2 4 4 2 2" xfId="47963" xr:uid="{00000000-0005-0000-0000-000000480000}"/>
    <cellStyle name="Normal 2 5 2 5 2 4 4 3" xfId="33885" xr:uid="{00000000-0005-0000-0000-000001480000}"/>
    <cellStyle name="Normal 2 5 2 5 2 4 5" xfId="17403" xr:uid="{00000000-0005-0000-0000-000002480000}"/>
    <cellStyle name="Normal 2 5 2 5 2 4 5 2" xfId="42956" xr:uid="{00000000-0005-0000-0000-000003480000}"/>
    <cellStyle name="Normal 2 5 2 5 2 4 6" xfId="28893" xr:uid="{00000000-0005-0000-0000-000004480000}"/>
    <cellStyle name="Normal 2 5 2 5 2 5" xfId="4383" xr:uid="{00000000-0005-0000-0000-000005480000}"/>
    <cellStyle name="Normal 2 5 2 5 2 5 2" xfId="13221" xr:uid="{00000000-0005-0000-0000-000006480000}"/>
    <cellStyle name="Normal 2 5 2 5 2 5 2 2" xfId="23472" xr:uid="{00000000-0005-0000-0000-000007480000}"/>
    <cellStyle name="Normal 2 5 2 5 2 5 2 2 2" xfId="49025" xr:uid="{00000000-0005-0000-0000-000008480000}"/>
    <cellStyle name="Normal 2 5 2 5 2 5 2 3" xfId="38776" xr:uid="{00000000-0005-0000-0000-000009480000}"/>
    <cellStyle name="Normal 2 5 2 5 2 5 3" xfId="9642" xr:uid="{00000000-0005-0000-0000-00000A480000}"/>
    <cellStyle name="Normal 2 5 2 5 2 5 3 2" xfId="35199" xr:uid="{00000000-0005-0000-0000-00000B480000}"/>
    <cellStyle name="Normal 2 5 2 5 2 5 4" xfId="18465" xr:uid="{00000000-0005-0000-0000-00000C480000}"/>
    <cellStyle name="Normal 2 5 2 5 2 5 4 2" xfId="44018" xr:uid="{00000000-0005-0000-0000-00000D480000}"/>
    <cellStyle name="Normal 2 5 2 5 2 5 5" xfId="29955" xr:uid="{00000000-0005-0000-0000-00000E480000}"/>
    <cellStyle name="Normal 2 5 2 5 2 6" xfId="1655" xr:uid="{00000000-0005-0000-0000-00000F480000}"/>
    <cellStyle name="Normal 2 5 2 5 2 6 2" xfId="11032" xr:uid="{00000000-0005-0000-0000-000010480000}"/>
    <cellStyle name="Normal 2 5 2 5 2 6 2 2" xfId="36587" xr:uid="{00000000-0005-0000-0000-000011480000}"/>
    <cellStyle name="Normal 2 5 2 5 2 6 3" xfId="21036" xr:uid="{00000000-0005-0000-0000-000012480000}"/>
    <cellStyle name="Normal 2 5 2 5 2 6 3 2" xfId="46589" xr:uid="{00000000-0005-0000-0000-000013480000}"/>
    <cellStyle name="Normal 2 5 2 5 2 6 4" xfId="27519" xr:uid="{00000000-0005-0000-0000-000014480000}"/>
    <cellStyle name="Normal 2 5 2 5 2 7" xfId="5839" xr:uid="{00000000-0005-0000-0000-000015480000}"/>
    <cellStyle name="Normal 2 5 2 5 2 7 2" xfId="14666" xr:uid="{00000000-0005-0000-0000-000016480000}"/>
    <cellStyle name="Normal 2 5 2 5 2 7 2 2" xfId="40221" xr:uid="{00000000-0005-0000-0000-000017480000}"/>
    <cellStyle name="Normal 2 5 2 5 2 7 3" xfId="24917" xr:uid="{00000000-0005-0000-0000-000018480000}"/>
    <cellStyle name="Normal 2 5 2 5 2 7 3 2" xfId="50470" xr:uid="{00000000-0005-0000-0000-000019480000}"/>
    <cellStyle name="Normal 2 5 2 5 2 7 4" xfId="31400" xr:uid="{00000000-0005-0000-0000-00001A480000}"/>
    <cellStyle name="Normal 2 5 2 5 2 8" xfId="7283" xr:uid="{00000000-0005-0000-0000-00001B480000}"/>
    <cellStyle name="Normal 2 5 2 5 2 8 2" xfId="20009" xr:uid="{00000000-0005-0000-0000-00001C480000}"/>
    <cellStyle name="Normal 2 5 2 5 2 8 2 2" xfId="45562" xr:uid="{00000000-0005-0000-0000-00001D480000}"/>
    <cellStyle name="Normal 2 5 2 5 2 8 3" xfId="32840" xr:uid="{00000000-0005-0000-0000-00001E480000}"/>
    <cellStyle name="Normal 2 5 2 5 2 9" xfId="16029" xr:uid="{00000000-0005-0000-0000-00001F480000}"/>
    <cellStyle name="Normal 2 5 2 5 2 9 2" xfId="41582" xr:uid="{00000000-0005-0000-0000-000020480000}"/>
    <cellStyle name="Normal 2 5 2 5 2_Degree data" xfId="3814" xr:uid="{00000000-0005-0000-0000-000021480000}"/>
    <cellStyle name="Normal 2 5 2 5 3" xfId="358" xr:uid="{00000000-0005-0000-0000-000022480000}"/>
    <cellStyle name="Normal 2 5 2 5 3 2" xfId="2844" xr:uid="{00000000-0005-0000-0000-000023480000}"/>
    <cellStyle name="Normal 2 5 2 5 3 2 2" xfId="12132" xr:uid="{00000000-0005-0000-0000-000024480000}"/>
    <cellStyle name="Normal 2 5 2 5 3 2 2 2" xfId="22205" xr:uid="{00000000-0005-0000-0000-000025480000}"/>
    <cellStyle name="Normal 2 5 2 5 3 2 2 2 2" xfId="47758" xr:uid="{00000000-0005-0000-0000-000026480000}"/>
    <cellStyle name="Normal 2 5 2 5 3 2 2 3" xfId="37687" xr:uid="{00000000-0005-0000-0000-000027480000}"/>
    <cellStyle name="Normal 2 5 2 5 3 2 3" xfId="8382" xr:uid="{00000000-0005-0000-0000-000028480000}"/>
    <cellStyle name="Normal 2 5 2 5 3 2 3 2" xfId="33939" xr:uid="{00000000-0005-0000-0000-000029480000}"/>
    <cellStyle name="Normal 2 5 2 5 3 2 4" xfId="17198" xr:uid="{00000000-0005-0000-0000-00002A480000}"/>
    <cellStyle name="Normal 2 5 2 5 3 2 4 2" xfId="42751" xr:uid="{00000000-0005-0000-0000-00002B480000}"/>
    <cellStyle name="Normal 2 5 2 5 3 2 5" xfId="28688" xr:uid="{00000000-0005-0000-0000-00002C480000}"/>
    <cellStyle name="Normal 2 5 2 5 3 3" xfId="4558" xr:uid="{00000000-0005-0000-0000-00002D480000}"/>
    <cellStyle name="Normal 2 5 2 5 3 3 2" xfId="13396" xr:uid="{00000000-0005-0000-0000-00002E480000}"/>
    <cellStyle name="Normal 2 5 2 5 3 3 2 2" xfId="23647" xr:uid="{00000000-0005-0000-0000-00002F480000}"/>
    <cellStyle name="Normal 2 5 2 5 3 3 2 2 2" xfId="49200" xr:uid="{00000000-0005-0000-0000-000030480000}"/>
    <cellStyle name="Normal 2 5 2 5 3 3 2 3" xfId="38951" xr:uid="{00000000-0005-0000-0000-000031480000}"/>
    <cellStyle name="Normal 2 5 2 5 3 3 3" xfId="9817" xr:uid="{00000000-0005-0000-0000-000032480000}"/>
    <cellStyle name="Normal 2 5 2 5 3 3 3 2" xfId="35374" xr:uid="{00000000-0005-0000-0000-000033480000}"/>
    <cellStyle name="Normal 2 5 2 5 3 3 4" xfId="18640" xr:uid="{00000000-0005-0000-0000-000034480000}"/>
    <cellStyle name="Normal 2 5 2 5 3 3 4 2" xfId="44193" xr:uid="{00000000-0005-0000-0000-000035480000}"/>
    <cellStyle name="Normal 2 5 2 5 3 3 5" xfId="30130" xr:uid="{00000000-0005-0000-0000-000036480000}"/>
    <cellStyle name="Normal 2 5 2 5 3 4" xfId="1953" xr:uid="{00000000-0005-0000-0000-000037480000}"/>
    <cellStyle name="Normal 2 5 2 5 3 4 2" xfId="11318" xr:uid="{00000000-0005-0000-0000-000038480000}"/>
    <cellStyle name="Normal 2 5 2 5 3 4 2 2" xfId="36873" xr:uid="{00000000-0005-0000-0000-000039480000}"/>
    <cellStyle name="Normal 2 5 2 5 3 4 3" xfId="21322" xr:uid="{00000000-0005-0000-0000-00003A480000}"/>
    <cellStyle name="Normal 2 5 2 5 3 4 3 2" xfId="46875" xr:uid="{00000000-0005-0000-0000-00003B480000}"/>
    <cellStyle name="Normal 2 5 2 5 3 4 4" xfId="27805" xr:uid="{00000000-0005-0000-0000-00003C480000}"/>
    <cellStyle name="Normal 2 5 2 5 3 5" xfId="6014" xr:uid="{00000000-0005-0000-0000-00003D480000}"/>
    <cellStyle name="Normal 2 5 2 5 3 5 2" xfId="14841" xr:uid="{00000000-0005-0000-0000-00003E480000}"/>
    <cellStyle name="Normal 2 5 2 5 3 5 2 2" xfId="40396" xr:uid="{00000000-0005-0000-0000-00003F480000}"/>
    <cellStyle name="Normal 2 5 2 5 3 5 3" xfId="25092" xr:uid="{00000000-0005-0000-0000-000040480000}"/>
    <cellStyle name="Normal 2 5 2 5 3 5 3 2" xfId="50645" xr:uid="{00000000-0005-0000-0000-000041480000}"/>
    <cellStyle name="Normal 2 5 2 5 3 5 4" xfId="31575" xr:uid="{00000000-0005-0000-0000-000042480000}"/>
    <cellStyle name="Normal 2 5 2 5 3 6" xfId="7458" xr:uid="{00000000-0005-0000-0000-000043480000}"/>
    <cellStyle name="Normal 2 5 2 5 3 6 2" xfId="19804" xr:uid="{00000000-0005-0000-0000-000044480000}"/>
    <cellStyle name="Normal 2 5 2 5 3 6 2 2" xfId="45357" xr:uid="{00000000-0005-0000-0000-000045480000}"/>
    <cellStyle name="Normal 2 5 2 5 3 6 3" xfId="33015" xr:uid="{00000000-0005-0000-0000-000046480000}"/>
    <cellStyle name="Normal 2 5 2 5 3 7" xfId="16315" xr:uid="{00000000-0005-0000-0000-000047480000}"/>
    <cellStyle name="Normal 2 5 2 5 3 7 2" xfId="41868" xr:uid="{00000000-0005-0000-0000-000048480000}"/>
    <cellStyle name="Normal 2 5 2 5 3 8" xfId="26287" xr:uid="{00000000-0005-0000-0000-000049480000}"/>
    <cellStyle name="Normal 2 5 2 5 4" xfId="743" xr:uid="{00000000-0005-0000-0000-00004A480000}"/>
    <cellStyle name="Normal 2 5 2 5 4 2" xfId="3229" xr:uid="{00000000-0005-0000-0000-00004B480000}"/>
    <cellStyle name="Normal 2 5 2 5 4 2 2" xfId="12371" xr:uid="{00000000-0005-0000-0000-00004C480000}"/>
    <cellStyle name="Normal 2 5 2 5 4 2 2 2" xfId="22590" xr:uid="{00000000-0005-0000-0000-00004D480000}"/>
    <cellStyle name="Normal 2 5 2 5 4 2 2 2 2" xfId="48143" xr:uid="{00000000-0005-0000-0000-00004E480000}"/>
    <cellStyle name="Normal 2 5 2 5 4 2 2 3" xfId="37926" xr:uid="{00000000-0005-0000-0000-00004F480000}"/>
    <cellStyle name="Normal 2 5 2 5 4 2 3" xfId="8793" xr:uid="{00000000-0005-0000-0000-000050480000}"/>
    <cellStyle name="Normal 2 5 2 5 4 2 3 2" xfId="34350" xr:uid="{00000000-0005-0000-0000-000051480000}"/>
    <cellStyle name="Normal 2 5 2 5 4 2 4" xfId="17583" xr:uid="{00000000-0005-0000-0000-000052480000}"/>
    <cellStyle name="Normal 2 5 2 5 4 2 4 2" xfId="43136" xr:uid="{00000000-0005-0000-0000-000053480000}"/>
    <cellStyle name="Normal 2 5 2 5 4 2 5" xfId="29073" xr:uid="{00000000-0005-0000-0000-000054480000}"/>
    <cellStyle name="Normal 2 5 2 5 4 3" xfId="4907" xr:uid="{00000000-0005-0000-0000-000055480000}"/>
    <cellStyle name="Normal 2 5 2 5 4 3 2" xfId="13744" xr:uid="{00000000-0005-0000-0000-000056480000}"/>
    <cellStyle name="Normal 2 5 2 5 4 3 2 2" xfId="23995" xr:uid="{00000000-0005-0000-0000-000057480000}"/>
    <cellStyle name="Normal 2 5 2 5 4 3 2 2 2" xfId="49548" xr:uid="{00000000-0005-0000-0000-000058480000}"/>
    <cellStyle name="Normal 2 5 2 5 4 3 2 3" xfId="39299" xr:uid="{00000000-0005-0000-0000-000059480000}"/>
    <cellStyle name="Normal 2 5 2 5 4 3 3" xfId="10165" xr:uid="{00000000-0005-0000-0000-00005A480000}"/>
    <cellStyle name="Normal 2 5 2 5 4 3 3 2" xfId="35722" xr:uid="{00000000-0005-0000-0000-00005B480000}"/>
    <cellStyle name="Normal 2 5 2 5 4 3 4" xfId="18988" xr:uid="{00000000-0005-0000-0000-00005C480000}"/>
    <cellStyle name="Normal 2 5 2 5 4 3 4 2" xfId="44541" xr:uid="{00000000-0005-0000-0000-00005D480000}"/>
    <cellStyle name="Normal 2 5 2 5 4 3 5" xfId="30478" xr:uid="{00000000-0005-0000-0000-00005E480000}"/>
    <cellStyle name="Normal 2 5 2 5 4 4" xfId="2338" xr:uid="{00000000-0005-0000-0000-00005F480000}"/>
    <cellStyle name="Normal 2 5 2 5 4 4 2" xfId="11703" xr:uid="{00000000-0005-0000-0000-000060480000}"/>
    <cellStyle name="Normal 2 5 2 5 4 4 2 2" xfId="37258" xr:uid="{00000000-0005-0000-0000-000061480000}"/>
    <cellStyle name="Normal 2 5 2 5 4 4 3" xfId="21707" xr:uid="{00000000-0005-0000-0000-000062480000}"/>
    <cellStyle name="Normal 2 5 2 5 4 4 3 2" xfId="47260" xr:uid="{00000000-0005-0000-0000-000063480000}"/>
    <cellStyle name="Normal 2 5 2 5 4 4 4" xfId="28190" xr:uid="{00000000-0005-0000-0000-000064480000}"/>
    <cellStyle name="Normal 2 5 2 5 4 5" xfId="6362" xr:uid="{00000000-0005-0000-0000-000065480000}"/>
    <cellStyle name="Normal 2 5 2 5 4 5 2" xfId="15189" xr:uid="{00000000-0005-0000-0000-000066480000}"/>
    <cellStyle name="Normal 2 5 2 5 4 5 2 2" xfId="40744" xr:uid="{00000000-0005-0000-0000-000067480000}"/>
    <cellStyle name="Normal 2 5 2 5 4 5 3" xfId="25440" xr:uid="{00000000-0005-0000-0000-000068480000}"/>
    <cellStyle name="Normal 2 5 2 5 4 5 3 2" xfId="50993" xr:uid="{00000000-0005-0000-0000-000069480000}"/>
    <cellStyle name="Normal 2 5 2 5 4 5 4" xfId="31923" xr:uid="{00000000-0005-0000-0000-00006A480000}"/>
    <cellStyle name="Normal 2 5 2 5 4 6" xfId="7808" xr:uid="{00000000-0005-0000-0000-00006B480000}"/>
    <cellStyle name="Normal 2 5 2 5 4 6 2" xfId="20189" xr:uid="{00000000-0005-0000-0000-00006C480000}"/>
    <cellStyle name="Normal 2 5 2 5 4 6 2 2" xfId="45742" xr:uid="{00000000-0005-0000-0000-00006D480000}"/>
    <cellStyle name="Normal 2 5 2 5 4 6 3" xfId="33365" xr:uid="{00000000-0005-0000-0000-00006E480000}"/>
    <cellStyle name="Normal 2 5 2 5 4 7" xfId="16700" xr:uid="{00000000-0005-0000-0000-00006F480000}"/>
    <cellStyle name="Normal 2 5 2 5 4 7 2" xfId="42253" xr:uid="{00000000-0005-0000-0000-000070480000}"/>
    <cellStyle name="Normal 2 5 2 5 4 8" xfId="26672" xr:uid="{00000000-0005-0000-0000-000071480000}"/>
    <cellStyle name="Normal 2 5 2 5 5" xfId="1130" xr:uid="{00000000-0005-0000-0000-000072480000}"/>
    <cellStyle name="Normal 2 5 2 5 5 2" xfId="3559" xr:uid="{00000000-0005-0000-0000-000073480000}"/>
    <cellStyle name="Normal 2 5 2 5 5 2 2" xfId="12695" xr:uid="{00000000-0005-0000-0000-000074480000}"/>
    <cellStyle name="Normal 2 5 2 5 5 2 2 2" xfId="22914" xr:uid="{00000000-0005-0000-0000-000075480000}"/>
    <cellStyle name="Normal 2 5 2 5 5 2 2 2 2" xfId="48467" xr:uid="{00000000-0005-0000-0000-000076480000}"/>
    <cellStyle name="Normal 2 5 2 5 5 2 2 3" xfId="38250" xr:uid="{00000000-0005-0000-0000-000077480000}"/>
    <cellStyle name="Normal 2 5 2 5 5 2 3" xfId="9116" xr:uid="{00000000-0005-0000-0000-000078480000}"/>
    <cellStyle name="Normal 2 5 2 5 5 2 3 2" xfId="34673" xr:uid="{00000000-0005-0000-0000-000079480000}"/>
    <cellStyle name="Normal 2 5 2 5 5 2 4" xfId="17907" xr:uid="{00000000-0005-0000-0000-00007A480000}"/>
    <cellStyle name="Normal 2 5 2 5 5 2 4 2" xfId="43460" xr:uid="{00000000-0005-0000-0000-00007B480000}"/>
    <cellStyle name="Normal 2 5 2 5 5 2 5" xfId="29397" xr:uid="{00000000-0005-0000-0000-00007C480000}"/>
    <cellStyle name="Normal 2 5 2 5 5 3" xfId="5222" xr:uid="{00000000-0005-0000-0000-00007D480000}"/>
    <cellStyle name="Normal 2 5 2 5 5 3 2" xfId="14059" xr:uid="{00000000-0005-0000-0000-00007E480000}"/>
    <cellStyle name="Normal 2 5 2 5 5 3 2 2" xfId="24310" xr:uid="{00000000-0005-0000-0000-00007F480000}"/>
    <cellStyle name="Normal 2 5 2 5 5 3 2 2 2" xfId="49863" xr:uid="{00000000-0005-0000-0000-000080480000}"/>
    <cellStyle name="Normal 2 5 2 5 5 3 2 3" xfId="39614" xr:uid="{00000000-0005-0000-0000-000081480000}"/>
    <cellStyle name="Normal 2 5 2 5 5 3 3" xfId="10480" xr:uid="{00000000-0005-0000-0000-000082480000}"/>
    <cellStyle name="Normal 2 5 2 5 5 3 3 2" xfId="36037" xr:uid="{00000000-0005-0000-0000-000083480000}"/>
    <cellStyle name="Normal 2 5 2 5 5 3 4" xfId="19303" xr:uid="{00000000-0005-0000-0000-000084480000}"/>
    <cellStyle name="Normal 2 5 2 5 5 3 4 2" xfId="44856" xr:uid="{00000000-0005-0000-0000-000085480000}"/>
    <cellStyle name="Normal 2 5 2 5 5 3 5" xfId="30793" xr:uid="{00000000-0005-0000-0000-000086480000}"/>
    <cellStyle name="Normal 2 5 2 5 5 4" xfId="1838" xr:uid="{00000000-0005-0000-0000-000087480000}"/>
    <cellStyle name="Normal 2 5 2 5 5 4 2" xfId="11206" xr:uid="{00000000-0005-0000-0000-000088480000}"/>
    <cellStyle name="Normal 2 5 2 5 5 4 2 2" xfId="36761" xr:uid="{00000000-0005-0000-0000-000089480000}"/>
    <cellStyle name="Normal 2 5 2 5 5 4 3" xfId="21210" xr:uid="{00000000-0005-0000-0000-00008A480000}"/>
    <cellStyle name="Normal 2 5 2 5 5 4 3 2" xfId="46763" xr:uid="{00000000-0005-0000-0000-00008B480000}"/>
    <cellStyle name="Normal 2 5 2 5 5 4 4" xfId="27693" xr:uid="{00000000-0005-0000-0000-00008C480000}"/>
    <cellStyle name="Normal 2 5 2 5 5 5" xfId="6677" xr:uid="{00000000-0005-0000-0000-00008D480000}"/>
    <cellStyle name="Normal 2 5 2 5 5 5 2" xfId="15504" xr:uid="{00000000-0005-0000-0000-00008E480000}"/>
    <cellStyle name="Normal 2 5 2 5 5 5 2 2" xfId="41059" xr:uid="{00000000-0005-0000-0000-00008F480000}"/>
    <cellStyle name="Normal 2 5 2 5 5 5 3" xfId="25755" xr:uid="{00000000-0005-0000-0000-000090480000}"/>
    <cellStyle name="Normal 2 5 2 5 5 5 3 2" xfId="51308" xr:uid="{00000000-0005-0000-0000-000091480000}"/>
    <cellStyle name="Normal 2 5 2 5 5 5 4" xfId="32238" xr:uid="{00000000-0005-0000-0000-000092480000}"/>
    <cellStyle name="Normal 2 5 2 5 5 6" xfId="8123" xr:uid="{00000000-0005-0000-0000-000093480000}"/>
    <cellStyle name="Normal 2 5 2 5 5 6 2" xfId="20513" xr:uid="{00000000-0005-0000-0000-000094480000}"/>
    <cellStyle name="Normal 2 5 2 5 5 6 2 2" xfId="46066" xr:uid="{00000000-0005-0000-0000-000095480000}"/>
    <cellStyle name="Normal 2 5 2 5 5 6 3" xfId="33680" xr:uid="{00000000-0005-0000-0000-000096480000}"/>
    <cellStyle name="Normal 2 5 2 5 5 7" xfId="16203" xr:uid="{00000000-0005-0000-0000-000097480000}"/>
    <cellStyle name="Normal 2 5 2 5 5 7 2" xfId="41756" xr:uid="{00000000-0005-0000-0000-000098480000}"/>
    <cellStyle name="Normal 2 5 2 5 5 8" xfId="26996" xr:uid="{00000000-0005-0000-0000-000099480000}"/>
    <cellStyle name="Normal 2 5 2 5 6" xfId="2732" xr:uid="{00000000-0005-0000-0000-00009A480000}"/>
    <cellStyle name="Normal 2 5 2 5 6 2" xfId="12049" xr:uid="{00000000-0005-0000-0000-00009B480000}"/>
    <cellStyle name="Normal 2 5 2 5 6 2 2" xfId="22093" xr:uid="{00000000-0005-0000-0000-00009C480000}"/>
    <cellStyle name="Normal 2 5 2 5 6 2 2 2" xfId="47646" xr:uid="{00000000-0005-0000-0000-00009D480000}"/>
    <cellStyle name="Normal 2 5 2 5 6 2 3" xfId="37604" xr:uid="{00000000-0005-0000-0000-00009E480000}"/>
    <cellStyle name="Normal 2 5 2 5 6 3" xfId="8424" xr:uid="{00000000-0005-0000-0000-00009F480000}"/>
    <cellStyle name="Normal 2 5 2 5 6 3 2" xfId="33981" xr:uid="{00000000-0005-0000-0000-0000A0480000}"/>
    <cellStyle name="Normal 2 5 2 5 6 4" xfId="17086" xr:uid="{00000000-0005-0000-0000-0000A1480000}"/>
    <cellStyle name="Normal 2 5 2 5 6 4 2" xfId="42639" xr:uid="{00000000-0005-0000-0000-0000A2480000}"/>
    <cellStyle name="Normal 2 5 2 5 6 5" xfId="28576" xr:uid="{00000000-0005-0000-0000-0000A3480000}"/>
    <cellStyle name="Normal 2 5 2 5 7" xfId="4178" xr:uid="{00000000-0005-0000-0000-0000A4480000}"/>
    <cellStyle name="Normal 2 5 2 5 7 2" xfId="13016" xr:uid="{00000000-0005-0000-0000-0000A5480000}"/>
    <cellStyle name="Normal 2 5 2 5 7 2 2" xfId="23267" xr:uid="{00000000-0005-0000-0000-0000A6480000}"/>
    <cellStyle name="Normal 2 5 2 5 7 2 2 2" xfId="48820" xr:uid="{00000000-0005-0000-0000-0000A7480000}"/>
    <cellStyle name="Normal 2 5 2 5 7 2 3" xfId="38571" xr:uid="{00000000-0005-0000-0000-0000A8480000}"/>
    <cellStyle name="Normal 2 5 2 5 7 3" xfId="9437" xr:uid="{00000000-0005-0000-0000-0000A9480000}"/>
    <cellStyle name="Normal 2 5 2 5 7 3 2" xfId="34994" xr:uid="{00000000-0005-0000-0000-0000AA480000}"/>
    <cellStyle name="Normal 2 5 2 5 7 4" xfId="18260" xr:uid="{00000000-0005-0000-0000-0000AB480000}"/>
    <cellStyle name="Normal 2 5 2 5 7 4 2" xfId="43813" xr:uid="{00000000-0005-0000-0000-0000AC480000}"/>
    <cellStyle name="Normal 2 5 2 5 7 5" xfId="29750" xr:uid="{00000000-0005-0000-0000-0000AD480000}"/>
    <cellStyle name="Normal 2 5 2 5 8" xfId="1450" xr:uid="{00000000-0005-0000-0000-0000AE480000}"/>
    <cellStyle name="Normal 2 5 2 5 8 2" xfId="10827" xr:uid="{00000000-0005-0000-0000-0000AF480000}"/>
    <cellStyle name="Normal 2 5 2 5 8 2 2" xfId="36382" xr:uid="{00000000-0005-0000-0000-0000B0480000}"/>
    <cellStyle name="Normal 2 5 2 5 8 3" xfId="20831" xr:uid="{00000000-0005-0000-0000-0000B1480000}"/>
    <cellStyle name="Normal 2 5 2 5 8 3 2" xfId="46384" xr:uid="{00000000-0005-0000-0000-0000B2480000}"/>
    <cellStyle name="Normal 2 5 2 5 8 4" xfId="27314" xr:uid="{00000000-0005-0000-0000-0000B3480000}"/>
    <cellStyle name="Normal 2 5 2 5 9" xfId="5634" xr:uid="{00000000-0005-0000-0000-0000B4480000}"/>
    <cellStyle name="Normal 2 5 2 5 9 2" xfId="14461" xr:uid="{00000000-0005-0000-0000-0000B5480000}"/>
    <cellStyle name="Normal 2 5 2 5 9 2 2" xfId="40016" xr:uid="{00000000-0005-0000-0000-0000B6480000}"/>
    <cellStyle name="Normal 2 5 2 5 9 3" xfId="24712" xr:uid="{00000000-0005-0000-0000-0000B7480000}"/>
    <cellStyle name="Normal 2 5 2 5 9 3 2" xfId="50265" xr:uid="{00000000-0005-0000-0000-0000B8480000}"/>
    <cellStyle name="Normal 2 5 2 5 9 4" xfId="31195" xr:uid="{00000000-0005-0000-0000-0000B9480000}"/>
    <cellStyle name="Normal 2 5 2 5_Degree data" xfId="3905" xr:uid="{00000000-0005-0000-0000-0000BA480000}"/>
    <cellStyle name="Normal 2 5 2 6" xfId="458" xr:uid="{00000000-0005-0000-0000-0000BB480000}"/>
    <cellStyle name="Normal 2 5 2 6 10" xfId="26387" xr:uid="{00000000-0005-0000-0000-0000BC480000}"/>
    <cellStyle name="Normal 2 5 2 6 2" xfId="745" xr:uid="{00000000-0005-0000-0000-0000BD480000}"/>
    <cellStyle name="Normal 2 5 2 6 2 2" xfId="3231" xr:uid="{00000000-0005-0000-0000-0000BE480000}"/>
    <cellStyle name="Normal 2 5 2 6 2 2 2" xfId="12373" xr:uid="{00000000-0005-0000-0000-0000BF480000}"/>
    <cellStyle name="Normal 2 5 2 6 2 2 2 2" xfId="22592" xr:uid="{00000000-0005-0000-0000-0000C0480000}"/>
    <cellStyle name="Normal 2 5 2 6 2 2 2 2 2" xfId="48145" xr:uid="{00000000-0005-0000-0000-0000C1480000}"/>
    <cellStyle name="Normal 2 5 2 6 2 2 2 3" xfId="37928" xr:uid="{00000000-0005-0000-0000-0000C2480000}"/>
    <cellStyle name="Normal 2 5 2 6 2 2 3" xfId="8795" xr:uid="{00000000-0005-0000-0000-0000C3480000}"/>
    <cellStyle name="Normal 2 5 2 6 2 2 3 2" xfId="34352" xr:uid="{00000000-0005-0000-0000-0000C4480000}"/>
    <cellStyle name="Normal 2 5 2 6 2 2 4" xfId="17585" xr:uid="{00000000-0005-0000-0000-0000C5480000}"/>
    <cellStyle name="Normal 2 5 2 6 2 2 4 2" xfId="43138" xr:uid="{00000000-0005-0000-0000-0000C6480000}"/>
    <cellStyle name="Normal 2 5 2 6 2 2 5" xfId="29075" xr:uid="{00000000-0005-0000-0000-0000C7480000}"/>
    <cellStyle name="Normal 2 5 2 6 2 3" xfId="4560" xr:uid="{00000000-0005-0000-0000-0000C8480000}"/>
    <cellStyle name="Normal 2 5 2 6 2 3 2" xfId="13398" xr:uid="{00000000-0005-0000-0000-0000C9480000}"/>
    <cellStyle name="Normal 2 5 2 6 2 3 2 2" xfId="23649" xr:uid="{00000000-0005-0000-0000-0000CA480000}"/>
    <cellStyle name="Normal 2 5 2 6 2 3 2 2 2" xfId="49202" xr:uid="{00000000-0005-0000-0000-0000CB480000}"/>
    <cellStyle name="Normal 2 5 2 6 2 3 2 3" xfId="38953" xr:uid="{00000000-0005-0000-0000-0000CC480000}"/>
    <cellStyle name="Normal 2 5 2 6 2 3 3" xfId="9819" xr:uid="{00000000-0005-0000-0000-0000CD480000}"/>
    <cellStyle name="Normal 2 5 2 6 2 3 3 2" xfId="35376" xr:uid="{00000000-0005-0000-0000-0000CE480000}"/>
    <cellStyle name="Normal 2 5 2 6 2 3 4" xfId="18642" xr:uid="{00000000-0005-0000-0000-0000CF480000}"/>
    <cellStyle name="Normal 2 5 2 6 2 3 4 2" xfId="44195" xr:uid="{00000000-0005-0000-0000-0000D0480000}"/>
    <cellStyle name="Normal 2 5 2 6 2 3 5" xfId="30132" xr:uid="{00000000-0005-0000-0000-0000D1480000}"/>
    <cellStyle name="Normal 2 5 2 6 2 4" xfId="2340" xr:uid="{00000000-0005-0000-0000-0000D2480000}"/>
    <cellStyle name="Normal 2 5 2 6 2 4 2" xfId="11705" xr:uid="{00000000-0005-0000-0000-0000D3480000}"/>
    <cellStyle name="Normal 2 5 2 6 2 4 2 2" xfId="37260" xr:uid="{00000000-0005-0000-0000-0000D4480000}"/>
    <cellStyle name="Normal 2 5 2 6 2 4 3" xfId="21709" xr:uid="{00000000-0005-0000-0000-0000D5480000}"/>
    <cellStyle name="Normal 2 5 2 6 2 4 3 2" xfId="47262" xr:uid="{00000000-0005-0000-0000-0000D6480000}"/>
    <cellStyle name="Normal 2 5 2 6 2 4 4" xfId="28192" xr:uid="{00000000-0005-0000-0000-0000D7480000}"/>
    <cellStyle name="Normal 2 5 2 6 2 5" xfId="6016" xr:uid="{00000000-0005-0000-0000-0000D8480000}"/>
    <cellStyle name="Normal 2 5 2 6 2 5 2" xfId="14843" xr:uid="{00000000-0005-0000-0000-0000D9480000}"/>
    <cellStyle name="Normal 2 5 2 6 2 5 2 2" xfId="40398" xr:uid="{00000000-0005-0000-0000-0000DA480000}"/>
    <cellStyle name="Normal 2 5 2 6 2 5 3" xfId="25094" xr:uid="{00000000-0005-0000-0000-0000DB480000}"/>
    <cellStyle name="Normal 2 5 2 6 2 5 3 2" xfId="50647" xr:uid="{00000000-0005-0000-0000-0000DC480000}"/>
    <cellStyle name="Normal 2 5 2 6 2 5 4" xfId="31577" xr:uid="{00000000-0005-0000-0000-0000DD480000}"/>
    <cellStyle name="Normal 2 5 2 6 2 6" xfId="7460" xr:uid="{00000000-0005-0000-0000-0000DE480000}"/>
    <cellStyle name="Normal 2 5 2 6 2 6 2" xfId="20191" xr:uid="{00000000-0005-0000-0000-0000DF480000}"/>
    <cellStyle name="Normal 2 5 2 6 2 6 2 2" xfId="45744" xr:uid="{00000000-0005-0000-0000-0000E0480000}"/>
    <cellStyle name="Normal 2 5 2 6 2 6 3" xfId="33017" xr:uid="{00000000-0005-0000-0000-0000E1480000}"/>
    <cellStyle name="Normal 2 5 2 6 2 7" xfId="16702" xr:uid="{00000000-0005-0000-0000-0000E2480000}"/>
    <cellStyle name="Normal 2 5 2 6 2 7 2" xfId="42255" xr:uid="{00000000-0005-0000-0000-0000E3480000}"/>
    <cellStyle name="Normal 2 5 2 6 2 8" xfId="26674" xr:uid="{00000000-0005-0000-0000-0000E4480000}"/>
    <cellStyle name="Normal 2 5 2 6 3" xfId="1230" xr:uid="{00000000-0005-0000-0000-0000E5480000}"/>
    <cellStyle name="Normal 2 5 2 6 3 2" xfId="3659" xr:uid="{00000000-0005-0000-0000-0000E6480000}"/>
    <cellStyle name="Normal 2 5 2 6 3 2 2" xfId="12795" xr:uid="{00000000-0005-0000-0000-0000E7480000}"/>
    <cellStyle name="Normal 2 5 2 6 3 2 2 2" xfId="23014" xr:uid="{00000000-0005-0000-0000-0000E8480000}"/>
    <cellStyle name="Normal 2 5 2 6 3 2 2 2 2" xfId="48567" xr:uid="{00000000-0005-0000-0000-0000E9480000}"/>
    <cellStyle name="Normal 2 5 2 6 3 2 2 3" xfId="38350" xr:uid="{00000000-0005-0000-0000-0000EA480000}"/>
    <cellStyle name="Normal 2 5 2 6 3 2 3" xfId="9216" xr:uid="{00000000-0005-0000-0000-0000EB480000}"/>
    <cellStyle name="Normal 2 5 2 6 3 2 3 2" xfId="34773" xr:uid="{00000000-0005-0000-0000-0000EC480000}"/>
    <cellStyle name="Normal 2 5 2 6 3 2 4" xfId="18007" xr:uid="{00000000-0005-0000-0000-0000ED480000}"/>
    <cellStyle name="Normal 2 5 2 6 3 2 4 2" xfId="43560" xr:uid="{00000000-0005-0000-0000-0000EE480000}"/>
    <cellStyle name="Normal 2 5 2 6 3 2 5" xfId="29497" xr:uid="{00000000-0005-0000-0000-0000EF480000}"/>
    <cellStyle name="Normal 2 5 2 6 3 3" xfId="4909" xr:uid="{00000000-0005-0000-0000-0000F0480000}"/>
    <cellStyle name="Normal 2 5 2 6 3 3 2" xfId="13746" xr:uid="{00000000-0005-0000-0000-0000F1480000}"/>
    <cellStyle name="Normal 2 5 2 6 3 3 2 2" xfId="23997" xr:uid="{00000000-0005-0000-0000-0000F2480000}"/>
    <cellStyle name="Normal 2 5 2 6 3 3 2 2 2" xfId="49550" xr:uid="{00000000-0005-0000-0000-0000F3480000}"/>
    <cellStyle name="Normal 2 5 2 6 3 3 2 3" xfId="39301" xr:uid="{00000000-0005-0000-0000-0000F4480000}"/>
    <cellStyle name="Normal 2 5 2 6 3 3 3" xfId="10167" xr:uid="{00000000-0005-0000-0000-0000F5480000}"/>
    <cellStyle name="Normal 2 5 2 6 3 3 3 2" xfId="35724" xr:uid="{00000000-0005-0000-0000-0000F6480000}"/>
    <cellStyle name="Normal 2 5 2 6 3 3 4" xfId="18990" xr:uid="{00000000-0005-0000-0000-0000F7480000}"/>
    <cellStyle name="Normal 2 5 2 6 3 3 4 2" xfId="44543" xr:uid="{00000000-0005-0000-0000-0000F8480000}"/>
    <cellStyle name="Normal 2 5 2 6 3 3 5" xfId="30480" xr:uid="{00000000-0005-0000-0000-0000F9480000}"/>
    <cellStyle name="Normal 2 5 2 6 3 4" xfId="2053" xr:uid="{00000000-0005-0000-0000-0000FA480000}"/>
    <cellStyle name="Normal 2 5 2 6 3 4 2" xfId="11418" xr:uid="{00000000-0005-0000-0000-0000FB480000}"/>
    <cellStyle name="Normal 2 5 2 6 3 4 2 2" xfId="36973" xr:uid="{00000000-0005-0000-0000-0000FC480000}"/>
    <cellStyle name="Normal 2 5 2 6 3 4 3" xfId="21422" xr:uid="{00000000-0005-0000-0000-0000FD480000}"/>
    <cellStyle name="Normal 2 5 2 6 3 4 3 2" xfId="46975" xr:uid="{00000000-0005-0000-0000-0000FE480000}"/>
    <cellStyle name="Normal 2 5 2 6 3 4 4" xfId="27905" xr:uid="{00000000-0005-0000-0000-0000FF480000}"/>
    <cellStyle name="Normal 2 5 2 6 3 5" xfId="6364" xr:uid="{00000000-0005-0000-0000-000000490000}"/>
    <cellStyle name="Normal 2 5 2 6 3 5 2" xfId="15191" xr:uid="{00000000-0005-0000-0000-000001490000}"/>
    <cellStyle name="Normal 2 5 2 6 3 5 2 2" xfId="40746" xr:uid="{00000000-0005-0000-0000-000002490000}"/>
    <cellStyle name="Normal 2 5 2 6 3 5 3" xfId="25442" xr:uid="{00000000-0005-0000-0000-000003490000}"/>
    <cellStyle name="Normal 2 5 2 6 3 5 3 2" xfId="50995" xr:uid="{00000000-0005-0000-0000-000004490000}"/>
    <cellStyle name="Normal 2 5 2 6 3 5 4" xfId="31925" xr:uid="{00000000-0005-0000-0000-000005490000}"/>
    <cellStyle name="Normal 2 5 2 6 3 6" xfId="7810" xr:uid="{00000000-0005-0000-0000-000006490000}"/>
    <cellStyle name="Normal 2 5 2 6 3 6 2" xfId="20613" xr:uid="{00000000-0005-0000-0000-000007490000}"/>
    <cellStyle name="Normal 2 5 2 6 3 6 2 2" xfId="46166" xr:uid="{00000000-0005-0000-0000-000008490000}"/>
    <cellStyle name="Normal 2 5 2 6 3 6 3" xfId="33367" xr:uid="{00000000-0005-0000-0000-000009490000}"/>
    <cellStyle name="Normal 2 5 2 6 3 7" xfId="16415" xr:uid="{00000000-0005-0000-0000-00000A490000}"/>
    <cellStyle name="Normal 2 5 2 6 3 7 2" xfId="41968" xr:uid="{00000000-0005-0000-0000-00000B490000}"/>
    <cellStyle name="Normal 2 5 2 6 3 8" xfId="27096" xr:uid="{00000000-0005-0000-0000-00000C490000}"/>
    <cellStyle name="Normal 2 5 2 6 4" xfId="2944" xr:uid="{00000000-0005-0000-0000-00000D490000}"/>
    <cellStyle name="Normal 2 5 2 6 4 2" xfId="5322" xr:uid="{00000000-0005-0000-0000-00000E490000}"/>
    <cellStyle name="Normal 2 5 2 6 4 2 2" xfId="14159" xr:uid="{00000000-0005-0000-0000-00000F490000}"/>
    <cellStyle name="Normal 2 5 2 6 4 2 2 2" xfId="24410" xr:uid="{00000000-0005-0000-0000-000010490000}"/>
    <cellStyle name="Normal 2 5 2 6 4 2 2 2 2" xfId="49963" xr:uid="{00000000-0005-0000-0000-000011490000}"/>
    <cellStyle name="Normal 2 5 2 6 4 2 2 3" xfId="39714" xr:uid="{00000000-0005-0000-0000-000012490000}"/>
    <cellStyle name="Normal 2 5 2 6 4 2 3" xfId="10580" xr:uid="{00000000-0005-0000-0000-000013490000}"/>
    <cellStyle name="Normal 2 5 2 6 4 2 3 2" xfId="36137" xr:uid="{00000000-0005-0000-0000-000014490000}"/>
    <cellStyle name="Normal 2 5 2 6 4 2 4" xfId="19403" xr:uid="{00000000-0005-0000-0000-000015490000}"/>
    <cellStyle name="Normal 2 5 2 6 4 2 4 2" xfId="44956" xr:uid="{00000000-0005-0000-0000-000016490000}"/>
    <cellStyle name="Normal 2 5 2 6 4 2 5" xfId="30893" xr:uid="{00000000-0005-0000-0000-000017490000}"/>
    <cellStyle name="Normal 2 5 2 6 4 3" xfId="6777" xr:uid="{00000000-0005-0000-0000-000018490000}"/>
    <cellStyle name="Normal 2 5 2 6 4 3 2" xfId="15604" xr:uid="{00000000-0005-0000-0000-000019490000}"/>
    <cellStyle name="Normal 2 5 2 6 4 3 2 2" xfId="41159" xr:uid="{00000000-0005-0000-0000-00001A490000}"/>
    <cellStyle name="Normal 2 5 2 6 4 3 3" xfId="25855" xr:uid="{00000000-0005-0000-0000-00001B490000}"/>
    <cellStyle name="Normal 2 5 2 6 4 3 3 2" xfId="51408" xr:uid="{00000000-0005-0000-0000-00001C490000}"/>
    <cellStyle name="Normal 2 5 2 6 4 3 4" xfId="32338" xr:uid="{00000000-0005-0000-0000-00001D490000}"/>
    <cellStyle name="Normal 2 5 2 6 4 4" xfId="8223" xr:uid="{00000000-0005-0000-0000-00001E490000}"/>
    <cellStyle name="Normal 2 5 2 6 4 4 2" xfId="22305" xr:uid="{00000000-0005-0000-0000-00001F490000}"/>
    <cellStyle name="Normal 2 5 2 6 4 4 2 2" xfId="47858" xr:uid="{00000000-0005-0000-0000-000020490000}"/>
    <cellStyle name="Normal 2 5 2 6 4 4 3" xfId="33780" xr:uid="{00000000-0005-0000-0000-000021490000}"/>
    <cellStyle name="Normal 2 5 2 6 4 5" xfId="17298" xr:uid="{00000000-0005-0000-0000-000022490000}"/>
    <cellStyle name="Normal 2 5 2 6 4 5 2" xfId="42851" xr:uid="{00000000-0005-0000-0000-000023490000}"/>
    <cellStyle name="Normal 2 5 2 6 4 6" xfId="28788" xr:uid="{00000000-0005-0000-0000-000024490000}"/>
    <cellStyle name="Normal 2 5 2 6 5" xfId="4278" xr:uid="{00000000-0005-0000-0000-000025490000}"/>
    <cellStyle name="Normal 2 5 2 6 5 2" xfId="13116" xr:uid="{00000000-0005-0000-0000-000026490000}"/>
    <cellStyle name="Normal 2 5 2 6 5 2 2" xfId="23367" xr:uid="{00000000-0005-0000-0000-000027490000}"/>
    <cellStyle name="Normal 2 5 2 6 5 2 2 2" xfId="48920" xr:uid="{00000000-0005-0000-0000-000028490000}"/>
    <cellStyle name="Normal 2 5 2 6 5 2 3" xfId="38671" xr:uid="{00000000-0005-0000-0000-000029490000}"/>
    <cellStyle name="Normal 2 5 2 6 5 3" xfId="9537" xr:uid="{00000000-0005-0000-0000-00002A490000}"/>
    <cellStyle name="Normal 2 5 2 6 5 3 2" xfId="35094" xr:uid="{00000000-0005-0000-0000-00002B490000}"/>
    <cellStyle name="Normal 2 5 2 6 5 4" xfId="18360" xr:uid="{00000000-0005-0000-0000-00002C490000}"/>
    <cellStyle name="Normal 2 5 2 6 5 4 2" xfId="43913" xr:uid="{00000000-0005-0000-0000-00002D490000}"/>
    <cellStyle name="Normal 2 5 2 6 5 5" xfId="29850" xr:uid="{00000000-0005-0000-0000-00002E490000}"/>
    <cellStyle name="Normal 2 5 2 6 6" xfId="1550" xr:uid="{00000000-0005-0000-0000-00002F490000}"/>
    <cellStyle name="Normal 2 5 2 6 6 2" xfId="10927" xr:uid="{00000000-0005-0000-0000-000030490000}"/>
    <cellStyle name="Normal 2 5 2 6 6 2 2" xfId="36482" xr:uid="{00000000-0005-0000-0000-000031490000}"/>
    <cellStyle name="Normal 2 5 2 6 6 3" xfId="20931" xr:uid="{00000000-0005-0000-0000-000032490000}"/>
    <cellStyle name="Normal 2 5 2 6 6 3 2" xfId="46484" xr:uid="{00000000-0005-0000-0000-000033490000}"/>
    <cellStyle name="Normal 2 5 2 6 6 4" xfId="27414" xr:uid="{00000000-0005-0000-0000-000034490000}"/>
    <cellStyle name="Normal 2 5 2 6 7" xfId="5734" xr:uid="{00000000-0005-0000-0000-000035490000}"/>
    <cellStyle name="Normal 2 5 2 6 7 2" xfId="14561" xr:uid="{00000000-0005-0000-0000-000036490000}"/>
    <cellStyle name="Normal 2 5 2 6 7 2 2" xfId="40116" xr:uid="{00000000-0005-0000-0000-000037490000}"/>
    <cellStyle name="Normal 2 5 2 6 7 3" xfId="24812" xr:uid="{00000000-0005-0000-0000-000038490000}"/>
    <cellStyle name="Normal 2 5 2 6 7 3 2" xfId="50365" xr:uid="{00000000-0005-0000-0000-000039490000}"/>
    <cellStyle name="Normal 2 5 2 6 7 4" xfId="31295" xr:uid="{00000000-0005-0000-0000-00003A490000}"/>
    <cellStyle name="Normal 2 5 2 6 8" xfId="7178" xr:uid="{00000000-0005-0000-0000-00003B490000}"/>
    <cellStyle name="Normal 2 5 2 6 8 2" xfId="19904" xr:uid="{00000000-0005-0000-0000-00003C490000}"/>
    <cellStyle name="Normal 2 5 2 6 8 2 2" xfId="45457" xr:uid="{00000000-0005-0000-0000-00003D490000}"/>
    <cellStyle name="Normal 2 5 2 6 8 3" xfId="32735" xr:uid="{00000000-0005-0000-0000-00003E490000}"/>
    <cellStyle name="Normal 2 5 2 6 9" xfId="15924" xr:uid="{00000000-0005-0000-0000-00003F490000}"/>
    <cellStyle name="Normal 2 5 2 6 9 2" xfId="41477" xr:uid="{00000000-0005-0000-0000-000040490000}"/>
    <cellStyle name="Normal 2 5 2 6_Degree data" xfId="3883" xr:uid="{00000000-0005-0000-0000-000041490000}"/>
    <cellStyle name="Normal 2 5 2 7" xfId="306" xr:uid="{00000000-0005-0000-0000-000042490000}"/>
    <cellStyle name="Normal 2 5 2 7 10" xfId="26235" xr:uid="{00000000-0005-0000-0000-000043490000}"/>
    <cellStyle name="Normal 2 5 2 7 2" xfId="746" xr:uid="{00000000-0005-0000-0000-000044490000}"/>
    <cellStyle name="Normal 2 5 2 7 2 2" xfId="3232" xr:uid="{00000000-0005-0000-0000-000045490000}"/>
    <cellStyle name="Normal 2 5 2 7 2 2 2" xfId="12374" xr:uid="{00000000-0005-0000-0000-000046490000}"/>
    <cellStyle name="Normal 2 5 2 7 2 2 2 2" xfId="22593" xr:uid="{00000000-0005-0000-0000-000047490000}"/>
    <cellStyle name="Normal 2 5 2 7 2 2 2 2 2" xfId="48146" xr:uid="{00000000-0005-0000-0000-000048490000}"/>
    <cellStyle name="Normal 2 5 2 7 2 2 2 3" xfId="37929" xr:uid="{00000000-0005-0000-0000-000049490000}"/>
    <cellStyle name="Normal 2 5 2 7 2 2 3" xfId="8796" xr:uid="{00000000-0005-0000-0000-00004A490000}"/>
    <cellStyle name="Normal 2 5 2 7 2 2 3 2" xfId="34353" xr:uid="{00000000-0005-0000-0000-00004B490000}"/>
    <cellStyle name="Normal 2 5 2 7 2 2 4" xfId="17586" xr:uid="{00000000-0005-0000-0000-00004C490000}"/>
    <cellStyle name="Normal 2 5 2 7 2 2 4 2" xfId="43139" xr:uid="{00000000-0005-0000-0000-00004D490000}"/>
    <cellStyle name="Normal 2 5 2 7 2 2 5" xfId="29076" xr:uid="{00000000-0005-0000-0000-00004E490000}"/>
    <cellStyle name="Normal 2 5 2 7 2 3" xfId="4561" xr:uid="{00000000-0005-0000-0000-00004F490000}"/>
    <cellStyle name="Normal 2 5 2 7 2 3 2" xfId="13399" xr:uid="{00000000-0005-0000-0000-000050490000}"/>
    <cellStyle name="Normal 2 5 2 7 2 3 2 2" xfId="23650" xr:uid="{00000000-0005-0000-0000-000051490000}"/>
    <cellStyle name="Normal 2 5 2 7 2 3 2 2 2" xfId="49203" xr:uid="{00000000-0005-0000-0000-000052490000}"/>
    <cellStyle name="Normal 2 5 2 7 2 3 2 3" xfId="38954" xr:uid="{00000000-0005-0000-0000-000053490000}"/>
    <cellStyle name="Normal 2 5 2 7 2 3 3" xfId="9820" xr:uid="{00000000-0005-0000-0000-000054490000}"/>
    <cellStyle name="Normal 2 5 2 7 2 3 3 2" xfId="35377" xr:uid="{00000000-0005-0000-0000-000055490000}"/>
    <cellStyle name="Normal 2 5 2 7 2 3 4" xfId="18643" xr:uid="{00000000-0005-0000-0000-000056490000}"/>
    <cellStyle name="Normal 2 5 2 7 2 3 4 2" xfId="44196" xr:uid="{00000000-0005-0000-0000-000057490000}"/>
    <cellStyle name="Normal 2 5 2 7 2 3 5" xfId="30133" xr:uid="{00000000-0005-0000-0000-000058490000}"/>
    <cellStyle name="Normal 2 5 2 7 2 4" xfId="2341" xr:uid="{00000000-0005-0000-0000-000059490000}"/>
    <cellStyle name="Normal 2 5 2 7 2 4 2" xfId="11706" xr:uid="{00000000-0005-0000-0000-00005A490000}"/>
    <cellStyle name="Normal 2 5 2 7 2 4 2 2" xfId="37261" xr:uid="{00000000-0005-0000-0000-00005B490000}"/>
    <cellStyle name="Normal 2 5 2 7 2 4 3" xfId="21710" xr:uid="{00000000-0005-0000-0000-00005C490000}"/>
    <cellStyle name="Normal 2 5 2 7 2 4 3 2" xfId="47263" xr:uid="{00000000-0005-0000-0000-00005D490000}"/>
    <cellStyle name="Normal 2 5 2 7 2 4 4" xfId="28193" xr:uid="{00000000-0005-0000-0000-00005E490000}"/>
    <cellStyle name="Normal 2 5 2 7 2 5" xfId="6017" xr:uid="{00000000-0005-0000-0000-00005F490000}"/>
    <cellStyle name="Normal 2 5 2 7 2 5 2" xfId="14844" xr:uid="{00000000-0005-0000-0000-000060490000}"/>
    <cellStyle name="Normal 2 5 2 7 2 5 2 2" xfId="40399" xr:uid="{00000000-0005-0000-0000-000061490000}"/>
    <cellStyle name="Normal 2 5 2 7 2 5 3" xfId="25095" xr:uid="{00000000-0005-0000-0000-000062490000}"/>
    <cellStyle name="Normal 2 5 2 7 2 5 3 2" xfId="50648" xr:uid="{00000000-0005-0000-0000-000063490000}"/>
    <cellStyle name="Normal 2 5 2 7 2 5 4" xfId="31578" xr:uid="{00000000-0005-0000-0000-000064490000}"/>
    <cellStyle name="Normal 2 5 2 7 2 6" xfId="7461" xr:uid="{00000000-0005-0000-0000-000065490000}"/>
    <cellStyle name="Normal 2 5 2 7 2 6 2" xfId="20192" xr:uid="{00000000-0005-0000-0000-000066490000}"/>
    <cellStyle name="Normal 2 5 2 7 2 6 2 2" xfId="45745" xr:uid="{00000000-0005-0000-0000-000067490000}"/>
    <cellStyle name="Normal 2 5 2 7 2 6 3" xfId="33018" xr:uid="{00000000-0005-0000-0000-000068490000}"/>
    <cellStyle name="Normal 2 5 2 7 2 7" xfId="16703" xr:uid="{00000000-0005-0000-0000-000069490000}"/>
    <cellStyle name="Normal 2 5 2 7 2 7 2" xfId="42256" xr:uid="{00000000-0005-0000-0000-00006A490000}"/>
    <cellStyle name="Normal 2 5 2 7 2 8" xfId="26675" xr:uid="{00000000-0005-0000-0000-00006B490000}"/>
    <cellStyle name="Normal 2 5 2 7 3" xfId="1078" xr:uid="{00000000-0005-0000-0000-00006C490000}"/>
    <cellStyle name="Normal 2 5 2 7 3 2" xfId="3507" xr:uid="{00000000-0005-0000-0000-00006D490000}"/>
    <cellStyle name="Normal 2 5 2 7 3 2 2" xfId="12643" xr:uid="{00000000-0005-0000-0000-00006E490000}"/>
    <cellStyle name="Normal 2 5 2 7 3 2 2 2" xfId="22862" xr:uid="{00000000-0005-0000-0000-00006F490000}"/>
    <cellStyle name="Normal 2 5 2 7 3 2 2 2 2" xfId="48415" xr:uid="{00000000-0005-0000-0000-000070490000}"/>
    <cellStyle name="Normal 2 5 2 7 3 2 2 3" xfId="38198" xr:uid="{00000000-0005-0000-0000-000071490000}"/>
    <cellStyle name="Normal 2 5 2 7 3 2 3" xfId="9065" xr:uid="{00000000-0005-0000-0000-000072490000}"/>
    <cellStyle name="Normal 2 5 2 7 3 2 3 2" xfId="34622" xr:uid="{00000000-0005-0000-0000-000073490000}"/>
    <cellStyle name="Normal 2 5 2 7 3 2 4" xfId="17855" xr:uid="{00000000-0005-0000-0000-000074490000}"/>
    <cellStyle name="Normal 2 5 2 7 3 2 4 2" xfId="43408" xr:uid="{00000000-0005-0000-0000-000075490000}"/>
    <cellStyle name="Normal 2 5 2 7 3 2 5" xfId="29345" xr:uid="{00000000-0005-0000-0000-000076490000}"/>
    <cellStyle name="Normal 2 5 2 7 3 3" xfId="4910" xr:uid="{00000000-0005-0000-0000-000077490000}"/>
    <cellStyle name="Normal 2 5 2 7 3 3 2" xfId="13747" xr:uid="{00000000-0005-0000-0000-000078490000}"/>
    <cellStyle name="Normal 2 5 2 7 3 3 2 2" xfId="23998" xr:uid="{00000000-0005-0000-0000-000079490000}"/>
    <cellStyle name="Normal 2 5 2 7 3 3 2 2 2" xfId="49551" xr:uid="{00000000-0005-0000-0000-00007A490000}"/>
    <cellStyle name="Normal 2 5 2 7 3 3 2 3" xfId="39302" xr:uid="{00000000-0005-0000-0000-00007B490000}"/>
    <cellStyle name="Normal 2 5 2 7 3 3 3" xfId="10168" xr:uid="{00000000-0005-0000-0000-00007C490000}"/>
    <cellStyle name="Normal 2 5 2 7 3 3 3 2" xfId="35725" xr:uid="{00000000-0005-0000-0000-00007D490000}"/>
    <cellStyle name="Normal 2 5 2 7 3 3 4" xfId="18991" xr:uid="{00000000-0005-0000-0000-00007E490000}"/>
    <cellStyle name="Normal 2 5 2 7 3 3 4 2" xfId="44544" xr:uid="{00000000-0005-0000-0000-00007F490000}"/>
    <cellStyle name="Normal 2 5 2 7 3 3 5" xfId="30481" xr:uid="{00000000-0005-0000-0000-000080490000}"/>
    <cellStyle name="Normal 2 5 2 7 3 4" xfId="1753" xr:uid="{00000000-0005-0000-0000-000081490000}"/>
    <cellStyle name="Normal 2 5 2 7 3 4 2" xfId="11124" xr:uid="{00000000-0005-0000-0000-000082490000}"/>
    <cellStyle name="Normal 2 5 2 7 3 4 2 2" xfId="36679" xr:uid="{00000000-0005-0000-0000-000083490000}"/>
    <cellStyle name="Normal 2 5 2 7 3 4 3" xfId="21128" xr:uid="{00000000-0005-0000-0000-000084490000}"/>
    <cellStyle name="Normal 2 5 2 7 3 4 3 2" xfId="46681" xr:uid="{00000000-0005-0000-0000-000085490000}"/>
    <cellStyle name="Normal 2 5 2 7 3 4 4" xfId="27611" xr:uid="{00000000-0005-0000-0000-000086490000}"/>
    <cellStyle name="Normal 2 5 2 7 3 5" xfId="6365" xr:uid="{00000000-0005-0000-0000-000087490000}"/>
    <cellStyle name="Normal 2 5 2 7 3 5 2" xfId="15192" xr:uid="{00000000-0005-0000-0000-000088490000}"/>
    <cellStyle name="Normal 2 5 2 7 3 5 2 2" xfId="40747" xr:uid="{00000000-0005-0000-0000-000089490000}"/>
    <cellStyle name="Normal 2 5 2 7 3 5 3" xfId="25443" xr:uid="{00000000-0005-0000-0000-00008A490000}"/>
    <cellStyle name="Normal 2 5 2 7 3 5 3 2" xfId="50996" xr:uid="{00000000-0005-0000-0000-00008B490000}"/>
    <cellStyle name="Normal 2 5 2 7 3 5 4" xfId="31926" xr:uid="{00000000-0005-0000-0000-00008C490000}"/>
    <cellStyle name="Normal 2 5 2 7 3 6" xfId="7811" xr:uid="{00000000-0005-0000-0000-00008D490000}"/>
    <cellStyle name="Normal 2 5 2 7 3 6 2" xfId="20461" xr:uid="{00000000-0005-0000-0000-00008E490000}"/>
    <cellStyle name="Normal 2 5 2 7 3 6 2 2" xfId="46014" xr:uid="{00000000-0005-0000-0000-00008F490000}"/>
    <cellStyle name="Normal 2 5 2 7 3 6 3" xfId="33368" xr:uid="{00000000-0005-0000-0000-000090490000}"/>
    <cellStyle name="Normal 2 5 2 7 3 7" xfId="16121" xr:uid="{00000000-0005-0000-0000-000091490000}"/>
    <cellStyle name="Normal 2 5 2 7 3 7 2" xfId="41674" xr:uid="{00000000-0005-0000-0000-000092490000}"/>
    <cellStyle name="Normal 2 5 2 7 3 8" xfId="26944" xr:uid="{00000000-0005-0000-0000-000093490000}"/>
    <cellStyle name="Normal 2 5 2 7 4" xfId="2792" xr:uid="{00000000-0005-0000-0000-000094490000}"/>
    <cellStyle name="Normal 2 5 2 7 4 2" xfId="5170" xr:uid="{00000000-0005-0000-0000-000095490000}"/>
    <cellStyle name="Normal 2 5 2 7 4 2 2" xfId="14007" xr:uid="{00000000-0005-0000-0000-000096490000}"/>
    <cellStyle name="Normal 2 5 2 7 4 2 2 2" xfId="24258" xr:uid="{00000000-0005-0000-0000-000097490000}"/>
    <cellStyle name="Normal 2 5 2 7 4 2 2 2 2" xfId="49811" xr:uid="{00000000-0005-0000-0000-000098490000}"/>
    <cellStyle name="Normal 2 5 2 7 4 2 2 3" xfId="39562" xr:uid="{00000000-0005-0000-0000-000099490000}"/>
    <cellStyle name="Normal 2 5 2 7 4 2 3" xfId="10428" xr:uid="{00000000-0005-0000-0000-00009A490000}"/>
    <cellStyle name="Normal 2 5 2 7 4 2 3 2" xfId="35985" xr:uid="{00000000-0005-0000-0000-00009B490000}"/>
    <cellStyle name="Normal 2 5 2 7 4 2 4" xfId="19251" xr:uid="{00000000-0005-0000-0000-00009C490000}"/>
    <cellStyle name="Normal 2 5 2 7 4 2 4 2" xfId="44804" xr:uid="{00000000-0005-0000-0000-00009D490000}"/>
    <cellStyle name="Normal 2 5 2 7 4 2 5" xfId="30741" xr:uid="{00000000-0005-0000-0000-00009E490000}"/>
    <cellStyle name="Normal 2 5 2 7 4 3" xfId="6625" xr:uid="{00000000-0005-0000-0000-00009F490000}"/>
    <cellStyle name="Normal 2 5 2 7 4 3 2" xfId="15452" xr:uid="{00000000-0005-0000-0000-0000A0490000}"/>
    <cellStyle name="Normal 2 5 2 7 4 3 2 2" xfId="41007" xr:uid="{00000000-0005-0000-0000-0000A1490000}"/>
    <cellStyle name="Normal 2 5 2 7 4 3 3" xfId="25703" xr:uid="{00000000-0005-0000-0000-0000A2490000}"/>
    <cellStyle name="Normal 2 5 2 7 4 3 3 2" xfId="51256" xr:uid="{00000000-0005-0000-0000-0000A3490000}"/>
    <cellStyle name="Normal 2 5 2 7 4 3 4" xfId="32186" xr:uid="{00000000-0005-0000-0000-0000A4490000}"/>
    <cellStyle name="Normal 2 5 2 7 4 4" xfId="8071" xr:uid="{00000000-0005-0000-0000-0000A5490000}"/>
    <cellStyle name="Normal 2 5 2 7 4 4 2" xfId="22153" xr:uid="{00000000-0005-0000-0000-0000A6490000}"/>
    <cellStyle name="Normal 2 5 2 7 4 4 2 2" xfId="47706" xr:uid="{00000000-0005-0000-0000-0000A7490000}"/>
    <cellStyle name="Normal 2 5 2 7 4 4 3" xfId="33628" xr:uid="{00000000-0005-0000-0000-0000A8490000}"/>
    <cellStyle name="Normal 2 5 2 7 4 5" xfId="17146" xr:uid="{00000000-0005-0000-0000-0000A9490000}"/>
    <cellStyle name="Normal 2 5 2 7 4 5 2" xfId="42699" xr:uid="{00000000-0005-0000-0000-0000AA490000}"/>
    <cellStyle name="Normal 2 5 2 7 4 6" xfId="28636" xr:uid="{00000000-0005-0000-0000-0000AB490000}"/>
    <cellStyle name="Normal 2 5 2 7 5" xfId="4124" xr:uid="{00000000-0005-0000-0000-0000AC490000}"/>
    <cellStyle name="Normal 2 5 2 7 5 2" xfId="12962" xr:uid="{00000000-0005-0000-0000-0000AD490000}"/>
    <cellStyle name="Normal 2 5 2 7 5 2 2" xfId="23213" xr:uid="{00000000-0005-0000-0000-0000AE490000}"/>
    <cellStyle name="Normal 2 5 2 7 5 2 2 2" xfId="48766" xr:uid="{00000000-0005-0000-0000-0000AF490000}"/>
    <cellStyle name="Normal 2 5 2 7 5 2 3" xfId="38517" xr:uid="{00000000-0005-0000-0000-0000B0490000}"/>
    <cellStyle name="Normal 2 5 2 7 5 3" xfId="9383" xr:uid="{00000000-0005-0000-0000-0000B1490000}"/>
    <cellStyle name="Normal 2 5 2 7 5 3 2" xfId="34940" xr:uid="{00000000-0005-0000-0000-0000B2490000}"/>
    <cellStyle name="Normal 2 5 2 7 5 4" xfId="18206" xr:uid="{00000000-0005-0000-0000-0000B3490000}"/>
    <cellStyle name="Normal 2 5 2 7 5 4 2" xfId="43759" xr:uid="{00000000-0005-0000-0000-0000B4490000}"/>
    <cellStyle name="Normal 2 5 2 7 5 5" xfId="29696" xr:uid="{00000000-0005-0000-0000-0000B5490000}"/>
    <cellStyle name="Normal 2 5 2 7 6" xfId="1901" xr:uid="{00000000-0005-0000-0000-0000B6490000}"/>
    <cellStyle name="Normal 2 5 2 7 6 2" xfId="11266" xr:uid="{00000000-0005-0000-0000-0000B7490000}"/>
    <cellStyle name="Normal 2 5 2 7 6 2 2" xfId="36821" xr:uid="{00000000-0005-0000-0000-0000B8490000}"/>
    <cellStyle name="Normal 2 5 2 7 6 3" xfId="21270" xr:uid="{00000000-0005-0000-0000-0000B9490000}"/>
    <cellStyle name="Normal 2 5 2 7 6 3 2" xfId="46823" xr:uid="{00000000-0005-0000-0000-0000BA490000}"/>
    <cellStyle name="Normal 2 5 2 7 6 4" xfId="27753" xr:uid="{00000000-0005-0000-0000-0000BB490000}"/>
    <cellStyle name="Normal 2 5 2 7 7" xfId="5582" xr:uid="{00000000-0005-0000-0000-0000BC490000}"/>
    <cellStyle name="Normal 2 5 2 7 7 2" xfId="14409" xr:uid="{00000000-0005-0000-0000-0000BD490000}"/>
    <cellStyle name="Normal 2 5 2 7 7 2 2" xfId="39964" xr:uid="{00000000-0005-0000-0000-0000BE490000}"/>
    <cellStyle name="Normal 2 5 2 7 7 3" xfId="24660" xr:uid="{00000000-0005-0000-0000-0000BF490000}"/>
    <cellStyle name="Normal 2 5 2 7 7 3 2" xfId="50213" xr:uid="{00000000-0005-0000-0000-0000C0490000}"/>
    <cellStyle name="Normal 2 5 2 7 7 4" xfId="31143" xr:uid="{00000000-0005-0000-0000-0000C1490000}"/>
    <cellStyle name="Normal 2 5 2 7 8" xfId="7026" xr:uid="{00000000-0005-0000-0000-0000C2490000}"/>
    <cellStyle name="Normal 2 5 2 7 8 2" xfId="19752" xr:uid="{00000000-0005-0000-0000-0000C3490000}"/>
    <cellStyle name="Normal 2 5 2 7 8 2 2" xfId="45305" xr:uid="{00000000-0005-0000-0000-0000C4490000}"/>
    <cellStyle name="Normal 2 5 2 7 8 3" xfId="32583" xr:uid="{00000000-0005-0000-0000-0000C5490000}"/>
    <cellStyle name="Normal 2 5 2 7 9" xfId="16263" xr:uid="{00000000-0005-0000-0000-0000C6490000}"/>
    <cellStyle name="Normal 2 5 2 7 9 2" xfId="41816" xr:uid="{00000000-0005-0000-0000-0000C7490000}"/>
    <cellStyle name="Normal 2 5 2 7_Degree data" xfId="3923" xr:uid="{00000000-0005-0000-0000-0000C8490000}"/>
    <cellStyle name="Normal 2 5 2 8" xfId="727" xr:uid="{00000000-0005-0000-0000-0000C9490000}"/>
    <cellStyle name="Normal 2 5 2 8 2" xfId="3213" xr:uid="{00000000-0005-0000-0000-0000CA490000}"/>
    <cellStyle name="Normal 2 5 2 8 2 2" xfId="12355" xr:uid="{00000000-0005-0000-0000-0000CB490000}"/>
    <cellStyle name="Normal 2 5 2 8 2 2 2" xfId="22574" xr:uid="{00000000-0005-0000-0000-0000CC490000}"/>
    <cellStyle name="Normal 2 5 2 8 2 2 2 2" xfId="48127" xr:uid="{00000000-0005-0000-0000-0000CD490000}"/>
    <cellStyle name="Normal 2 5 2 8 2 2 3" xfId="37910" xr:uid="{00000000-0005-0000-0000-0000CE490000}"/>
    <cellStyle name="Normal 2 5 2 8 2 3" xfId="8777" xr:uid="{00000000-0005-0000-0000-0000CF490000}"/>
    <cellStyle name="Normal 2 5 2 8 2 3 2" xfId="34334" xr:uid="{00000000-0005-0000-0000-0000D0490000}"/>
    <cellStyle name="Normal 2 5 2 8 2 4" xfId="17567" xr:uid="{00000000-0005-0000-0000-0000D1490000}"/>
    <cellStyle name="Normal 2 5 2 8 2 4 2" xfId="43120" xr:uid="{00000000-0005-0000-0000-0000D2490000}"/>
    <cellStyle name="Normal 2 5 2 8 2 5" xfId="29057" xr:uid="{00000000-0005-0000-0000-0000D3490000}"/>
    <cellStyle name="Normal 2 5 2 8 3" xfId="4542" xr:uid="{00000000-0005-0000-0000-0000D4490000}"/>
    <cellStyle name="Normal 2 5 2 8 3 2" xfId="13380" xr:uid="{00000000-0005-0000-0000-0000D5490000}"/>
    <cellStyle name="Normal 2 5 2 8 3 2 2" xfId="23631" xr:uid="{00000000-0005-0000-0000-0000D6490000}"/>
    <cellStyle name="Normal 2 5 2 8 3 2 2 2" xfId="49184" xr:uid="{00000000-0005-0000-0000-0000D7490000}"/>
    <cellStyle name="Normal 2 5 2 8 3 2 3" xfId="38935" xr:uid="{00000000-0005-0000-0000-0000D8490000}"/>
    <cellStyle name="Normal 2 5 2 8 3 3" xfId="9801" xr:uid="{00000000-0005-0000-0000-0000D9490000}"/>
    <cellStyle name="Normal 2 5 2 8 3 3 2" xfId="35358" xr:uid="{00000000-0005-0000-0000-0000DA490000}"/>
    <cellStyle name="Normal 2 5 2 8 3 4" xfId="18624" xr:uid="{00000000-0005-0000-0000-0000DB490000}"/>
    <cellStyle name="Normal 2 5 2 8 3 4 2" xfId="44177" xr:uid="{00000000-0005-0000-0000-0000DC490000}"/>
    <cellStyle name="Normal 2 5 2 8 3 5" xfId="30114" xr:uid="{00000000-0005-0000-0000-0000DD490000}"/>
    <cellStyle name="Normal 2 5 2 8 4" xfId="2322" xr:uid="{00000000-0005-0000-0000-0000DE490000}"/>
    <cellStyle name="Normal 2 5 2 8 4 2" xfId="11687" xr:uid="{00000000-0005-0000-0000-0000DF490000}"/>
    <cellStyle name="Normal 2 5 2 8 4 2 2" xfId="37242" xr:uid="{00000000-0005-0000-0000-0000E0490000}"/>
    <cellStyle name="Normal 2 5 2 8 4 3" xfId="21691" xr:uid="{00000000-0005-0000-0000-0000E1490000}"/>
    <cellStyle name="Normal 2 5 2 8 4 3 2" xfId="47244" xr:uid="{00000000-0005-0000-0000-0000E2490000}"/>
    <cellStyle name="Normal 2 5 2 8 4 4" xfId="28174" xr:uid="{00000000-0005-0000-0000-0000E3490000}"/>
    <cellStyle name="Normal 2 5 2 8 5" xfId="5998" xr:uid="{00000000-0005-0000-0000-0000E4490000}"/>
    <cellStyle name="Normal 2 5 2 8 5 2" xfId="14825" xr:uid="{00000000-0005-0000-0000-0000E5490000}"/>
    <cellStyle name="Normal 2 5 2 8 5 2 2" xfId="40380" xr:uid="{00000000-0005-0000-0000-0000E6490000}"/>
    <cellStyle name="Normal 2 5 2 8 5 3" xfId="25076" xr:uid="{00000000-0005-0000-0000-0000E7490000}"/>
    <cellStyle name="Normal 2 5 2 8 5 3 2" xfId="50629" xr:uid="{00000000-0005-0000-0000-0000E8490000}"/>
    <cellStyle name="Normal 2 5 2 8 5 4" xfId="31559" xr:uid="{00000000-0005-0000-0000-0000E9490000}"/>
    <cellStyle name="Normal 2 5 2 8 6" xfId="7442" xr:uid="{00000000-0005-0000-0000-0000EA490000}"/>
    <cellStyle name="Normal 2 5 2 8 6 2" xfId="20173" xr:uid="{00000000-0005-0000-0000-0000EB490000}"/>
    <cellStyle name="Normal 2 5 2 8 6 2 2" xfId="45726" xr:uid="{00000000-0005-0000-0000-0000EC490000}"/>
    <cellStyle name="Normal 2 5 2 8 6 3" xfId="32999" xr:uid="{00000000-0005-0000-0000-0000ED490000}"/>
    <cellStyle name="Normal 2 5 2 8 7" xfId="16684" xr:uid="{00000000-0005-0000-0000-0000EE490000}"/>
    <cellStyle name="Normal 2 5 2 8 7 2" xfId="42237" xr:uid="{00000000-0005-0000-0000-0000EF490000}"/>
    <cellStyle name="Normal 2 5 2 8 8" xfId="26656" xr:uid="{00000000-0005-0000-0000-0000F0490000}"/>
    <cellStyle name="Normal 2 5 2 9" xfId="1046" xr:uid="{00000000-0005-0000-0000-0000F1490000}"/>
    <cellStyle name="Normal 2 5 2 9 2" xfId="3475" xr:uid="{00000000-0005-0000-0000-0000F2490000}"/>
    <cellStyle name="Normal 2 5 2 9 2 2" xfId="12611" xr:uid="{00000000-0005-0000-0000-0000F3490000}"/>
    <cellStyle name="Normal 2 5 2 9 2 2 2" xfId="22830" xr:uid="{00000000-0005-0000-0000-0000F4490000}"/>
    <cellStyle name="Normal 2 5 2 9 2 2 2 2" xfId="48383" xr:uid="{00000000-0005-0000-0000-0000F5490000}"/>
    <cellStyle name="Normal 2 5 2 9 2 2 3" xfId="38166" xr:uid="{00000000-0005-0000-0000-0000F6490000}"/>
    <cellStyle name="Normal 2 5 2 9 2 3" xfId="9033" xr:uid="{00000000-0005-0000-0000-0000F7490000}"/>
    <cellStyle name="Normal 2 5 2 9 2 3 2" xfId="34590" xr:uid="{00000000-0005-0000-0000-0000F8490000}"/>
    <cellStyle name="Normal 2 5 2 9 2 4" xfId="17823" xr:uid="{00000000-0005-0000-0000-0000F9490000}"/>
    <cellStyle name="Normal 2 5 2 9 2 4 2" xfId="43376" xr:uid="{00000000-0005-0000-0000-0000FA490000}"/>
    <cellStyle name="Normal 2 5 2 9 2 5" xfId="29313" xr:uid="{00000000-0005-0000-0000-0000FB490000}"/>
    <cellStyle name="Normal 2 5 2 9 3" xfId="4891" xr:uid="{00000000-0005-0000-0000-0000FC490000}"/>
    <cellStyle name="Normal 2 5 2 9 3 2" xfId="13728" xr:uid="{00000000-0005-0000-0000-0000FD490000}"/>
    <cellStyle name="Normal 2 5 2 9 3 2 2" xfId="23979" xr:uid="{00000000-0005-0000-0000-0000FE490000}"/>
    <cellStyle name="Normal 2 5 2 9 3 2 2 2" xfId="49532" xr:uid="{00000000-0005-0000-0000-0000FF490000}"/>
    <cellStyle name="Normal 2 5 2 9 3 2 3" xfId="39283" xr:uid="{00000000-0005-0000-0000-0000004A0000}"/>
    <cellStyle name="Normal 2 5 2 9 3 3" xfId="10149" xr:uid="{00000000-0005-0000-0000-0000014A0000}"/>
    <cellStyle name="Normal 2 5 2 9 3 3 2" xfId="35706" xr:uid="{00000000-0005-0000-0000-0000024A0000}"/>
    <cellStyle name="Normal 2 5 2 9 3 4" xfId="18972" xr:uid="{00000000-0005-0000-0000-0000034A0000}"/>
    <cellStyle name="Normal 2 5 2 9 3 4 2" xfId="44525" xr:uid="{00000000-0005-0000-0000-0000044A0000}"/>
    <cellStyle name="Normal 2 5 2 9 3 5" xfId="30462" xr:uid="{00000000-0005-0000-0000-0000054A0000}"/>
    <cellStyle name="Normal 2 5 2 9 4" xfId="1726" xr:uid="{00000000-0005-0000-0000-0000064A0000}"/>
    <cellStyle name="Normal 2 5 2 9 4 2" xfId="11100" xr:uid="{00000000-0005-0000-0000-0000074A0000}"/>
    <cellStyle name="Normal 2 5 2 9 4 2 2" xfId="36655" xr:uid="{00000000-0005-0000-0000-0000084A0000}"/>
    <cellStyle name="Normal 2 5 2 9 4 3" xfId="21104" xr:uid="{00000000-0005-0000-0000-0000094A0000}"/>
    <cellStyle name="Normal 2 5 2 9 4 3 2" xfId="46657" xr:uid="{00000000-0005-0000-0000-00000A4A0000}"/>
    <cellStyle name="Normal 2 5 2 9 4 4" xfId="27587" xr:uid="{00000000-0005-0000-0000-00000B4A0000}"/>
    <cellStyle name="Normal 2 5 2 9 5" xfId="6346" xr:uid="{00000000-0005-0000-0000-00000C4A0000}"/>
    <cellStyle name="Normal 2 5 2 9 5 2" xfId="15173" xr:uid="{00000000-0005-0000-0000-00000D4A0000}"/>
    <cellStyle name="Normal 2 5 2 9 5 2 2" xfId="40728" xr:uid="{00000000-0005-0000-0000-00000E4A0000}"/>
    <cellStyle name="Normal 2 5 2 9 5 3" xfId="25424" xr:uid="{00000000-0005-0000-0000-00000F4A0000}"/>
    <cellStyle name="Normal 2 5 2 9 5 3 2" xfId="50977" xr:uid="{00000000-0005-0000-0000-0000104A0000}"/>
    <cellStyle name="Normal 2 5 2 9 5 4" xfId="31907" xr:uid="{00000000-0005-0000-0000-0000114A0000}"/>
    <cellStyle name="Normal 2 5 2 9 6" xfId="7792" xr:uid="{00000000-0005-0000-0000-0000124A0000}"/>
    <cellStyle name="Normal 2 5 2 9 6 2" xfId="20429" xr:uid="{00000000-0005-0000-0000-0000134A0000}"/>
    <cellStyle name="Normal 2 5 2 9 6 2 2" xfId="45982" xr:uid="{00000000-0005-0000-0000-0000144A0000}"/>
    <cellStyle name="Normal 2 5 2 9 6 3" xfId="33349" xr:uid="{00000000-0005-0000-0000-0000154A0000}"/>
    <cellStyle name="Normal 2 5 2 9 7" xfId="16097" xr:uid="{00000000-0005-0000-0000-0000164A0000}"/>
    <cellStyle name="Normal 2 5 2 9 7 2" xfId="41650" xr:uid="{00000000-0005-0000-0000-0000174A0000}"/>
    <cellStyle name="Normal 2 5 2 9 8" xfId="26912" xr:uid="{00000000-0005-0000-0000-0000184A0000}"/>
    <cellStyle name="Normal 2 5 2_Degree data" xfId="3919" xr:uid="{00000000-0005-0000-0000-0000194A0000}"/>
    <cellStyle name="Normal 2 5 3" xfId="104" xr:uid="{00000000-0005-0000-0000-00001A4A0000}"/>
    <cellStyle name="Normal 2 5 3 10" xfId="4096" xr:uid="{00000000-0005-0000-0000-00001B4A0000}"/>
    <cellStyle name="Normal 2 5 3 10 2" xfId="5554" xr:uid="{00000000-0005-0000-0000-00001C4A0000}"/>
    <cellStyle name="Normal 2 5 3 10 2 2" xfId="14381" xr:uid="{00000000-0005-0000-0000-00001D4A0000}"/>
    <cellStyle name="Normal 2 5 3 10 2 2 2" xfId="39936" xr:uid="{00000000-0005-0000-0000-00001E4A0000}"/>
    <cellStyle name="Normal 2 5 3 10 2 3" xfId="24632" xr:uid="{00000000-0005-0000-0000-00001F4A0000}"/>
    <cellStyle name="Normal 2 5 3 10 2 3 2" xfId="50185" xr:uid="{00000000-0005-0000-0000-0000204A0000}"/>
    <cellStyle name="Normal 2 5 3 10 2 4" xfId="31115" xr:uid="{00000000-0005-0000-0000-0000214A0000}"/>
    <cellStyle name="Normal 2 5 3 10 3" xfId="6998" xr:uid="{00000000-0005-0000-0000-0000224A0000}"/>
    <cellStyle name="Normal 2 5 3 10 3 2" xfId="23185" xr:uid="{00000000-0005-0000-0000-0000234A0000}"/>
    <cellStyle name="Normal 2 5 3 10 3 2 2" xfId="48738" xr:uid="{00000000-0005-0000-0000-0000244A0000}"/>
    <cellStyle name="Normal 2 5 3 10 3 3" xfId="32555" xr:uid="{00000000-0005-0000-0000-0000254A0000}"/>
    <cellStyle name="Normal 2 5 3 10 4" xfId="18178" xr:uid="{00000000-0005-0000-0000-0000264A0000}"/>
    <cellStyle name="Normal 2 5 3 10 4 2" xfId="43731" xr:uid="{00000000-0005-0000-0000-0000274A0000}"/>
    <cellStyle name="Normal 2 5 3 10 5" xfId="29668" xr:uid="{00000000-0005-0000-0000-0000284A0000}"/>
    <cellStyle name="Normal 2 5 3 11" xfId="1413" xr:uid="{00000000-0005-0000-0000-0000294A0000}"/>
    <cellStyle name="Normal 2 5 3 11 2" xfId="10790" xr:uid="{00000000-0005-0000-0000-00002A4A0000}"/>
    <cellStyle name="Normal 2 5 3 11 2 2" xfId="36345" xr:uid="{00000000-0005-0000-0000-00002B4A0000}"/>
    <cellStyle name="Normal 2 5 3 11 3" xfId="20794" xr:uid="{00000000-0005-0000-0000-00002C4A0000}"/>
    <cellStyle name="Normal 2 5 3 11 3 2" xfId="46347" xr:uid="{00000000-0005-0000-0000-00002D4A0000}"/>
    <cellStyle name="Normal 2 5 3 11 4" xfId="27277" xr:uid="{00000000-0005-0000-0000-00002E4A0000}"/>
    <cellStyle name="Normal 2 5 3 12" xfId="5524" xr:uid="{00000000-0005-0000-0000-00002F4A0000}"/>
    <cellStyle name="Normal 2 5 3 12 2" xfId="14351" xr:uid="{00000000-0005-0000-0000-0000304A0000}"/>
    <cellStyle name="Normal 2 5 3 12 2 2" xfId="39906" xr:uid="{00000000-0005-0000-0000-0000314A0000}"/>
    <cellStyle name="Normal 2 5 3 12 3" xfId="24602" xr:uid="{00000000-0005-0000-0000-0000324A0000}"/>
    <cellStyle name="Normal 2 5 3 12 3 2" xfId="50155" xr:uid="{00000000-0005-0000-0000-0000334A0000}"/>
    <cellStyle name="Normal 2 5 3 12 4" xfId="31085" xr:uid="{00000000-0005-0000-0000-0000344A0000}"/>
    <cellStyle name="Normal 2 5 3 13" xfId="6965" xr:uid="{00000000-0005-0000-0000-0000354A0000}"/>
    <cellStyle name="Normal 2 5 3 13 2" xfId="19579" xr:uid="{00000000-0005-0000-0000-0000364A0000}"/>
    <cellStyle name="Normal 2 5 3 13 2 2" xfId="45132" xr:uid="{00000000-0005-0000-0000-0000374A0000}"/>
    <cellStyle name="Normal 2 5 3 13 3" xfId="32523" xr:uid="{00000000-0005-0000-0000-0000384A0000}"/>
    <cellStyle name="Normal 2 5 3 14" xfId="15787" xr:uid="{00000000-0005-0000-0000-0000394A0000}"/>
    <cellStyle name="Normal 2 5 3 14 2" xfId="41340" xr:uid="{00000000-0005-0000-0000-00003A4A0000}"/>
    <cellStyle name="Normal 2 5 3 15" xfId="26062" xr:uid="{00000000-0005-0000-0000-00003B4A0000}"/>
    <cellStyle name="Normal 2 5 3 2" xfId="145" xr:uid="{00000000-0005-0000-0000-00003C4A0000}"/>
    <cellStyle name="Normal 2 5 3 2 10" xfId="5656" xr:uid="{00000000-0005-0000-0000-00003D4A0000}"/>
    <cellStyle name="Normal 2 5 3 2 10 2" xfId="14483" xr:uid="{00000000-0005-0000-0000-00003E4A0000}"/>
    <cellStyle name="Normal 2 5 3 2 10 2 2" xfId="40038" xr:uid="{00000000-0005-0000-0000-00003F4A0000}"/>
    <cellStyle name="Normal 2 5 3 2 10 3" xfId="24734" xr:uid="{00000000-0005-0000-0000-0000404A0000}"/>
    <cellStyle name="Normal 2 5 3 2 10 3 2" xfId="50287" xr:uid="{00000000-0005-0000-0000-0000414A0000}"/>
    <cellStyle name="Normal 2 5 3 2 10 4" xfId="31217" xr:uid="{00000000-0005-0000-0000-0000424A0000}"/>
    <cellStyle name="Normal 2 5 3 2 11" xfId="7100" xr:uid="{00000000-0005-0000-0000-0000434A0000}"/>
    <cellStyle name="Normal 2 5 3 2 11 2" xfId="19609" xr:uid="{00000000-0005-0000-0000-0000444A0000}"/>
    <cellStyle name="Normal 2 5 3 2 11 2 2" xfId="45162" xr:uid="{00000000-0005-0000-0000-0000454A0000}"/>
    <cellStyle name="Normal 2 5 3 2 11 3" xfId="32657" xr:uid="{00000000-0005-0000-0000-0000464A0000}"/>
    <cellStyle name="Normal 2 5 3 2 12" xfId="15846" xr:uid="{00000000-0005-0000-0000-0000474A0000}"/>
    <cellStyle name="Normal 2 5 3 2 12 2" xfId="41399" xr:uid="{00000000-0005-0000-0000-0000484A0000}"/>
    <cellStyle name="Normal 2 5 3 2 13" xfId="26092" xr:uid="{00000000-0005-0000-0000-0000494A0000}"/>
    <cellStyle name="Normal 2 5 3 2 2" xfId="261" xr:uid="{00000000-0005-0000-0000-00004A4A0000}"/>
    <cellStyle name="Normal 2 5 3 2 2 10" xfId="16050" xr:uid="{00000000-0005-0000-0000-00004B4A0000}"/>
    <cellStyle name="Normal 2 5 3 2 2 10 2" xfId="41603" xr:uid="{00000000-0005-0000-0000-00004C4A0000}"/>
    <cellStyle name="Normal 2 5 3 2 2 11" xfId="26196" xr:uid="{00000000-0005-0000-0000-00004D4A0000}"/>
    <cellStyle name="Normal 2 5 3 2 2 2" xfId="584" xr:uid="{00000000-0005-0000-0000-00004E4A0000}"/>
    <cellStyle name="Normal 2 5 3 2 2 2 2" xfId="3070" xr:uid="{00000000-0005-0000-0000-00004F4A0000}"/>
    <cellStyle name="Normal 2 5 3 2 2 2 2 2" xfId="12221" xr:uid="{00000000-0005-0000-0000-0000504A0000}"/>
    <cellStyle name="Normal 2 5 3 2 2 2 2 2 2" xfId="22431" xr:uid="{00000000-0005-0000-0000-0000514A0000}"/>
    <cellStyle name="Normal 2 5 3 2 2 2 2 2 2 2" xfId="47984" xr:uid="{00000000-0005-0000-0000-0000524A0000}"/>
    <cellStyle name="Normal 2 5 3 2 2 2 2 2 3" xfId="37776" xr:uid="{00000000-0005-0000-0000-0000534A0000}"/>
    <cellStyle name="Normal 2 5 3 2 2 2 2 3" xfId="8643" xr:uid="{00000000-0005-0000-0000-0000544A0000}"/>
    <cellStyle name="Normal 2 5 3 2 2 2 2 3 2" xfId="34200" xr:uid="{00000000-0005-0000-0000-0000554A0000}"/>
    <cellStyle name="Normal 2 5 3 2 2 2 2 4" xfId="17424" xr:uid="{00000000-0005-0000-0000-0000564A0000}"/>
    <cellStyle name="Normal 2 5 3 2 2 2 2 4 2" xfId="42977" xr:uid="{00000000-0005-0000-0000-0000574A0000}"/>
    <cellStyle name="Normal 2 5 3 2 2 2 2 5" xfId="28914" xr:uid="{00000000-0005-0000-0000-0000584A0000}"/>
    <cellStyle name="Normal 2 5 3 2 2 2 3" xfId="4564" xr:uid="{00000000-0005-0000-0000-0000594A0000}"/>
    <cellStyle name="Normal 2 5 3 2 2 2 3 2" xfId="13402" xr:uid="{00000000-0005-0000-0000-00005A4A0000}"/>
    <cellStyle name="Normal 2 5 3 2 2 2 3 2 2" xfId="23653" xr:uid="{00000000-0005-0000-0000-00005B4A0000}"/>
    <cellStyle name="Normal 2 5 3 2 2 2 3 2 2 2" xfId="49206" xr:uid="{00000000-0005-0000-0000-00005C4A0000}"/>
    <cellStyle name="Normal 2 5 3 2 2 2 3 2 3" xfId="38957" xr:uid="{00000000-0005-0000-0000-00005D4A0000}"/>
    <cellStyle name="Normal 2 5 3 2 2 2 3 3" xfId="9823" xr:uid="{00000000-0005-0000-0000-00005E4A0000}"/>
    <cellStyle name="Normal 2 5 3 2 2 2 3 3 2" xfId="35380" xr:uid="{00000000-0005-0000-0000-00005F4A0000}"/>
    <cellStyle name="Normal 2 5 3 2 2 2 3 4" xfId="18646" xr:uid="{00000000-0005-0000-0000-0000604A0000}"/>
    <cellStyle name="Normal 2 5 3 2 2 2 3 4 2" xfId="44199" xr:uid="{00000000-0005-0000-0000-0000614A0000}"/>
    <cellStyle name="Normal 2 5 3 2 2 2 3 5" xfId="30136" xr:uid="{00000000-0005-0000-0000-0000624A0000}"/>
    <cellStyle name="Normal 2 5 3 2 2 2 4" xfId="2179" xr:uid="{00000000-0005-0000-0000-0000634A0000}"/>
    <cellStyle name="Normal 2 5 3 2 2 2 4 2" xfId="11544" xr:uid="{00000000-0005-0000-0000-0000644A0000}"/>
    <cellStyle name="Normal 2 5 3 2 2 2 4 2 2" xfId="37099" xr:uid="{00000000-0005-0000-0000-0000654A0000}"/>
    <cellStyle name="Normal 2 5 3 2 2 2 4 3" xfId="21548" xr:uid="{00000000-0005-0000-0000-0000664A0000}"/>
    <cellStyle name="Normal 2 5 3 2 2 2 4 3 2" xfId="47101" xr:uid="{00000000-0005-0000-0000-0000674A0000}"/>
    <cellStyle name="Normal 2 5 3 2 2 2 4 4" xfId="28031" xr:uid="{00000000-0005-0000-0000-0000684A0000}"/>
    <cellStyle name="Normal 2 5 3 2 2 2 5" xfId="6020" xr:uid="{00000000-0005-0000-0000-0000694A0000}"/>
    <cellStyle name="Normal 2 5 3 2 2 2 5 2" xfId="14847" xr:uid="{00000000-0005-0000-0000-00006A4A0000}"/>
    <cellStyle name="Normal 2 5 3 2 2 2 5 2 2" xfId="40402" xr:uid="{00000000-0005-0000-0000-00006B4A0000}"/>
    <cellStyle name="Normal 2 5 3 2 2 2 5 3" xfId="25098" xr:uid="{00000000-0005-0000-0000-00006C4A0000}"/>
    <cellStyle name="Normal 2 5 3 2 2 2 5 3 2" xfId="50651" xr:uid="{00000000-0005-0000-0000-00006D4A0000}"/>
    <cellStyle name="Normal 2 5 3 2 2 2 5 4" xfId="31581" xr:uid="{00000000-0005-0000-0000-00006E4A0000}"/>
    <cellStyle name="Normal 2 5 3 2 2 2 6" xfId="7464" xr:uid="{00000000-0005-0000-0000-00006F4A0000}"/>
    <cellStyle name="Normal 2 5 3 2 2 2 6 2" xfId="20030" xr:uid="{00000000-0005-0000-0000-0000704A0000}"/>
    <cellStyle name="Normal 2 5 3 2 2 2 6 2 2" xfId="45583" xr:uid="{00000000-0005-0000-0000-0000714A0000}"/>
    <cellStyle name="Normal 2 5 3 2 2 2 6 3" xfId="33021" xr:uid="{00000000-0005-0000-0000-0000724A0000}"/>
    <cellStyle name="Normal 2 5 3 2 2 2 7" xfId="16541" xr:uid="{00000000-0005-0000-0000-0000734A0000}"/>
    <cellStyle name="Normal 2 5 3 2 2 2 7 2" xfId="42094" xr:uid="{00000000-0005-0000-0000-0000744A0000}"/>
    <cellStyle name="Normal 2 5 3 2 2 2 8" xfId="26513" xr:uid="{00000000-0005-0000-0000-0000754A0000}"/>
    <cellStyle name="Normal 2 5 3 2 2 3" xfId="749" xr:uid="{00000000-0005-0000-0000-0000764A0000}"/>
    <cellStyle name="Normal 2 5 3 2 2 3 2" xfId="3235" xr:uid="{00000000-0005-0000-0000-0000774A0000}"/>
    <cellStyle name="Normal 2 5 3 2 2 3 2 2" xfId="12377" xr:uid="{00000000-0005-0000-0000-0000784A0000}"/>
    <cellStyle name="Normal 2 5 3 2 2 3 2 2 2" xfId="22596" xr:uid="{00000000-0005-0000-0000-0000794A0000}"/>
    <cellStyle name="Normal 2 5 3 2 2 3 2 2 2 2" xfId="48149" xr:uid="{00000000-0005-0000-0000-00007A4A0000}"/>
    <cellStyle name="Normal 2 5 3 2 2 3 2 2 3" xfId="37932" xr:uid="{00000000-0005-0000-0000-00007B4A0000}"/>
    <cellStyle name="Normal 2 5 3 2 2 3 2 3" xfId="8799" xr:uid="{00000000-0005-0000-0000-00007C4A0000}"/>
    <cellStyle name="Normal 2 5 3 2 2 3 2 3 2" xfId="34356" xr:uid="{00000000-0005-0000-0000-00007D4A0000}"/>
    <cellStyle name="Normal 2 5 3 2 2 3 2 4" xfId="17589" xr:uid="{00000000-0005-0000-0000-00007E4A0000}"/>
    <cellStyle name="Normal 2 5 3 2 2 3 2 4 2" xfId="43142" xr:uid="{00000000-0005-0000-0000-00007F4A0000}"/>
    <cellStyle name="Normal 2 5 3 2 2 3 2 5" xfId="29079" xr:uid="{00000000-0005-0000-0000-0000804A0000}"/>
    <cellStyle name="Normal 2 5 3 2 2 3 3" xfId="4913" xr:uid="{00000000-0005-0000-0000-0000814A0000}"/>
    <cellStyle name="Normal 2 5 3 2 2 3 3 2" xfId="13750" xr:uid="{00000000-0005-0000-0000-0000824A0000}"/>
    <cellStyle name="Normal 2 5 3 2 2 3 3 2 2" xfId="24001" xr:uid="{00000000-0005-0000-0000-0000834A0000}"/>
    <cellStyle name="Normal 2 5 3 2 2 3 3 2 2 2" xfId="49554" xr:uid="{00000000-0005-0000-0000-0000844A0000}"/>
    <cellStyle name="Normal 2 5 3 2 2 3 3 2 3" xfId="39305" xr:uid="{00000000-0005-0000-0000-0000854A0000}"/>
    <cellStyle name="Normal 2 5 3 2 2 3 3 3" xfId="10171" xr:uid="{00000000-0005-0000-0000-0000864A0000}"/>
    <cellStyle name="Normal 2 5 3 2 2 3 3 3 2" xfId="35728" xr:uid="{00000000-0005-0000-0000-0000874A0000}"/>
    <cellStyle name="Normal 2 5 3 2 2 3 3 4" xfId="18994" xr:uid="{00000000-0005-0000-0000-0000884A0000}"/>
    <cellStyle name="Normal 2 5 3 2 2 3 3 4 2" xfId="44547" xr:uid="{00000000-0005-0000-0000-0000894A0000}"/>
    <cellStyle name="Normal 2 5 3 2 2 3 3 5" xfId="30484" xr:uid="{00000000-0005-0000-0000-00008A4A0000}"/>
    <cellStyle name="Normal 2 5 3 2 2 3 4" xfId="2344" xr:uid="{00000000-0005-0000-0000-00008B4A0000}"/>
    <cellStyle name="Normal 2 5 3 2 2 3 4 2" xfId="11709" xr:uid="{00000000-0005-0000-0000-00008C4A0000}"/>
    <cellStyle name="Normal 2 5 3 2 2 3 4 2 2" xfId="37264" xr:uid="{00000000-0005-0000-0000-00008D4A0000}"/>
    <cellStyle name="Normal 2 5 3 2 2 3 4 3" xfId="21713" xr:uid="{00000000-0005-0000-0000-00008E4A0000}"/>
    <cellStyle name="Normal 2 5 3 2 2 3 4 3 2" xfId="47266" xr:uid="{00000000-0005-0000-0000-00008F4A0000}"/>
    <cellStyle name="Normal 2 5 3 2 2 3 4 4" xfId="28196" xr:uid="{00000000-0005-0000-0000-0000904A0000}"/>
    <cellStyle name="Normal 2 5 3 2 2 3 5" xfId="6368" xr:uid="{00000000-0005-0000-0000-0000914A0000}"/>
    <cellStyle name="Normal 2 5 3 2 2 3 5 2" xfId="15195" xr:uid="{00000000-0005-0000-0000-0000924A0000}"/>
    <cellStyle name="Normal 2 5 3 2 2 3 5 2 2" xfId="40750" xr:uid="{00000000-0005-0000-0000-0000934A0000}"/>
    <cellStyle name="Normal 2 5 3 2 2 3 5 3" xfId="25446" xr:uid="{00000000-0005-0000-0000-0000944A0000}"/>
    <cellStyle name="Normal 2 5 3 2 2 3 5 3 2" xfId="50999" xr:uid="{00000000-0005-0000-0000-0000954A0000}"/>
    <cellStyle name="Normal 2 5 3 2 2 3 5 4" xfId="31929" xr:uid="{00000000-0005-0000-0000-0000964A0000}"/>
    <cellStyle name="Normal 2 5 3 2 2 3 6" xfId="7814" xr:uid="{00000000-0005-0000-0000-0000974A0000}"/>
    <cellStyle name="Normal 2 5 3 2 2 3 6 2" xfId="20195" xr:uid="{00000000-0005-0000-0000-0000984A0000}"/>
    <cellStyle name="Normal 2 5 3 2 2 3 6 2 2" xfId="45748" xr:uid="{00000000-0005-0000-0000-0000994A0000}"/>
    <cellStyle name="Normal 2 5 3 2 2 3 6 3" xfId="33371" xr:uid="{00000000-0005-0000-0000-00009A4A0000}"/>
    <cellStyle name="Normal 2 5 3 2 2 3 7" xfId="16706" xr:uid="{00000000-0005-0000-0000-00009B4A0000}"/>
    <cellStyle name="Normal 2 5 3 2 2 3 7 2" xfId="42259" xr:uid="{00000000-0005-0000-0000-00009C4A0000}"/>
    <cellStyle name="Normal 2 5 3 2 2 3 8" xfId="26678" xr:uid="{00000000-0005-0000-0000-00009D4A0000}"/>
    <cellStyle name="Normal 2 5 3 2 2 4" xfId="1356" xr:uid="{00000000-0005-0000-0000-00009E4A0000}"/>
    <cellStyle name="Normal 2 5 3 2 2 4 2" xfId="3785" xr:uid="{00000000-0005-0000-0000-00009F4A0000}"/>
    <cellStyle name="Normal 2 5 3 2 2 4 2 2" xfId="12921" xr:uid="{00000000-0005-0000-0000-0000A04A0000}"/>
    <cellStyle name="Normal 2 5 3 2 2 4 2 2 2" xfId="23140" xr:uid="{00000000-0005-0000-0000-0000A14A0000}"/>
    <cellStyle name="Normal 2 5 3 2 2 4 2 2 2 2" xfId="48693" xr:uid="{00000000-0005-0000-0000-0000A24A0000}"/>
    <cellStyle name="Normal 2 5 3 2 2 4 2 2 3" xfId="38476" xr:uid="{00000000-0005-0000-0000-0000A34A0000}"/>
    <cellStyle name="Normal 2 5 3 2 2 4 2 3" xfId="9342" xr:uid="{00000000-0005-0000-0000-0000A44A0000}"/>
    <cellStyle name="Normal 2 5 3 2 2 4 2 3 2" xfId="34899" xr:uid="{00000000-0005-0000-0000-0000A54A0000}"/>
    <cellStyle name="Normal 2 5 3 2 2 4 2 4" xfId="18133" xr:uid="{00000000-0005-0000-0000-0000A64A0000}"/>
    <cellStyle name="Normal 2 5 3 2 2 4 2 4 2" xfId="43686" xr:uid="{00000000-0005-0000-0000-0000A74A0000}"/>
    <cellStyle name="Normal 2 5 3 2 2 4 2 5" xfId="29623" xr:uid="{00000000-0005-0000-0000-0000A84A0000}"/>
    <cellStyle name="Normal 2 5 3 2 2 4 3" xfId="5448" xr:uid="{00000000-0005-0000-0000-0000A94A0000}"/>
    <cellStyle name="Normal 2 5 3 2 2 4 3 2" xfId="14285" xr:uid="{00000000-0005-0000-0000-0000AA4A0000}"/>
    <cellStyle name="Normal 2 5 3 2 2 4 3 2 2" xfId="24536" xr:uid="{00000000-0005-0000-0000-0000AB4A0000}"/>
    <cellStyle name="Normal 2 5 3 2 2 4 3 2 2 2" xfId="50089" xr:uid="{00000000-0005-0000-0000-0000AC4A0000}"/>
    <cellStyle name="Normal 2 5 3 2 2 4 3 2 3" xfId="39840" xr:uid="{00000000-0005-0000-0000-0000AD4A0000}"/>
    <cellStyle name="Normal 2 5 3 2 2 4 3 3" xfId="10706" xr:uid="{00000000-0005-0000-0000-0000AE4A0000}"/>
    <cellStyle name="Normal 2 5 3 2 2 4 3 3 2" xfId="36263" xr:uid="{00000000-0005-0000-0000-0000AF4A0000}"/>
    <cellStyle name="Normal 2 5 3 2 2 4 3 4" xfId="19529" xr:uid="{00000000-0005-0000-0000-0000B04A0000}"/>
    <cellStyle name="Normal 2 5 3 2 2 4 3 4 2" xfId="45082" xr:uid="{00000000-0005-0000-0000-0000B14A0000}"/>
    <cellStyle name="Normal 2 5 3 2 2 4 3 5" xfId="31019" xr:uid="{00000000-0005-0000-0000-0000B24A0000}"/>
    <cellStyle name="Normal 2 5 3 2 2 4 4" xfId="1859" xr:uid="{00000000-0005-0000-0000-0000B34A0000}"/>
    <cellStyle name="Normal 2 5 3 2 2 4 4 2" xfId="11227" xr:uid="{00000000-0005-0000-0000-0000B44A0000}"/>
    <cellStyle name="Normal 2 5 3 2 2 4 4 2 2" xfId="36782" xr:uid="{00000000-0005-0000-0000-0000B54A0000}"/>
    <cellStyle name="Normal 2 5 3 2 2 4 4 3" xfId="21231" xr:uid="{00000000-0005-0000-0000-0000B64A0000}"/>
    <cellStyle name="Normal 2 5 3 2 2 4 4 3 2" xfId="46784" xr:uid="{00000000-0005-0000-0000-0000B74A0000}"/>
    <cellStyle name="Normal 2 5 3 2 2 4 4 4" xfId="27714" xr:uid="{00000000-0005-0000-0000-0000B84A0000}"/>
    <cellStyle name="Normal 2 5 3 2 2 4 5" xfId="6903" xr:uid="{00000000-0005-0000-0000-0000B94A0000}"/>
    <cellStyle name="Normal 2 5 3 2 2 4 5 2" xfId="15730" xr:uid="{00000000-0005-0000-0000-0000BA4A0000}"/>
    <cellStyle name="Normal 2 5 3 2 2 4 5 2 2" xfId="41285" xr:uid="{00000000-0005-0000-0000-0000BB4A0000}"/>
    <cellStyle name="Normal 2 5 3 2 2 4 5 3" xfId="25981" xr:uid="{00000000-0005-0000-0000-0000BC4A0000}"/>
    <cellStyle name="Normal 2 5 3 2 2 4 5 3 2" xfId="51534" xr:uid="{00000000-0005-0000-0000-0000BD4A0000}"/>
    <cellStyle name="Normal 2 5 3 2 2 4 5 4" xfId="32464" xr:uid="{00000000-0005-0000-0000-0000BE4A0000}"/>
    <cellStyle name="Normal 2 5 3 2 2 4 6" xfId="8349" xr:uid="{00000000-0005-0000-0000-0000BF4A0000}"/>
    <cellStyle name="Normal 2 5 3 2 2 4 6 2" xfId="20739" xr:uid="{00000000-0005-0000-0000-0000C04A0000}"/>
    <cellStyle name="Normal 2 5 3 2 2 4 6 2 2" xfId="46292" xr:uid="{00000000-0005-0000-0000-0000C14A0000}"/>
    <cellStyle name="Normal 2 5 3 2 2 4 6 3" xfId="33906" xr:uid="{00000000-0005-0000-0000-0000C24A0000}"/>
    <cellStyle name="Normal 2 5 3 2 2 4 7" xfId="16224" xr:uid="{00000000-0005-0000-0000-0000C34A0000}"/>
    <cellStyle name="Normal 2 5 3 2 2 4 7 2" xfId="41777" xr:uid="{00000000-0005-0000-0000-0000C44A0000}"/>
    <cellStyle name="Normal 2 5 3 2 2 4 8" xfId="27222" xr:uid="{00000000-0005-0000-0000-0000C54A0000}"/>
    <cellStyle name="Normal 2 5 3 2 2 5" xfId="2753" xr:uid="{00000000-0005-0000-0000-0000C64A0000}"/>
    <cellStyle name="Normal 2 5 3 2 2 5 2" xfId="12070" xr:uid="{00000000-0005-0000-0000-0000C74A0000}"/>
    <cellStyle name="Normal 2 5 3 2 2 5 2 2" xfId="22114" xr:uid="{00000000-0005-0000-0000-0000C84A0000}"/>
    <cellStyle name="Normal 2 5 3 2 2 5 2 2 2" xfId="47667" xr:uid="{00000000-0005-0000-0000-0000C94A0000}"/>
    <cellStyle name="Normal 2 5 3 2 2 5 2 3" xfId="37625" xr:uid="{00000000-0005-0000-0000-0000CA4A0000}"/>
    <cellStyle name="Normal 2 5 3 2 2 5 3" xfId="8387" xr:uid="{00000000-0005-0000-0000-0000CB4A0000}"/>
    <cellStyle name="Normal 2 5 3 2 2 5 3 2" xfId="33944" xr:uid="{00000000-0005-0000-0000-0000CC4A0000}"/>
    <cellStyle name="Normal 2 5 3 2 2 5 4" xfId="17107" xr:uid="{00000000-0005-0000-0000-0000CD4A0000}"/>
    <cellStyle name="Normal 2 5 3 2 2 5 4 2" xfId="42660" xr:uid="{00000000-0005-0000-0000-0000CE4A0000}"/>
    <cellStyle name="Normal 2 5 3 2 2 5 5" xfId="28597" xr:uid="{00000000-0005-0000-0000-0000CF4A0000}"/>
    <cellStyle name="Normal 2 5 3 2 2 6" xfId="4404" xr:uid="{00000000-0005-0000-0000-0000D04A0000}"/>
    <cellStyle name="Normal 2 5 3 2 2 6 2" xfId="13242" xr:uid="{00000000-0005-0000-0000-0000D14A0000}"/>
    <cellStyle name="Normal 2 5 3 2 2 6 2 2" xfId="23493" xr:uid="{00000000-0005-0000-0000-0000D24A0000}"/>
    <cellStyle name="Normal 2 5 3 2 2 6 2 2 2" xfId="49046" xr:uid="{00000000-0005-0000-0000-0000D34A0000}"/>
    <cellStyle name="Normal 2 5 3 2 2 6 2 3" xfId="38797" xr:uid="{00000000-0005-0000-0000-0000D44A0000}"/>
    <cellStyle name="Normal 2 5 3 2 2 6 3" xfId="9663" xr:uid="{00000000-0005-0000-0000-0000D54A0000}"/>
    <cellStyle name="Normal 2 5 3 2 2 6 3 2" xfId="35220" xr:uid="{00000000-0005-0000-0000-0000D64A0000}"/>
    <cellStyle name="Normal 2 5 3 2 2 6 4" xfId="18486" xr:uid="{00000000-0005-0000-0000-0000D74A0000}"/>
    <cellStyle name="Normal 2 5 3 2 2 6 4 2" xfId="44039" xr:uid="{00000000-0005-0000-0000-0000D84A0000}"/>
    <cellStyle name="Normal 2 5 3 2 2 6 5" xfId="29976" xr:uid="{00000000-0005-0000-0000-0000D94A0000}"/>
    <cellStyle name="Normal 2 5 3 2 2 7" xfId="1676" xr:uid="{00000000-0005-0000-0000-0000DA4A0000}"/>
    <cellStyle name="Normal 2 5 3 2 2 7 2" xfId="11053" xr:uid="{00000000-0005-0000-0000-0000DB4A0000}"/>
    <cellStyle name="Normal 2 5 3 2 2 7 2 2" xfId="36608" xr:uid="{00000000-0005-0000-0000-0000DC4A0000}"/>
    <cellStyle name="Normal 2 5 3 2 2 7 3" xfId="21057" xr:uid="{00000000-0005-0000-0000-0000DD4A0000}"/>
    <cellStyle name="Normal 2 5 3 2 2 7 3 2" xfId="46610" xr:uid="{00000000-0005-0000-0000-0000DE4A0000}"/>
    <cellStyle name="Normal 2 5 3 2 2 7 4" xfId="27540" xr:uid="{00000000-0005-0000-0000-0000DF4A0000}"/>
    <cellStyle name="Normal 2 5 3 2 2 8" xfId="5860" xr:uid="{00000000-0005-0000-0000-0000E04A0000}"/>
    <cellStyle name="Normal 2 5 3 2 2 8 2" xfId="14687" xr:uid="{00000000-0005-0000-0000-0000E14A0000}"/>
    <cellStyle name="Normal 2 5 3 2 2 8 2 2" xfId="40242" xr:uid="{00000000-0005-0000-0000-0000E24A0000}"/>
    <cellStyle name="Normal 2 5 3 2 2 8 3" xfId="24938" xr:uid="{00000000-0005-0000-0000-0000E34A0000}"/>
    <cellStyle name="Normal 2 5 3 2 2 8 3 2" xfId="50491" xr:uid="{00000000-0005-0000-0000-0000E44A0000}"/>
    <cellStyle name="Normal 2 5 3 2 2 8 4" xfId="31421" xr:uid="{00000000-0005-0000-0000-0000E54A0000}"/>
    <cellStyle name="Normal 2 5 3 2 2 9" xfId="7304" xr:uid="{00000000-0005-0000-0000-0000E64A0000}"/>
    <cellStyle name="Normal 2 5 3 2 2 9 2" xfId="19713" xr:uid="{00000000-0005-0000-0000-0000E74A0000}"/>
    <cellStyle name="Normal 2 5 3 2 2 9 2 2" xfId="45266" xr:uid="{00000000-0005-0000-0000-0000E84A0000}"/>
    <cellStyle name="Normal 2 5 3 2 2 9 3" xfId="32861" xr:uid="{00000000-0005-0000-0000-0000E94A0000}"/>
    <cellStyle name="Normal 2 5 3 2 2_Degree data" xfId="3911" xr:uid="{00000000-0005-0000-0000-0000EA4A0000}"/>
    <cellStyle name="Normal 2 5 3 2 3" xfId="480" xr:uid="{00000000-0005-0000-0000-0000EB4A0000}"/>
    <cellStyle name="Normal 2 5 3 2 3 10" xfId="26409" xr:uid="{00000000-0005-0000-0000-0000EC4A0000}"/>
    <cellStyle name="Normal 2 5 3 2 3 2" xfId="750" xr:uid="{00000000-0005-0000-0000-0000ED4A0000}"/>
    <cellStyle name="Normal 2 5 3 2 3 2 2" xfId="3236" xr:uid="{00000000-0005-0000-0000-0000EE4A0000}"/>
    <cellStyle name="Normal 2 5 3 2 3 2 2 2" xfId="12378" xr:uid="{00000000-0005-0000-0000-0000EF4A0000}"/>
    <cellStyle name="Normal 2 5 3 2 3 2 2 2 2" xfId="22597" xr:uid="{00000000-0005-0000-0000-0000F04A0000}"/>
    <cellStyle name="Normal 2 5 3 2 3 2 2 2 2 2" xfId="48150" xr:uid="{00000000-0005-0000-0000-0000F14A0000}"/>
    <cellStyle name="Normal 2 5 3 2 3 2 2 2 3" xfId="37933" xr:uid="{00000000-0005-0000-0000-0000F24A0000}"/>
    <cellStyle name="Normal 2 5 3 2 3 2 2 3" xfId="8800" xr:uid="{00000000-0005-0000-0000-0000F34A0000}"/>
    <cellStyle name="Normal 2 5 3 2 3 2 2 3 2" xfId="34357" xr:uid="{00000000-0005-0000-0000-0000F44A0000}"/>
    <cellStyle name="Normal 2 5 3 2 3 2 2 4" xfId="17590" xr:uid="{00000000-0005-0000-0000-0000F54A0000}"/>
    <cellStyle name="Normal 2 5 3 2 3 2 2 4 2" xfId="43143" xr:uid="{00000000-0005-0000-0000-0000F64A0000}"/>
    <cellStyle name="Normal 2 5 3 2 3 2 2 5" xfId="29080" xr:uid="{00000000-0005-0000-0000-0000F74A0000}"/>
    <cellStyle name="Normal 2 5 3 2 3 2 3" xfId="4565" xr:uid="{00000000-0005-0000-0000-0000F84A0000}"/>
    <cellStyle name="Normal 2 5 3 2 3 2 3 2" xfId="13403" xr:uid="{00000000-0005-0000-0000-0000F94A0000}"/>
    <cellStyle name="Normal 2 5 3 2 3 2 3 2 2" xfId="23654" xr:uid="{00000000-0005-0000-0000-0000FA4A0000}"/>
    <cellStyle name="Normal 2 5 3 2 3 2 3 2 2 2" xfId="49207" xr:uid="{00000000-0005-0000-0000-0000FB4A0000}"/>
    <cellStyle name="Normal 2 5 3 2 3 2 3 2 3" xfId="38958" xr:uid="{00000000-0005-0000-0000-0000FC4A0000}"/>
    <cellStyle name="Normal 2 5 3 2 3 2 3 3" xfId="9824" xr:uid="{00000000-0005-0000-0000-0000FD4A0000}"/>
    <cellStyle name="Normal 2 5 3 2 3 2 3 3 2" xfId="35381" xr:uid="{00000000-0005-0000-0000-0000FE4A0000}"/>
    <cellStyle name="Normal 2 5 3 2 3 2 3 4" xfId="18647" xr:uid="{00000000-0005-0000-0000-0000FF4A0000}"/>
    <cellStyle name="Normal 2 5 3 2 3 2 3 4 2" xfId="44200" xr:uid="{00000000-0005-0000-0000-0000004B0000}"/>
    <cellStyle name="Normal 2 5 3 2 3 2 3 5" xfId="30137" xr:uid="{00000000-0005-0000-0000-0000014B0000}"/>
    <cellStyle name="Normal 2 5 3 2 3 2 4" xfId="2345" xr:uid="{00000000-0005-0000-0000-0000024B0000}"/>
    <cellStyle name="Normal 2 5 3 2 3 2 4 2" xfId="11710" xr:uid="{00000000-0005-0000-0000-0000034B0000}"/>
    <cellStyle name="Normal 2 5 3 2 3 2 4 2 2" xfId="37265" xr:uid="{00000000-0005-0000-0000-0000044B0000}"/>
    <cellStyle name="Normal 2 5 3 2 3 2 4 3" xfId="21714" xr:uid="{00000000-0005-0000-0000-0000054B0000}"/>
    <cellStyle name="Normal 2 5 3 2 3 2 4 3 2" xfId="47267" xr:uid="{00000000-0005-0000-0000-0000064B0000}"/>
    <cellStyle name="Normal 2 5 3 2 3 2 4 4" xfId="28197" xr:uid="{00000000-0005-0000-0000-0000074B0000}"/>
    <cellStyle name="Normal 2 5 3 2 3 2 5" xfId="6021" xr:uid="{00000000-0005-0000-0000-0000084B0000}"/>
    <cellStyle name="Normal 2 5 3 2 3 2 5 2" xfId="14848" xr:uid="{00000000-0005-0000-0000-0000094B0000}"/>
    <cellStyle name="Normal 2 5 3 2 3 2 5 2 2" xfId="40403" xr:uid="{00000000-0005-0000-0000-00000A4B0000}"/>
    <cellStyle name="Normal 2 5 3 2 3 2 5 3" xfId="25099" xr:uid="{00000000-0005-0000-0000-00000B4B0000}"/>
    <cellStyle name="Normal 2 5 3 2 3 2 5 3 2" xfId="50652" xr:uid="{00000000-0005-0000-0000-00000C4B0000}"/>
    <cellStyle name="Normal 2 5 3 2 3 2 5 4" xfId="31582" xr:uid="{00000000-0005-0000-0000-00000D4B0000}"/>
    <cellStyle name="Normal 2 5 3 2 3 2 6" xfId="7465" xr:uid="{00000000-0005-0000-0000-00000E4B0000}"/>
    <cellStyle name="Normal 2 5 3 2 3 2 6 2" xfId="20196" xr:uid="{00000000-0005-0000-0000-00000F4B0000}"/>
    <cellStyle name="Normal 2 5 3 2 3 2 6 2 2" xfId="45749" xr:uid="{00000000-0005-0000-0000-0000104B0000}"/>
    <cellStyle name="Normal 2 5 3 2 3 2 6 3" xfId="33022" xr:uid="{00000000-0005-0000-0000-0000114B0000}"/>
    <cellStyle name="Normal 2 5 3 2 3 2 7" xfId="16707" xr:uid="{00000000-0005-0000-0000-0000124B0000}"/>
    <cellStyle name="Normal 2 5 3 2 3 2 7 2" xfId="42260" xr:uid="{00000000-0005-0000-0000-0000134B0000}"/>
    <cellStyle name="Normal 2 5 3 2 3 2 8" xfId="26679" xr:uid="{00000000-0005-0000-0000-0000144B0000}"/>
    <cellStyle name="Normal 2 5 3 2 3 3" xfId="1252" xr:uid="{00000000-0005-0000-0000-0000154B0000}"/>
    <cellStyle name="Normal 2 5 3 2 3 3 2" xfId="3681" xr:uid="{00000000-0005-0000-0000-0000164B0000}"/>
    <cellStyle name="Normal 2 5 3 2 3 3 2 2" xfId="12817" xr:uid="{00000000-0005-0000-0000-0000174B0000}"/>
    <cellStyle name="Normal 2 5 3 2 3 3 2 2 2" xfId="23036" xr:uid="{00000000-0005-0000-0000-0000184B0000}"/>
    <cellStyle name="Normal 2 5 3 2 3 3 2 2 2 2" xfId="48589" xr:uid="{00000000-0005-0000-0000-0000194B0000}"/>
    <cellStyle name="Normal 2 5 3 2 3 3 2 2 3" xfId="38372" xr:uid="{00000000-0005-0000-0000-00001A4B0000}"/>
    <cellStyle name="Normal 2 5 3 2 3 3 2 3" xfId="9238" xr:uid="{00000000-0005-0000-0000-00001B4B0000}"/>
    <cellStyle name="Normal 2 5 3 2 3 3 2 3 2" xfId="34795" xr:uid="{00000000-0005-0000-0000-00001C4B0000}"/>
    <cellStyle name="Normal 2 5 3 2 3 3 2 4" xfId="18029" xr:uid="{00000000-0005-0000-0000-00001D4B0000}"/>
    <cellStyle name="Normal 2 5 3 2 3 3 2 4 2" xfId="43582" xr:uid="{00000000-0005-0000-0000-00001E4B0000}"/>
    <cellStyle name="Normal 2 5 3 2 3 3 2 5" xfId="29519" xr:uid="{00000000-0005-0000-0000-00001F4B0000}"/>
    <cellStyle name="Normal 2 5 3 2 3 3 3" xfId="4914" xr:uid="{00000000-0005-0000-0000-0000204B0000}"/>
    <cellStyle name="Normal 2 5 3 2 3 3 3 2" xfId="13751" xr:uid="{00000000-0005-0000-0000-0000214B0000}"/>
    <cellStyle name="Normal 2 5 3 2 3 3 3 2 2" xfId="24002" xr:uid="{00000000-0005-0000-0000-0000224B0000}"/>
    <cellStyle name="Normal 2 5 3 2 3 3 3 2 2 2" xfId="49555" xr:uid="{00000000-0005-0000-0000-0000234B0000}"/>
    <cellStyle name="Normal 2 5 3 2 3 3 3 2 3" xfId="39306" xr:uid="{00000000-0005-0000-0000-0000244B0000}"/>
    <cellStyle name="Normal 2 5 3 2 3 3 3 3" xfId="10172" xr:uid="{00000000-0005-0000-0000-0000254B0000}"/>
    <cellStyle name="Normal 2 5 3 2 3 3 3 3 2" xfId="35729" xr:uid="{00000000-0005-0000-0000-0000264B0000}"/>
    <cellStyle name="Normal 2 5 3 2 3 3 3 4" xfId="18995" xr:uid="{00000000-0005-0000-0000-0000274B0000}"/>
    <cellStyle name="Normal 2 5 3 2 3 3 3 4 2" xfId="44548" xr:uid="{00000000-0005-0000-0000-0000284B0000}"/>
    <cellStyle name="Normal 2 5 3 2 3 3 3 5" xfId="30485" xr:uid="{00000000-0005-0000-0000-0000294B0000}"/>
    <cellStyle name="Normal 2 5 3 2 3 3 4" xfId="2075" xr:uid="{00000000-0005-0000-0000-00002A4B0000}"/>
    <cellStyle name="Normal 2 5 3 2 3 3 4 2" xfId="11440" xr:uid="{00000000-0005-0000-0000-00002B4B0000}"/>
    <cellStyle name="Normal 2 5 3 2 3 3 4 2 2" xfId="36995" xr:uid="{00000000-0005-0000-0000-00002C4B0000}"/>
    <cellStyle name="Normal 2 5 3 2 3 3 4 3" xfId="21444" xr:uid="{00000000-0005-0000-0000-00002D4B0000}"/>
    <cellStyle name="Normal 2 5 3 2 3 3 4 3 2" xfId="46997" xr:uid="{00000000-0005-0000-0000-00002E4B0000}"/>
    <cellStyle name="Normal 2 5 3 2 3 3 4 4" xfId="27927" xr:uid="{00000000-0005-0000-0000-00002F4B0000}"/>
    <cellStyle name="Normal 2 5 3 2 3 3 5" xfId="6369" xr:uid="{00000000-0005-0000-0000-0000304B0000}"/>
    <cellStyle name="Normal 2 5 3 2 3 3 5 2" xfId="15196" xr:uid="{00000000-0005-0000-0000-0000314B0000}"/>
    <cellStyle name="Normal 2 5 3 2 3 3 5 2 2" xfId="40751" xr:uid="{00000000-0005-0000-0000-0000324B0000}"/>
    <cellStyle name="Normal 2 5 3 2 3 3 5 3" xfId="25447" xr:uid="{00000000-0005-0000-0000-0000334B0000}"/>
    <cellStyle name="Normal 2 5 3 2 3 3 5 3 2" xfId="51000" xr:uid="{00000000-0005-0000-0000-0000344B0000}"/>
    <cellStyle name="Normal 2 5 3 2 3 3 5 4" xfId="31930" xr:uid="{00000000-0005-0000-0000-0000354B0000}"/>
    <cellStyle name="Normal 2 5 3 2 3 3 6" xfId="7815" xr:uid="{00000000-0005-0000-0000-0000364B0000}"/>
    <cellStyle name="Normal 2 5 3 2 3 3 6 2" xfId="20635" xr:uid="{00000000-0005-0000-0000-0000374B0000}"/>
    <cellStyle name="Normal 2 5 3 2 3 3 6 2 2" xfId="46188" xr:uid="{00000000-0005-0000-0000-0000384B0000}"/>
    <cellStyle name="Normal 2 5 3 2 3 3 6 3" xfId="33372" xr:uid="{00000000-0005-0000-0000-0000394B0000}"/>
    <cellStyle name="Normal 2 5 3 2 3 3 7" xfId="16437" xr:uid="{00000000-0005-0000-0000-00003A4B0000}"/>
    <cellStyle name="Normal 2 5 3 2 3 3 7 2" xfId="41990" xr:uid="{00000000-0005-0000-0000-00003B4B0000}"/>
    <cellStyle name="Normal 2 5 3 2 3 3 8" xfId="27118" xr:uid="{00000000-0005-0000-0000-00003C4B0000}"/>
    <cellStyle name="Normal 2 5 3 2 3 4" xfId="2966" xr:uid="{00000000-0005-0000-0000-00003D4B0000}"/>
    <cellStyle name="Normal 2 5 3 2 3 4 2" xfId="5344" xr:uid="{00000000-0005-0000-0000-00003E4B0000}"/>
    <cellStyle name="Normal 2 5 3 2 3 4 2 2" xfId="14181" xr:uid="{00000000-0005-0000-0000-00003F4B0000}"/>
    <cellStyle name="Normal 2 5 3 2 3 4 2 2 2" xfId="24432" xr:uid="{00000000-0005-0000-0000-0000404B0000}"/>
    <cellStyle name="Normal 2 5 3 2 3 4 2 2 2 2" xfId="49985" xr:uid="{00000000-0005-0000-0000-0000414B0000}"/>
    <cellStyle name="Normal 2 5 3 2 3 4 2 2 3" xfId="39736" xr:uid="{00000000-0005-0000-0000-0000424B0000}"/>
    <cellStyle name="Normal 2 5 3 2 3 4 2 3" xfId="10602" xr:uid="{00000000-0005-0000-0000-0000434B0000}"/>
    <cellStyle name="Normal 2 5 3 2 3 4 2 3 2" xfId="36159" xr:uid="{00000000-0005-0000-0000-0000444B0000}"/>
    <cellStyle name="Normal 2 5 3 2 3 4 2 4" xfId="19425" xr:uid="{00000000-0005-0000-0000-0000454B0000}"/>
    <cellStyle name="Normal 2 5 3 2 3 4 2 4 2" xfId="44978" xr:uid="{00000000-0005-0000-0000-0000464B0000}"/>
    <cellStyle name="Normal 2 5 3 2 3 4 2 5" xfId="30915" xr:uid="{00000000-0005-0000-0000-0000474B0000}"/>
    <cellStyle name="Normal 2 5 3 2 3 4 3" xfId="6799" xr:uid="{00000000-0005-0000-0000-0000484B0000}"/>
    <cellStyle name="Normal 2 5 3 2 3 4 3 2" xfId="15626" xr:uid="{00000000-0005-0000-0000-0000494B0000}"/>
    <cellStyle name="Normal 2 5 3 2 3 4 3 2 2" xfId="41181" xr:uid="{00000000-0005-0000-0000-00004A4B0000}"/>
    <cellStyle name="Normal 2 5 3 2 3 4 3 3" xfId="25877" xr:uid="{00000000-0005-0000-0000-00004B4B0000}"/>
    <cellStyle name="Normal 2 5 3 2 3 4 3 3 2" xfId="51430" xr:uid="{00000000-0005-0000-0000-00004C4B0000}"/>
    <cellStyle name="Normal 2 5 3 2 3 4 3 4" xfId="32360" xr:uid="{00000000-0005-0000-0000-00004D4B0000}"/>
    <cellStyle name="Normal 2 5 3 2 3 4 4" xfId="8245" xr:uid="{00000000-0005-0000-0000-00004E4B0000}"/>
    <cellStyle name="Normal 2 5 3 2 3 4 4 2" xfId="22327" xr:uid="{00000000-0005-0000-0000-00004F4B0000}"/>
    <cellStyle name="Normal 2 5 3 2 3 4 4 2 2" xfId="47880" xr:uid="{00000000-0005-0000-0000-0000504B0000}"/>
    <cellStyle name="Normal 2 5 3 2 3 4 4 3" xfId="33802" xr:uid="{00000000-0005-0000-0000-0000514B0000}"/>
    <cellStyle name="Normal 2 5 3 2 3 4 5" xfId="17320" xr:uid="{00000000-0005-0000-0000-0000524B0000}"/>
    <cellStyle name="Normal 2 5 3 2 3 4 5 2" xfId="42873" xr:uid="{00000000-0005-0000-0000-0000534B0000}"/>
    <cellStyle name="Normal 2 5 3 2 3 4 6" xfId="28810" xr:uid="{00000000-0005-0000-0000-0000544B0000}"/>
    <cellStyle name="Normal 2 5 3 2 3 5" xfId="4300" xr:uid="{00000000-0005-0000-0000-0000554B0000}"/>
    <cellStyle name="Normal 2 5 3 2 3 5 2" xfId="13138" xr:uid="{00000000-0005-0000-0000-0000564B0000}"/>
    <cellStyle name="Normal 2 5 3 2 3 5 2 2" xfId="23389" xr:uid="{00000000-0005-0000-0000-0000574B0000}"/>
    <cellStyle name="Normal 2 5 3 2 3 5 2 2 2" xfId="48942" xr:uid="{00000000-0005-0000-0000-0000584B0000}"/>
    <cellStyle name="Normal 2 5 3 2 3 5 2 3" xfId="38693" xr:uid="{00000000-0005-0000-0000-0000594B0000}"/>
    <cellStyle name="Normal 2 5 3 2 3 5 3" xfId="9559" xr:uid="{00000000-0005-0000-0000-00005A4B0000}"/>
    <cellStyle name="Normal 2 5 3 2 3 5 3 2" xfId="35116" xr:uid="{00000000-0005-0000-0000-00005B4B0000}"/>
    <cellStyle name="Normal 2 5 3 2 3 5 4" xfId="18382" xr:uid="{00000000-0005-0000-0000-00005C4B0000}"/>
    <cellStyle name="Normal 2 5 3 2 3 5 4 2" xfId="43935" xr:uid="{00000000-0005-0000-0000-00005D4B0000}"/>
    <cellStyle name="Normal 2 5 3 2 3 5 5" xfId="29872" xr:uid="{00000000-0005-0000-0000-00005E4B0000}"/>
    <cellStyle name="Normal 2 5 3 2 3 6" xfId="1572" xr:uid="{00000000-0005-0000-0000-00005F4B0000}"/>
    <cellStyle name="Normal 2 5 3 2 3 6 2" xfId="10949" xr:uid="{00000000-0005-0000-0000-0000604B0000}"/>
    <cellStyle name="Normal 2 5 3 2 3 6 2 2" xfId="36504" xr:uid="{00000000-0005-0000-0000-0000614B0000}"/>
    <cellStyle name="Normal 2 5 3 2 3 6 3" xfId="20953" xr:uid="{00000000-0005-0000-0000-0000624B0000}"/>
    <cellStyle name="Normal 2 5 3 2 3 6 3 2" xfId="46506" xr:uid="{00000000-0005-0000-0000-0000634B0000}"/>
    <cellStyle name="Normal 2 5 3 2 3 6 4" xfId="27436" xr:uid="{00000000-0005-0000-0000-0000644B0000}"/>
    <cellStyle name="Normal 2 5 3 2 3 7" xfId="5756" xr:uid="{00000000-0005-0000-0000-0000654B0000}"/>
    <cellStyle name="Normal 2 5 3 2 3 7 2" xfId="14583" xr:uid="{00000000-0005-0000-0000-0000664B0000}"/>
    <cellStyle name="Normal 2 5 3 2 3 7 2 2" xfId="40138" xr:uid="{00000000-0005-0000-0000-0000674B0000}"/>
    <cellStyle name="Normal 2 5 3 2 3 7 3" xfId="24834" xr:uid="{00000000-0005-0000-0000-0000684B0000}"/>
    <cellStyle name="Normal 2 5 3 2 3 7 3 2" xfId="50387" xr:uid="{00000000-0005-0000-0000-0000694B0000}"/>
    <cellStyle name="Normal 2 5 3 2 3 7 4" xfId="31317" xr:uid="{00000000-0005-0000-0000-00006A4B0000}"/>
    <cellStyle name="Normal 2 5 3 2 3 8" xfId="7200" xr:uid="{00000000-0005-0000-0000-00006B4B0000}"/>
    <cellStyle name="Normal 2 5 3 2 3 8 2" xfId="19926" xr:uid="{00000000-0005-0000-0000-00006C4B0000}"/>
    <cellStyle name="Normal 2 5 3 2 3 8 2 2" xfId="45479" xr:uid="{00000000-0005-0000-0000-00006D4B0000}"/>
    <cellStyle name="Normal 2 5 3 2 3 8 3" xfId="32757" xr:uid="{00000000-0005-0000-0000-00006E4B0000}"/>
    <cellStyle name="Normal 2 5 3 2 3 9" xfId="15946" xr:uid="{00000000-0005-0000-0000-00006F4B0000}"/>
    <cellStyle name="Normal 2 5 3 2 3 9 2" xfId="41499" xr:uid="{00000000-0005-0000-0000-0000704B0000}"/>
    <cellStyle name="Normal 2 5 3 2 3_Degree data" xfId="3852" xr:uid="{00000000-0005-0000-0000-0000714B0000}"/>
    <cellStyle name="Normal 2 5 3 2 4" xfId="380" xr:uid="{00000000-0005-0000-0000-0000724B0000}"/>
    <cellStyle name="Normal 2 5 3 2 4 2" xfId="2866" xr:uid="{00000000-0005-0000-0000-0000734B0000}"/>
    <cellStyle name="Normal 2 5 3 2 4 2 2" xfId="12154" xr:uid="{00000000-0005-0000-0000-0000744B0000}"/>
    <cellStyle name="Normal 2 5 3 2 4 2 2 2" xfId="22227" xr:uid="{00000000-0005-0000-0000-0000754B0000}"/>
    <cellStyle name="Normal 2 5 3 2 4 2 2 2 2" xfId="47780" xr:uid="{00000000-0005-0000-0000-0000764B0000}"/>
    <cellStyle name="Normal 2 5 3 2 4 2 2 3" xfId="37709" xr:uid="{00000000-0005-0000-0000-0000774B0000}"/>
    <cellStyle name="Normal 2 5 3 2 4 2 3" xfId="8520" xr:uid="{00000000-0005-0000-0000-0000784B0000}"/>
    <cellStyle name="Normal 2 5 3 2 4 2 3 2" xfId="34077" xr:uid="{00000000-0005-0000-0000-0000794B0000}"/>
    <cellStyle name="Normal 2 5 3 2 4 2 4" xfId="17220" xr:uid="{00000000-0005-0000-0000-00007A4B0000}"/>
    <cellStyle name="Normal 2 5 3 2 4 2 4 2" xfId="42773" xr:uid="{00000000-0005-0000-0000-00007B4B0000}"/>
    <cellStyle name="Normal 2 5 3 2 4 2 5" xfId="28710" xr:uid="{00000000-0005-0000-0000-00007C4B0000}"/>
    <cellStyle name="Normal 2 5 3 2 4 3" xfId="4563" xr:uid="{00000000-0005-0000-0000-00007D4B0000}"/>
    <cellStyle name="Normal 2 5 3 2 4 3 2" xfId="13401" xr:uid="{00000000-0005-0000-0000-00007E4B0000}"/>
    <cellStyle name="Normal 2 5 3 2 4 3 2 2" xfId="23652" xr:uid="{00000000-0005-0000-0000-00007F4B0000}"/>
    <cellStyle name="Normal 2 5 3 2 4 3 2 2 2" xfId="49205" xr:uid="{00000000-0005-0000-0000-0000804B0000}"/>
    <cellStyle name="Normal 2 5 3 2 4 3 2 3" xfId="38956" xr:uid="{00000000-0005-0000-0000-0000814B0000}"/>
    <cellStyle name="Normal 2 5 3 2 4 3 3" xfId="9822" xr:uid="{00000000-0005-0000-0000-0000824B0000}"/>
    <cellStyle name="Normal 2 5 3 2 4 3 3 2" xfId="35379" xr:uid="{00000000-0005-0000-0000-0000834B0000}"/>
    <cellStyle name="Normal 2 5 3 2 4 3 4" xfId="18645" xr:uid="{00000000-0005-0000-0000-0000844B0000}"/>
    <cellStyle name="Normal 2 5 3 2 4 3 4 2" xfId="44198" xr:uid="{00000000-0005-0000-0000-0000854B0000}"/>
    <cellStyle name="Normal 2 5 3 2 4 3 5" xfId="30135" xr:uid="{00000000-0005-0000-0000-0000864B0000}"/>
    <cellStyle name="Normal 2 5 3 2 4 4" xfId="1975" xr:uid="{00000000-0005-0000-0000-0000874B0000}"/>
    <cellStyle name="Normal 2 5 3 2 4 4 2" xfId="11340" xr:uid="{00000000-0005-0000-0000-0000884B0000}"/>
    <cellStyle name="Normal 2 5 3 2 4 4 2 2" xfId="36895" xr:uid="{00000000-0005-0000-0000-0000894B0000}"/>
    <cellStyle name="Normal 2 5 3 2 4 4 3" xfId="21344" xr:uid="{00000000-0005-0000-0000-00008A4B0000}"/>
    <cellStyle name="Normal 2 5 3 2 4 4 3 2" xfId="46897" xr:uid="{00000000-0005-0000-0000-00008B4B0000}"/>
    <cellStyle name="Normal 2 5 3 2 4 4 4" xfId="27827" xr:uid="{00000000-0005-0000-0000-00008C4B0000}"/>
    <cellStyle name="Normal 2 5 3 2 4 5" xfId="6019" xr:uid="{00000000-0005-0000-0000-00008D4B0000}"/>
    <cellStyle name="Normal 2 5 3 2 4 5 2" xfId="14846" xr:uid="{00000000-0005-0000-0000-00008E4B0000}"/>
    <cellStyle name="Normal 2 5 3 2 4 5 2 2" xfId="40401" xr:uid="{00000000-0005-0000-0000-00008F4B0000}"/>
    <cellStyle name="Normal 2 5 3 2 4 5 3" xfId="25097" xr:uid="{00000000-0005-0000-0000-0000904B0000}"/>
    <cellStyle name="Normal 2 5 3 2 4 5 3 2" xfId="50650" xr:uid="{00000000-0005-0000-0000-0000914B0000}"/>
    <cellStyle name="Normal 2 5 3 2 4 5 4" xfId="31580" xr:uid="{00000000-0005-0000-0000-0000924B0000}"/>
    <cellStyle name="Normal 2 5 3 2 4 6" xfId="7463" xr:uid="{00000000-0005-0000-0000-0000934B0000}"/>
    <cellStyle name="Normal 2 5 3 2 4 6 2" xfId="19826" xr:uid="{00000000-0005-0000-0000-0000944B0000}"/>
    <cellStyle name="Normal 2 5 3 2 4 6 2 2" xfId="45379" xr:uid="{00000000-0005-0000-0000-0000954B0000}"/>
    <cellStyle name="Normal 2 5 3 2 4 6 3" xfId="33020" xr:uid="{00000000-0005-0000-0000-0000964B0000}"/>
    <cellStyle name="Normal 2 5 3 2 4 7" xfId="16337" xr:uid="{00000000-0005-0000-0000-0000974B0000}"/>
    <cellStyle name="Normal 2 5 3 2 4 7 2" xfId="41890" xr:uid="{00000000-0005-0000-0000-0000984B0000}"/>
    <cellStyle name="Normal 2 5 3 2 4 8" xfId="26309" xr:uid="{00000000-0005-0000-0000-0000994B0000}"/>
    <cellStyle name="Normal 2 5 3 2 5" xfId="748" xr:uid="{00000000-0005-0000-0000-00009A4B0000}"/>
    <cellStyle name="Normal 2 5 3 2 5 2" xfId="3234" xr:uid="{00000000-0005-0000-0000-00009B4B0000}"/>
    <cellStyle name="Normal 2 5 3 2 5 2 2" xfId="12376" xr:uid="{00000000-0005-0000-0000-00009C4B0000}"/>
    <cellStyle name="Normal 2 5 3 2 5 2 2 2" xfId="22595" xr:uid="{00000000-0005-0000-0000-00009D4B0000}"/>
    <cellStyle name="Normal 2 5 3 2 5 2 2 2 2" xfId="48148" xr:uid="{00000000-0005-0000-0000-00009E4B0000}"/>
    <cellStyle name="Normal 2 5 3 2 5 2 2 3" xfId="37931" xr:uid="{00000000-0005-0000-0000-00009F4B0000}"/>
    <cellStyle name="Normal 2 5 3 2 5 2 3" xfId="8798" xr:uid="{00000000-0005-0000-0000-0000A04B0000}"/>
    <cellStyle name="Normal 2 5 3 2 5 2 3 2" xfId="34355" xr:uid="{00000000-0005-0000-0000-0000A14B0000}"/>
    <cellStyle name="Normal 2 5 3 2 5 2 4" xfId="17588" xr:uid="{00000000-0005-0000-0000-0000A24B0000}"/>
    <cellStyle name="Normal 2 5 3 2 5 2 4 2" xfId="43141" xr:uid="{00000000-0005-0000-0000-0000A34B0000}"/>
    <cellStyle name="Normal 2 5 3 2 5 2 5" xfId="29078" xr:uid="{00000000-0005-0000-0000-0000A44B0000}"/>
    <cellStyle name="Normal 2 5 3 2 5 3" xfId="4912" xr:uid="{00000000-0005-0000-0000-0000A54B0000}"/>
    <cellStyle name="Normal 2 5 3 2 5 3 2" xfId="13749" xr:uid="{00000000-0005-0000-0000-0000A64B0000}"/>
    <cellStyle name="Normal 2 5 3 2 5 3 2 2" xfId="24000" xr:uid="{00000000-0005-0000-0000-0000A74B0000}"/>
    <cellStyle name="Normal 2 5 3 2 5 3 2 2 2" xfId="49553" xr:uid="{00000000-0005-0000-0000-0000A84B0000}"/>
    <cellStyle name="Normal 2 5 3 2 5 3 2 3" xfId="39304" xr:uid="{00000000-0005-0000-0000-0000A94B0000}"/>
    <cellStyle name="Normal 2 5 3 2 5 3 3" xfId="10170" xr:uid="{00000000-0005-0000-0000-0000AA4B0000}"/>
    <cellStyle name="Normal 2 5 3 2 5 3 3 2" xfId="35727" xr:uid="{00000000-0005-0000-0000-0000AB4B0000}"/>
    <cellStyle name="Normal 2 5 3 2 5 3 4" xfId="18993" xr:uid="{00000000-0005-0000-0000-0000AC4B0000}"/>
    <cellStyle name="Normal 2 5 3 2 5 3 4 2" xfId="44546" xr:uid="{00000000-0005-0000-0000-0000AD4B0000}"/>
    <cellStyle name="Normal 2 5 3 2 5 3 5" xfId="30483" xr:uid="{00000000-0005-0000-0000-0000AE4B0000}"/>
    <cellStyle name="Normal 2 5 3 2 5 4" xfId="2343" xr:uid="{00000000-0005-0000-0000-0000AF4B0000}"/>
    <cellStyle name="Normal 2 5 3 2 5 4 2" xfId="11708" xr:uid="{00000000-0005-0000-0000-0000B04B0000}"/>
    <cellStyle name="Normal 2 5 3 2 5 4 2 2" xfId="37263" xr:uid="{00000000-0005-0000-0000-0000B14B0000}"/>
    <cellStyle name="Normal 2 5 3 2 5 4 3" xfId="21712" xr:uid="{00000000-0005-0000-0000-0000B24B0000}"/>
    <cellStyle name="Normal 2 5 3 2 5 4 3 2" xfId="47265" xr:uid="{00000000-0005-0000-0000-0000B34B0000}"/>
    <cellStyle name="Normal 2 5 3 2 5 4 4" xfId="28195" xr:uid="{00000000-0005-0000-0000-0000B44B0000}"/>
    <cellStyle name="Normal 2 5 3 2 5 5" xfId="6367" xr:uid="{00000000-0005-0000-0000-0000B54B0000}"/>
    <cellStyle name="Normal 2 5 3 2 5 5 2" xfId="15194" xr:uid="{00000000-0005-0000-0000-0000B64B0000}"/>
    <cellStyle name="Normal 2 5 3 2 5 5 2 2" xfId="40749" xr:uid="{00000000-0005-0000-0000-0000B74B0000}"/>
    <cellStyle name="Normal 2 5 3 2 5 5 3" xfId="25445" xr:uid="{00000000-0005-0000-0000-0000B84B0000}"/>
    <cellStyle name="Normal 2 5 3 2 5 5 3 2" xfId="50998" xr:uid="{00000000-0005-0000-0000-0000B94B0000}"/>
    <cellStyle name="Normal 2 5 3 2 5 5 4" xfId="31928" xr:uid="{00000000-0005-0000-0000-0000BA4B0000}"/>
    <cellStyle name="Normal 2 5 3 2 5 6" xfId="7813" xr:uid="{00000000-0005-0000-0000-0000BB4B0000}"/>
    <cellStyle name="Normal 2 5 3 2 5 6 2" xfId="20194" xr:uid="{00000000-0005-0000-0000-0000BC4B0000}"/>
    <cellStyle name="Normal 2 5 3 2 5 6 2 2" xfId="45747" xr:uid="{00000000-0005-0000-0000-0000BD4B0000}"/>
    <cellStyle name="Normal 2 5 3 2 5 6 3" xfId="33370" xr:uid="{00000000-0005-0000-0000-0000BE4B0000}"/>
    <cellStyle name="Normal 2 5 3 2 5 7" xfId="16705" xr:uid="{00000000-0005-0000-0000-0000BF4B0000}"/>
    <cellStyle name="Normal 2 5 3 2 5 7 2" xfId="42258" xr:uid="{00000000-0005-0000-0000-0000C04B0000}"/>
    <cellStyle name="Normal 2 5 3 2 5 8" xfId="26677" xr:uid="{00000000-0005-0000-0000-0000C14B0000}"/>
    <cellStyle name="Normal 2 5 3 2 6" xfId="1152" xr:uid="{00000000-0005-0000-0000-0000C24B0000}"/>
    <cellStyle name="Normal 2 5 3 2 6 2" xfId="3581" xr:uid="{00000000-0005-0000-0000-0000C34B0000}"/>
    <cellStyle name="Normal 2 5 3 2 6 2 2" xfId="12717" xr:uid="{00000000-0005-0000-0000-0000C44B0000}"/>
    <cellStyle name="Normal 2 5 3 2 6 2 2 2" xfId="22936" xr:uid="{00000000-0005-0000-0000-0000C54B0000}"/>
    <cellStyle name="Normal 2 5 3 2 6 2 2 2 2" xfId="48489" xr:uid="{00000000-0005-0000-0000-0000C64B0000}"/>
    <cellStyle name="Normal 2 5 3 2 6 2 2 3" xfId="38272" xr:uid="{00000000-0005-0000-0000-0000C74B0000}"/>
    <cellStyle name="Normal 2 5 3 2 6 2 3" xfId="9138" xr:uid="{00000000-0005-0000-0000-0000C84B0000}"/>
    <cellStyle name="Normal 2 5 3 2 6 2 3 2" xfId="34695" xr:uid="{00000000-0005-0000-0000-0000C94B0000}"/>
    <cellStyle name="Normal 2 5 3 2 6 2 4" xfId="17929" xr:uid="{00000000-0005-0000-0000-0000CA4B0000}"/>
    <cellStyle name="Normal 2 5 3 2 6 2 4 2" xfId="43482" xr:uid="{00000000-0005-0000-0000-0000CB4B0000}"/>
    <cellStyle name="Normal 2 5 3 2 6 2 5" xfId="29419" xr:uid="{00000000-0005-0000-0000-0000CC4B0000}"/>
    <cellStyle name="Normal 2 5 3 2 6 3" xfId="5244" xr:uid="{00000000-0005-0000-0000-0000CD4B0000}"/>
    <cellStyle name="Normal 2 5 3 2 6 3 2" xfId="14081" xr:uid="{00000000-0005-0000-0000-0000CE4B0000}"/>
    <cellStyle name="Normal 2 5 3 2 6 3 2 2" xfId="24332" xr:uid="{00000000-0005-0000-0000-0000CF4B0000}"/>
    <cellStyle name="Normal 2 5 3 2 6 3 2 2 2" xfId="49885" xr:uid="{00000000-0005-0000-0000-0000D04B0000}"/>
    <cellStyle name="Normal 2 5 3 2 6 3 2 3" xfId="39636" xr:uid="{00000000-0005-0000-0000-0000D14B0000}"/>
    <cellStyle name="Normal 2 5 3 2 6 3 3" xfId="10502" xr:uid="{00000000-0005-0000-0000-0000D24B0000}"/>
    <cellStyle name="Normal 2 5 3 2 6 3 3 2" xfId="36059" xr:uid="{00000000-0005-0000-0000-0000D34B0000}"/>
    <cellStyle name="Normal 2 5 3 2 6 3 4" xfId="19325" xr:uid="{00000000-0005-0000-0000-0000D44B0000}"/>
    <cellStyle name="Normal 2 5 3 2 6 3 4 2" xfId="44878" xr:uid="{00000000-0005-0000-0000-0000D54B0000}"/>
    <cellStyle name="Normal 2 5 3 2 6 3 5" xfId="30815" xr:uid="{00000000-0005-0000-0000-0000D64B0000}"/>
    <cellStyle name="Normal 2 5 3 2 6 4" xfId="1751" xr:uid="{00000000-0005-0000-0000-0000D74B0000}"/>
    <cellStyle name="Normal 2 5 3 2 6 4 2" xfId="11122" xr:uid="{00000000-0005-0000-0000-0000D84B0000}"/>
    <cellStyle name="Normal 2 5 3 2 6 4 2 2" xfId="36677" xr:uid="{00000000-0005-0000-0000-0000D94B0000}"/>
    <cellStyle name="Normal 2 5 3 2 6 4 3" xfId="21126" xr:uid="{00000000-0005-0000-0000-0000DA4B0000}"/>
    <cellStyle name="Normal 2 5 3 2 6 4 3 2" xfId="46679" xr:uid="{00000000-0005-0000-0000-0000DB4B0000}"/>
    <cellStyle name="Normal 2 5 3 2 6 4 4" xfId="27609" xr:uid="{00000000-0005-0000-0000-0000DC4B0000}"/>
    <cellStyle name="Normal 2 5 3 2 6 5" xfId="6699" xr:uid="{00000000-0005-0000-0000-0000DD4B0000}"/>
    <cellStyle name="Normal 2 5 3 2 6 5 2" xfId="15526" xr:uid="{00000000-0005-0000-0000-0000DE4B0000}"/>
    <cellStyle name="Normal 2 5 3 2 6 5 2 2" xfId="41081" xr:uid="{00000000-0005-0000-0000-0000DF4B0000}"/>
    <cellStyle name="Normal 2 5 3 2 6 5 3" xfId="25777" xr:uid="{00000000-0005-0000-0000-0000E04B0000}"/>
    <cellStyle name="Normal 2 5 3 2 6 5 3 2" xfId="51330" xr:uid="{00000000-0005-0000-0000-0000E14B0000}"/>
    <cellStyle name="Normal 2 5 3 2 6 5 4" xfId="32260" xr:uid="{00000000-0005-0000-0000-0000E24B0000}"/>
    <cellStyle name="Normal 2 5 3 2 6 6" xfId="8145" xr:uid="{00000000-0005-0000-0000-0000E34B0000}"/>
    <cellStyle name="Normal 2 5 3 2 6 6 2" xfId="20535" xr:uid="{00000000-0005-0000-0000-0000E44B0000}"/>
    <cellStyle name="Normal 2 5 3 2 6 6 2 2" xfId="46088" xr:uid="{00000000-0005-0000-0000-0000E54B0000}"/>
    <cellStyle name="Normal 2 5 3 2 6 6 3" xfId="33702" xr:uid="{00000000-0005-0000-0000-0000E64B0000}"/>
    <cellStyle name="Normal 2 5 3 2 6 7" xfId="16119" xr:uid="{00000000-0005-0000-0000-0000E74B0000}"/>
    <cellStyle name="Normal 2 5 3 2 6 7 2" xfId="41672" xr:uid="{00000000-0005-0000-0000-0000E84B0000}"/>
    <cellStyle name="Normal 2 5 3 2 6 8" xfId="27018" xr:uid="{00000000-0005-0000-0000-0000E94B0000}"/>
    <cellStyle name="Normal 2 5 3 2 7" xfId="2649" xr:uid="{00000000-0005-0000-0000-0000EA4B0000}"/>
    <cellStyle name="Normal 2 5 3 2 7 2" xfId="11971" xr:uid="{00000000-0005-0000-0000-0000EB4B0000}"/>
    <cellStyle name="Normal 2 5 3 2 7 2 2" xfId="22010" xr:uid="{00000000-0005-0000-0000-0000EC4B0000}"/>
    <cellStyle name="Normal 2 5 3 2 7 2 2 2" xfId="47563" xr:uid="{00000000-0005-0000-0000-0000ED4B0000}"/>
    <cellStyle name="Normal 2 5 3 2 7 2 3" xfId="37526" xr:uid="{00000000-0005-0000-0000-0000EE4B0000}"/>
    <cellStyle name="Normal 2 5 3 2 7 3" xfId="8561" xr:uid="{00000000-0005-0000-0000-0000EF4B0000}"/>
    <cellStyle name="Normal 2 5 3 2 7 3 2" xfId="34118" xr:uid="{00000000-0005-0000-0000-0000F04B0000}"/>
    <cellStyle name="Normal 2 5 3 2 7 4" xfId="17003" xr:uid="{00000000-0005-0000-0000-0000F14B0000}"/>
    <cellStyle name="Normal 2 5 3 2 7 4 2" xfId="42556" xr:uid="{00000000-0005-0000-0000-0000F24B0000}"/>
    <cellStyle name="Normal 2 5 3 2 7 5" xfId="28493" xr:uid="{00000000-0005-0000-0000-0000F34B0000}"/>
    <cellStyle name="Normal 2 5 3 2 8" xfId="4200" xr:uid="{00000000-0005-0000-0000-0000F44B0000}"/>
    <cellStyle name="Normal 2 5 3 2 8 2" xfId="13038" xr:uid="{00000000-0005-0000-0000-0000F54B0000}"/>
    <cellStyle name="Normal 2 5 3 2 8 2 2" xfId="23289" xr:uid="{00000000-0005-0000-0000-0000F64B0000}"/>
    <cellStyle name="Normal 2 5 3 2 8 2 2 2" xfId="48842" xr:uid="{00000000-0005-0000-0000-0000F74B0000}"/>
    <cellStyle name="Normal 2 5 3 2 8 2 3" xfId="38593" xr:uid="{00000000-0005-0000-0000-0000F84B0000}"/>
    <cellStyle name="Normal 2 5 3 2 8 3" xfId="9459" xr:uid="{00000000-0005-0000-0000-0000F94B0000}"/>
    <cellStyle name="Normal 2 5 3 2 8 3 2" xfId="35016" xr:uid="{00000000-0005-0000-0000-0000FA4B0000}"/>
    <cellStyle name="Normal 2 5 3 2 8 4" xfId="18282" xr:uid="{00000000-0005-0000-0000-0000FB4B0000}"/>
    <cellStyle name="Normal 2 5 3 2 8 4 2" xfId="43835" xr:uid="{00000000-0005-0000-0000-0000FC4B0000}"/>
    <cellStyle name="Normal 2 5 3 2 8 5" xfId="29772" xr:uid="{00000000-0005-0000-0000-0000FD4B0000}"/>
    <cellStyle name="Normal 2 5 3 2 9" xfId="1472" xr:uid="{00000000-0005-0000-0000-0000FE4B0000}"/>
    <cellStyle name="Normal 2 5 3 2 9 2" xfId="10849" xr:uid="{00000000-0005-0000-0000-0000FF4B0000}"/>
    <cellStyle name="Normal 2 5 3 2 9 2 2" xfId="36404" xr:uid="{00000000-0005-0000-0000-0000004C0000}"/>
    <cellStyle name="Normal 2 5 3 2 9 3" xfId="20853" xr:uid="{00000000-0005-0000-0000-0000014C0000}"/>
    <cellStyle name="Normal 2 5 3 2 9 3 2" xfId="46406" xr:uid="{00000000-0005-0000-0000-0000024C0000}"/>
    <cellStyle name="Normal 2 5 3 2 9 4" xfId="27336" xr:uid="{00000000-0005-0000-0000-0000034C0000}"/>
    <cellStyle name="Normal 2 5 3 2_Degree data" xfId="3887" xr:uid="{00000000-0005-0000-0000-0000044C0000}"/>
    <cellStyle name="Normal 2 5 3 3" xfId="195" xr:uid="{00000000-0005-0000-0000-0000054C0000}"/>
    <cellStyle name="Normal 2 5 3 3 10" xfId="7143" xr:uid="{00000000-0005-0000-0000-0000064C0000}"/>
    <cellStyle name="Normal 2 5 3 3 10 2" xfId="19652" xr:uid="{00000000-0005-0000-0000-0000074C0000}"/>
    <cellStyle name="Normal 2 5 3 3 10 2 2" xfId="45205" xr:uid="{00000000-0005-0000-0000-0000084C0000}"/>
    <cellStyle name="Normal 2 5 3 3 10 3" xfId="32700" xr:uid="{00000000-0005-0000-0000-0000094C0000}"/>
    <cellStyle name="Normal 2 5 3 3 11" xfId="15889" xr:uid="{00000000-0005-0000-0000-00000A4C0000}"/>
    <cellStyle name="Normal 2 5 3 3 11 2" xfId="41442" xr:uid="{00000000-0005-0000-0000-00000B4C0000}"/>
    <cellStyle name="Normal 2 5 3 3 12" xfId="26135" xr:uid="{00000000-0005-0000-0000-00000C4C0000}"/>
    <cellStyle name="Normal 2 5 3 3 2" xfId="523" xr:uid="{00000000-0005-0000-0000-00000D4C0000}"/>
    <cellStyle name="Normal 2 5 3 3 2 10" xfId="26452" xr:uid="{00000000-0005-0000-0000-00000E4C0000}"/>
    <cellStyle name="Normal 2 5 3 3 2 2" xfId="752" xr:uid="{00000000-0005-0000-0000-00000F4C0000}"/>
    <cellStyle name="Normal 2 5 3 3 2 2 2" xfId="3238" xr:uid="{00000000-0005-0000-0000-0000104C0000}"/>
    <cellStyle name="Normal 2 5 3 3 2 2 2 2" xfId="12380" xr:uid="{00000000-0005-0000-0000-0000114C0000}"/>
    <cellStyle name="Normal 2 5 3 3 2 2 2 2 2" xfId="22599" xr:uid="{00000000-0005-0000-0000-0000124C0000}"/>
    <cellStyle name="Normal 2 5 3 3 2 2 2 2 2 2" xfId="48152" xr:uid="{00000000-0005-0000-0000-0000134C0000}"/>
    <cellStyle name="Normal 2 5 3 3 2 2 2 2 3" xfId="37935" xr:uid="{00000000-0005-0000-0000-0000144C0000}"/>
    <cellStyle name="Normal 2 5 3 3 2 2 2 3" xfId="8802" xr:uid="{00000000-0005-0000-0000-0000154C0000}"/>
    <cellStyle name="Normal 2 5 3 3 2 2 2 3 2" xfId="34359" xr:uid="{00000000-0005-0000-0000-0000164C0000}"/>
    <cellStyle name="Normal 2 5 3 3 2 2 2 4" xfId="17592" xr:uid="{00000000-0005-0000-0000-0000174C0000}"/>
    <cellStyle name="Normal 2 5 3 3 2 2 2 4 2" xfId="43145" xr:uid="{00000000-0005-0000-0000-0000184C0000}"/>
    <cellStyle name="Normal 2 5 3 3 2 2 2 5" xfId="29082" xr:uid="{00000000-0005-0000-0000-0000194C0000}"/>
    <cellStyle name="Normal 2 5 3 3 2 2 3" xfId="4567" xr:uid="{00000000-0005-0000-0000-00001A4C0000}"/>
    <cellStyle name="Normal 2 5 3 3 2 2 3 2" xfId="13405" xr:uid="{00000000-0005-0000-0000-00001B4C0000}"/>
    <cellStyle name="Normal 2 5 3 3 2 2 3 2 2" xfId="23656" xr:uid="{00000000-0005-0000-0000-00001C4C0000}"/>
    <cellStyle name="Normal 2 5 3 3 2 2 3 2 2 2" xfId="49209" xr:uid="{00000000-0005-0000-0000-00001D4C0000}"/>
    <cellStyle name="Normal 2 5 3 3 2 2 3 2 3" xfId="38960" xr:uid="{00000000-0005-0000-0000-00001E4C0000}"/>
    <cellStyle name="Normal 2 5 3 3 2 2 3 3" xfId="9826" xr:uid="{00000000-0005-0000-0000-00001F4C0000}"/>
    <cellStyle name="Normal 2 5 3 3 2 2 3 3 2" xfId="35383" xr:uid="{00000000-0005-0000-0000-0000204C0000}"/>
    <cellStyle name="Normal 2 5 3 3 2 2 3 4" xfId="18649" xr:uid="{00000000-0005-0000-0000-0000214C0000}"/>
    <cellStyle name="Normal 2 5 3 3 2 2 3 4 2" xfId="44202" xr:uid="{00000000-0005-0000-0000-0000224C0000}"/>
    <cellStyle name="Normal 2 5 3 3 2 2 3 5" xfId="30139" xr:uid="{00000000-0005-0000-0000-0000234C0000}"/>
    <cellStyle name="Normal 2 5 3 3 2 2 4" xfId="2347" xr:uid="{00000000-0005-0000-0000-0000244C0000}"/>
    <cellStyle name="Normal 2 5 3 3 2 2 4 2" xfId="11712" xr:uid="{00000000-0005-0000-0000-0000254C0000}"/>
    <cellStyle name="Normal 2 5 3 3 2 2 4 2 2" xfId="37267" xr:uid="{00000000-0005-0000-0000-0000264C0000}"/>
    <cellStyle name="Normal 2 5 3 3 2 2 4 3" xfId="21716" xr:uid="{00000000-0005-0000-0000-0000274C0000}"/>
    <cellStyle name="Normal 2 5 3 3 2 2 4 3 2" xfId="47269" xr:uid="{00000000-0005-0000-0000-0000284C0000}"/>
    <cellStyle name="Normal 2 5 3 3 2 2 4 4" xfId="28199" xr:uid="{00000000-0005-0000-0000-0000294C0000}"/>
    <cellStyle name="Normal 2 5 3 3 2 2 5" xfId="6023" xr:uid="{00000000-0005-0000-0000-00002A4C0000}"/>
    <cellStyle name="Normal 2 5 3 3 2 2 5 2" xfId="14850" xr:uid="{00000000-0005-0000-0000-00002B4C0000}"/>
    <cellStyle name="Normal 2 5 3 3 2 2 5 2 2" xfId="40405" xr:uid="{00000000-0005-0000-0000-00002C4C0000}"/>
    <cellStyle name="Normal 2 5 3 3 2 2 5 3" xfId="25101" xr:uid="{00000000-0005-0000-0000-00002D4C0000}"/>
    <cellStyle name="Normal 2 5 3 3 2 2 5 3 2" xfId="50654" xr:uid="{00000000-0005-0000-0000-00002E4C0000}"/>
    <cellStyle name="Normal 2 5 3 3 2 2 5 4" xfId="31584" xr:uid="{00000000-0005-0000-0000-00002F4C0000}"/>
    <cellStyle name="Normal 2 5 3 3 2 2 6" xfId="7467" xr:uid="{00000000-0005-0000-0000-0000304C0000}"/>
    <cellStyle name="Normal 2 5 3 3 2 2 6 2" xfId="20198" xr:uid="{00000000-0005-0000-0000-0000314C0000}"/>
    <cellStyle name="Normal 2 5 3 3 2 2 6 2 2" xfId="45751" xr:uid="{00000000-0005-0000-0000-0000324C0000}"/>
    <cellStyle name="Normal 2 5 3 3 2 2 6 3" xfId="33024" xr:uid="{00000000-0005-0000-0000-0000334C0000}"/>
    <cellStyle name="Normal 2 5 3 3 2 2 7" xfId="16709" xr:uid="{00000000-0005-0000-0000-0000344C0000}"/>
    <cellStyle name="Normal 2 5 3 3 2 2 7 2" xfId="42262" xr:uid="{00000000-0005-0000-0000-0000354C0000}"/>
    <cellStyle name="Normal 2 5 3 3 2 2 8" xfId="26681" xr:uid="{00000000-0005-0000-0000-0000364C0000}"/>
    <cellStyle name="Normal 2 5 3 3 2 3" xfId="1295" xr:uid="{00000000-0005-0000-0000-0000374C0000}"/>
    <cellStyle name="Normal 2 5 3 3 2 3 2" xfId="3724" xr:uid="{00000000-0005-0000-0000-0000384C0000}"/>
    <cellStyle name="Normal 2 5 3 3 2 3 2 2" xfId="12860" xr:uid="{00000000-0005-0000-0000-0000394C0000}"/>
    <cellStyle name="Normal 2 5 3 3 2 3 2 2 2" xfId="23079" xr:uid="{00000000-0005-0000-0000-00003A4C0000}"/>
    <cellStyle name="Normal 2 5 3 3 2 3 2 2 2 2" xfId="48632" xr:uid="{00000000-0005-0000-0000-00003B4C0000}"/>
    <cellStyle name="Normal 2 5 3 3 2 3 2 2 3" xfId="38415" xr:uid="{00000000-0005-0000-0000-00003C4C0000}"/>
    <cellStyle name="Normal 2 5 3 3 2 3 2 3" xfId="9281" xr:uid="{00000000-0005-0000-0000-00003D4C0000}"/>
    <cellStyle name="Normal 2 5 3 3 2 3 2 3 2" xfId="34838" xr:uid="{00000000-0005-0000-0000-00003E4C0000}"/>
    <cellStyle name="Normal 2 5 3 3 2 3 2 4" xfId="18072" xr:uid="{00000000-0005-0000-0000-00003F4C0000}"/>
    <cellStyle name="Normal 2 5 3 3 2 3 2 4 2" xfId="43625" xr:uid="{00000000-0005-0000-0000-0000404C0000}"/>
    <cellStyle name="Normal 2 5 3 3 2 3 2 5" xfId="29562" xr:uid="{00000000-0005-0000-0000-0000414C0000}"/>
    <cellStyle name="Normal 2 5 3 3 2 3 3" xfId="4916" xr:uid="{00000000-0005-0000-0000-0000424C0000}"/>
    <cellStyle name="Normal 2 5 3 3 2 3 3 2" xfId="13753" xr:uid="{00000000-0005-0000-0000-0000434C0000}"/>
    <cellStyle name="Normal 2 5 3 3 2 3 3 2 2" xfId="24004" xr:uid="{00000000-0005-0000-0000-0000444C0000}"/>
    <cellStyle name="Normal 2 5 3 3 2 3 3 2 2 2" xfId="49557" xr:uid="{00000000-0005-0000-0000-0000454C0000}"/>
    <cellStyle name="Normal 2 5 3 3 2 3 3 2 3" xfId="39308" xr:uid="{00000000-0005-0000-0000-0000464C0000}"/>
    <cellStyle name="Normal 2 5 3 3 2 3 3 3" xfId="10174" xr:uid="{00000000-0005-0000-0000-0000474C0000}"/>
    <cellStyle name="Normal 2 5 3 3 2 3 3 3 2" xfId="35731" xr:uid="{00000000-0005-0000-0000-0000484C0000}"/>
    <cellStyle name="Normal 2 5 3 3 2 3 3 4" xfId="18997" xr:uid="{00000000-0005-0000-0000-0000494C0000}"/>
    <cellStyle name="Normal 2 5 3 3 2 3 3 4 2" xfId="44550" xr:uid="{00000000-0005-0000-0000-00004A4C0000}"/>
    <cellStyle name="Normal 2 5 3 3 2 3 3 5" xfId="30487" xr:uid="{00000000-0005-0000-0000-00004B4C0000}"/>
    <cellStyle name="Normal 2 5 3 3 2 3 4" xfId="2118" xr:uid="{00000000-0005-0000-0000-00004C4C0000}"/>
    <cellStyle name="Normal 2 5 3 3 2 3 4 2" xfId="11483" xr:uid="{00000000-0005-0000-0000-00004D4C0000}"/>
    <cellStyle name="Normal 2 5 3 3 2 3 4 2 2" xfId="37038" xr:uid="{00000000-0005-0000-0000-00004E4C0000}"/>
    <cellStyle name="Normal 2 5 3 3 2 3 4 3" xfId="21487" xr:uid="{00000000-0005-0000-0000-00004F4C0000}"/>
    <cellStyle name="Normal 2 5 3 3 2 3 4 3 2" xfId="47040" xr:uid="{00000000-0005-0000-0000-0000504C0000}"/>
    <cellStyle name="Normal 2 5 3 3 2 3 4 4" xfId="27970" xr:uid="{00000000-0005-0000-0000-0000514C0000}"/>
    <cellStyle name="Normal 2 5 3 3 2 3 5" xfId="6371" xr:uid="{00000000-0005-0000-0000-0000524C0000}"/>
    <cellStyle name="Normal 2 5 3 3 2 3 5 2" xfId="15198" xr:uid="{00000000-0005-0000-0000-0000534C0000}"/>
    <cellStyle name="Normal 2 5 3 3 2 3 5 2 2" xfId="40753" xr:uid="{00000000-0005-0000-0000-0000544C0000}"/>
    <cellStyle name="Normal 2 5 3 3 2 3 5 3" xfId="25449" xr:uid="{00000000-0005-0000-0000-0000554C0000}"/>
    <cellStyle name="Normal 2 5 3 3 2 3 5 3 2" xfId="51002" xr:uid="{00000000-0005-0000-0000-0000564C0000}"/>
    <cellStyle name="Normal 2 5 3 3 2 3 5 4" xfId="31932" xr:uid="{00000000-0005-0000-0000-0000574C0000}"/>
    <cellStyle name="Normal 2 5 3 3 2 3 6" xfId="7817" xr:uid="{00000000-0005-0000-0000-0000584C0000}"/>
    <cellStyle name="Normal 2 5 3 3 2 3 6 2" xfId="20678" xr:uid="{00000000-0005-0000-0000-0000594C0000}"/>
    <cellStyle name="Normal 2 5 3 3 2 3 6 2 2" xfId="46231" xr:uid="{00000000-0005-0000-0000-00005A4C0000}"/>
    <cellStyle name="Normal 2 5 3 3 2 3 6 3" xfId="33374" xr:uid="{00000000-0005-0000-0000-00005B4C0000}"/>
    <cellStyle name="Normal 2 5 3 3 2 3 7" xfId="16480" xr:uid="{00000000-0005-0000-0000-00005C4C0000}"/>
    <cellStyle name="Normal 2 5 3 3 2 3 7 2" xfId="42033" xr:uid="{00000000-0005-0000-0000-00005D4C0000}"/>
    <cellStyle name="Normal 2 5 3 3 2 3 8" xfId="27161" xr:uid="{00000000-0005-0000-0000-00005E4C0000}"/>
    <cellStyle name="Normal 2 5 3 3 2 4" xfId="3009" xr:uid="{00000000-0005-0000-0000-00005F4C0000}"/>
    <cellStyle name="Normal 2 5 3 3 2 4 2" xfId="5387" xr:uid="{00000000-0005-0000-0000-0000604C0000}"/>
    <cellStyle name="Normal 2 5 3 3 2 4 2 2" xfId="14224" xr:uid="{00000000-0005-0000-0000-0000614C0000}"/>
    <cellStyle name="Normal 2 5 3 3 2 4 2 2 2" xfId="24475" xr:uid="{00000000-0005-0000-0000-0000624C0000}"/>
    <cellStyle name="Normal 2 5 3 3 2 4 2 2 2 2" xfId="50028" xr:uid="{00000000-0005-0000-0000-0000634C0000}"/>
    <cellStyle name="Normal 2 5 3 3 2 4 2 2 3" xfId="39779" xr:uid="{00000000-0005-0000-0000-0000644C0000}"/>
    <cellStyle name="Normal 2 5 3 3 2 4 2 3" xfId="10645" xr:uid="{00000000-0005-0000-0000-0000654C0000}"/>
    <cellStyle name="Normal 2 5 3 3 2 4 2 3 2" xfId="36202" xr:uid="{00000000-0005-0000-0000-0000664C0000}"/>
    <cellStyle name="Normal 2 5 3 3 2 4 2 4" xfId="19468" xr:uid="{00000000-0005-0000-0000-0000674C0000}"/>
    <cellStyle name="Normal 2 5 3 3 2 4 2 4 2" xfId="45021" xr:uid="{00000000-0005-0000-0000-0000684C0000}"/>
    <cellStyle name="Normal 2 5 3 3 2 4 2 5" xfId="30958" xr:uid="{00000000-0005-0000-0000-0000694C0000}"/>
    <cellStyle name="Normal 2 5 3 3 2 4 3" xfId="6842" xr:uid="{00000000-0005-0000-0000-00006A4C0000}"/>
    <cellStyle name="Normal 2 5 3 3 2 4 3 2" xfId="15669" xr:uid="{00000000-0005-0000-0000-00006B4C0000}"/>
    <cellStyle name="Normal 2 5 3 3 2 4 3 2 2" xfId="41224" xr:uid="{00000000-0005-0000-0000-00006C4C0000}"/>
    <cellStyle name="Normal 2 5 3 3 2 4 3 3" xfId="25920" xr:uid="{00000000-0005-0000-0000-00006D4C0000}"/>
    <cellStyle name="Normal 2 5 3 3 2 4 3 3 2" xfId="51473" xr:uid="{00000000-0005-0000-0000-00006E4C0000}"/>
    <cellStyle name="Normal 2 5 3 3 2 4 3 4" xfId="32403" xr:uid="{00000000-0005-0000-0000-00006F4C0000}"/>
    <cellStyle name="Normal 2 5 3 3 2 4 4" xfId="8288" xr:uid="{00000000-0005-0000-0000-0000704C0000}"/>
    <cellStyle name="Normal 2 5 3 3 2 4 4 2" xfId="22370" xr:uid="{00000000-0005-0000-0000-0000714C0000}"/>
    <cellStyle name="Normal 2 5 3 3 2 4 4 2 2" xfId="47923" xr:uid="{00000000-0005-0000-0000-0000724C0000}"/>
    <cellStyle name="Normal 2 5 3 3 2 4 4 3" xfId="33845" xr:uid="{00000000-0005-0000-0000-0000734C0000}"/>
    <cellStyle name="Normal 2 5 3 3 2 4 5" xfId="17363" xr:uid="{00000000-0005-0000-0000-0000744C0000}"/>
    <cellStyle name="Normal 2 5 3 3 2 4 5 2" xfId="42916" xr:uid="{00000000-0005-0000-0000-0000754C0000}"/>
    <cellStyle name="Normal 2 5 3 3 2 4 6" xfId="28853" xr:uid="{00000000-0005-0000-0000-0000764C0000}"/>
    <cellStyle name="Normal 2 5 3 3 2 5" xfId="4343" xr:uid="{00000000-0005-0000-0000-0000774C0000}"/>
    <cellStyle name="Normal 2 5 3 3 2 5 2" xfId="13181" xr:uid="{00000000-0005-0000-0000-0000784C0000}"/>
    <cellStyle name="Normal 2 5 3 3 2 5 2 2" xfId="23432" xr:uid="{00000000-0005-0000-0000-0000794C0000}"/>
    <cellStyle name="Normal 2 5 3 3 2 5 2 2 2" xfId="48985" xr:uid="{00000000-0005-0000-0000-00007A4C0000}"/>
    <cellStyle name="Normal 2 5 3 3 2 5 2 3" xfId="38736" xr:uid="{00000000-0005-0000-0000-00007B4C0000}"/>
    <cellStyle name="Normal 2 5 3 3 2 5 3" xfId="9602" xr:uid="{00000000-0005-0000-0000-00007C4C0000}"/>
    <cellStyle name="Normal 2 5 3 3 2 5 3 2" xfId="35159" xr:uid="{00000000-0005-0000-0000-00007D4C0000}"/>
    <cellStyle name="Normal 2 5 3 3 2 5 4" xfId="18425" xr:uid="{00000000-0005-0000-0000-00007E4C0000}"/>
    <cellStyle name="Normal 2 5 3 3 2 5 4 2" xfId="43978" xr:uid="{00000000-0005-0000-0000-00007F4C0000}"/>
    <cellStyle name="Normal 2 5 3 3 2 5 5" xfId="29915" xr:uid="{00000000-0005-0000-0000-0000804C0000}"/>
    <cellStyle name="Normal 2 5 3 3 2 6" xfId="1615" xr:uid="{00000000-0005-0000-0000-0000814C0000}"/>
    <cellStyle name="Normal 2 5 3 3 2 6 2" xfId="10992" xr:uid="{00000000-0005-0000-0000-0000824C0000}"/>
    <cellStyle name="Normal 2 5 3 3 2 6 2 2" xfId="36547" xr:uid="{00000000-0005-0000-0000-0000834C0000}"/>
    <cellStyle name="Normal 2 5 3 3 2 6 3" xfId="20996" xr:uid="{00000000-0005-0000-0000-0000844C0000}"/>
    <cellStyle name="Normal 2 5 3 3 2 6 3 2" xfId="46549" xr:uid="{00000000-0005-0000-0000-0000854C0000}"/>
    <cellStyle name="Normal 2 5 3 3 2 6 4" xfId="27479" xr:uid="{00000000-0005-0000-0000-0000864C0000}"/>
    <cellStyle name="Normal 2 5 3 3 2 7" xfId="5799" xr:uid="{00000000-0005-0000-0000-0000874C0000}"/>
    <cellStyle name="Normal 2 5 3 3 2 7 2" xfId="14626" xr:uid="{00000000-0005-0000-0000-0000884C0000}"/>
    <cellStyle name="Normal 2 5 3 3 2 7 2 2" xfId="40181" xr:uid="{00000000-0005-0000-0000-0000894C0000}"/>
    <cellStyle name="Normal 2 5 3 3 2 7 3" xfId="24877" xr:uid="{00000000-0005-0000-0000-00008A4C0000}"/>
    <cellStyle name="Normal 2 5 3 3 2 7 3 2" xfId="50430" xr:uid="{00000000-0005-0000-0000-00008B4C0000}"/>
    <cellStyle name="Normal 2 5 3 3 2 7 4" xfId="31360" xr:uid="{00000000-0005-0000-0000-00008C4C0000}"/>
    <cellStyle name="Normal 2 5 3 3 2 8" xfId="7243" xr:uid="{00000000-0005-0000-0000-00008D4C0000}"/>
    <cellStyle name="Normal 2 5 3 3 2 8 2" xfId="19969" xr:uid="{00000000-0005-0000-0000-00008E4C0000}"/>
    <cellStyle name="Normal 2 5 3 3 2 8 2 2" xfId="45522" xr:uid="{00000000-0005-0000-0000-00008F4C0000}"/>
    <cellStyle name="Normal 2 5 3 3 2 8 3" xfId="32800" xr:uid="{00000000-0005-0000-0000-0000904C0000}"/>
    <cellStyle name="Normal 2 5 3 3 2 9" xfId="15989" xr:uid="{00000000-0005-0000-0000-0000914C0000}"/>
    <cellStyle name="Normal 2 5 3 3 2 9 2" xfId="41542" xr:uid="{00000000-0005-0000-0000-0000924C0000}"/>
    <cellStyle name="Normal 2 5 3 3 2_Degree data" xfId="3893" xr:uid="{00000000-0005-0000-0000-0000934C0000}"/>
    <cellStyle name="Normal 2 5 3 3 3" xfId="423" xr:uid="{00000000-0005-0000-0000-0000944C0000}"/>
    <cellStyle name="Normal 2 5 3 3 3 2" xfId="2909" xr:uid="{00000000-0005-0000-0000-0000954C0000}"/>
    <cellStyle name="Normal 2 5 3 3 3 2 2" xfId="12197" xr:uid="{00000000-0005-0000-0000-0000964C0000}"/>
    <cellStyle name="Normal 2 5 3 3 3 2 2 2" xfId="22270" xr:uid="{00000000-0005-0000-0000-0000974C0000}"/>
    <cellStyle name="Normal 2 5 3 3 3 2 2 2 2" xfId="47823" xr:uid="{00000000-0005-0000-0000-0000984C0000}"/>
    <cellStyle name="Normal 2 5 3 3 3 2 2 3" xfId="37752" xr:uid="{00000000-0005-0000-0000-0000994C0000}"/>
    <cellStyle name="Normal 2 5 3 3 3 2 3" xfId="8447" xr:uid="{00000000-0005-0000-0000-00009A4C0000}"/>
    <cellStyle name="Normal 2 5 3 3 3 2 3 2" xfId="34004" xr:uid="{00000000-0005-0000-0000-00009B4C0000}"/>
    <cellStyle name="Normal 2 5 3 3 3 2 4" xfId="17263" xr:uid="{00000000-0005-0000-0000-00009C4C0000}"/>
    <cellStyle name="Normal 2 5 3 3 3 2 4 2" xfId="42816" xr:uid="{00000000-0005-0000-0000-00009D4C0000}"/>
    <cellStyle name="Normal 2 5 3 3 3 2 5" xfId="28753" xr:uid="{00000000-0005-0000-0000-00009E4C0000}"/>
    <cellStyle name="Normal 2 5 3 3 3 3" xfId="4566" xr:uid="{00000000-0005-0000-0000-00009F4C0000}"/>
    <cellStyle name="Normal 2 5 3 3 3 3 2" xfId="13404" xr:uid="{00000000-0005-0000-0000-0000A04C0000}"/>
    <cellStyle name="Normal 2 5 3 3 3 3 2 2" xfId="23655" xr:uid="{00000000-0005-0000-0000-0000A14C0000}"/>
    <cellStyle name="Normal 2 5 3 3 3 3 2 2 2" xfId="49208" xr:uid="{00000000-0005-0000-0000-0000A24C0000}"/>
    <cellStyle name="Normal 2 5 3 3 3 3 2 3" xfId="38959" xr:uid="{00000000-0005-0000-0000-0000A34C0000}"/>
    <cellStyle name="Normal 2 5 3 3 3 3 3" xfId="9825" xr:uid="{00000000-0005-0000-0000-0000A44C0000}"/>
    <cellStyle name="Normal 2 5 3 3 3 3 3 2" xfId="35382" xr:uid="{00000000-0005-0000-0000-0000A54C0000}"/>
    <cellStyle name="Normal 2 5 3 3 3 3 4" xfId="18648" xr:uid="{00000000-0005-0000-0000-0000A64C0000}"/>
    <cellStyle name="Normal 2 5 3 3 3 3 4 2" xfId="44201" xr:uid="{00000000-0005-0000-0000-0000A74C0000}"/>
    <cellStyle name="Normal 2 5 3 3 3 3 5" xfId="30138" xr:uid="{00000000-0005-0000-0000-0000A84C0000}"/>
    <cellStyle name="Normal 2 5 3 3 3 4" xfId="2018" xr:uid="{00000000-0005-0000-0000-0000A94C0000}"/>
    <cellStyle name="Normal 2 5 3 3 3 4 2" xfId="11383" xr:uid="{00000000-0005-0000-0000-0000AA4C0000}"/>
    <cellStyle name="Normal 2 5 3 3 3 4 2 2" xfId="36938" xr:uid="{00000000-0005-0000-0000-0000AB4C0000}"/>
    <cellStyle name="Normal 2 5 3 3 3 4 3" xfId="21387" xr:uid="{00000000-0005-0000-0000-0000AC4C0000}"/>
    <cellStyle name="Normal 2 5 3 3 3 4 3 2" xfId="46940" xr:uid="{00000000-0005-0000-0000-0000AD4C0000}"/>
    <cellStyle name="Normal 2 5 3 3 3 4 4" xfId="27870" xr:uid="{00000000-0005-0000-0000-0000AE4C0000}"/>
    <cellStyle name="Normal 2 5 3 3 3 5" xfId="6022" xr:uid="{00000000-0005-0000-0000-0000AF4C0000}"/>
    <cellStyle name="Normal 2 5 3 3 3 5 2" xfId="14849" xr:uid="{00000000-0005-0000-0000-0000B04C0000}"/>
    <cellStyle name="Normal 2 5 3 3 3 5 2 2" xfId="40404" xr:uid="{00000000-0005-0000-0000-0000B14C0000}"/>
    <cellStyle name="Normal 2 5 3 3 3 5 3" xfId="25100" xr:uid="{00000000-0005-0000-0000-0000B24C0000}"/>
    <cellStyle name="Normal 2 5 3 3 3 5 3 2" xfId="50653" xr:uid="{00000000-0005-0000-0000-0000B34C0000}"/>
    <cellStyle name="Normal 2 5 3 3 3 5 4" xfId="31583" xr:uid="{00000000-0005-0000-0000-0000B44C0000}"/>
    <cellStyle name="Normal 2 5 3 3 3 6" xfId="7466" xr:uid="{00000000-0005-0000-0000-0000B54C0000}"/>
    <cellStyle name="Normal 2 5 3 3 3 6 2" xfId="19869" xr:uid="{00000000-0005-0000-0000-0000B64C0000}"/>
    <cellStyle name="Normal 2 5 3 3 3 6 2 2" xfId="45422" xr:uid="{00000000-0005-0000-0000-0000B74C0000}"/>
    <cellStyle name="Normal 2 5 3 3 3 6 3" xfId="33023" xr:uid="{00000000-0005-0000-0000-0000B84C0000}"/>
    <cellStyle name="Normal 2 5 3 3 3 7" xfId="16380" xr:uid="{00000000-0005-0000-0000-0000B94C0000}"/>
    <cellStyle name="Normal 2 5 3 3 3 7 2" xfId="41933" xr:uid="{00000000-0005-0000-0000-0000BA4C0000}"/>
    <cellStyle name="Normal 2 5 3 3 3 8" xfId="26352" xr:uid="{00000000-0005-0000-0000-0000BB4C0000}"/>
    <cellStyle name="Normal 2 5 3 3 4" xfId="751" xr:uid="{00000000-0005-0000-0000-0000BC4C0000}"/>
    <cellStyle name="Normal 2 5 3 3 4 2" xfId="3237" xr:uid="{00000000-0005-0000-0000-0000BD4C0000}"/>
    <cellStyle name="Normal 2 5 3 3 4 2 2" xfId="12379" xr:uid="{00000000-0005-0000-0000-0000BE4C0000}"/>
    <cellStyle name="Normal 2 5 3 3 4 2 2 2" xfId="22598" xr:uid="{00000000-0005-0000-0000-0000BF4C0000}"/>
    <cellStyle name="Normal 2 5 3 3 4 2 2 2 2" xfId="48151" xr:uid="{00000000-0005-0000-0000-0000C04C0000}"/>
    <cellStyle name="Normal 2 5 3 3 4 2 2 3" xfId="37934" xr:uid="{00000000-0005-0000-0000-0000C14C0000}"/>
    <cellStyle name="Normal 2 5 3 3 4 2 3" xfId="8801" xr:uid="{00000000-0005-0000-0000-0000C24C0000}"/>
    <cellStyle name="Normal 2 5 3 3 4 2 3 2" xfId="34358" xr:uid="{00000000-0005-0000-0000-0000C34C0000}"/>
    <cellStyle name="Normal 2 5 3 3 4 2 4" xfId="17591" xr:uid="{00000000-0005-0000-0000-0000C44C0000}"/>
    <cellStyle name="Normal 2 5 3 3 4 2 4 2" xfId="43144" xr:uid="{00000000-0005-0000-0000-0000C54C0000}"/>
    <cellStyle name="Normal 2 5 3 3 4 2 5" xfId="29081" xr:uid="{00000000-0005-0000-0000-0000C64C0000}"/>
    <cellStyle name="Normal 2 5 3 3 4 3" xfId="4915" xr:uid="{00000000-0005-0000-0000-0000C74C0000}"/>
    <cellStyle name="Normal 2 5 3 3 4 3 2" xfId="13752" xr:uid="{00000000-0005-0000-0000-0000C84C0000}"/>
    <cellStyle name="Normal 2 5 3 3 4 3 2 2" xfId="24003" xr:uid="{00000000-0005-0000-0000-0000C94C0000}"/>
    <cellStyle name="Normal 2 5 3 3 4 3 2 2 2" xfId="49556" xr:uid="{00000000-0005-0000-0000-0000CA4C0000}"/>
    <cellStyle name="Normal 2 5 3 3 4 3 2 3" xfId="39307" xr:uid="{00000000-0005-0000-0000-0000CB4C0000}"/>
    <cellStyle name="Normal 2 5 3 3 4 3 3" xfId="10173" xr:uid="{00000000-0005-0000-0000-0000CC4C0000}"/>
    <cellStyle name="Normal 2 5 3 3 4 3 3 2" xfId="35730" xr:uid="{00000000-0005-0000-0000-0000CD4C0000}"/>
    <cellStyle name="Normal 2 5 3 3 4 3 4" xfId="18996" xr:uid="{00000000-0005-0000-0000-0000CE4C0000}"/>
    <cellStyle name="Normal 2 5 3 3 4 3 4 2" xfId="44549" xr:uid="{00000000-0005-0000-0000-0000CF4C0000}"/>
    <cellStyle name="Normal 2 5 3 3 4 3 5" xfId="30486" xr:uid="{00000000-0005-0000-0000-0000D04C0000}"/>
    <cellStyle name="Normal 2 5 3 3 4 4" xfId="2346" xr:uid="{00000000-0005-0000-0000-0000D14C0000}"/>
    <cellStyle name="Normal 2 5 3 3 4 4 2" xfId="11711" xr:uid="{00000000-0005-0000-0000-0000D24C0000}"/>
    <cellStyle name="Normal 2 5 3 3 4 4 2 2" xfId="37266" xr:uid="{00000000-0005-0000-0000-0000D34C0000}"/>
    <cellStyle name="Normal 2 5 3 3 4 4 3" xfId="21715" xr:uid="{00000000-0005-0000-0000-0000D44C0000}"/>
    <cellStyle name="Normal 2 5 3 3 4 4 3 2" xfId="47268" xr:uid="{00000000-0005-0000-0000-0000D54C0000}"/>
    <cellStyle name="Normal 2 5 3 3 4 4 4" xfId="28198" xr:uid="{00000000-0005-0000-0000-0000D64C0000}"/>
    <cellStyle name="Normal 2 5 3 3 4 5" xfId="6370" xr:uid="{00000000-0005-0000-0000-0000D74C0000}"/>
    <cellStyle name="Normal 2 5 3 3 4 5 2" xfId="15197" xr:uid="{00000000-0005-0000-0000-0000D84C0000}"/>
    <cellStyle name="Normal 2 5 3 3 4 5 2 2" xfId="40752" xr:uid="{00000000-0005-0000-0000-0000D94C0000}"/>
    <cellStyle name="Normal 2 5 3 3 4 5 3" xfId="25448" xr:uid="{00000000-0005-0000-0000-0000DA4C0000}"/>
    <cellStyle name="Normal 2 5 3 3 4 5 3 2" xfId="51001" xr:uid="{00000000-0005-0000-0000-0000DB4C0000}"/>
    <cellStyle name="Normal 2 5 3 3 4 5 4" xfId="31931" xr:uid="{00000000-0005-0000-0000-0000DC4C0000}"/>
    <cellStyle name="Normal 2 5 3 3 4 6" xfId="7816" xr:uid="{00000000-0005-0000-0000-0000DD4C0000}"/>
    <cellStyle name="Normal 2 5 3 3 4 6 2" xfId="20197" xr:uid="{00000000-0005-0000-0000-0000DE4C0000}"/>
    <cellStyle name="Normal 2 5 3 3 4 6 2 2" xfId="45750" xr:uid="{00000000-0005-0000-0000-0000DF4C0000}"/>
    <cellStyle name="Normal 2 5 3 3 4 6 3" xfId="33373" xr:uid="{00000000-0005-0000-0000-0000E04C0000}"/>
    <cellStyle name="Normal 2 5 3 3 4 7" xfId="16708" xr:uid="{00000000-0005-0000-0000-0000E14C0000}"/>
    <cellStyle name="Normal 2 5 3 3 4 7 2" xfId="42261" xr:uid="{00000000-0005-0000-0000-0000E24C0000}"/>
    <cellStyle name="Normal 2 5 3 3 4 8" xfId="26680" xr:uid="{00000000-0005-0000-0000-0000E34C0000}"/>
    <cellStyle name="Normal 2 5 3 3 5" xfId="1195" xr:uid="{00000000-0005-0000-0000-0000E44C0000}"/>
    <cellStyle name="Normal 2 5 3 3 5 2" xfId="3624" xr:uid="{00000000-0005-0000-0000-0000E54C0000}"/>
    <cellStyle name="Normal 2 5 3 3 5 2 2" xfId="12760" xr:uid="{00000000-0005-0000-0000-0000E64C0000}"/>
    <cellStyle name="Normal 2 5 3 3 5 2 2 2" xfId="22979" xr:uid="{00000000-0005-0000-0000-0000E74C0000}"/>
    <cellStyle name="Normal 2 5 3 3 5 2 2 2 2" xfId="48532" xr:uid="{00000000-0005-0000-0000-0000E84C0000}"/>
    <cellStyle name="Normal 2 5 3 3 5 2 2 3" xfId="38315" xr:uid="{00000000-0005-0000-0000-0000E94C0000}"/>
    <cellStyle name="Normal 2 5 3 3 5 2 3" xfId="9181" xr:uid="{00000000-0005-0000-0000-0000EA4C0000}"/>
    <cellStyle name="Normal 2 5 3 3 5 2 3 2" xfId="34738" xr:uid="{00000000-0005-0000-0000-0000EB4C0000}"/>
    <cellStyle name="Normal 2 5 3 3 5 2 4" xfId="17972" xr:uid="{00000000-0005-0000-0000-0000EC4C0000}"/>
    <cellStyle name="Normal 2 5 3 3 5 2 4 2" xfId="43525" xr:uid="{00000000-0005-0000-0000-0000ED4C0000}"/>
    <cellStyle name="Normal 2 5 3 3 5 2 5" xfId="29462" xr:uid="{00000000-0005-0000-0000-0000EE4C0000}"/>
    <cellStyle name="Normal 2 5 3 3 5 3" xfId="5287" xr:uid="{00000000-0005-0000-0000-0000EF4C0000}"/>
    <cellStyle name="Normal 2 5 3 3 5 3 2" xfId="14124" xr:uid="{00000000-0005-0000-0000-0000F04C0000}"/>
    <cellStyle name="Normal 2 5 3 3 5 3 2 2" xfId="24375" xr:uid="{00000000-0005-0000-0000-0000F14C0000}"/>
    <cellStyle name="Normal 2 5 3 3 5 3 2 2 2" xfId="49928" xr:uid="{00000000-0005-0000-0000-0000F24C0000}"/>
    <cellStyle name="Normal 2 5 3 3 5 3 2 3" xfId="39679" xr:uid="{00000000-0005-0000-0000-0000F34C0000}"/>
    <cellStyle name="Normal 2 5 3 3 5 3 3" xfId="10545" xr:uid="{00000000-0005-0000-0000-0000F44C0000}"/>
    <cellStyle name="Normal 2 5 3 3 5 3 3 2" xfId="36102" xr:uid="{00000000-0005-0000-0000-0000F54C0000}"/>
    <cellStyle name="Normal 2 5 3 3 5 3 4" xfId="19368" xr:uid="{00000000-0005-0000-0000-0000F64C0000}"/>
    <cellStyle name="Normal 2 5 3 3 5 3 4 2" xfId="44921" xr:uid="{00000000-0005-0000-0000-0000F74C0000}"/>
    <cellStyle name="Normal 2 5 3 3 5 3 5" xfId="30858" xr:uid="{00000000-0005-0000-0000-0000F84C0000}"/>
    <cellStyle name="Normal 2 5 3 3 5 4" xfId="1797" xr:uid="{00000000-0005-0000-0000-0000F94C0000}"/>
    <cellStyle name="Normal 2 5 3 3 5 4 2" xfId="11166" xr:uid="{00000000-0005-0000-0000-0000FA4C0000}"/>
    <cellStyle name="Normal 2 5 3 3 5 4 2 2" xfId="36721" xr:uid="{00000000-0005-0000-0000-0000FB4C0000}"/>
    <cellStyle name="Normal 2 5 3 3 5 4 3" xfId="21170" xr:uid="{00000000-0005-0000-0000-0000FC4C0000}"/>
    <cellStyle name="Normal 2 5 3 3 5 4 3 2" xfId="46723" xr:uid="{00000000-0005-0000-0000-0000FD4C0000}"/>
    <cellStyle name="Normal 2 5 3 3 5 4 4" xfId="27653" xr:uid="{00000000-0005-0000-0000-0000FE4C0000}"/>
    <cellStyle name="Normal 2 5 3 3 5 5" xfId="6742" xr:uid="{00000000-0005-0000-0000-0000FF4C0000}"/>
    <cellStyle name="Normal 2 5 3 3 5 5 2" xfId="15569" xr:uid="{00000000-0005-0000-0000-0000004D0000}"/>
    <cellStyle name="Normal 2 5 3 3 5 5 2 2" xfId="41124" xr:uid="{00000000-0005-0000-0000-0000014D0000}"/>
    <cellStyle name="Normal 2 5 3 3 5 5 3" xfId="25820" xr:uid="{00000000-0005-0000-0000-0000024D0000}"/>
    <cellStyle name="Normal 2 5 3 3 5 5 3 2" xfId="51373" xr:uid="{00000000-0005-0000-0000-0000034D0000}"/>
    <cellStyle name="Normal 2 5 3 3 5 5 4" xfId="32303" xr:uid="{00000000-0005-0000-0000-0000044D0000}"/>
    <cellStyle name="Normal 2 5 3 3 5 6" xfId="8188" xr:uid="{00000000-0005-0000-0000-0000054D0000}"/>
    <cellStyle name="Normal 2 5 3 3 5 6 2" xfId="20578" xr:uid="{00000000-0005-0000-0000-0000064D0000}"/>
    <cellStyle name="Normal 2 5 3 3 5 6 2 2" xfId="46131" xr:uid="{00000000-0005-0000-0000-0000074D0000}"/>
    <cellStyle name="Normal 2 5 3 3 5 6 3" xfId="33745" xr:uid="{00000000-0005-0000-0000-0000084D0000}"/>
    <cellStyle name="Normal 2 5 3 3 5 7" xfId="16163" xr:uid="{00000000-0005-0000-0000-0000094D0000}"/>
    <cellStyle name="Normal 2 5 3 3 5 7 2" xfId="41716" xr:uid="{00000000-0005-0000-0000-00000A4D0000}"/>
    <cellStyle name="Normal 2 5 3 3 5 8" xfId="27061" xr:uid="{00000000-0005-0000-0000-00000B4D0000}"/>
    <cellStyle name="Normal 2 5 3 3 6" xfId="2692" xr:uid="{00000000-0005-0000-0000-00000C4D0000}"/>
    <cellStyle name="Normal 2 5 3 3 6 2" xfId="12009" xr:uid="{00000000-0005-0000-0000-00000D4D0000}"/>
    <cellStyle name="Normal 2 5 3 3 6 2 2" xfId="22053" xr:uid="{00000000-0005-0000-0000-00000E4D0000}"/>
    <cellStyle name="Normal 2 5 3 3 6 2 2 2" xfId="47606" xr:uid="{00000000-0005-0000-0000-00000F4D0000}"/>
    <cellStyle name="Normal 2 5 3 3 6 2 3" xfId="37564" xr:uid="{00000000-0005-0000-0000-0000104D0000}"/>
    <cellStyle name="Normal 2 5 3 3 6 3" xfId="8572" xr:uid="{00000000-0005-0000-0000-0000114D0000}"/>
    <cellStyle name="Normal 2 5 3 3 6 3 2" xfId="34129" xr:uid="{00000000-0005-0000-0000-0000124D0000}"/>
    <cellStyle name="Normal 2 5 3 3 6 4" xfId="17046" xr:uid="{00000000-0005-0000-0000-0000134D0000}"/>
    <cellStyle name="Normal 2 5 3 3 6 4 2" xfId="42599" xr:uid="{00000000-0005-0000-0000-0000144D0000}"/>
    <cellStyle name="Normal 2 5 3 3 6 5" xfId="28536" xr:uid="{00000000-0005-0000-0000-0000154D0000}"/>
    <cellStyle name="Normal 2 5 3 3 7" xfId="4243" xr:uid="{00000000-0005-0000-0000-0000164D0000}"/>
    <cellStyle name="Normal 2 5 3 3 7 2" xfId="13081" xr:uid="{00000000-0005-0000-0000-0000174D0000}"/>
    <cellStyle name="Normal 2 5 3 3 7 2 2" xfId="23332" xr:uid="{00000000-0005-0000-0000-0000184D0000}"/>
    <cellStyle name="Normal 2 5 3 3 7 2 2 2" xfId="48885" xr:uid="{00000000-0005-0000-0000-0000194D0000}"/>
    <cellStyle name="Normal 2 5 3 3 7 2 3" xfId="38636" xr:uid="{00000000-0005-0000-0000-00001A4D0000}"/>
    <cellStyle name="Normal 2 5 3 3 7 3" xfId="9502" xr:uid="{00000000-0005-0000-0000-00001B4D0000}"/>
    <cellStyle name="Normal 2 5 3 3 7 3 2" xfId="35059" xr:uid="{00000000-0005-0000-0000-00001C4D0000}"/>
    <cellStyle name="Normal 2 5 3 3 7 4" xfId="18325" xr:uid="{00000000-0005-0000-0000-00001D4D0000}"/>
    <cellStyle name="Normal 2 5 3 3 7 4 2" xfId="43878" xr:uid="{00000000-0005-0000-0000-00001E4D0000}"/>
    <cellStyle name="Normal 2 5 3 3 7 5" xfId="29815" xr:uid="{00000000-0005-0000-0000-00001F4D0000}"/>
    <cellStyle name="Normal 2 5 3 3 8" xfId="1515" xr:uid="{00000000-0005-0000-0000-0000204D0000}"/>
    <cellStyle name="Normal 2 5 3 3 8 2" xfId="10892" xr:uid="{00000000-0005-0000-0000-0000214D0000}"/>
    <cellStyle name="Normal 2 5 3 3 8 2 2" xfId="36447" xr:uid="{00000000-0005-0000-0000-0000224D0000}"/>
    <cellStyle name="Normal 2 5 3 3 8 3" xfId="20896" xr:uid="{00000000-0005-0000-0000-0000234D0000}"/>
    <cellStyle name="Normal 2 5 3 3 8 3 2" xfId="46449" xr:uid="{00000000-0005-0000-0000-0000244D0000}"/>
    <cellStyle name="Normal 2 5 3 3 8 4" xfId="27379" xr:uid="{00000000-0005-0000-0000-0000254D0000}"/>
    <cellStyle name="Normal 2 5 3 3 9" xfId="5699" xr:uid="{00000000-0005-0000-0000-0000264D0000}"/>
    <cellStyle name="Normal 2 5 3 3 9 2" xfId="14526" xr:uid="{00000000-0005-0000-0000-0000274D0000}"/>
    <cellStyle name="Normal 2 5 3 3 9 2 2" xfId="40081" xr:uid="{00000000-0005-0000-0000-0000284D0000}"/>
    <cellStyle name="Normal 2 5 3 3 9 3" xfId="24777" xr:uid="{00000000-0005-0000-0000-0000294D0000}"/>
    <cellStyle name="Normal 2 5 3 3 9 3 2" xfId="50330" xr:uid="{00000000-0005-0000-0000-00002A4D0000}"/>
    <cellStyle name="Normal 2 5 3 3 9 4" xfId="31260" xr:uid="{00000000-0005-0000-0000-00002B4D0000}"/>
    <cellStyle name="Normal 2 5 3 3_Degree data" xfId="3856" xr:uid="{00000000-0005-0000-0000-00002C4D0000}"/>
    <cellStyle name="Normal 2 5 3 4" xfId="232" xr:uid="{00000000-0005-0000-0000-00002D4D0000}"/>
    <cellStyle name="Normal 2 5 3 4 10" xfId="7070" xr:uid="{00000000-0005-0000-0000-00002E4D0000}"/>
    <cellStyle name="Normal 2 5 3 4 10 2" xfId="19684" xr:uid="{00000000-0005-0000-0000-00002F4D0000}"/>
    <cellStyle name="Normal 2 5 3 4 10 2 2" xfId="45237" xr:uid="{00000000-0005-0000-0000-0000304D0000}"/>
    <cellStyle name="Normal 2 5 3 4 10 3" xfId="32627" xr:uid="{00000000-0005-0000-0000-0000314D0000}"/>
    <cellStyle name="Normal 2 5 3 4 11" xfId="15816" xr:uid="{00000000-0005-0000-0000-0000324D0000}"/>
    <cellStyle name="Normal 2 5 3 4 11 2" xfId="41369" xr:uid="{00000000-0005-0000-0000-0000334D0000}"/>
    <cellStyle name="Normal 2 5 3 4 12" xfId="26167" xr:uid="{00000000-0005-0000-0000-0000344D0000}"/>
    <cellStyle name="Normal 2 5 3 4 2" xfId="555" xr:uid="{00000000-0005-0000-0000-0000354D0000}"/>
    <cellStyle name="Normal 2 5 3 4 2 10" xfId="26484" xr:uid="{00000000-0005-0000-0000-0000364D0000}"/>
    <cellStyle name="Normal 2 5 3 4 2 2" xfId="754" xr:uid="{00000000-0005-0000-0000-0000374D0000}"/>
    <cellStyle name="Normal 2 5 3 4 2 2 2" xfId="3240" xr:uid="{00000000-0005-0000-0000-0000384D0000}"/>
    <cellStyle name="Normal 2 5 3 4 2 2 2 2" xfId="12382" xr:uid="{00000000-0005-0000-0000-0000394D0000}"/>
    <cellStyle name="Normal 2 5 3 4 2 2 2 2 2" xfId="22601" xr:uid="{00000000-0005-0000-0000-00003A4D0000}"/>
    <cellStyle name="Normal 2 5 3 4 2 2 2 2 2 2" xfId="48154" xr:uid="{00000000-0005-0000-0000-00003B4D0000}"/>
    <cellStyle name="Normal 2 5 3 4 2 2 2 2 3" xfId="37937" xr:uid="{00000000-0005-0000-0000-00003C4D0000}"/>
    <cellStyle name="Normal 2 5 3 4 2 2 2 3" xfId="8804" xr:uid="{00000000-0005-0000-0000-00003D4D0000}"/>
    <cellStyle name="Normal 2 5 3 4 2 2 2 3 2" xfId="34361" xr:uid="{00000000-0005-0000-0000-00003E4D0000}"/>
    <cellStyle name="Normal 2 5 3 4 2 2 2 4" xfId="17594" xr:uid="{00000000-0005-0000-0000-00003F4D0000}"/>
    <cellStyle name="Normal 2 5 3 4 2 2 2 4 2" xfId="43147" xr:uid="{00000000-0005-0000-0000-0000404D0000}"/>
    <cellStyle name="Normal 2 5 3 4 2 2 2 5" xfId="29084" xr:uid="{00000000-0005-0000-0000-0000414D0000}"/>
    <cellStyle name="Normal 2 5 3 4 2 2 3" xfId="4569" xr:uid="{00000000-0005-0000-0000-0000424D0000}"/>
    <cellStyle name="Normal 2 5 3 4 2 2 3 2" xfId="13407" xr:uid="{00000000-0005-0000-0000-0000434D0000}"/>
    <cellStyle name="Normal 2 5 3 4 2 2 3 2 2" xfId="23658" xr:uid="{00000000-0005-0000-0000-0000444D0000}"/>
    <cellStyle name="Normal 2 5 3 4 2 2 3 2 2 2" xfId="49211" xr:uid="{00000000-0005-0000-0000-0000454D0000}"/>
    <cellStyle name="Normal 2 5 3 4 2 2 3 2 3" xfId="38962" xr:uid="{00000000-0005-0000-0000-0000464D0000}"/>
    <cellStyle name="Normal 2 5 3 4 2 2 3 3" xfId="9828" xr:uid="{00000000-0005-0000-0000-0000474D0000}"/>
    <cellStyle name="Normal 2 5 3 4 2 2 3 3 2" xfId="35385" xr:uid="{00000000-0005-0000-0000-0000484D0000}"/>
    <cellStyle name="Normal 2 5 3 4 2 2 3 4" xfId="18651" xr:uid="{00000000-0005-0000-0000-0000494D0000}"/>
    <cellStyle name="Normal 2 5 3 4 2 2 3 4 2" xfId="44204" xr:uid="{00000000-0005-0000-0000-00004A4D0000}"/>
    <cellStyle name="Normal 2 5 3 4 2 2 3 5" xfId="30141" xr:uid="{00000000-0005-0000-0000-00004B4D0000}"/>
    <cellStyle name="Normal 2 5 3 4 2 2 4" xfId="2349" xr:uid="{00000000-0005-0000-0000-00004C4D0000}"/>
    <cellStyle name="Normal 2 5 3 4 2 2 4 2" xfId="11714" xr:uid="{00000000-0005-0000-0000-00004D4D0000}"/>
    <cellStyle name="Normal 2 5 3 4 2 2 4 2 2" xfId="37269" xr:uid="{00000000-0005-0000-0000-00004E4D0000}"/>
    <cellStyle name="Normal 2 5 3 4 2 2 4 3" xfId="21718" xr:uid="{00000000-0005-0000-0000-00004F4D0000}"/>
    <cellStyle name="Normal 2 5 3 4 2 2 4 3 2" xfId="47271" xr:uid="{00000000-0005-0000-0000-0000504D0000}"/>
    <cellStyle name="Normal 2 5 3 4 2 2 4 4" xfId="28201" xr:uid="{00000000-0005-0000-0000-0000514D0000}"/>
    <cellStyle name="Normal 2 5 3 4 2 2 5" xfId="6025" xr:uid="{00000000-0005-0000-0000-0000524D0000}"/>
    <cellStyle name="Normal 2 5 3 4 2 2 5 2" xfId="14852" xr:uid="{00000000-0005-0000-0000-0000534D0000}"/>
    <cellStyle name="Normal 2 5 3 4 2 2 5 2 2" xfId="40407" xr:uid="{00000000-0005-0000-0000-0000544D0000}"/>
    <cellStyle name="Normal 2 5 3 4 2 2 5 3" xfId="25103" xr:uid="{00000000-0005-0000-0000-0000554D0000}"/>
    <cellStyle name="Normal 2 5 3 4 2 2 5 3 2" xfId="50656" xr:uid="{00000000-0005-0000-0000-0000564D0000}"/>
    <cellStyle name="Normal 2 5 3 4 2 2 5 4" xfId="31586" xr:uid="{00000000-0005-0000-0000-0000574D0000}"/>
    <cellStyle name="Normal 2 5 3 4 2 2 6" xfId="7469" xr:uid="{00000000-0005-0000-0000-0000584D0000}"/>
    <cellStyle name="Normal 2 5 3 4 2 2 6 2" xfId="20200" xr:uid="{00000000-0005-0000-0000-0000594D0000}"/>
    <cellStyle name="Normal 2 5 3 4 2 2 6 2 2" xfId="45753" xr:uid="{00000000-0005-0000-0000-00005A4D0000}"/>
    <cellStyle name="Normal 2 5 3 4 2 2 6 3" xfId="33026" xr:uid="{00000000-0005-0000-0000-00005B4D0000}"/>
    <cellStyle name="Normal 2 5 3 4 2 2 7" xfId="16711" xr:uid="{00000000-0005-0000-0000-00005C4D0000}"/>
    <cellStyle name="Normal 2 5 3 4 2 2 7 2" xfId="42264" xr:uid="{00000000-0005-0000-0000-00005D4D0000}"/>
    <cellStyle name="Normal 2 5 3 4 2 2 8" xfId="26683" xr:uid="{00000000-0005-0000-0000-00005E4D0000}"/>
    <cellStyle name="Normal 2 5 3 4 2 3" xfId="1327" xr:uid="{00000000-0005-0000-0000-00005F4D0000}"/>
    <cellStyle name="Normal 2 5 3 4 2 3 2" xfId="3756" xr:uid="{00000000-0005-0000-0000-0000604D0000}"/>
    <cellStyle name="Normal 2 5 3 4 2 3 2 2" xfId="12892" xr:uid="{00000000-0005-0000-0000-0000614D0000}"/>
    <cellStyle name="Normal 2 5 3 4 2 3 2 2 2" xfId="23111" xr:uid="{00000000-0005-0000-0000-0000624D0000}"/>
    <cellStyle name="Normal 2 5 3 4 2 3 2 2 2 2" xfId="48664" xr:uid="{00000000-0005-0000-0000-0000634D0000}"/>
    <cellStyle name="Normal 2 5 3 4 2 3 2 2 3" xfId="38447" xr:uid="{00000000-0005-0000-0000-0000644D0000}"/>
    <cellStyle name="Normal 2 5 3 4 2 3 2 3" xfId="9313" xr:uid="{00000000-0005-0000-0000-0000654D0000}"/>
    <cellStyle name="Normal 2 5 3 4 2 3 2 3 2" xfId="34870" xr:uid="{00000000-0005-0000-0000-0000664D0000}"/>
    <cellStyle name="Normal 2 5 3 4 2 3 2 4" xfId="18104" xr:uid="{00000000-0005-0000-0000-0000674D0000}"/>
    <cellStyle name="Normal 2 5 3 4 2 3 2 4 2" xfId="43657" xr:uid="{00000000-0005-0000-0000-0000684D0000}"/>
    <cellStyle name="Normal 2 5 3 4 2 3 2 5" xfId="29594" xr:uid="{00000000-0005-0000-0000-0000694D0000}"/>
    <cellStyle name="Normal 2 5 3 4 2 3 3" xfId="4918" xr:uid="{00000000-0005-0000-0000-00006A4D0000}"/>
    <cellStyle name="Normal 2 5 3 4 2 3 3 2" xfId="13755" xr:uid="{00000000-0005-0000-0000-00006B4D0000}"/>
    <cellStyle name="Normal 2 5 3 4 2 3 3 2 2" xfId="24006" xr:uid="{00000000-0005-0000-0000-00006C4D0000}"/>
    <cellStyle name="Normal 2 5 3 4 2 3 3 2 2 2" xfId="49559" xr:uid="{00000000-0005-0000-0000-00006D4D0000}"/>
    <cellStyle name="Normal 2 5 3 4 2 3 3 2 3" xfId="39310" xr:uid="{00000000-0005-0000-0000-00006E4D0000}"/>
    <cellStyle name="Normal 2 5 3 4 2 3 3 3" xfId="10176" xr:uid="{00000000-0005-0000-0000-00006F4D0000}"/>
    <cellStyle name="Normal 2 5 3 4 2 3 3 3 2" xfId="35733" xr:uid="{00000000-0005-0000-0000-0000704D0000}"/>
    <cellStyle name="Normal 2 5 3 4 2 3 3 4" xfId="18999" xr:uid="{00000000-0005-0000-0000-0000714D0000}"/>
    <cellStyle name="Normal 2 5 3 4 2 3 3 4 2" xfId="44552" xr:uid="{00000000-0005-0000-0000-0000724D0000}"/>
    <cellStyle name="Normal 2 5 3 4 2 3 3 5" xfId="30489" xr:uid="{00000000-0005-0000-0000-0000734D0000}"/>
    <cellStyle name="Normal 2 5 3 4 2 3 4" xfId="2150" xr:uid="{00000000-0005-0000-0000-0000744D0000}"/>
    <cellStyle name="Normal 2 5 3 4 2 3 4 2" xfId="11515" xr:uid="{00000000-0005-0000-0000-0000754D0000}"/>
    <cellStyle name="Normal 2 5 3 4 2 3 4 2 2" xfId="37070" xr:uid="{00000000-0005-0000-0000-0000764D0000}"/>
    <cellStyle name="Normal 2 5 3 4 2 3 4 3" xfId="21519" xr:uid="{00000000-0005-0000-0000-0000774D0000}"/>
    <cellStyle name="Normal 2 5 3 4 2 3 4 3 2" xfId="47072" xr:uid="{00000000-0005-0000-0000-0000784D0000}"/>
    <cellStyle name="Normal 2 5 3 4 2 3 4 4" xfId="28002" xr:uid="{00000000-0005-0000-0000-0000794D0000}"/>
    <cellStyle name="Normal 2 5 3 4 2 3 5" xfId="6373" xr:uid="{00000000-0005-0000-0000-00007A4D0000}"/>
    <cellStyle name="Normal 2 5 3 4 2 3 5 2" xfId="15200" xr:uid="{00000000-0005-0000-0000-00007B4D0000}"/>
    <cellStyle name="Normal 2 5 3 4 2 3 5 2 2" xfId="40755" xr:uid="{00000000-0005-0000-0000-00007C4D0000}"/>
    <cellStyle name="Normal 2 5 3 4 2 3 5 3" xfId="25451" xr:uid="{00000000-0005-0000-0000-00007D4D0000}"/>
    <cellStyle name="Normal 2 5 3 4 2 3 5 3 2" xfId="51004" xr:uid="{00000000-0005-0000-0000-00007E4D0000}"/>
    <cellStyle name="Normal 2 5 3 4 2 3 5 4" xfId="31934" xr:uid="{00000000-0005-0000-0000-00007F4D0000}"/>
    <cellStyle name="Normal 2 5 3 4 2 3 6" xfId="7819" xr:uid="{00000000-0005-0000-0000-0000804D0000}"/>
    <cellStyle name="Normal 2 5 3 4 2 3 6 2" xfId="20710" xr:uid="{00000000-0005-0000-0000-0000814D0000}"/>
    <cellStyle name="Normal 2 5 3 4 2 3 6 2 2" xfId="46263" xr:uid="{00000000-0005-0000-0000-0000824D0000}"/>
    <cellStyle name="Normal 2 5 3 4 2 3 6 3" xfId="33376" xr:uid="{00000000-0005-0000-0000-0000834D0000}"/>
    <cellStyle name="Normal 2 5 3 4 2 3 7" xfId="16512" xr:uid="{00000000-0005-0000-0000-0000844D0000}"/>
    <cellStyle name="Normal 2 5 3 4 2 3 7 2" xfId="42065" xr:uid="{00000000-0005-0000-0000-0000854D0000}"/>
    <cellStyle name="Normal 2 5 3 4 2 3 8" xfId="27193" xr:uid="{00000000-0005-0000-0000-0000864D0000}"/>
    <cellStyle name="Normal 2 5 3 4 2 4" xfId="3041" xr:uid="{00000000-0005-0000-0000-0000874D0000}"/>
    <cellStyle name="Normal 2 5 3 4 2 4 2" xfId="5419" xr:uid="{00000000-0005-0000-0000-0000884D0000}"/>
    <cellStyle name="Normal 2 5 3 4 2 4 2 2" xfId="14256" xr:uid="{00000000-0005-0000-0000-0000894D0000}"/>
    <cellStyle name="Normal 2 5 3 4 2 4 2 2 2" xfId="24507" xr:uid="{00000000-0005-0000-0000-00008A4D0000}"/>
    <cellStyle name="Normal 2 5 3 4 2 4 2 2 2 2" xfId="50060" xr:uid="{00000000-0005-0000-0000-00008B4D0000}"/>
    <cellStyle name="Normal 2 5 3 4 2 4 2 2 3" xfId="39811" xr:uid="{00000000-0005-0000-0000-00008C4D0000}"/>
    <cellStyle name="Normal 2 5 3 4 2 4 2 3" xfId="10677" xr:uid="{00000000-0005-0000-0000-00008D4D0000}"/>
    <cellStyle name="Normal 2 5 3 4 2 4 2 3 2" xfId="36234" xr:uid="{00000000-0005-0000-0000-00008E4D0000}"/>
    <cellStyle name="Normal 2 5 3 4 2 4 2 4" xfId="19500" xr:uid="{00000000-0005-0000-0000-00008F4D0000}"/>
    <cellStyle name="Normal 2 5 3 4 2 4 2 4 2" xfId="45053" xr:uid="{00000000-0005-0000-0000-0000904D0000}"/>
    <cellStyle name="Normal 2 5 3 4 2 4 2 5" xfId="30990" xr:uid="{00000000-0005-0000-0000-0000914D0000}"/>
    <cellStyle name="Normal 2 5 3 4 2 4 3" xfId="6874" xr:uid="{00000000-0005-0000-0000-0000924D0000}"/>
    <cellStyle name="Normal 2 5 3 4 2 4 3 2" xfId="15701" xr:uid="{00000000-0005-0000-0000-0000934D0000}"/>
    <cellStyle name="Normal 2 5 3 4 2 4 3 2 2" xfId="41256" xr:uid="{00000000-0005-0000-0000-0000944D0000}"/>
    <cellStyle name="Normal 2 5 3 4 2 4 3 3" xfId="25952" xr:uid="{00000000-0005-0000-0000-0000954D0000}"/>
    <cellStyle name="Normal 2 5 3 4 2 4 3 3 2" xfId="51505" xr:uid="{00000000-0005-0000-0000-0000964D0000}"/>
    <cellStyle name="Normal 2 5 3 4 2 4 3 4" xfId="32435" xr:uid="{00000000-0005-0000-0000-0000974D0000}"/>
    <cellStyle name="Normal 2 5 3 4 2 4 4" xfId="8320" xr:uid="{00000000-0005-0000-0000-0000984D0000}"/>
    <cellStyle name="Normal 2 5 3 4 2 4 4 2" xfId="22402" xr:uid="{00000000-0005-0000-0000-0000994D0000}"/>
    <cellStyle name="Normal 2 5 3 4 2 4 4 2 2" xfId="47955" xr:uid="{00000000-0005-0000-0000-00009A4D0000}"/>
    <cellStyle name="Normal 2 5 3 4 2 4 4 3" xfId="33877" xr:uid="{00000000-0005-0000-0000-00009B4D0000}"/>
    <cellStyle name="Normal 2 5 3 4 2 4 5" xfId="17395" xr:uid="{00000000-0005-0000-0000-00009C4D0000}"/>
    <cellStyle name="Normal 2 5 3 4 2 4 5 2" xfId="42948" xr:uid="{00000000-0005-0000-0000-00009D4D0000}"/>
    <cellStyle name="Normal 2 5 3 4 2 4 6" xfId="28885" xr:uid="{00000000-0005-0000-0000-00009E4D0000}"/>
    <cellStyle name="Normal 2 5 3 4 2 5" xfId="4375" xr:uid="{00000000-0005-0000-0000-00009F4D0000}"/>
    <cellStyle name="Normal 2 5 3 4 2 5 2" xfId="13213" xr:uid="{00000000-0005-0000-0000-0000A04D0000}"/>
    <cellStyle name="Normal 2 5 3 4 2 5 2 2" xfId="23464" xr:uid="{00000000-0005-0000-0000-0000A14D0000}"/>
    <cellStyle name="Normal 2 5 3 4 2 5 2 2 2" xfId="49017" xr:uid="{00000000-0005-0000-0000-0000A24D0000}"/>
    <cellStyle name="Normal 2 5 3 4 2 5 2 3" xfId="38768" xr:uid="{00000000-0005-0000-0000-0000A34D0000}"/>
    <cellStyle name="Normal 2 5 3 4 2 5 3" xfId="9634" xr:uid="{00000000-0005-0000-0000-0000A44D0000}"/>
    <cellStyle name="Normal 2 5 3 4 2 5 3 2" xfId="35191" xr:uid="{00000000-0005-0000-0000-0000A54D0000}"/>
    <cellStyle name="Normal 2 5 3 4 2 5 4" xfId="18457" xr:uid="{00000000-0005-0000-0000-0000A64D0000}"/>
    <cellStyle name="Normal 2 5 3 4 2 5 4 2" xfId="44010" xr:uid="{00000000-0005-0000-0000-0000A74D0000}"/>
    <cellStyle name="Normal 2 5 3 4 2 5 5" xfId="29947" xr:uid="{00000000-0005-0000-0000-0000A84D0000}"/>
    <cellStyle name="Normal 2 5 3 4 2 6" xfId="1647" xr:uid="{00000000-0005-0000-0000-0000A94D0000}"/>
    <cellStyle name="Normal 2 5 3 4 2 6 2" xfId="11024" xr:uid="{00000000-0005-0000-0000-0000AA4D0000}"/>
    <cellStyle name="Normal 2 5 3 4 2 6 2 2" xfId="36579" xr:uid="{00000000-0005-0000-0000-0000AB4D0000}"/>
    <cellStyle name="Normal 2 5 3 4 2 6 3" xfId="21028" xr:uid="{00000000-0005-0000-0000-0000AC4D0000}"/>
    <cellStyle name="Normal 2 5 3 4 2 6 3 2" xfId="46581" xr:uid="{00000000-0005-0000-0000-0000AD4D0000}"/>
    <cellStyle name="Normal 2 5 3 4 2 6 4" xfId="27511" xr:uid="{00000000-0005-0000-0000-0000AE4D0000}"/>
    <cellStyle name="Normal 2 5 3 4 2 7" xfId="5831" xr:uid="{00000000-0005-0000-0000-0000AF4D0000}"/>
    <cellStyle name="Normal 2 5 3 4 2 7 2" xfId="14658" xr:uid="{00000000-0005-0000-0000-0000B04D0000}"/>
    <cellStyle name="Normal 2 5 3 4 2 7 2 2" xfId="40213" xr:uid="{00000000-0005-0000-0000-0000B14D0000}"/>
    <cellStyle name="Normal 2 5 3 4 2 7 3" xfId="24909" xr:uid="{00000000-0005-0000-0000-0000B24D0000}"/>
    <cellStyle name="Normal 2 5 3 4 2 7 3 2" xfId="50462" xr:uid="{00000000-0005-0000-0000-0000B34D0000}"/>
    <cellStyle name="Normal 2 5 3 4 2 7 4" xfId="31392" xr:uid="{00000000-0005-0000-0000-0000B44D0000}"/>
    <cellStyle name="Normal 2 5 3 4 2 8" xfId="7275" xr:uid="{00000000-0005-0000-0000-0000B54D0000}"/>
    <cellStyle name="Normal 2 5 3 4 2 8 2" xfId="20001" xr:uid="{00000000-0005-0000-0000-0000B64D0000}"/>
    <cellStyle name="Normal 2 5 3 4 2 8 2 2" xfId="45554" xr:uid="{00000000-0005-0000-0000-0000B74D0000}"/>
    <cellStyle name="Normal 2 5 3 4 2 8 3" xfId="32832" xr:uid="{00000000-0005-0000-0000-0000B84D0000}"/>
    <cellStyle name="Normal 2 5 3 4 2 9" xfId="16021" xr:uid="{00000000-0005-0000-0000-0000B94D0000}"/>
    <cellStyle name="Normal 2 5 3 4 2 9 2" xfId="41574" xr:uid="{00000000-0005-0000-0000-0000BA4D0000}"/>
    <cellStyle name="Normal 2 5 3 4 2_Degree data" xfId="3910" xr:uid="{00000000-0005-0000-0000-0000BB4D0000}"/>
    <cellStyle name="Normal 2 5 3 4 3" xfId="350" xr:uid="{00000000-0005-0000-0000-0000BC4D0000}"/>
    <cellStyle name="Normal 2 5 3 4 3 2" xfId="2836" xr:uid="{00000000-0005-0000-0000-0000BD4D0000}"/>
    <cellStyle name="Normal 2 5 3 4 3 2 2" xfId="12124" xr:uid="{00000000-0005-0000-0000-0000BE4D0000}"/>
    <cellStyle name="Normal 2 5 3 4 3 2 2 2" xfId="22197" xr:uid="{00000000-0005-0000-0000-0000BF4D0000}"/>
    <cellStyle name="Normal 2 5 3 4 3 2 2 2 2" xfId="47750" xr:uid="{00000000-0005-0000-0000-0000C04D0000}"/>
    <cellStyle name="Normal 2 5 3 4 3 2 2 3" xfId="37679" xr:uid="{00000000-0005-0000-0000-0000C14D0000}"/>
    <cellStyle name="Normal 2 5 3 4 3 2 3" xfId="8528" xr:uid="{00000000-0005-0000-0000-0000C24D0000}"/>
    <cellStyle name="Normal 2 5 3 4 3 2 3 2" xfId="34085" xr:uid="{00000000-0005-0000-0000-0000C34D0000}"/>
    <cellStyle name="Normal 2 5 3 4 3 2 4" xfId="17190" xr:uid="{00000000-0005-0000-0000-0000C44D0000}"/>
    <cellStyle name="Normal 2 5 3 4 3 2 4 2" xfId="42743" xr:uid="{00000000-0005-0000-0000-0000C54D0000}"/>
    <cellStyle name="Normal 2 5 3 4 3 2 5" xfId="28680" xr:uid="{00000000-0005-0000-0000-0000C64D0000}"/>
    <cellStyle name="Normal 2 5 3 4 3 3" xfId="4568" xr:uid="{00000000-0005-0000-0000-0000C74D0000}"/>
    <cellStyle name="Normal 2 5 3 4 3 3 2" xfId="13406" xr:uid="{00000000-0005-0000-0000-0000C84D0000}"/>
    <cellStyle name="Normal 2 5 3 4 3 3 2 2" xfId="23657" xr:uid="{00000000-0005-0000-0000-0000C94D0000}"/>
    <cellStyle name="Normal 2 5 3 4 3 3 2 2 2" xfId="49210" xr:uid="{00000000-0005-0000-0000-0000CA4D0000}"/>
    <cellStyle name="Normal 2 5 3 4 3 3 2 3" xfId="38961" xr:uid="{00000000-0005-0000-0000-0000CB4D0000}"/>
    <cellStyle name="Normal 2 5 3 4 3 3 3" xfId="9827" xr:uid="{00000000-0005-0000-0000-0000CC4D0000}"/>
    <cellStyle name="Normal 2 5 3 4 3 3 3 2" xfId="35384" xr:uid="{00000000-0005-0000-0000-0000CD4D0000}"/>
    <cellStyle name="Normal 2 5 3 4 3 3 4" xfId="18650" xr:uid="{00000000-0005-0000-0000-0000CE4D0000}"/>
    <cellStyle name="Normal 2 5 3 4 3 3 4 2" xfId="44203" xr:uid="{00000000-0005-0000-0000-0000CF4D0000}"/>
    <cellStyle name="Normal 2 5 3 4 3 3 5" xfId="30140" xr:uid="{00000000-0005-0000-0000-0000D04D0000}"/>
    <cellStyle name="Normal 2 5 3 4 3 4" xfId="1945" xr:uid="{00000000-0005-0000-0000-0000D14D0000}"/>
    <cellStyle name="Normal 2 5 3 4 3 4 2" xfId="11310" xr:uid="{00000000-0005-0000-0000-0000D24D0000}"/>
    <cellStyle name="Normal 2 5 3 4 3 4 2 2" xfId="36865" xr:uid="{00000000-0005-0000-0000-0000D34D0000}"/>
    <cellStyle name="Normal 2 5 3 4 3 4 3" xfId="21314" xr:uid="{00000000-0005-0000-0000-0000D44D0000}"/>
    <cellStyle name="Normal 2 5 3 4 3 4 3 2" xfId="46867" xr:uid="{00000000-0005-0000-0000-0000D54D0000}"/>
    <cellStyle name="Normal 2 5 3 4 3 4 4" xfId="27797" xr:uid="{00000000-0005-0000-0000-0000D64D0000}"/>
    <cellStyle name="Normal 2 5 3 4 3 5" xfId="6024" xr:uid="{00000000-0005-0000-0000-0000D74D0000}"/>
    <cellStyle name="Normal 2 5 3 4 3 5 2" xfId="14851" xr:uid="{00000000-0005-0000-0000-0000D84D0000}"/>
    <cellStyle name="Normal 2 5 3 4 3 5 2 2" xfId="40406" xr:uid="{00000000-0005-0000-0000-0000D94D0000}"/>
    <cellStyle name="Normal 2 5 3 4 3 5 3" xfId="25102" xr:uid="{00000000-0005-0000-0000-0000DA4D0000}"/>
    <cellStyle name="Normal 2 5 3 4 3 5 3 2" xfId="50655" xr:uid="{00000000-0005-0000-0000-0000DB4D0000}"/>
    <cellStyle name="Normal 2 5 3 4 3 5 4" xfId="31585" xr:uid="{00000000-0005-0000-0000-0000DC4D0000}"/>
    <cellStyle name="Normal 2 5 3 4 3 6" xfId="7468" xr:uid="{00000000-0005-0000-0000-0000DD4D0000}"/>
    <cellStyle name="Normal 2 5 3 4 3 6 2" xfId="19796" xr:uid="{00000000-0005-0000-0000-0000DE4D0000}"/>
    <cellStyle name="Normal 2 5 3 4 3 6 2 2" xfId="45349" xr:uid="{00000000-0005-0000-0000-0000DF4D0000}"/>
    <cellStyle name="Normal 2 5 3 4 3 6 3" xfId="33025" xr:uid="{00000000-0005-0000-0000-0000E04D0000}"/>
    <cellStyle name="Normal 2 5 3 4 3 7" xfId="16307" xr:uid="{00000000-0005-0000-0000-0000E14D0000}"/>
    <cellStyle name="Normal 2 5 3 4 3 7 2" xfId="41860" xr:uid="{00000000-0005-0000-0000-0000E24D0000}"/>
    <cellStyle name="Normal 2 5 3 4 3 8" xfId="26279" xr:uid="{00000000-0005-0000-0000-0000E34D0000}"/>
    <cellStyle name="Normal 2 5 3 4 4" xfId="753" xr:uid="{00000000-0005-0000-0000-0000E44D0000}"/>
    <cellStyle name="Normal 2 5 3 4 4 2" xfId="3239" xr:uid="{00000000-0005-0000-0000-0000E54D0000}"/>
    <cellStyle name="Normal 2 5 3 4 4 2 2" xfId="12381" xr:uid="{00000000-0005-0000-0000-0000E64D0000}"/>
    <cellStyle name="Normal 2 5 3 4 4 2 2 2" xfId="22600" xr:uid="{00000000-0005-0000-0000-0000E74D0000}"/>
    <cellStyle name="Normal 2 5 3 4 4 2 2 2 2" xfId="48153" xr:uid="{00000000-0005-0000-0000-0000E84D0000}"/>
    <cellStyle name="Normal 2 5 3 4 4 2 2 3" xfId="37936" xr:uid="{00000000-0005-0000-0000-0000E94D0000}"/>
    <cellStyle name="Normal 2 5 3 4 4 2 3" xfId="8803" xr:uid="{00000000-0005-0000-0000-0000EA4D0000}"/>
    <cellStyle name="Normal 2 5 3 4 4 2 3 2" xfId="34360" xr:uid="{00000000-0005-0000-0000-0000EB4D0000}"/>
    <cellStyle name="Normal 2 5 3 4 4 2 4" xfId="17593" xr:uid="{00000000-0005-0000-0000-0000EC4D0000}"/>
    <cellStyle name="Normal 2 5 3 4 4 2 4 2" xfId="43146" xr:uid="{00000000-0005-0000-0000-0000ED4D0000}"/>
    <cellStyle name="Normal 2 5 3 4 4 2 5" xfId="29083" xr:uid="{00000000-0005-0000-0000-0000EE4D0000}"/>
    <cellStyle name="Normal 2 5 3 4 4 3" xfId="4917" xr:uid="{00000000-0005-0000-0000-0000EF4D0000}"/>
    <cellStyle name="Normal 2 5 3 4 4 3 2" xfId="13754" xr:uid="{00000000-0005-0000-0000-0000F04D0000}"/>
    <cellStyle name="Normal 2 5 3 4 4 3 2 2" xfId="24005" xr:uid="{00000000-0005-0000-0000-0000F14D0000}"/>
    <cellStyle name="Normal 2 5 3 4 4 3 2 2 2" xfId="49558" xr:uid="{00000000-0005-0000-0000-0000F24D0000}"/>
    <cellStyle name="Normal 2 5 3 4 4 3 2 3" xfId="39309" xr:uid="{00000000-0005-0000-0000-0000F34D0000}"/>
    <cellStyle name="Normal 2 5 3 4 4 3 3" xfId="10175" xr:uid="{00000000-0005-0000-0000-0000F44D0000}"/>
    <cellStyle name="Normal 2 5 3 4 4 3 3 2" xfId="35732" xr:uid="{00000000-0005-0000-0000-0000F54D0000}"/>
    <cellStyle name="Normal 2 5 3 4 4 3 4" xfId="18998" xr:uid="{00000000-0005-0000-0000-0000F64D0000}"/>
    <cellStyle name="Normal 2 5 3 4 4 3 4 2" xfId="44551" xr:uid="{00000000-0005-0000-0000-0000F74D0000}"/>
    <cellStyle name="Normal 2 5 3 4 4 3 5" xfId="30488" xr:uid="{00000000-0005-0000-0000-0000F84D0000}"/>
    <cellStyle name="Normal 2 5 3 4 4 4" xfId="2348" xr:uid="{00000000-0005-0000-0000-0000F94D0000}"/>
    <cellStyle name="Normal 2 5 3 4 4 4 2" xfId="11713" xr:uid="{00000000-0005-0000-0000-0000FA4D0000}"/>
    <cellStyle name="Normal 2 5 3 4 4 4 2 2" xfId="37268" xr:uid="{00000000-0005-0000-0000-0000FB4D0000}"/>
    <cellStyle name="Normal 2 5 3 4 4 4 3" xfId="21717" xr:uid="{00000000-0005-0000-0000-0000FC4D0000}"/>
    <cellStyle name="Normal 2 5 3 4 4 4 3 2" xfId="47270" xr:uid="{00000000-0005-0000-0000-0000FD4D0000}"/>
    <cellStyle name="Normal 2 5 3 4 4 4 4" xfId="28200" xr:uid="{00000000-0005-0000-0000-0000FE4D0000}"/>
    <cellStyle name="Normal 2 5 3 4 4 5" xfId="6372" xr:uid="{00000000-0005-0000-0000-0000FF4D0000}"/>
    <cellStyle name="Normal 2 5 3 4 4 5 2" xfId="15199" xr:uid="{00000000-0005-0000-0000-0000004E0000}"/>
    <cellStyle name="Normal 2 5 3 4 4 5 2 2" xfId="40754" xr:uid="{00000000-0005-0000-0000-0000014E0000}"/>
    <cellStyle name="Normal 2 5 3 4 4 5 3" xfId="25450" xr:uid="{00000000-0005-0000-0000-0000024E0000}"/>
    <cellStyle name="Normal 2 5 3 4 4 5 3 2" xfId="51003" xr:uid="{00000000-0005-0000-0000-0000034E0000}"/>
    <cellStyle name="Normal 2 5 3 4 4 5 4" xfId="31933" xr:uid="{00000000-0005-0000-0000-0000044E0000}"/>
    <cellStyle name="Normal 2 5 3 4 4 6" xfId="7818" xr:uid="{00000000-0005-0000-0000-0000054E0000}"/>
    <cellStyle name="Normal 2 5 3 4 4 6 2" xfId="20199" xr:uid="{00000000-0005-0000-0000-0000064E0000}"/>
    <cellStyle name="Normal 2 5 3 4 4 6 2 2" xfId="45752" xr:uid="{00000000-0005-0000-0000-0000074E0000}"/>
    <cellStyle name="Normal 2 5 3 4 4 6 3" xfId="33375" xr:uid="{00000000-0005-0000-0000-0000084E0000}"/>
    <cellStyle name="Normal 2 5 3 4 4 7" xfId="16710" xr:uid="{00000000-0005-0000-0000-0000094E0000}"/>
    <cellStyle name="Normal 2 5 3 4 4 7 2" xfId="42263" xr:uid="{00000000-0005-0000-0000-00000A4E0000}"/>
    <cellStyle name="Normal 2 5 3 4 4 8" xfId="26682" xr:uid="{00000000-0005-0000-0000-00000B4E0000}"/>
    <cellStyle name="Normal 2 5 3 4 5" xfId="1122" xr:uid="{00000000-0005-0000-0000-00000C4E0000}"/>
    <cellStyle name="Normal 2 5 3 4 5 2" xfId="3551" xr:uid="{00000000-0005-0000-0000-00000D4E0000}"/>
    <cellStyle name="Normal 2 5 3 4 5 2 2" xfId="12687" xr:uid="{00000000-0005-0000-0000-00000E4E0000}"/>
    <cellStyle name="Normal 2 5 3 4 5 2 2 2" xfId="22906" xr:uid="{00000000-0005-0000-0000-00000F4E0000}"/>
    <cellStyle name="Normal 2 5 3 4 5 2 2 2 2" xfId="48459" xr:uid="{00000000-0005-0000-0000-0000104E0000}"/>
    <cellStyle name="Normal 2 5 3 4 5 2 2 3" xfId="38242" xr:uid="{00000000-0005-0000-0000-0000114E0000}"/>
    <cellStyle name="Normal 2 5 3 4 5 2 3" xfId="9108" xr:uid="{00000000-0005-0000-0000-0000124E0000}"/>
    <cellStyle name="Normal 2 5 3 4 5 2 3 2" xfId="34665" xr:uid="{00000000-0005-0000-0000-0000134E0000}"/>
    <cellStyle name="Normal 2 5 3 4 5 2 4" xfId="17899" xr:uid="{00000000-0005-0000-0000-0000144E0000}"/>
    <cellStyle name="Normal 2 5 3 4 5 2 4 2" xfId="43452" xr:uid="{00000000-0005-0000-0000-0000154E0000}"/>
    <cellStyle name="Normal 2 5 3 4 5 2 5" xfId="29389" xr:uid="{00000000-0005-0000-0000-0000164E0000}"/>
    <cellStyle name="Normal 2 5 3 4 5 3" xfId="5214" xr:uid="{00000000-0005-0000-0000-0000174E0000}"/>
    <cellStyle name="Normal 2 5 3 4 5 3 2" xfId="14051" xr:uid="{00000000-0005-0000-0000-0000184E0000}"/>
    <cellStyle name="Normal 2 5 3 4 5 3 2 2" xfId="24302" xr:uid="{00000000-0005-0000-0000-0000194E0000}"/>
    <cellStyle name="Normal 2 5 3 4 5 3 2 2 2" xfId="49855" xr:uid="{00000000-0005-0000-0000-00001A4E0000}"/>
    <cellStyle name="Normal 2 5 3 4 5 3 2 3" xfId="39606" xr:uid="{00000000-0005-0000-0000-00001B4E0000}"/>
    <cellStyle name="Normal 2 5 3 4 5 3 3" xfId="10472" xr:uid="{00000000-0005-0000-0000-00001C4E0000}"/>
    <cellStyle name="Normal 2 5 3 4 5 3 3 2" xfId="36029" xr:uid="{00000000-0005-0000-0000-00001D4E0000}"/>
    <cellStyle name="Normal 2 5 3 4 5 3 4" xfId="19295" xr:uid="{00000000-0005-0000-0000-00001E4E0000}"/>
    <cellStyle name="Normal 2 5 3 4 5 3 4 2" xfId="44848" xr:uid="{00000000-0005-0000-0000-00001F4E0000}"/>
    <cellStyle name="Normal 2 5 3 4 5 3 5" xfId="30785" xr:uid="{00000000-0005-0000-0000-0000204E0000}"/>
    <cellStyle name="Normal 2 5 3 4 5 4" xfId="1830" xr:uid="{00000000-0005-0000-0000-0000214E0000}"/>
    <cellStyle name="Normal 2 5 3 4 5 4 2" xfId="11198" xr:uid="{00000000-0005-0000-0000-0000224E0000}"/>
    <cellStyle name="Normal 2 5 3 4 5 4 2 2" xfId="36753" xr:uid="{00000000-0005-0000-0000-0000234E0000}"/>
    <cellStyle name="Normal 2 5 3 4 5 4 3" xfId="21202" xr:uid="{00000000-0005-0000-0000-0000244E0000}"/>
    <cellStyle name="Normal 2 5 3 4 5 4 3 2" xfId="46755" xr:uid="{00000000-0005-0000-0000-0000254E0000}"/>
    <cellStyle name="Normal 2 5 3 4 5 4 4" xfId="27685" xr:uid="{00000000-0005-0000-0000-0000264E0000}"/>
    <cellStyle name="Normal 2 5 3 4 5 5" xfId="6669" xr:uid="{00000000-0005-0000-0000-0000274E0000}"/>
    <cellStyle name="Normal 2 5 3 4 5 5 2" xfId="15496" xr:uid="{00000000-0005-0000-0000-0000284E0000}"/>
    <cellStyle name="Normal 2 5 3 4 5 5 2 2" xfId="41051" xr:uid="{00000000-0005-0000-0000-0000294E0000}"/>
    <cellStyle name="Normal 2 5 3 4 5 5 3" xfId="25747" xr:uid="{00000000-0005-0000-0000-00002A4E0000}"/>
    <cellStyle name="Normal 2 5 3 4 5 5 3 2" xfId="51300" xr:uid="{00000000-0005-0000-0000-00002B4E0000}"/>
    <cellStyle name="Normal 2 5 3 4 5 5 4" xfId="32230" xr:uid="{00000000-0005-0000-0000-00002C4E0000}"/>
    <cellStyle name="Normal 2 5 3 4 5 6" xfId="8115" xr:uid="{00000000-0005-0000-0000-00002D4E0000}"/>
    <cellStyle name="Normal 2 5 3 4 5 6 2" xfId="20505" xr:uid="{00000000-0005-0000-0000-00002E4E0000}"/>
    <cellStyle name="Normal 2 5 3 4 5 6 2 2" xfId="46058" xr:uid="{00000000-0005-0000-0000-00002F4E0000}"/>
    <cellStyle name="Normal 2 5 3 4 5 6 3" xfId="33672" xr:uid="{00000000-0005-0000-0000-0000304E0000}"/>
    <cellStyle name="Normal 2 5 3 4 5 7" xfId="16195" xr:uid="{00000000-0005-0000-0000-0000314E0000}"/>
    <cellStyle name="Normal 2 5 3 4 5 7 2" xfId="41748" xr:uid="{00000000-0005-0000-0000-0000324E0000}"/>
    <cellStyle name="Normal 2 5 3 4 5 8" xfId="26988" xr:uid="{00000000-0005-0000-0000-0000334E0000}"/>
    <cellStyle name="Normal 2 5 3 4 6" xfId="2724" xr:uid="{00000000-0005-0000-0000-0000344E0000}"/>
    <cellStyle name="Normal 2 5 3 4 6 2" xfId="12041" xr:uid="{00000000-0005-0000-0000-0000354E0000}"/>
    <cellStyle name="Normal 2 5 3 4 6 2 2" xfId="22085" xr:uid="{00000000-0005-0000-0000-0000364E0000}"/>
    <cellStyle name="Normal 2 5 3 4 6 2 2 2" xfId="47638" xr:uid="{00000000-0005-0000-0000-0000374E0000}"/>
    <cellStyle name="Normal 2 5 3 4 6 2 3" xfId="37596" xr:uid="{00000000-0005-0000-0000-0000384E0000}"/>
    <cellStyle name="Normal 2 5 3 4 6 3" xfId="8433" xr:uid="{00000000-0005-0000-0000-0000394E0000}"/>
    <cellStyle name="Normal 2 5 3 4 6 3 2" xfId="33990" xr:uid="{00000000-0005-0000-0000-00003A4E0000}"/>
    <cellStyle name="Normal 2 5 3 4 6 4" xfId="17078" xr:uid="{00000000-0005-0000-0000-00003B4E0000}"/>
    <cellStyle name="Normal 2 5 3 4 6 4 2" xfId="42631" xr:uid="{00000000-0005-0000-0000-00003C4E0000}"/>
    <cellStyle name="Normal 2 5 3 4 6 5" xfId="28568" xr:uid="{00000000-0005-0000-0000-00003D4E0000}"/>
    <cellStyle name="Normal 2 5 3 4 7" xfId="4170" xr:uid="{00000000-0005-0000-0000-00003E4E0000}"/>
    <cellStyle name="Normal 2 5 3 4 7 2" xfId="13008" xr:uid="{00000000-0005-0000-0000-00003F4E0000}"/>
    <cellStyle name="Normal 2 5 3 4 7 2 2" xfId="23259" xr:uid="{00000000-0005-0000-0000-0000404E0000}"/>
    <cellStyle name="Normal 2 5 3 4 7 2 2 2" xfId="48812" xr:uid="{00000000-0005-0000-0000-0000414E0000}"/>
    <cellStyle name="Normal 2 5 3 4 7 2 3" xfId="38563" xr:uid="{00000000-0005-0000-0000-0000424E0000}"/>
    <cellStyle name="Normal 2 5 3 4 7 3" xfId="9429" xr:uid="{00000000-0005-0000-0000-0000434E0000}"/>
    <cellStyle name="Normal 2 5 3 4 7 3 2" xfId="34986" xr:uid="{00000000-0005-0000-0000-0000444E0000}"/>
    <cellStyle name="Normal 2 5 3 4 7 4" xfId="18252" xr:uid="{00000000-0005-0000-0000-0000454E0000}"/>
    <cellStyle name="Normal 2 5 3 4 7 4 2" xfId="43805" xr:uid="{00000000-0005-0000-0000-0000464E0000}"/>
    <cellStyle name="Normal 2 5 3 4 7 5" xfId="29742" xr:uid="{00000000-0005-0000-0000-0000474E0000}"/>
    <cellStyle name="Normal 2 5 3 4 8" xfId="1442" xr:uid="{00000000-0005-0000-0000-0000484E0000}"/>
    <cellStyle name="Normal 2 5 3 4 8 2" xfId="10819" xr:uid="{00000000-0005-0000-0000-0000494E0000}"/>
    <cellStyle name="Normal 2 5 3 4 8 2 2" xfId="36374" xr:uid="{00000000-0005-0000-0000-00004A4E0000}"/>
    <cellStyle name="Normal 2 5 3 4 8 3" xfId="20823" xr:uid="{00000000-0005-0000-0000-00004B4E0000}"/>
    <cellStyle name="Normal 2 5 3 4 8 3 2" xfId="46376" xr:uid="{00000000-0005-0000-0000-00004C4E0000}"/>
    <cellStyle name="Normal 2 5 3 4 8 4" xfId="27306" xr:uid="{00000000-0005-0000-0000-00004D4E0000}"/>
    <cellStyle name="Normal 2 5 3 4 9" xfId="5626" xr:uid="{00000000-0005-0000-0000-00004E4E0000}"/>
    <cellStyle name="Normal 2 5 3 4 9 2" xfId="14453" xr:uid="{00000000-0005-0000-0000-00004F4E0000}"/>
    <cellStyle name="Normal 2 5 3 4 9 2 2" xfId="40008" xr:uid="{00000000-0005-0000-0000-0000504E0000}"/>
    <cellStyle name="Normal 2 5 3 4 9 3" xfId="24704" xr:uid="{00000000-0005-0000-0000-0000514E0000}"/>
    <cellStyle name="Normal 2 5 3 4 9 3 2" xfId="50257" xr:uid="{00000000-0005-0000-0000-0000524E0000}"/>
    <cellStyle name="Normal 2 5 3 4 9 4" xfId="31187" xr:uid="{00000000-0005-0000-0000-0000534E0000}"/>
    <cellStyle name="Normal 2 5 3 4_Degree data" xfId="2611" xr:uid="{00000000-0005-0000-0000-0000544E0000}"/>
    <cellStyle name="Normal 2 5 3 5" xfId="450" xr:uid="{00000000-0005-0000-0000-0000554E0000}"/>
    <cellStyle name="Normal 2 5 3 5 10" xfId="26379" xr:uid="{00000000-0005-0000-0000-0000564E0000}"/>
    <cellStyle name="Normal 2 5 3 5 2" xfId="755" xr:uid="{00000000-0005-0000-0000-0000574E0000}"/>
    <cellStyle name="Normal 2 5 3 5 2 2" xfId="3241" xr:uid="{00000000-0005-0000-0000-0000584E0000}"/>
    <cellStyle name="Normal 2 5 3 5 2 2 2" xfId="12383" xr:uid="{00000000-0005-0000-0000-0000594E0000}"/>
    <cellStyle name="Normal 2 5 3 5 2 2 2 2" xfId="22602" xr:uid="{00000000-0005-0000-0000-00005A4E0000}"/>
    <cellStyle name="Normal 2 5 3 5 2 2 2 2 2" xfId="48155" xr:uid="{00000000-0005-0000-0000-00005B4E0000}"/>
    <cellStyle name="Normal 2 5 3 5 2 2 2 3" xfId="37938" xr:uid="{00000000-0005-0000-0000-00005C4E0000}"/>
    <cellStyle name="Normal 2 5 3 5 2 2 3" xfId="8805" xr:uid="{00000000-0005-0000-0000-00005D4E0000}"/>
    <cellStyle name="Normal 2 5 3 5 2 2 3 2" xfId="34362" xr:uid="{00000000-0005-0000-0000-00005E4E0000}"/>
    <cellStyle name="Normal 2 5 3 5 2 2 4" xfId="17595" xr:uid="{00000000-0005-0000-0000-00005F4E0000}"/>
    <cellStyle name="Normal 2 5 3 5 2 2 4 2" xfId="43148" xr:uid="{00000000-0005-0000-0000-0000604E0000}"/>
    <cellStyle name="Normal 2 5 3 5 2 2 5" xfId="29085" xr:uid="{00000000-0005-0000-0000-0000614E0000}"/>
    <cellStyle name="Normal 2 5 3 5 2 3" xfId="4570" xr:uid="{00000000-0005-0000-0000-0000624E0000}"/>
    <cellStyle name="Normal 2 5 3 5 2 3 2" xfId="13408" xr:uid="{00000000-0005-0000-0000-0000634E0000}"/>
    <cellStyle name="Normal 2 5 3 5 2 3 2 2" xfId="23659" xr:uid="{00000000-0005-0000-0000-0000644E0000}"/>
    <cellStyle name="Normal 2 5 3 5 2 3 2 2 2" xfId="49212" xr:uid="{00000000-0005-0000-0000-0000654E0000}"/>
    <cellStyle name="Normal 2 5 3 5 2 3 2 3" xfId="38963" xr:uid="{00000000-0005-0000-0000-0000664E0000}"/>
    <cellStyle name="Normal 2 5 3 5 2 3 3" xfId="9829" xr:uid="{00000000-0005-0000-0000-0000674E0000}"/>
    <cellStyle name="Normal 2 5 3 5 2 3 3 2" xfId="35386" xr:uid="{00000000-0005-0000-0000-0000684E0000}"/>
    <cellStyle name="Normal 2 5 3 5 2 3 4" xfId="18652" xr:uid="{00000000-0005-0000-0000-0000694E0000}"/>
    <cellStyle name="Normal 2 5 3 5 2 3 4 2" xfId="44205" xr:uid="{00000000-0005-0000-0000-00006A4E0000}"/>
    <cellStyle name="Normal 2 5 3 5 2 3 5" xfId="30142" xr:uid="{00000000-0005-0000-0000-00006B4E0000}"/>
    <cellStyle name="Normal 2 5 3 5 2 4" xfId="2350" xr:uid="{00000000-0005-0000-0000-00006C4E0000}"/>
    <cellStyle name="Normal 2 5 3 5 2 4 2" xfId="11715" xr:uid="{00000000-0005-0000-0000-00006D4E0000}"/>
    <cellStyle name="Normal 2 5 3 5 2 4 2 2" xfId="37270" xr:uid="{00000000-0005-0000-0000-00006E4E0000}"/>
    <cellStyle name="Normal 2 5 3 5 2 4 3" xfId="21719" xr:uid="{00000000-0005-0000-0000-00006F4E0000}"/>
    <cellStyle name="Normal 2 5 3 5 2 4 3 2" xfId="47272" xr:uid="{00000000-0005-0000-0000-0000704E0000}"/>
    <cellStyle name="Normal 2 5 3 5 2 4 4" xfId="28202" xr:uid="{00000000-0005-0000-0000-0000714E0000}"/>
    <cellStyle name="Normal 2 5 3 5 2 5" xfId="6026" xr:uid="{00000000-0005-0000-0000-0000724E0000}"/>
    <cellStyle name="Normal 2 5 3 5 2 5 2" xfId="14853" xr:uid="{00000000-0005-0000-0000-0000734E0000}"/>
    <cellStyle name="Normal 2 5 3 5 2 5 2 2" xfId="40408" xr:uid="{00000000-0005-0000-0000-0000744E0000}"/>
    <cellStyle name="Normal 2 5 3 5 2 5 3" xfId="25104" xr:uid="{00000000-0005-0000-0000-0000754E0000}"/>
    <cellStyle name="Normal 2 5 3 5 2 5 3 2" xfId="50657" xr:uid="{00000000-0005-0000-0000-0000764E0000}"/>
    <cellStyle name="Normal 2 5 3 5 2 5 4" xfId="31587" xr:uid="{00000000-0005-0000-0000-0000774E0000}"/>
    <cellStyle name="Normal 2 5 3 5 2 6" xfId="7470" xr:uid="{00000000-0005-0000-0000-0000784E0000}"/>
    <cellStyle name="Normal 2 5 3 5 2 6 2" xfId="20201" xr:uid="{00000000-0005-0000-0000-0000794E0000}"/>
    <cellStyle name="Normal 2 5 3 5 2 6 2 2" xfId="45754" xr:uid="{00000000-0005-0000-0000-00007A4E0000}"/>
    <cellStyle name="Normal 2 5 3 5 2 6 3" xfId="33027" xr:uid="{00000000-0005-0000-0000-00007B4E0000}"/>
    <cellStyle name="Normal 2 5 3 5 2 7" xfId="16712" xr:uid="{00000000-0005-0000-0000-00007C4E0000}"/>
    <cellStyle name="Normal 2 5 3 5 2 7 2" xfId="42265" xr:uid="{00000000-0005-0000-0000-00007D4E0000}"/>
    <cellStyle name="Normal 2 5 3 5 2 8" xfId="26684" xr:uid="{00000000-0005-0000-0000-00007E4E0000}"/>
    <cellStyle name="Normal 2 5 3 5 3" xfId="1222" xr:uid="{00000000-0005-0000-0000-00007F4E0000}"/>
    <cellStyle name="Normal 2 5 3 5 3 2" xfId="3651" xr:uid="{00000000-0005-0000-0000-0000804E0000}"/>
    <cellStyle name="Normal 2 5 3 5 3 2 2" xfId="12787" xr:uid="{00000000-0005-0000-0000-0000814E0000}"/>
    <cellStyle name="Normal 2 5 3 5 3 2 2 2" xfId="23006" xr:uid="{00000000-0005-0000-0000-0000824E0000}"/>
    <cellStyle name="Normal 2 5 3 5 3 2 2 2 2" xfId="48559" xr:uid="{00000000-0005-0000-0000-0000834E0000}"/>
    <cellStyle name="Normal 2 5 3 5 3 2 2 3" xfId="38342" xr:uid="{00000000-0005-0000-0000-0000844E0000}"/>
    <cellStyle name="Normal 2 5 3 5 3 2 3" xfId="9208" xr:uid="{00000000-0005-0000-0000-0000854E0000}"/>
    <cellStyle name="Normal 2 5 3 5 3 2 3 2" xfId="34765" xr:uid="{00000000-0005-0000-0000-0000864E0000}"/>
    <cellStyle name="Normal 2 5 3 5 3 2 4" xfId="17999" xr:uid="{00000000-0005-0000-0000-0000874E0000}"/>
    <cellStyle name="Normal 2 5 3 5 3 2 4 2" xfId="43552" xr:uid="{00000000-0005-0000-0000-0000884E0000}"/>
    <cellStyle name="Normal 2 5 3 5 3 2 5" xfId="29489" xr:uid="{00000000-0005-0000-0000-0000894E0000}"/>
    <cellStyle name="Normal 2 5 3 5 3 3" xfId="4919" xr:uid="{00000000-0005-0000-0000-00008A4E0000}"/>
    <cellStyle name="Normal 2 5 3 5 3 3 2" xfId="13756" xr:uid="{00000000-0005-0000-0000-00008B4E0000}"/>
    <cellStyle name="Normal 2 5 3 5 3 3 2 2" xfId="24007" xr:uid="{00000000-0005-0000-0000-00008C4E0000}"/>
    <cellStyle name="Normal 2 5 3 5 3 3 2 2 2" xfId="49560" xr:uid="{00000000-0005-0000-0000-00008D4E0000}"/>
    <cellStyle name="Normal 2 5 3 5 3 3 2 3" xfId="39311" xr:uid="{00000000-0005-0000-0000-00008E4E0000}"/>
    <cellStyle name="Normal 2 5 3 5 3 3 3" xfId="10177" xr:uid="{00000000-0005-0000-0000-00008F4E0000}"/>
    <cellStyle name="Normal 2 5 3 5 3 3 3 2" xfId="35734" xr:uid="{00000000-0005-0000-0000-0000904E0000}"/>
    <cellStyle name="Normal 2 5 3 5 3 3 4" xfId="19000" xr:uid="{00000000-0005-0000-0000-0000914E0000}"/>
    <cellStyle name="Normal 2 5 3 5 3 3 4 2" xfId="44553" xr:uid="{00000000-0005-0000-0000-0000924E0000}"/>
    <cellStyle name="Normal 2 5 3 5 3 3 5" xfId="30490" xr:uid="{00000000-0005-0000-0000-0000934E0000}"/>
    <cellStyle name="Normal 2 5 3 5 3 4" xfId="2045" xr:uid="{00000000-0005-0000-0000-0000944E0000}"/>
    <cellStyle name="Normal 2 5 3 5 3 4 2" xfId="11410" xr:uid="{00000000-0005-0000-0000-0000954E0000}"/>
    <cellStyle name="Normal 2 5 3 5 3 4 2 2" xfId="36965" xr:uid="{00000000-0005-0000-0000-0000964E0000}"/>
    <cellStyle name="Normal 2 5 3 5 3 4 3" xfId="21414" xr:uid="{00000000-0005-0000-0000-0000974E0000}"/>
    <cellStyle name="Normal 2 5 3 5 3 4 3 2" xfId="46967" xr:uid="{00000000-0005-0000-0000-0000984E0000}"/>
    <cellStyle name="Normal 2 5 3 5 3 4 4" xfId="27897" xr:uid="{00000000-0005-0000-0000-0000994E0000}"/>
    <cellStyle name="Normal 2 5 3 5 3 5" xfId="6374" xr:uid="{00000000-0005-0000-0000-00009A4E0000}"/>
    <cellStyle name="Normal 2 5 3 5 3 5 2" xfId="15201" xr:uid="{00000000-0005-0000-0000-00009B4E0000}"/>
    <cellStyle name="Normal 2 5 3 5 3 5 2 2" xfId="40756" xr:uid="{00000000-0005-0000-0000-00009C4E0000}"/>
    <cellStyle name="Normal 2 5 3 5 3 5 3" xfId="25452" xr:uid="{00000000-0005-0000-0000-00009D4E0000}"/>
    <cellStyle name="Normal 2 5 3 5 3 5 3 2" xfId="51005" xr:uid="{00000000-0005-0000-0000-00009E4E0000}"/>
    <cellStyle name="Normal 2 5 3 5 3 5 4" xfId="31935" xr:uid="{00000000-0005-0000-0000-00009F4E0000}"/>
    <cellStyle name="Normal 2 5 3 5 3 6" xfId="7820" xr:uid="{00000000-0005-0000-0000-0000A04E0000}"/>
    <cellStyle name="Normal 2 5 3 5 3 6 2" xfId="20605" xr:uid="{00000000-0005-0000-0000-0000A14E0000}"/>
    <cellStyle name="Normal 2 5 3 5 3 6 2 2" xfId="46158" xr:uid="{00000000-0005-0000-0000-0000A24E0000}"/>
    <cellStyle name="Normal 2 5 3 5 3 6 3" xfId="33377" xr:uid="{00000000-0005-0000-0000-0000A34E0000}"/>
    <cellStyle name="Normal 2 5 3 5 3 7" xfId="16407" xr:uid="{00000000-0005-0000-0000-0000A44E0000}"/>
    <cellStyle name="Normal 2 5 3 5 3 7 2" xfId="41960" xr:uid="{00000000-0005-0000-0000-0000A54E0000}"/>
    <cellStyle name="Normal 2 5 3 5 3 8" xfId="27088" xr:uid="{00000000-0005-0000-0000-0000A64E0000}"/>
    <cellStyle name="Normal 2 5 3 5 4" xfId="2936" xr:uid="{00000000-0005-0000-0000-0000A74E0000}"/>
    <cellStyle name="Normal 2 5 3 5 4 2" xfId="5314" xr:uid="{00000000-0005-0000-0000-0000A84E0000}"/>
    <cellStyle name="Normal 2 5 3 5 4 2 2" xfId="14151" xr:uid="{00000000-0005-0000-0000-0000A94E0000}"/>
    <cellStyle name="Normal 2 5 3 5 4 2 2 2" xfId="24402" xr:uid="{00000000-0005-0000-0000-0000AA4E0000}"/>
    <cellStyle name="Normal 2 5 3 5 4 2 2 2 2" xfId="49955" xr:uid="{00000000-0005-0000-0000-0000AB4E0000}"/>
    <cellStyle name="Normal 2 5 3 5 4 2 2 3" xfId="39706" xr:uid="{00000000-0005-0000-0000-0000AC4E0000}"/>
    <cellStyle name="Normal 2 5 3 5 4 2 3" xfId="10572" xr:uid="{00000000-0005-0000-0000-0000AD4E0000}"/>
    <cellStyle name="Normal 2 5 3 5 4 2 3 2" xfId="36129" xr:uid="{00000000-0005-0000-0000-0000AE4E0000}"/>
    <cellStyle name="Normal 2 5 3 5 4 2 4" xfId="19395" xr:uid="{00000000-0005-0000-0000-0000AF4E0000}"/>
    <cellStyle name="Normal 2 5 3 5 4 2 4 2" xfId="44948" xr:uid="{00000000-0005-0000-0000-0000B04E0000}"/>
    <cellStyle name="Normal 2 5 3 5 4 2 5" xfId="30885" xr:uid="{00000000-0005-0000-0000-0000B14E0000}"/>
    <cellStyle name="Normal 2 5 3 5 4 3" xfId="6769" xr:uid="{00000000-0005-0000-0000-0000B24E0000}"/>
    <cellStyle name="Normal 2 5 3 5 4 3 2" xfId="15596" xr:uid="{00000000-0005-0000-0000-0000B34E0000}"/>
    <cellStyle name="Normal 2 5 3 5 4 3 2 2" xfId="41151" xr:uid="{00000000-0005-0000-0000-0000B44E0000}"/>
    <cellStyle name="Normal 2 5 3 5 4 3 3" xfId="25847" xr:uid="{00000000-0005-0000-0000-0000B54E0000}"/>
    <cellStyle name="Normal 2 5 3 5 4 3 3 2" xfId="51400" xr:uid="{00000000-0005-0000-0000-0000B64E0000}"/>
    <cellStyle name="Normal 2 5 3 5 4 3 4" xfId="32330" xr:uid="{00000000-0005-0000-0000-0000B74E0000}"/>
    <cellStyle name="Normal 2 5 3 5 4 4" xfId="8215" xr:uid="{00000000-0005-0000-0000-0000B84E0000}"/>
    <cellStyle name="Normal 2 5 3 5 4 4 2" xfId="22297" xr:uid="{00000000-0005-0000-0000-0000B94E0000}"/>
    <cellStyle name="Normal 2 5 3 5 4 4 2 2" xfId="47850" xr:uid="{00000000-0005-0000-0000-0000BA4E0000}"/>
    <cellStyle name="Normal 2 5 3 5 4 4 3" xfId="33772" xr:uid="{00000000-0005-0000-0000-0000BB4E0000}"/>
    <cellStyle name="Normal 2 5 3 5 4 5" xfId="17290" xr:uid="{00000000-0005-0000-0000-0000BC4E0000}"/>
    <cellStyle name="Normal 2 5 3 5 4 5 2" xfId="42843" xr:uid="{00000000-0005-0000-0000-0000BD4E0000}"/>
    <cellStyle name="Normal 2 5 3 5 4 6" xfId="28780" xr:uid="{00000000-0005-0000-0000-0000BE4E0000}"/>
    <cellStyle name="Normal 2 5 3 5 5" xfId="4270" xr:uid="{00000000-0005-0000-0000-0000BF4E0000}"/>
    <cellStyle name="Normal 2 5 3 5 5 2" xfId="13108" xr:uid="{00000000-0005-0000-0000-0000C04E0000}"/>
    <cellStyle name="Normal 2 5 3 5 5 2 2" xfId="23359" xr:uid="{00000000-0005-0000-0000-0000C14E0000}"/>
    <cellStyle name="Normal 2 5 3 5 5 2 2 2" xfId="48912" xr:uid="{00000000-0005-0000-0000-0000C24E0000}"/>
    <cellStyle name="Normal 2 5 3 5 5 2 3" xfId="38663" xr:uid="{00000000-0005-0000-0000-0000C34E0000}"/>
    <cellStyle name="Normal 2 5 3 5 5 3" xfId="9529" xr:uid="{00000000-0005-0000-0000-0000C44E0000}"/>
    <cellStyle name="Normal 2 5 3 5 5 3 2" xfId="35086" xr:uid="{00000000-0005-0000-0000-0000C54E0000}"/>
    <cellStyle name="Normal 2 5 3 5 5 4" xfId="18352" xr:uid="{00000000-0005-0000-0000-0000C64E0000}"/>
    <cellStyle name="Normal 2 5 3 5 5 4 2" xfId="43905" xr:uid="{00000000-0005-0000-0000-0000C74E0000}"/>
    <cellStyle name="Normal 2 5 3 5 5 5" xfId="29842" xr:uid="{00000000-0005-0000-0000-0000C84E0000}"/>
    <cellStyle name="Normal 2 5 3 5 6" xfId="1542" xr:uid="{00000000-0005-0000-0000-0000C94E0000}"/>
    <cellStyle name="Normal 2 5 3 5 6 2" xfId="10919" xr:uid="{00000000-0005-0000-0000-0000CA4E0000}"/>
    <cellStyle name="Normal 2 5 3 5 6 2 2" xfId="36474" xr:uid="{00000000-0005-0000-0000-0000CB4E0000}"/>
    <cellStyle name="Normal 2 5 3 5 6 3" xfId="20923" xr:uid="{00000000-0005-0000-0000-0000CC4E0000}"/>
    <cellStyle name="Normal 2 5 3 5 6 3 2" xfId="46476" xr:uid="{00000000-0005-0000-0000-0000CD4E0000}"/>
    <cellStyle name="Normal 2 5 3 5 6 4" xfId="27406" xr:uid="{00000000-0005-0000-0000-0000CE4E0000}"/>
    <cellStyle name="Normal 2 5 3 5 7" xfId="5726" xr:uid="{00000000-0005-0000-0000-0000CF4E0000}"/>
    <cellStyle name="Normal 2 5 3 5 7 2" xfId="14553" xr:uid="{00000000-0005-0000-0000-0000D04E0000}"/>
    <cellStyle name="Normal 2 5 3 5 7 2 2" xfId="40108" xr:uid="{00000000-0005-0000-0000-0000D14E0000}"/>
    <cellStyle name="Normal 2 5 3 5 7 3" xfId="24804" xr:uid="{00000000-0005-0000-0000-0000D24E0000}"/>
    <cellStyle name="Normal 2 5 3 5 7 3 2" xfId="50357" xr:uid="{00000000-0005-0000-0000-0000D34E0000}"/>
    <cellStyle name="Normal 2 5 3 5 7 4" xfId="31287" xr:uid="{00000000-0005-0000-0000-0000D44E0000}"/>
    <cellStyle name="Normal 2 5 3 5 8" xfId="7170" xr:uid="{00000000-0005-0000-0000-0000D54E0000}"/>
    <cellStyle name="Normal 2 5 3 5 8 2" xfId="19896" xr:uid="{00000000-0005-0000-0000-0000D64E0000}"/>
    <cellStyle name="Normal 2 5 3 5 8 2 2" xfId="45449" xr:uid="{00000000-0005-0000-0000-0000D74E0000}"/>
    <cellStyle name="Normal 2 5 3 5 8 3" xfId="32727" xr:uid="{00000000-0005-0000-0000-0000D84E0000}"/>
    <cellStyle name="Normal 2 5 3 5 9" xfId="15916" xr:uid="{00000000-0005-0000-0000-0000D94E0000}"/>
    <cellStyle name="Normal 2 5 3 5 9 2" xfId="41469" xr:uid="{00000000-0005-0000-0000-0000DA4E0000}"/>
    <cellStyle name="Normal 2 5 3 5_Degree data" xfId="3841" xr:uid="{00000000-0005-0000-0000-0000DB4E0000}"/>
    <cellStyle name="Normal 2 5 3 6" xfId="321" xr:uid="{00000000-0005-0000-0000-0000DC4E0000}"/>
    <cellStyle name="Normal 2 5 3 6 10" xfId="26250" xr:uid="{00000000-0005-0000-0000-0000DD4E0000}"/>
    <cellStyle name="Normal 2 5 3 6 2" xfId="756" xr:uid="{00000000-0005-0000-0000-0000DE4E0000}"/>
    <cellStyle name="Normal 2 5 3 6 2 2" xfId="3242" xr:uid="{00000000-0005-0000-0000-0000DF4E0000}"/>
    <cellStyle name="Normal 2 5 3 6 2 2 2" xfId="12384" xr:uid="{00000000-0005-0000-0000-0000E04E0000}"/>
    <cellStyle name="Normal 2 5 3 6 2 2 2 2" xfId="22603" xr:uid="{00000000-0005-0000-0000-0000E14E0000}"/>
    <cellStyle name="Normal 2 5 3 6 2 2 2 2 2" xfId="48156" xr:uid="{00000000-0005-0000-0000-0000E24E0000}"/>
    <cellStyle name="Normal 2 5 3 6 2 2 2 3" xfId="37939" xr:uid="{00000000-0005-0000-0000-0000E34E0000}"/>
    <cellStyle name="Normal 2 5 3 6 2 2 3" xfId="8806" xr:uid="{00000000-0005-0000-0000-0000E44E0000}"/>
    <cellStyle name="Normal 2 5 3 6 2 2 3 2" xfId="34363" xr:uid="{00000000-0005-0000-0000-0000E54E0000}"/>
    <cellStyle name="Normal 2 5 3 6 2 2 4" xfId="17596" xr:uid="{00000000-0005-0000-0000-0000E64E0000}"/>
    <cellStyle name="Normal 2 5 3 6 2 2 4 2" xfId="43149" xr:uid="{00000000-0005-0000-0000-0000E74E0000}"/>
    <cellStyle name="Normal 2 5 3 6 2 2 5" xfId="29086" xr:uid="{00000000-0005-0000-0000-0000E84E0000}"/>
    <cellStyle name="Normal 2 5 3 6 2 3" xfId="4571" xr:uid="{00000000-0005-0000-0000-0000E94E0000}"/>
    <cellStyle name="Normal 2 5 3 6 2 3 2" xfId="13409" xr:uid="{00000000-0005-0000-0000-0000EA4E0000}"/>
    <cellStyle name="Normal 2 5 3 6 2 3 2 2" xfId="23660" xr:uid="{00000000-0005-0000-0000-0000EB4E0000}"/>
    <cellStyle name="Normal 2 5 3 6 2 3 2 2 2" xfId="49213" xr:uid="{00000000-0005-0000-0000-0000EC4E0000}"/>
    <cellStyle name="Normal 2 5 3 6 2 3 2 3" xfId="38964" xr:uid="{00000000-0005-0000-0000-0000ED4E0000}"/>
    <cellStyle name="Normal 2 5 3 6 2 3 3" xfId="9830" xr:uid="{00000000-0005-0000-0000-0000EE4E0000}"/>
    <cellStyle name="Normal 2 5 3 6 2 3 3 2" xfId="35387" xr:uid="{00000000-0005-0000-0000-0000EF4E0000}"/>
    <cellStyle name="Normal 2 5 3 6 2 3 4" xfId="18653" xr:uid="{00000000-0005-0000-0000-0000F04E0000}"/>
    <cellStyle name="Normal 2 5 3 6 2 3 4 2" xfId="44206" xr:uid="{00000000-0005-0000-0000-0000F14E0000}"/>
    <cellStyle name="Normal 2 5 3 6 2 3 5" xfId="30143" xr:uid="{00000000-0005-0000-0000-0000F24E0000}"/>
    <cellStyle name="Normal 2 5 3 6 2 4" xfId="2351" xr:uid="{00000000-0005-0000-0000-0000F34E0000}"/>
    <cellStyle name="Normal 2 5 3 6 2 4 2" xfId="11716" xr:uid="{00000000-0005-0000-0000-0000F44E0000}"/>
    <cellStyle name="Normal 2 5 3 6 2 4 2 2" xfId="37271" xr:uid="{00000000-0005-0000-0000-0000F54E0000}"/>
    <cellStyle name="Normal 2 5 3 6 2 4 3" xfId="21720" xr:uid="{00000000-0005-0000-0000-0000F64E0000}"/>
    <cellStyle name="Normal 2 5 3 6 2 4 3 2" xfId="47273" xr:uid="{00000000-0005-0000-0000-0000F74E0000}"/>
    <cellStyle name="Normal 2 5 3 6 2 4 4" xfId="28203" xr:uid="{00000000-0005-0000-0000-0000F84E0000}"/>
    <cellStyle name="Normal 2 5 3 6 2 5" xfId="6027" xr:uid="{00000000-0005-0000-0000-0000F94E0000}"/>
    <cellStyle name="Normal 2 5 3 6 2 5 2" xfId="14854" xr:uid="{00000000-0005-0000-0000-0000FA4E0000}"/>
    <cellStyle name="Normal 2 5 3 6 2 5 2 2" xfId="40409" xr:uid="{00000000-0005-0000-0000-0000FB4E0000}"/>
    <cellStyle name="Normal 2 5 3 6 2 5 3" xfId="25105" xr:uid="{00000000-0005-0000-0000-0000FC4E0000}"/>
    <cellStyle name="Normal 2 5 3 6 2 5 3 2" xfId="50658" xr:uid="{00000000-0005-0000-0000-0000FD4E0000}"/>
    <cellStyle name="Normal 2 5 3 6 2 5 4" xfId="31588" xr:uid="{00000000-0005-0000-0000-0000FE4E0000}"/>
    <cellStyle name="Normal 2 5 3 6 2 6" xfId="7471" xr:uid="{00000000-0005-0000-0000-0000FF4E0000}"/>
    <cellStyle name="Normal 2 5 3 6 2 6 2" xfId="20202" xr:uid="{00000000-0005-0000-0000-0000004F0000}"/>
    <cellStyle name="Normal 2 5 3 6 2 6 2 2" xfId="45755" xr:uid="{00000000-0005-0000-0000-0000014F0000}"/>
    <cellStyle name="Normal 2 5 3 6 2 6 3" xfId="33028" xr:uid="{00000000-0005-0000-0000-0000024F0000}"/>
    <cellStyle name="Normal 2 5 3 6 2 7" xfId="16713" xr:uid="{00000000-0005-0000-0000-0000034F0000}"/>
    <cellStyle name="Normal 2 5 3 6 2 7 2" xfId="42266" xr:uid="{00000000-0005-0000-0000-0000044F0000}"/>
    <cellStyle name="Normal 2 5 3 6 2 8" xfId="26685" xr:uid="{00000000-0005-0000-0000-0000054F0000}"/>
    <cellStyle name="Normal 2 5 3 6 3" xfId="1093" xr:uid="{00000000-0005-0000-0000-0000064F0000}"/>
    <cellStyle name="Normal 2 5 3 6 3 2" xfId="3522" xr:uid="{00000000-0005-0000-0000-0000074F0000}"/>
    <cellStyle name="Normal 2 5 3 6 3 2 2" xfId="12658" xr:uid="{00000000-0005-0000-0000-0000084F0000}"/>
    <cellStyle name="Normal 2 5 3 6 3 2 2 2" xfId="22877" xr:uid="{00000000-0005-0000-0000-0000094F0000}"/>
    <cellStyle name="Normal 2 5 3 6 3 2 2 2 2" xfId="48430" xr:uid="{00000000-0005-0000-0000-00000A4F0000}"/>
    <cellStyle name="Normal 2 5 3 6 3 2 2 3" xfId="38213" xr:uid="{00000000-0005-0000-0000-00000B4F0000}"/>
    <cellStyle name="Normal 2 5 3 6 3 2 3" xfId="9080" xr:uid="{00000000-0005-0000-0000-00000C4F0000}"/>
    <cellStyle name="Normal 2 5 3 6 3 2 3 2" xfId="34637" xr:uid="{00000000-0005-0000-0000-00000D4F0000}"/>
    <cellStyle name="Normal 2 5 3 6 3 2 4" xfId="17870" xr:uid="{00000000-0005-0000-0000-00000E4F0000}"/>
    <cellStyle name="Normal 2 5 3 6 3 2 4 2" xfId="43423" xr:uid="{00000000-0005-0000-0000-00000F4F0000}"/>
    <cellStyle name="Normal 2 5 3 6 3 2 5" xfId="29360" xr:uid="{00000000-0005-0000-0000-0000104F0000}"/>
    <cellStyle name="Normal 2 5 3 6 3 3" xfId="4920" xr:uid="{00000000-0005-0000-0000-0000114F0000}"/>
    <cellStyle name="Normal 2 5 3 6 3 3 2" xfId="13757" xr:uid="{00000000-0005-0000-0000-0000124F0000}"/>
    <cellStyle name="Normal 2 5 3 6 3 3 2 2" xfId="24008" xr:uid="{00000000-0005-0000-0000-0000134F0000}"/>
    <cellStyle name="Normal 2 5 3 6 3 3 2 2 2" xfId="49561" xr:uid="{00000000-0005-0000-0000-0000144F0000}"/>
    <cellStyle name="Normal 2 5 3 6 3 3 2 3" xfId="39312" xr:uid="{00000000-0005-0000-0000-0000154F0000}"/>
    <cellStyle name="Normal 2 5 3 6 3 3 3" xfId="10178" xr:uid="{00000000-0005-0000-0000-0000164F0000}"/>
    <cellStyle name="Normal 2 5 3 6 3 3 3 2" xfId="35735" xr:uid="{00000000-0005-0000-0000-0000174F0000}"/>
    <cellStyle name="Normal 2 5 3 6 3 3 4" xfId="19001" xr:uid="{00000000-0005-0000-0000-0000184F0000}"/>
    <cellStyle name="Normal 2 5 3 6 3 3 4 2" xfId="44554" xr:uid="{00000000-0005-0000-0000-0000194F0000}"/>
    <cellStyle name="Normal 2 5 3 6 3 3 5" xfId="30491" xr:uid="{00000000-0005-0000-0000-00001A4F0000}"/>
    <cellStyle name="Normal 2 5 3 6 3 4" xfId="2586" xr:uid="{00000000-0005-0000-0000-00001B4F0000}"/>
    <cellStyle name="Normal 2 5 3 6 3 4 2" xfId="11950" xr:uid="{00000000-0005-0000-0000-00001C4F0000}"/>
    <cellStyle name="Normal 2 5 3 6 3 4 2 2" xfId="37505" xr:uid="{00000000-0005-0000-0000-00001D4F0000}"/>
    <cellStyle name="Normal 2 5 3 6 3 4 3" xfId="21954" xr:uid="{00000000-0005-0000-0000-00001E4F0000}"/>
    <cellStyle name="Normal 2 5 3 6 3 4 3 2" xfId="47507" xr:uid="{00000000-0005-0000-0000-00001F4F0000}"/>
    <cellStyle name="Normal 2 5 3 6 3 4 4" xfId="28437" xr:uid="{00000000-0005-0000-0000-0000204F0000}"/>
    <cellStyle name="Normal 2 5 3 6 3 5" xfId="6375" xr:uid="{00000000-0005-0000-0000-0000214F0000}"/>
    <cellStyle name="Normal 2 5 3 6 3 5 2" xfId="15202" xr:uid="{00000000-0005-0000-0000-0000224F0000}"/>
    <cellStyle name="Normal 2 5 3 6 3 5 2 2" xfId="40757" xr:uid="{00000000-0005-0000-0000-0000234F0000}"/>
    <cellStyle name="Normal 2 5 3 6 3 5 3" xfId="25453" xr:uid="{00000000-0005-0000-0000-0000244F0000}"/>
    <cellStyle name="Normal 2 5 3 6 3 5 3 2" xfId="51006" xr:uid="{00000000-0005-0000-0000-0000254F0000}"/>
    <cellStyle name="Normal 2 5 3 6 3 5 4" xfId="31936" xr:uid="{00000000-0005-0000-0000-0000264F0000}"/>
    <cellStyle name="Normal 2 5 3 6 3 6" xfId="7821" xr:uid="{00000000-0005-0000-0000-0000274F0000}"/>
    <cellStyle name="Normal 2 5 3 6 3 6 2" xfId="20476" xr:uid="{00000000-0005-0000-0000-0000284F0000}"/>
    <cellStyle name="Normal 2 5 3 6 3 6 2 2" xfId="46029" xr:uid="{00000000-0005-0000-0000-0000294F0000}"/>
    <cellStyle name="Normal 2 5 3 6 3 6 3" xfId="33378" xr:uid="{00000000-0005-0000-0000-00002A4F0000}"/>
    <cellStyle name="Normal 2 5 3 6 3 7" xfId="16947" xr:uid="{00000000-0005-0000-0000-00002B4F0000}"/>
    <cellStyle name="Normal 2 5 3 6 3 7 2" xfId="42500" xr:uid="{00000000-0005-0000-0000-00002C4F0000}"/>
    <cellStyle name="Normal 2 5 3 6 3 8" xfId="26959" xr:uid="{00000000-0005-0000-0000-00002D4F0000}"/>
    <cellStyle name="Normal 2 5 3 6 4" xfId="2807" xr:uid="{00000000-0005-0000-0000-00002E4F0000}"/>
    <cellStyle name="Normal 2 5 3 6 4 2" xfId="5185" xr:uid="{00000000-0005-0000-0000-00002F4F0000}"/>
    <cellStyle name="Normal 2 5 3 6 4 2 2" xfId="14022" xr:uid="{00000000-0005-0000-0000-0000304F0000}"/>
    <cellStyle name="Normal 2 5 3 6 4 2 2 2" xfId="24273" xr:uid="{00000000-0005-0000-0000-0000314F0000}"/>
    <cellStyle name="Normal 2 5 3 6 4 2 2 2 2" xfId="49826" xr:uid="{00000000-0005-0000-0000-0000324F0000}"/>
    <cellStyle name="Normal 2 5 3 6 4 2 2 3" xfId="39577" xr:uid="{00000000-0005-0000-0000-0000334F0000}"/>
    <cellStyle name="Normal 2 5 3 6 4 2 3" xfId="10443" xr:uid="{00000000-0005-0000-0000-0000344F0000}"/>
    <cellStyle name="Normal 2 5 3 6 4 2 3 2" xfId="36000" xr:uid="{00000000-0005-0000-0000-0000354F0000}"/>
    <cellStyle name="Normal 2 5 3 6 4 2 4" xfId="19266" xr:uid="{00000000-0005-0000-0000-0000364F0000}"/>
    <cellStyle name="Normal 2 5 3 6 4 2 4 2" xfId="44819" xr:uid="{00000000-0005-0000-0000-0000374F0000}"/>
    <cellStyle name="Normal 2 5 3 6 4 2 5" xfId="30756" xr:uid="{00000000-0005-0000-0000-0000384F0000}"/>
    <cellStyle name="Normal 2 5 3 6 4 3" xfId="6640" xr:uid="{00000000-0005-0000-0000-0000394F0000}"/>
    <cellStyle name="Normal 2 5 3 6 4 3 2" xfId="15467" xr:uid="{00000000-0005-0000-0000-00003A4F0000}"/>
    <cellStyle name="Normal 2 5 3 6 4 3 2 2" xfId="41022" xr:uid="{00000000-0005-0000-0000-00003B4F0000}"/>
    <cellStyle name="Normal 2 5 3 6 4 3 3" xfId="25718" xr:uid="{00000000-0005-0000-0000-00003C4F0000}"/>
    <cellStyle name="Normal 2 5 3 6 4 3 3 2" xfId="51271" xr:uid="{00000000-0005-0000-0000-00003D4F0000}"/>
    <cellStyle name="Normal 2 5 3 6 4 3 4" xfId="32201" xr:uid="{00000000-0005-0000-0000-00003E4F0000}"/>
    <cellStyle name="Normal 2 5 3 6 4 4" xfId="8086" xr:uid="{00000000-0005-0000-0000-00003F4F0000}"/>
    <cellStyle name="Normal 2 5 3 6 4 4 2" xfId="22168" xr:uid="{00000000-0005-0000-0000-0000404F0000}"/>
    <cellStyle name="Normal 2 5 3 6 4 4 2 2" xfId="47721" xr:uid="{00000000-0005-0000-0000-0000414F0000}"/>
    <cellStyle name="Normal 2 5 3 6 4 4 3" xfId="33643" xr:uid="{00000000-0005-0000-0000-0000424F0000}"/>
    <cellStyle name="Normal 2 5 3 6 4 5" xfId="17161" xr:uid="{00000000-0005-0000-0000-0000434F0000}"/>
    <cellStyle name="Normal 2 5 3 6 4 5 2" xfId="42714" xr:uid="{00000000-0005-0000-0000-0000444F0000}"/>
    <cellStyle name="Normal 2 5 3 6 4 6" xfId="28651" xr:uid="{00000000-0005-0000-0000-0000454F0000}"/>
    <cellStyle name="Normal 2 5 3 6 5" xfId="4139" xr:uid="{00000000-0005-0000-0000-0000464F0000}"/>
    <cellStyle name="Normal 2 5 3 6 5 2" xfId="12977" xr:uid="{00000000-0005-0000-0000-0000474F0000}"/>
    <cellStyle name="Normal 2 5 3 6 5 2 2" xfId="23228" xr:uid="{00000000-0005-0000-0000-0000484F0000}"/>
    <cellStyle name="Normal 2 5 3 6 5 2 2 2" xfId="48781" xr:uid="{00000000-0005-0000-0000-0000494F0000}"/>
    <cellStyle name="Normal 2 5 3 6 5 2 3" xfId="38532" xr:uid="{00000000-0005-0000-0000-00004A4F0000}"/>
    <cellStyle name="Normal 2 5 3 6 5 3" xfId="9398" xr:uid="{00000000-0005-0000-0000-00004B4F0000}"/>
    <cellStyle name="Normal 2 5 3 6 5 3 2" xfId="34955" xr:uid="{00000000-0005-0000-0000-00004C4F0000}"/>
    <cellStyle name="Normal 2 5 3 6 5 4" xfId="18221" xr:uid="{00000000-0005-0000-0000-00004D4F0000}"/>
    <cellStyle name="Normal 2 5 3 6 5 4 2" xfId="43774" xr:uid="{00000000-0005-0000-0000-00004E4F0000}"/>
    <cellStyle name="Normal 2 5 3 6 5 5" xfId="29711" xr:uid="{00000000-0005-0000-0000-00004F4F0000}"/>
    <cellStyle name="Normal 2 5 3 6 6" xfId="1916" xr:uid="{00000000-0005-0000-0000-0000504F0000}"/>
    <cellStyle name="Normal 2 5 3 6 6 2" xfId="11281" xr:uid="{00000000-0005-0000-0000-0000514F0000}"/>
    <cellStyle name="Normal 2 5 3 6 6 2 2" xfId="36836" xr:uid="{00000000-0005-0000-0000-0000524F0000}"/>
    <cellStyle name="Normal 2 5 3 6 6 3" xfId="21285" xr:uid="{00000000-0005-0000-0000-0000534F0000}"/>
    <cellStyle name="Normal 2 5 3 6 6 3 2" xfId="46838" xr:uid="{00000000-0005-0000-0000-0000544F0000}"/>
    <cellStyle name="Normal 2 5 3 6 6 4" xfId="27768" xr:uid="{00000000-0005-0000-0000-0000554F0000}"/>
    <cellStyle name="Normal 2 5 3 6 7" xfId="5597" xr:uid="{00000000-0005-0000-0000-0000564F0000}"/>
    <cellStyle name="Normal 2 5 3 6 7 2" xfId="14424" xr:uid="{00000000-0005-0000-0000-0000574F0000}"/>
    <cellStyle name="Normal 2 5 3 6 7 2 2" xfId="39979" xr:uid="{00000000-0005-0000-0000-0000584F0000}"/>
    <cellStyle name="Normal 2 5 3 6 7 3" xfId="24675" xr:uid="{00000000-0005-0000-0000-0000594F0000}"/>
    <cellStyle name="Normal 2 5 3 6 7 3 2" xfId="50228" xr:uid="{00000000-0005-0000-0000-00005A4F0000}"/>
    <cellStyle name="Normal 2 5 3 6 7 4" xfId="31158" xr:uid="{00000000-0005-0000-0000-00005B4F0000}"/>
    <cellStyle name="Normal 2 5 3 6 8" xfId="7041" xr:uid="{00000000-0005-0000-0000-00005C4F0000}"/>
    <cellStyle name="Normal 2 5 3 6 8 2" xfId="19767" xr:uid="{00000000-0005-0000-0000-00005D4F0000}"/>
    <cellStyle name="Normal 2 5 3 6 8 2 2" xfId="45320" xr:uid="{00000000-0005-0000-0000-00005E4F0000}"/>
    <cellStyle name="Normal 2 5 3 6 8 3" xfId="32598" xr:uid="{00000000-0005-0000-0000-00005F4F0000}"/>
    <cellStyle name="Normal 2 5 3 6 9" xfId="16278" xr:uid="{00000000-0005-0000-0000-0000604F0000}"/>
    <cellStyle name="Normal 2 5 3 6 9 2" xfId="41831" xr:uid="{00000000-0005-0000-0000-0000614F0000}"/>
    <cellStyle name="Normal 2 5 3 6_Degree data" xfId="3868" xr:uid="{00000000-0005-0000-0000-0000624F0000}"/>
    <cellStyle name="Normal 2 5 3 7" xfId="747" xr:uid="{00000000-0005-0000-0000-0000634F0000}"/>
    <cellStyle name="Normal 2 5 3 7 2" xfId="3233" xr:uid="{00000000-0005-0000-0000-0000644F0000}"/>
    <cellStyle name="Normal 2 5 3 7 2 2" xfId="12375" xr:uid="{00000000-0005-0000-0000-0000654F0000}"/>
    <cellStyle name="Normal 2 5 3 7 2 2 2" xfId="22594" xr:uid="{00000000-0005-0000-0000-0000664F0000}"/>
    <cellStyle name="Normal 2 5 3 7 2 2 2 2" xfId="48147" xr:uid="{00000000-0005-0000-0000-0000674F0000}"/>
    <cellStyle name="Normal 2 5 3 7 2 2 3" xfId="37930" xr:uid="{00000000-0005-0000-0000-0000684F0000}"/>
    <cellStyle name="Normal 2 5 3 7 2 3" xfId="8797" xr:uid="{00000000-0005-0000-0000-0000694F0000}"/>
    <cellStyle name="Normal 2 5 3 7 2 3 2" xfId="34354" xr:uid="{00000000-0005-0000-0000-00006A4F0000}"/>
    <cellStyle name="Normal 2 5 3 7 2 4" xfId="17587" xr:uid="{00000000-0005-0000-0000-00006B4F0000}"/>
    <cellStyle name="Normal 2 5 3 7 2 4 2" xfId="43140" xr:uid="{00000000-0005-0000-0000-00006C4F0000}"/>
    <cellStyle name="Normal 2 5 3 7 2 5" xfId="29077" xr:uid="{00000000-0005-0000-0000-00006D4F0000}"/>
    <cellStyle name="Normal 2 5 3 7 3" xfId="4562" xr:uid="{00000000-0005-0000-0000-00006E4F0000}"/>
    <cellStyle name="Normal 2 5 3 7 3 2" xfId="13400" xr:uid="{00000000-0005-0000-0000-00006F4F0000}"/>
    <cellStyle name="Normal 2 5 3 7 3 2 2" xfId="23651" xr:uid="{00000000-0005-0000-0000-0000704F0000}"/>
    <cellStyle name="Normal 2 5 3 7 3 2 2 2" xfId="49204" xr:uid="{00000000-0005-0000-0000-0000714F0000}"/>
    <cellStyle name="Normal 2 5 3 7 3 2 3" xfId="38955" xr:uid="{00000000-0005-0000-0000-0000724F0000}"/>
    <cellStyle name="Normal 2 5 3 7 3 3" xfId="9821" xr:uid="{00000000-0005-0000-0000-0000734F0000}"/>
    <cellStyle name="Normal 2 5 3 7 3 3 2" xfId="35378" xr:uid="{00000000-0005-0000-0000-0000744F0000}"/>
    <cellStyle name="Normal 2 5 3 7 3 4" xfId="18644" xr:uid="{00000000-0005-0000-0000-0000754F0000}"/>
    <cellStyle name="Normal 2 5 3 7 3 4 2" xfId="44197" xr:uid="{00000000-0005-0000-0000-0000764F0000}"/>
    <cellStyle name="Normal 2 5 3 7 3 5" xfId="30134" xr:uid="{00000000-0005-0000-0000-0000774F0000}"/>
    <cellStyle name="Normal 2 5 3 7 4" xfId="2342" xr:uid="{00000000-0005-0000-0000-0000784F0000}"/>
    <cellStyle name="Normal 2 5 3 7 4 2" xfId="11707" xr:uid="{00000000-0005-0000-0000-0000794F0000}"/>
    <cellStyle name="Normal 2 5 3 7 4 2 2" xfId="37262" xr:uid="{00000000-0005-0000-0000-00007A4F0000}"/>
    <cellStyle name="Normal 2 5 3 7 4 3" xfId="21711" xr:uid="{00000000-0005-0000-0000-00007B4F0000}"/>
    <cellStyle name="Normal 2 5 3 7 4 3 2" xfId="47264" xr:uid="{00000000-0005-0000-0000-00007C4F0000}"/>
    <cellStyle name="Normal 2 5 3 7 4 4" xfId="28194" xr:uid="{00000000-0005-0000-0000-00007D4F0000}"/>
    <cellStyle name="Normal 2 5 3 7 5" xfId="6018" xr:uid="{00000000-0005-0000-0000-00007E4F0000}"/>
    <cellStyle name="Normal 2 5 3 7 5 2" xfId="14845" xr:uid="{00000000-0005-0000-0000-00007F4F0000}"/>
    <cellStyle name="Normal 2 5 3 7 5 2 2" xfId="40400" xr:uid="{00000000-0005-0000-0000-0000804F0000}"/>
    <cellStyle name="Normal 2 5 3 7 5 3" xfId="25096" xr:uid="{00000000-0005-0000-0000-0000814F0000}"/>
    <cellStyle name="Normal 2 5 3 7 5 3 2" xfId="50649" xr:uid="{00000000-0005-0000-0000-0000824F0000}"/>
    <cellStyle name="Normal 2 5 3 7 5 4" xfId="31579" xr:uid="{00000000-0005-0000-0000-0000834F0000}"/>
    <cellStyle name="Normal 2 5 3 7 6" xfId="7462" xr:uid="{00000000-0005-0000-0000-0000844F0000}"/>
    <cellStyle name="Normal 2 5 3 7 6 2" xfId="20193" xr:uid="{00000000-0005-0000-0000-0000854F0000}"/>
    <cellStyle name="Normal 2 5 3 7 6 2 2" xfId="45746" xr:uid="{00000000-0005-0000-0000-0000864F0000}"/>
    <cellStyle name="Normal 2 5 3 7 6 3" xfId="33019" xr:uid="{00000000-0005-0000-0000-0000874F0000}"/>
    <cellStyle name="Normal 2 5 3 7 7" xfId="16704" xr:uid="{00000000-0005-0000-0000-0000884F0000}"/>
    <cellStyle name="Normal 2 5 3 7 7 2" xfId="42257" xr:uid="{00000000-0005-0000-0000-0000894F0000}"/>
    <cellStyle name="Normal 2 5 3 7 8" xfId="26676" xr:uid="{00000000-0005-0000-0000-00008A4F0000}"/>
    <cellStyle name="Normal 2 5 3 8" xfId="1050" xr:uid="{00000000-0005-0000-0000-00008B4F0000}"/>
    <cellStyle name="Normal 2 5 3 8 2" xfId="3479" xr:uid="{00000000-0005-0000-0000-00008C4F0000}"/>
    <cellStyle name="Normal 2 5 3 8 2 2" xfId="12615" xr:uid="{00000000-0005-0000-0000-00008D4F0000}"/>
    <cellStyle name="Normal 2 5 3 8 2 2 2" xfId="22834" xr:uid="{00000000-0005-0000-0000-00008E4F0000}"/>
    <cellStyle name="Normal 2 5 3 8 2 2 2 2" xfId="48387" xr:uid="{00000000-0005-0000-0000-00008F4F0000}"/>
    <cellStyle name="Normal 2 5 3 8 2 2 3" xfId="38170" xr:uid="{00000000-0005-0000-0000-0000904F0000}"/>
    <cellStyle name="Normal 2 5 3 8 2 3" xfId="9037" xr:uid="{00000000-0005-0000-0000-0000914F0000}"/>
    <cellStyle name="Normal 2 5 3 8 2 3 2" xfId="34594" xr:uid="{00000000-0005-0000-0000-0000924F0000}"/>
    <cellStyle name="Normal 2 5 3 8 2 4" xfId="17827" xr:uid="{00000000-0005-0000-0000-0000934F0000}"/>
    <cellStyle name="Normal 2 5 3 8 2 4 2" xfId="43380" xr:uid="{00000000-0005-0000-0000-0000944F0000}"/>
    <cellStyle name="Normal 2 5 3 8 2 5" xfId="29317" xr:uid="{00000000-0005-0000-0000-0000954F0000}"/>
    <cellStyle name="Normal 2 5 3 8 3" xfId="4911" xr:uid="{00000000-0005-0000-0000-0000964F0000}"/>
    <cellStyle name="Normal 2 5 3 8 3 2" xfId="13748" xr:uid="{00000000-0005-0000-0000-0000974F0000}"/>
    <cellStyle name="Normal 2 5 3 8 3 2 2" xfId="23999" xr:uid="{00000000-0005-0000-0000-0000984F0000}"/>
    <cellStyle name="Normal 2 5 3 8 3 2 2 2" xfId="49552" xr:uid="{00000000-0005-0000-0000-0000994F0000}"/>
    <cellStyle name="Normal 2 5 3 8 3 2 3" xfId="39303" xr:uid="{00000000-0005-0000-0000-00009A4F0000}"/>
    <cellStyle name="Normal 2 5 3 8 3 3" xfId="10169" xr:uid="{00000000-0005-0000-0000-00009B4F0000}"/>
    <cellStyle name="Normal 2 5 3 8 3 3 2" xfId="35726" xr:uid="{00000000-0005-0000-0000-00009C4F0000}"/>
    <cellStyle name="Normal 2 5 3 8 3 4" xfId="18992" xr:uid="{00000000-0005-0000-0000-00009D4F0000}"/>
    <cellStyle name="Normal 2 5 3 8 3 4 2" xfId="44545" xr:uid="{00000000-0005-0000-0000-00009E4F0000}"/>
    <cellStyle name="Normal 2 5 3 8 3 5" xfId="30482" xr:uid="{00000000-0005-0000-0000-00009F4F0000}"/>
    <cellStyle name="Normal 2 5 3 8 4" xfId="1718" xr:uid="{00000000-0005-0000-0000-0000A04F0000}"/>
    <cellStyle name="Normal 2 5 3 8 4 2" xfId="11092" xr:uid="{00000000-0005-0000-0000-0000A14F0000}"/>
    <cellStyle name="Normal 2 5 3 8 4 2 2" xfId="36647" xr:uid="{00000000-0005-0000-0000-0000A24F0000}"/>
    <cellStyle name="Normal 2 5 3 8 4 3" xfId="21096" xr:uid="{00000000-0005-0000-0000-0000A34F0000}"/>
    <cellStyle name="Normal 2 5 3 8 4 3 2" xfId="46649" xr:uid="{00000000-0005-0000-0000-0000A44F0000}"/>
    <cellStyle name="Normal 2 5 3 8 4 4" xfId="27579" xr:uid="{00000000-0005-0000-0000-0000A54F0000}"/>
    <cellStyle name="Normal 2 5 3 8 5" xfId="6366" xr:uid="{00000000-0005-0000-0000-0000A64F0000}"/>
    <cellStyle name="Normal 2 5 3 8 5 2" xfId="15193" xr:uid="{00000000-0005-0000-0000-0000A74F0000}"/>
    <cellStyle name="Normal 2 5 3 8 5 2 2" xfId="40748" xr:uid="{00000000-0005-0000-0000-0000A84F0000}"/>
    <cellStyle name="Normal 2 5 3 8 5 3" xfId="25444" xr:uid="{00000000-0005-0000-0000-0000A94F0000}"/>
    <cellStyle name="Normal 2 5 3 8 5 3 2" xfId="50997" xr:uid="{00000000-0005-0000-0000-0000AA4F0000}"/>
    <cellStyle name="Normal 2 5 3 8 5 4" xfId="31927" xr:uid="{00000000-0005-0000-0000-0000AB4F0000}"/>
    <cellStyle name="Normal 2 5 3 8 6" xfId="7812" xr:uid="{00000000-0005-0000-0000-0000AC4F0000}"/>
    <cellStyle name="Normal 2 5 3 8 6 2" xfId="20433" xr:uid="{00000000-0005-0000-0000-0000AD4F0000}"/>
    <cellStyle name="Normal 2 5 3 8 6 2 2" xfId="45986" xr:uid="{00000000-0005-0000-0000-0000AE4F0000}"/>
    <cellStyle name="Normal 2 5 3 8 6 3" xfId="33369" xr:uid="{00000000-0005-0000-0000-0000AF4F0000}"/>
    <cellStyle name="Normal 2 5 3 8 7" xfId="16089" xr:uid="{00000000-0005-0000-0000-0000B04F0000}"/>
    <cellStyle name="Normal 2 5 3 8 7 2" xfId="41642" xr:uid="{00000000-0005-0000-0000-0000B14F0000}"/>
    <cellStyle name="Normal 2 5 3 8 8" xfId="26916" xr:uid="{00000000-0005-0000-0000-0000B24F0000}"/>
    <cellStyle name="Normal 2 5 3 9" xfId="2616" xr:uid="{00000000-0005-0000-0000-0000B34F0000}"/>
    <cellStyle name="Normal 2 5 3 9 2" xfId="5142" xr:uid="{00000000-0005-0000-0000-0000B44F0000}"/>
    <cellStyle name="Normal 2 5 3 9 2 2" xfId="13979" xr:uid="{00000000-0005-0000-0000-0000B54F0000}"/>
    <cellStyle name="Normal 2 5 3 9 2 2 2" xfId="24230" xr:uid="{00000000-0005-0000-0000-0000B64F0000}"/>
    <cellStyle name="Normal 2 5 3 9 2 2 2 2" xfId="49783" xr:uid="{00000000-0005-0000-0000-0000B74F0000}"/>
    <cellStyle name="Normal 2 5 3 9 2 2 3" xfId="39534" xr:uid="{00000000-0005-0000-0000-0000B84F0000}"/>
    <cellStyle name="Normal 2 5 3 9 2 3" xfId="10400" xr:uid="{00000000-0005-0000-0000-0000B94F0000}"/>
    <cellStyle name="Normal 2 5 3 9 2 3 2" xfId="35957" xr:uid="{00000000-0005-0000-0000-0000BA4F0000}"/>
    <cellStyle name="Normal 2 5 3 9 2 4" xfId="19223" xr:uid="{00000000-0005-0000-0000-0000BB4F0000}"/>
    <cellStyle name="Normal 2 5 3 9 2 4 2" xfId="44776" xr:uid="{00000000-0005-0000-0000-0000BC4F0000}"/>
    <cellStyle name="Normal 2 5 3 9 2 5" xfId="30713" xr:uid="{00000000-0005-0000-0000-0000BD4F0000}"/>
    <cellStyle name="Normal 2 5 3 9 3" xfId="6597" xr:uid="{00000000-0005-0000-0000-0000BE4F0000}"/>
    <cellStyle name="Normal 2 5 3 9 3 2" xfId="15424" xr:uid="{00000000-0005-0000-0000-0000BF4F0000}"/>
    <cellStyle name="Normal 2 5 3 9 3 2 2" xfId="40979" xr:uid="{00000000-0005-0000-0000-0000C04F0000}"/>
    <cellStyle name="Normal 2 5 3 9 3 3" xfId="25675" xr:uid="{00000000-0005-0000-0000-0000C14F0000}"/>
    <cellStyle name="Normal 2 5 3 9 3 3 2" xfId="51228" xr:uid="{00000000-0005-0000-0000-0000C24F0000}"/>
    <cellStyle name="Normal 2 5 3 9 3 4" xfId="32158" xr:uid="{00000000-0005-0000-0000-0000C34F0000}"/>
    <cellStyle name="Normal 2 5 3 9 4" xfId="8043" xr:uid="{00000000-0005-0000-0000-0000C44F0000}"/>
    <cellStyle name="Normal 2 5 3 9 4 2" xfId="21979" xr:uid="{00000000-0005-0000-0000-0000C54F0000}"/>
    <cellStyle name="Normal 2 5 3 9 4 2 2" xfId="47532" xr:uid="{00000000-0005-0000-0000-0000C64F0000}"/>
    <cellStyle name="Normal 2 5 3 9 4 3" xfId="33600" xr:uid="{00000000-0005-0000-0000-0000C74F0000}"/>
    <cellStyle name="Normal 2 5 3 9 5" xfId="16972" xr:uid="{00000000-0005-0000-0000-0000C84F0000}"/>
    <cellStyle name="Normal 2 5 3 9 5 2" xfId="42525" xr:uid="{00000000-0005-0000-0000-0000C94F0000}"/>
    <cellStyle name="Normal 2 5 3 9 6" xfId="28462" xr:uid="{00000000-0005-0000-0000-0000CA4F0000}"/>
    <cellStyle name="Normal 2 5 3_Degree data" xfId="3926" xr:uid="{00000000-0005-0000-0000-0000CB4F0000}"/>
    <cellStyle name="Normal 2 5 4" xfId="125" xr:uid="{00000000-0005-0000-0000-0000CC4F0000}"/>
    <cellStyle name="Normal 2 5 4 10" xfId="4112" xr:uid="{00000000-0005-0000-0000-0000CD4F0000}"/>
    <cellStyle name="Normal 2 5 4 10 2" xfId="5570" xr:uid="{00000000-0005-0000-0000-0000CE4F0000}"/>
    <cellStyle name="Normal 2 5 4 10 2 2" xfId="14397" xr:uid="{00000000-0005-0000-0000-0000CF4F0000}"/>
    <cellStyle name="Normal 2 5 4 10 2 2 2" xfId="39952" xr:uid="{00000000-0005-0000-0000-0000D04F0000}"/>
    <cellStyle name="Normal 2 5 4 10 2 3" xfId="24648" xr:uid="{00000000-0005-0000-0000-0000D14F0000}"/>
    <cellStyle name="Normal 2 5 4 10 2 3 2" xfId="50201" xr:uid="{00000000-0005-0000-0000-0000D24F0000}"/>
    <cellStyle name="Normal 2 5 4 10 2 4" xfId="31131" xr:uid="{00000000-0005-0000-0000-0000D34F0000}"/>
    <cellStyle name="Normal 2 5 4 10 3" xfId="7014" xr:uid="{00000000-0005-0000-0000-0000D44F0000}"/>
    <cellStyle name="Normal 2 5 4 10 3 2" xfId="23201" xr:uid="{00000000-0005-0000-0000-0000D54F0000}"/>
    <cellStyle name="Normal 2 5 4 10 3 2 2" xfId="48754" xr:uid="{00000000-0005-0000-0000-0000D64F0000}"/>
    <cellStyle name="Normal 2 5 4 10 3 3" xfId="32571" xr:uid="{00000000-0005-0000-0000-0000D74F0000}"/>
    <cellStyle name="Normal 2 5 4 10 4" xfId="18194" xr:uid="{00000000-0005-0000-0000-0000D84F0000}"/>
    <cellStyle name="Normal 2 5 4 10 4 2" xfId="43747" xr:uid="{00000000-0005-0000-0000-0000D94F0000}"/>
    <cellStyle name="Normal 2 5 4 10 5" xfId="29684" xr:uid="{00000000-0005-0000-0000-0000DA4F0000}"/>
    <cellStyle name="Normal 2 5 4 11" xfId="1431" xr:uid="{00000000-0005-0000-0000-0000DB4F0000}"/>
    <cellStyle name="Normal 2 5 4 11 2" xfId="10808" xr:uid="{00000000-0005-0000-0000-0000DC4F0000}"/>
    <cellStyle name="Normal 2 5 4 11 2 2" xfId="36363" xr:uid="{00000000-0005-0000-0000-0000DD4F0000}"/>
    <cellStyle name="Normal 2 5 4 11 3" xfId="20812" xr:uid="{00000000-0005-0000-0000-0000DE4F0000}"/>
    <cellStyle name="Normal 2 5 4 11 3 2" xfId="46365" xr:uid="{00000000-0005-0000-0000-0000DF4F0000}"/>
    <cellStyle name="Normal 2 5 4 11 4" xfId="27295" xr:uid="{00000000-0005-0000-0000-0000E04F0000}"/>
    <cellStyle name="Normal 2 5 4 12" xfId="5540" xr:uid="{00000000-0005-0000-0000-0000E14F0000}"/>
    <cellStyle name="Normal 2 5 4 12 2" xfId="14367" xr:uid="{00000000-0005-0000-0000-0000E24F0000}"/>
    <cellStyle name="Normal 2 5 4 12 2 2" xfId="39922" xr:uid="{00000000-0005-0000-0000-0000E34F0000}"/>
    <cellStyle name="Normal 2 5 4 12 3" xfId="24618" xr:uid="{00000000-0005-0000-0000-0000E44F0000}"/>
    <cellStyle name="Normal 2 5 4 12 3 2" xfId="50171" xr:uid="{00000000-0005-0000-0000-0000E54F0000}"/>
    <cellStyle name="Normal 2 5 4 12 4" xfId="31101" xr:uid="{00000000-0005-0000-0000-0000E64F0000}"/>
    <cellStyle name="Normal 2 5 4 13" xfId="6984" xr:uid="{00000000-0005-0000-0000-0000E74F0000}"/>
    <cellStyle name="Normal 2 5 4 13 2" xfId="19592" xr:uid="{00000000-0005-0000-0000-0000E84F0000}"/>
    <cellStyle name="Normal 2 5 4 13 2 2" xfId="45145" xr:uid="{00000000-0005-0000-0000-0000E94F0000}"/>
    <cellStyle name="Normal 2 5 4 13 3" xfId="32541" xr:uid="{00000000-0005-0000-0000-0000EA4F0000}"/>
    <cellStyle name="Normal 2 5 4 14" xfId="15805" xr:uid="{00000000-0005-0000-0000-0000EB4F0000}"/>
    <cellStyle name="Normal 2 5 4 14 2" xfId="41358" xr:uid="{00000000-0005-0000-0000-0000EC4F0000}"/>
    <cellStyle name="Normal 2 5 4 15" xfId="26075" xr:uid="{00000000-0005-0000-0000-0000ED4F0000}"/>
    <cellStyle name="Normal 2 5 4 2" xfId="166" xr:uid="{00000000-0005-0000-0000-0000EE4F0000}"/>
    <cellStyle name="Normal 2 5 4 2 10" xfId="5672" xr:uid="{00000000-0005-0000-0000-0000EF4F0000}"/>
    <cellStyle name="Normal 2 5 4 2 10 2" xfId="14499" xr:uid="{00000000-0005-0000-0000-0000F04F0000}"/>
    <cellStyle name="Normal 2 5 4 2 10 2 2" xfId="40054" xr:uid="{00000000-0005-0000-0000-0000F14F0000}"/>
    <cellStyle name="Normal 2 5 4 2 10 3" xfId="24750" xr:uid="{00000000-0005-0000-0000-0000F24F0000}"/>
    <cellStyle name="Normal 2 5 4 2 10 3 2" xfId="50303" xr:uid="{00000000-0005-0000-0000-0000F34F0000}"/>
    <cellStyle name="Normal 2 5 4 2 10 4" xfId="31233" xr:uid="{00000000-0005-0000-0000-0000F44F0000}"/>
    <cellStyle name="Normal 2 5 4 2 11" xfId="7116" xr:uid="{00000000-0005-0000-0000-0000F54F0000}"/>
    <cellStyle name="Normal 2 5 4 2 11 2" xfId="19625" xr:uid="{00000000-0005-0000-0000-0000F64F0000}"/>
    <cellStyle name="Normal 2 5 4 2 11 2 2" xfId="45178" xr:uid="{00000000-0005-0000-0000-0000F74F0000}"/>
    <cellStyle name="Normal 2 5 4 2 11 3" xfId="32673" xr:uid="{00000000-0005-0000-0000-0000F84F0000}"/>
    <cellStyle name="Normal 2 5 4 2 12" xfId="15862" xr:uid="{00000000-0005-0000-0000-0000F94F0000}"/>
    <cellStyle name="Normal 2 5 4 2 12 2" xfId="41415" xr:uid="{00000000-0005-0000-0000-0000FA4F0000}"/>
    <cellStyle name="Normal 2 5 4 2 13" xfId="26108" xr:uid="{00000000-0005-0000-0000-0000FB4F0000}"/>
    <cellStyle name="Normal 2 5 4 2 2" xfId="278" xr:uid="{00000000-0005-0000-0000-0000FC4F0000}"/>
    <cellStyle name="Normal 2 5 4 2 2 10" xfId="16066" xr:uid="{00000000-0005-0000-0000-0000FD4F0000}"/>
    <cellStyle name="Normal 2 5 4 2 2 10 2" xfId="41619" xr:uid="{00000000-0005-0000-0000-0000FE4F0000}"/>
    <cellStyle name="Normal 2 5 4 2 2 11" xfId="26212" xr:uid="{00000000-0005-0000-0000-0000FF4F0000}"/>
    <cellStyle name="Normal 2 5 4 2 2 2" xfId="600" xr:uid="{00000000-0005-0000-0000-000000500000}"/>
    <cellStyle name="Normal 2 5 4 2 2 2 2" xfId="3086" xr:uid="{00000000-0005-0000-0000-000001500000}"/>
    <cellStyle name="Normal 2 5 4 2 2 2 2 2" xfId="12229" xr:uid="{00000000-0005-0000-0000-000002500000}"/>
    <cellStyle name="Normal 2 5 4 2 2 2 2 2 2" xfId="22447" xr:uid="{00000000-0005-0000-0000-000003500000}"/>
    <cellStyle name="Normal 2 5 4 2 2 2 2 2 2 2" xfId="48000" xr:uid="{00000000-0005-0000-0000-000004500000}"/>
    <cellStyle name="Normal 2 5 4 2 2 2 2 2 3" xfId="37784" xr:uid="{00000000-0005-0000-0000-000005500000}"/>
    <cellStyle name="Normal 2 5 4 2 2 2 2 3" xfId="8651" xr:uid="{00000000-0005-0000-0000-000006500000}"/>
    <cellStyle name="Normal 2 5 4 2 2 2 2 3 2" xfId="34208" xr:uid="{00000000-0005-0000-0000-000007500000}"/>
    <cellStyle name="Normal 2 5 4 2 2 2 2 4" xfId="17440" xr:uid="{00000000-0005-0000-0000-000008500000}"/>
    <cellStyle name="Normal 2 5 4 2 2 2 2 4 2" xfId="42993" xr:uid="{00000000-0005-0000-0000-000009500000}"/>
    <cellStyle name="Normal 2 5 4 2 2 2 2 5" xfId="28930" xr:uid="{00000000-0005-0000-0000-00000A500000}"/>
    <cellStyle name="Normal 2 5 4 2 2 2 3" xfId="4574" xr:uid="{00000000-0005-0000-0000-00000B500000}"/>
    <cellStyle name="Normal 2 5 4 2 2 2 3 2" xfId="13412" xr:uid="{00000000-0005-0000-0000-00000C500000}"/>
    <cellStyle name="Normal 2 5 4 2 2 2 3 2 2" xfId="23663" xr:uid="{00000000-0005-0000-0000-00000D500000}"/>
    <cellStyle name="Normal 2 5 4 2 2 2 3 2 2 2" xfId="49216" xr:uid="{00000000-0005-0000-0000-00000E500000}"/>
    <cellStyle name="Normal 2 5 4 2 2 2 3 2 3" xfId="38967" xr:uid="{00000000-0005-0000-0000-00000F500000}"/>
    <cellStyle name="Normal 2 5 4 2 2 2 3 3" xfId="9833" xr:uid="{00000000-0005-0000-0000-000010500000}"/>
    <cellStyle name="Normal 2 5 4 2 2 2 3 3 2" xfId="35390" xr:uid="{00000000-0005-0000-0000-000011500000}"/>
    <cellStyle name="Normal 2 5 4 2 2 2 3 4" xfId="18656" xr:uid="{00000000-0005-0000-0000-000012500000}"/>
    <cellStyle name="Normal 2 5 4 2 2 2 3 4 2" xfId="44209" xr:uid="{00000000-0005-0000-0000-000013500000}"/>
    <cellStyle name="Normal 2 5 4 2 2 2 3 5" xfId="30146" xr:uid="{00000000-0005-0000-0000-000014500000}"/>
    <cellStyle name="Normal 2 5 4 2 2 2 4" xfId="2195" xr:uid="{00000000-0005-0000-0000-000015500000}"/>
    <cellStyle name="Normal 2 5 4 2 2 2 4 2" xfId="11560" xr:uid="{00000000-0005-0000-0000-000016500000}"/>
    <cellStyle name="Normal 2 5 4 2 2 2 4 2 2" xfId="37115" xr:uid="{00000000-0005-0000-0000-000017500000}"/>
    <cellStyle name="Normal 2 5 4 2 2 2 4 3" xfId="21564" xr:uid="{00000000-0005-0000-0000-000018500000}"/>
    <cellStyle name="Normal 2 5 4 2 2 2 4 3 2" xfId="47117" xr:uid="{00000000-0005-0000-0000-000019500000}"/>
    <cellStyle name="Normal 2 5 4 2 2 2 4 4" xfId="28047" xr:uid="{00000000-0005-0000-0000-00001A500000}"/>
    <cellStyle name="Normal 2 5 4 2 2 2 5" xfId="6030" xr:uid="{00000000-0005-0000-0000-00001B500000}"/>
    <cellStyle name="Normal 2 5 4 2 2 2 5 2" xfId="14857" xr:uid="{00000000-0005-0000-0000-00001C500000}"/>
    <cellStyle name="Normal 2 5 4 2 2 2 5 2 2" xfId="40412" xr:uid="{00000000-0005-0000-0000-00001D500000}"/>
    <cellStyle name="Normal 2 5 4 2 2 2 5 3" xfId="25108" xr:uid="{00000000-0005-0000-0000-00001E500000}"/>
    <cellStyle name="Normal 2 5 4 2 2 2 5 3 2" xfId="50661" xr:uid="{00000000-0005-0000-0000-00001F500000}"/>
    <cellStyle name="Normal 2 5 4 2 2 2 5 4" xfId="31591" xr:uid="{00000000-0005-0000-0000-000020500000}"/>
    <cellStyle name="Normal 2 5 4 2 2 2 6" xfId="7474" xr:uid="{00000000-0005-0000-0000-000021500000}"/>
    <cellStyle name="Normal 2 5 4 2 2 2 6 2" xfId="20046" xr:uid="{00000000-0005-0000-0000-000022500000}"/>
    <cellStyle name="Normal 2 5 4 2 2 2 6 2 2" xfId="45599" xr:uid="{00000000-0005-0000-0000-000023500000}"/>
    <cellStyle name="Normal 2 5 4 2 2 2 6 3" xfId="33031" xr:uid="{00000000-0005-0000-0000-000024500000}"/>
    <cellStyle name="Normal 2 5 4 2 2 2 7" xfId="16557" xr:uid="{00000000-0005-0000-0000-000025500000}"/>
    <cellStyle name="Normal 2 5 4 2 2 2 7 2" xfId="42110" xr:uid="{00000000-0005-0000-0000-000026500000}"/>
    <cellStyle name="Normal 2 5 4 2 2 2 8" xfId="26529" xr:uid="{00000000-0005-0000-0000-000027500000}"/>
    <cellStyle name="Normal 2 5 4 2 2 3" xfId="759" xr:uid="{00000000-0005-0000-0000-000028500000}"/>
    <cellStyle name="Normal 2 5 4 2 2 3 2" xfId="3245" xr:uid="{00000000-0005-0000-0000-000029500000}"/>
    <cellStyle name="Normal 2 5 4 2 2 3 2 2" xfId="12387" xr:uid="{00000000-0005-0000-0000-00002A500000}"/>
    <cellStyle name="Normal 2 5 4 2 2 3 2 2 2" xfId="22606" xr:uid="{00000000-0005-0000-0000-00002B500000}"/>
    <cellStyle name="Normal 2 5 4 2 2 3 2 2 2 2" xfId="48159" xr:uid="{00000000-0005-0000-0000-00002C500000}"/>
    <cellStyle name="Normal 2 5 4 2 2 3 2 2 3" xfId="37942" xr:uid="{00000000-0005-0000-0000-00002D500000}"/>
    <cellStyle name="Normal 2 5 4 2 2 3 2 3" xfId="8809" xr:uid="{00000000-0005-0000-0000-00002E500000}"/>
    <cellStyle name="Normal 2 5 4 2 2 3 2 3 2" xfId="34366" xr:uid="{00000000-0005-0000-0000-00002F500000}"/>
    <cellStyle name="Normal 2 5 4 2 2 3 2 4" xfId="17599" xr:uid="{00000000-0005-0000-0000-000030500000}"/>
    <cellStyle name="Normal 2 5 4 2 2 3 2 4 2" xfId="43152" xr:uid="{00000000-0005-0000-0000-000031500000}"/>
    <cellStyle name="Normal 2 5 4 2 2 3 2 5" xfId="29089" xr:uid="{00000000-0005-0000-0000-000032500000}"/>
    <cellStyle name="Normal 2 5 4 2 2 3 3" xfId="4923" xr:uid="{00000000-0005-0000-0000-000033500000}"/>
    <cellStyle name="Normal 2 5 4 2 2 3 3 2" xfId="13760" xr:uid="{00000000-0005-0000-0000-000034500000}"/>
    <cellStyle name="Normal 2 5 4 2 2 3 3 2 2" xfId="24011" xr:uid="{00000000-0005-0000-0000-000035500000}"/>
    <cellStyle name="Normal 2 5 4 2 2 3 3 2 2 2" xfId="49564" xr:uid="{00000000-0005-0000-0000-000036500000}"/>
    <cellStyle name="Normal 2 5 4 2 2 3 3 2 3" xfId="39315" xr:uid="{00000000-0005-0000-0000-000037500000}"/>
    <cellStyle name="Normal 2 5 4 2 2 3 3 3" xfId="10181" xr:uid="{00000000-0005-0000-0000-000038500000}"/>
    <cellStyle name="Normal 2 5 4 2 2 3 3 3 2" xfId="35738" xr:uid="{00000000-0005-0000-0000-000039500000}"/>
    <cellStyle name="Normal 2 5 4 2 2 3 3 4" xfId="19004" xr:uid="{00000000-0005-0000-0000-00003A500000}"/>
    <cellStyle name="Normal 2 5 4 2 2 3 3 4 2" xfId="44557" xr:uid="{00000000-0005-0000-0000-00003B500000}"/>
    <cellStyle name="Normal 2 5 4 2 2 3 3 5" xfId="30494" xr:uid="{00000000-0005-0000-0000-00003C500000}"/>
    <cellStyle name="Normal 2 5 4 2 2 3 4" xfId="2354" xr:uid="{00000000-0005-0000-0000-00003D500000}"/>
    <cellStyle name="Normal 2 5 4 2 2 3 4 2" xfId="11719" xr:uid="{00000000-0005-0000-0000-00003E500000}"/>
    <cellStyle name="Normal 2 5 4 2 2 3 4 2 2" xfId="37274" xr:uid="{00000000-0005-0000-0000-00003F500000}"/>
    <cellStyle name="Normal 2 5 4 2 2 3 4 3" xfId="21723" xr:uid="{00000000-0005-0000-0000-000040500000}"/>
    <cellStyle name="Normal 2 5 4 2 2 3 4 3 2" xfId="47276" xr:uid="{00000000-0005-0000-0000-000041500000}"/>
    <cellStyle name="Normal 2 5 4 2 2 3 4 4" xfId="28206" xr:uid="{00000000-0005-0000-0000-000042500000}"/>
    <cellStyle name="Normal 2 5 4 2 2 3 5" xfId="6378" xr:uid="{00000000-0005-0000-0000-000043500000}"/>
    <cellStyle name="Normal 2 5 4 2 2 3 5 2" xfId="15205" xr:uid="{00000000-0005-0000-0000-000044500000}"/>
    <cellStyle name="Normal 2 5 4 2 2 3 5 2 2" xfId="40760" xr:uid="{00000000-0005-0000-0000-000045500000}"/>
    <cellStyle name="Normal 2 5 4 2 2 3 5 3" xfId="25456" xr:uid="{00000000-0005-0000-0000-000046500000}"/>
    <cellStyle name="Normal 2 5 4 2 2 3 5 3 2" xfId="51009" xr:uid="{00000000-0005-0000-0000-000047500000}"/>
    <cellStyle name="Normal 2 5 4 2 2 3 5 4" xfId="31939" xr:uid="{00000000-0005-0000-0000-000048500000}"/>
    <cellStyle name="Normal 2 5 4 2 2 3 6" xfId="7824" xr:uid="{00000000-0005-0000-0000-000049500000}"/>
    <cellStyle name="Normal 2 5 4 2 2 3 6 2" xfId="20205" xr:uid="{00000000-0005-0000-0000-00004A500000}"/>
    <cellStyle name="Normal 2 5 4 2 2 3 6 2 2" xfId="45758" xr:uid="{00000000-0005-0000-0000-00004B500000}"/>
    <cellStyle name="Normal 2 5 4 2 2 3 6 3" xfId="33381" xr:uid="{00000000-0005-0000-0000-00004C500000}"/>
    <cellStyle name="Normal 2 5 4 2 2 3 7" xfId="16716" xr:uid="{00000000-0005-0000-0000-00004D500000}"/>
    <cellStyle name="Normal 2 5 4 2 2 3 7 2" xfId="42269" xr:uid="{00000000-0005-0000-0000-00004E500000}"/>
    <cellStyle name="Normal 2 5 4 2 2 3 8" xfId="26688" xr:uid="{00000000-0005-0000-0000-00004F500000}"/>
    <cellStyle name="Normal 2 5 4 2 2 4" xfId="1372" xr:uid="{00000000-0005-0000-0000-000050500000}"/>
    <cellStyle name="Normal 2 5 4 2 2 4 2" xfId="3801" xr:uid="{00000000-0005-0000-0000-000051500000}"/>
    <cellStyle name="Normal 2 5 4 2 2 4 2 2" xfId="12937" xr:uid="{00000000-0005-0000-0000-000052500000}"/>
    <cellStyle name="Normal 2 5 4 2 2 4 2 2 2" xfId="23156" xr:uid="{00000000-0005-0000-0000-000053500000}"/>
    <cellStyle name="Normal 2 5 4 2 2 4 2 2 2 2" xfId="48709" xr:uid="{00000000-0005-0000-0000-000054500000}"/>
    <cellStyle name="Normal 2 5 4 2 2 4 2 2 3" xfId="38492" xr:uid="{00000000-0005-0000-0000-000055500000}"/>
    <cellStyle name="Normal 2 5 4 2 2 4 2 3" xfId="9358" xr:uid="{00000000-0005-0000-0000-000056500000}"/>
    <cellStyle name="Normal 2 5 4 2 2 4 2 3 2" xfId="34915" xr:uid="{00000000-0005-0000-0000-000057500000}"/>
    <cellStyle name="Normal 2 5 4 2 2 4 2 4" xfId="18149" xr:uid="{00000000-0005-0000-0000-000058500000}"/>
    <cellStyle name="Normal 2 5 4 2 2 4 2 4 2" xfId="43702" xr:uid="{00000000-0005-0000-0000-000059500000}"/>
    <cellStyle name="Normal 2 5 4 2 2 4 2 5" xfId="29639" xr:uid="{00000000-0005-0000-0000-00005A500000}"/>
    <cellStyle name="Normal 2 5 4 2 2 4 3" xfId="5464" xr:uid="{00000000-0005-0000-0000-00005B500000}"/>
    <cellStyle name="Normal 2 5 4 2 2 4 3 2" xfId="14301" xr:uid="{00000000-0005-0000-0000-00005C500000}"/>
    <cellStyle name="Normal 2 5 4 2 2 4 3 2 2" xfId="24552" xr:uid="{00000000-0005-0000-0000-00005D500000}"/>
    <cellStyle name="Normal 2 5 4 2 2 4 3 2 2 2" xfId="50105" xr:uid="{00000000-0005-0000-0000-00005E500000}"/>
    <cellStyle name="Normal 2 5 4 2 2 4 3 2 3" xfId="39856" xr:uid="{00000000-0005-0000-0000-00005F500000}"/>
    <cellStyle name="Normal 2 5 4 2 2 4 3 3" xfId="10722" xr:uid="{00000000-0005-0000-0000-000060500000}"/>
    <cellStyle name="Normal 2 5 4 2 2 4 3 3 2" xfId="36279" xr:uid="{00000000-0005-0000-0000-000061500000}"/>
    <cellStyle name="Normal 2 5 4 2 2 4 3 4" xfId="19545" xr:uid="{00000000-0005-0000-0000-000062500000}"/>
    <cellStyle name="Normal 2 5 4 2 2 4 3 4 2" xfId="45098" xr:uid="{00000000-0005-0000-0000-000063500000}"/>
    <cellStyle name="Normal 2 5 4 2 2 4 3 5" xfId="31035" xr:uid="{00000000-0005-0000-0000-000064500000}"/>
    <cellStyle name="Normal 2 5 4 2 2 4 4" xfId="1875" xr:uid="{00000000-0005-0000-0000-000065500000}"/>
    <cellStyle name="Normal 2 5 4 2 2 4 4 2" xfId="11243" xr:uid="{00000000-0005-0000-0000-000066500000}"/>
    <cellStyle name="Normal 2 5 4 2 2 4 4 2 2" xfId="36798" xr:uid="{00000000-0005-0000-0000-000067500000}"/>
    <cellStyle name="Normal 2 5 4 2 2 4 4 3" xfId="21247" xr:uid="{00000000-0005-0000-0000-000068500000}"/>
    <cellStyle name="Normal 2 5 4 2 2 4 4 3 2" xfId="46800" xr:uid="{00000000-0005-0000-0000-000069500000}"/>
    <cellStyle name="Normal 2 5 4 2 2 4 4 4" xfId="27730" xr:uid="{00000000-0005-0000-0000-00006A500000}"/>
    <cellStyle name="Normal 2 5 4 2 2 4 5" xfId="6919" xr:uid="{00000000-0005-0000-0000-00006B500000}"/>
    <cellStyle name="Normal 2 5 4 2 2 4 5 2" xfId="15746" xr:uid="{00000000-0005-0000-0000-00006C500000}"/>
    <cellStyle name="Normal 2 5 4 2 2 4 5 2 2" xfId="41301" xr:uid="{00000000-0005-0000-0000-00006D500000}"/>
    <cellStyle name="Normal 2 5 4 2 2 4 5 3" xfId="25997" xr:uid="{00000000-0005-0000-0000-00006E500000}"/>
    <cellStyle name="Normal 2 5 4 2 2 4 5 3 2" xfId="51550" xr:uid="{00000000-0005-0000-0000-00006F500000}"/>
    <cellStyle name="Normal 2 5 4 2 2 4 5 4" xfId="32480" xr:uid="{00000000-0005-0000-0000-000070500000}"/>
    <cellStyle name="Normal 2 5 4 2 2 4 6" xfId="8365" xr:uid="{00000000-0005-0000-0000-000071500000}"/>
    <cellStyle name="Normal 2 5 4 2 2 4 6 2" xfId="20755" xr:uid="{00000000-0005-0000-0000-000072500000}"/>
    <cellStyle name="Normal 2 5 4 2 2 4 6 2 2" xfId="46308" xr:uid="{00000000-0005-0000-0000-000073500000}"/>
    <cellStyle name="Normal 2 5 4 2 2 4 6 3" xfId="33922" xr:uid="{00000000-0005-0000-0000-000074500000}"/>
    <cellStyle name="Normal 2 5 4 2 2 4 7" xfId="16240" xr:uid="{00000000-0005-0000-0000-000075500000}"/>
    <cellStyle name="Normal 2 5 4 2 2 4 7 2" xfId="41793" xr:uid="{00000000-0005-0000-0000-000076500000}"/>
    <cellStyle name="Normal 2 5 4 2 2 4 8" xfId="27238" xr:uid="{00000000-0005-0000-0000-000077500000}"/>
    <cellStyle name="Normal 2 5 4 2 2 5" xfId="2769" xr:uid="{00000000-0005-0000-0000-000078500000}"/>
    <cellStyle name="Normal 2 5 4 2 2 5 2" xfId="12086" xr:uid="{00000000-0005-0000-0000-000079500000}"/>
    <cellStyle name="Normal 2 5 4 2 2 5 2 2" xfId="22130" xr:uid="{00000000-0005-0000-0000-00007A500000}"/>
    <cellStyle name="Normal 2 5 4 2 2 5 2 2 2" xfId="47683" xr:uid="{00000000-0005-0000-0000-00007B500000}"/>
    <cellStyle name="Normal 2 5 4 2 2 5 2 3" xfId="37641" xr:uid="{00000000-0005-0000-0000-00007C500000}"/>
    <cellStyle name="Normal 2 5 4 2 2 5 3" xfId="8476" xr:uid="{00000000-0005-0000-0000-00007D500000}"/>
    <cellStyle name="Normal 2 5 4 2 2 5 3 2" xfId="34033" xr:uid="{00000000-0005-0000-0000-00007E500000}"/>
    <cellStyle name="Normal 2 5 4 2 2 5 4" xfId="17123" xr:uid="{00000000-0005-0000-0000-00007F500000}"/>
    <cellStyle name="Normal 2 5 4 2 2 5 4 2" xfId="42676" xr:uid="{00000000-0005-0000-0000-000080500000}"/>
    <cellStyle name="Normal 2 5 4 2 2 5 5" xfId="28613" xr:uid="{00000000-0005-0000-0000-000081500000}"/>
    <cellStyle name="Normal 2 5 4 2 2 6" xfId="4420" xr:uid="{00000000-0005-0000-0000-000082500000}"/>
    <cellStyle name="Normal 2 5 4 2 2 6 2" xfId="13258" xr:uid="{00000000-0005-0000-0000-000083500000}"/>
    <cellStyle name="Normal 2 5 4 2 2 6 2 2" xfId="23509" xr:uid="{00000000-0005-0000-0000-000084500000}"/>
    <cellStyle name="Normal 2 5 4 2 2 6 2 2 2" xfId="49062" xr:uid="{00000000-0005-0000-0000-000085500000}"/>
    <cellStyle name="Normal 2 5 4 2 2 6 2 3" xfId="38813" xr:uid="{00000000-0005-0000-0000-000086500000}"/>
    <cellStyle name="Normal 2 5 4 2 2 6 3" xfId="9679" xr:uid="{00000000-0005-0000-0000-000087500000}"/>
    <cellStyle name="Normal 2 5 4 2 2 6 3 2" xfId="35236" xr:uid="{00000000-0005-0000-0000-000088500000}"/>
    <cellStyle name="Normal 2 5 4 2 2 6 4" xfId="18502" xr:uid="{00000000-0005-0000-0000-000089500000}"/>
    <cellStyle name="Normal 2 5 4 2 2 6 4 2" xfId="44055" xr:uid="{00000000-0005-0000-0000-00008A500000}"/>
    <cellStyle name="Normal 2 5 4 2 2 6 5" xfId="29992" xr:uid="{00000000-0005-0000-0000-00008B500000}"/>
    <cellStyle name="Normal 2 5 4 2 2 7" xfId="1692" xr:uid="{00000000-0005-0000-0000-00008C500000}"/>
    <cellStyle name="Normal 2 5 4 2 2 7 2" xfId="11069" xr:uid="{00000000-0005-0000-0000-00008D500000}"/>
    <cellStyle name="Normal 2 5 4 2 2 7 2 2" xfId="36624" xr:uid="{00000000-0005-0000-0000-00008E500000}"/>
    <cellStyle name="Normal 2 5 4 2 2 7 3" xfId="21073" xr:uid="{00000000-0005-0000-0000-00008F500000}"/>
    <cellStyle name="Normal 2 5 4 2 2 7 3 2" xfId="46626" xr:uid="{00000000-0005-0000-0000-000090500000}"/>
    <cellStyle name="Normal 2 5 4 2 2 7 4" xfId="27556" xr:uid="{00000000-0005-0000-0000-000091500000}"/>
    <cellStyle name="Normal 2 5 4 2 2 8" xfId="5876" xr:uid="{00000000-0005-0000-0000-000092500000}"/>
    <cellStyle name="Normal 2 5 4 2 2 8 2" xfId="14703" xr:uid="{00000000-0005-0000-0000-000093500000}"/>
    <cellStyle name="Normal 2 5 4 2 2 8 2 2" xfId="40258" xr:uid="{00000000-0005-0000-0000-000094500000}"/>
    <cellStyle name="Normal 2 5 4 2 2 8 3" xfId="24954" xr:uid="{00000000-0005-0000-0000-000095500000}"/>
    <cellStyle name="Normal 2 5 4 2 2 8 3 2" xfId="50507" xr:uid="{00000000-0005-0000-0000-000096500000}"/>
    <cellStyle name="Normal 2 5 4 2 2 8 4" xfId="31437" xr:uid="{00000000-0005-0000-0000-000097500000}"/>
    <cellStyle name="Normal 2 5 4 2 2 9" xfId="7320" xr:uid="{00000000-0005-0000-0000-000098500000}"/>
    <cellStyle name="Normal 2 5 4 2 2 9 2" xfId="19729" xr:uid="{00000000-0005-0000-0000-000099500000}"/>
    <cellStyle name="Normal 2 5 4 2 2 9 2 2" xfId="45282" xr:uid="{00000000-0005-0000-0000-00009A500000}"/>
    <cellStyle name="Normal 2 5 4 2 2 9 3" xfId="32877" xr:uid="{00000000-0005-0000-0000-00009B500000}"/>
    <cellStyle name="Normal 2 5 4 2 2_Degree data" xfId="3834" xr:uid="{00000000-0005-0000-0000-00009C500000}"/>
    <cellStyle name="Normal 2 5 4 2 3" xfId="496" xr:uid="{00000000-0005-0000-0000-00009D500000}"/>
    <cellStyle name="Normal 2 5 4 2 3 10" xfId="26425" xr:uid="{00000000-0005-0000-0000-00009E500000}"/>
    <cellStyle name="Normal 2 5 4 2 3 2" xfId="760" xr:uid="{00000000-0005-0000-0000-00009F500000}"/>
    <cellStyle name="Normal 2 5 4 2 3 2 2" xfId="3246" xr:uid="{00000000-0005-0000-0000-0000A0500000}"/>
    <cellStyle name="Normal 2 5 4 2 3 2 2 2" xfId="12388" xr:uid="{00000000-0005-0000-0000-0000A1500000}"/>
    <cellStyle name="Normal 2 5 4 2 3 2 2 2 2" xfId="22607" xr:uid="{00000000-0005-0000-0000-0000A2500000}"/>
    <cellStyle name="Normal 2 5 4 2 3 2 2 2 2 2" xfId="48160" xr:uid="{00000000-0005-0000-0000-0000A3500000}"/>
    <cellStyle name="Normal 2 5 4 2 3 2 2 2 3" xfId="37943" xr:uid="{00000000-0005-0000-0000-0000A4500000}"/>
    <cellStyle name="Normal 2 5 4 2 3 2 2 3" xfId="8810" xr:uid="{00000000-0005-0000-0000-0000A5500000}"/>
    <cellStyle name="Normal 2 5 4 2 3 2 2 3 2" xfId="34367" xr:uid="{00000000-0005-0000-0000-0000A6500000}"/>
    <cellStyle name="Normal 2 5 4 2 3 2 2 4" xfId="17600" xr:uid="{00000000-0005-0000-0000-0000A7500000}"/>
    <cellStyle name="Normal 2 5 4 2 3 2 2 4 2" xfId="43153" xr:uid="{00000000-0005-0000-0000-0000A8500000}"/>
    <cellStyle name="Normal 2 5 4 2 3 2 2 5" xfId="29090" xr:uid="{00000000-0005-0000-0000-0000A9500000}"/>
    <cellStyle name="Normal 2 5 4 2 3 2 3" xfId="4575" xr:uid="{00000000-0005-0000-0000-0000AA500000}"/>
    <cellStyle name="Normal 2 5 4 2 3 2 3 2" xfId="13413" xr:uid="{00000000-0005-0000-0000-0000AB500000}"/>
    <cellStyle name="Normal 2 5 4 2 3 2 3 2 2" xfId="23664" xr:uid="{00000000-0005-0000-0000-0000AC500000}"/>
    <cellStyle name="Normal 2 5 4 2 3 2 3 2 2 2" xfId="49217" xr:uid="{00000000-0005-0000-0000-0000AD500000}"/>
    <cellStyle name="Normal 2 5 4 2 3 2 3 2 3" xfId="38968" xr:uid="{00000000-0005-0000-0000-0000AE500000}"/>
    <cellStyle name="Normal 2 5 4 2 3 2 3 3" xfId="9834" xr:uid="{00000000-0005-0000-0000-0000AF500000}"/>
    <cellStyle name="Normal 2 5 4 2 3 2 3 3 2" xfId="35391" xr:uid="{00000000-0005-0000-0000-0000B0500000}"/>
    <cellStyle name="Normal 2 5 4 2 3 2 3 4" xfId="18657" xr:uid="{00000000-0005-0000-0000-0000B1500000}"/>
    <cellStyle name="Normal 2 5 4 2 3 2 3 4 2" xfId="44210" xr:uid="{00000000-0005-0000-0000-0000B2500000}"/>
    <cellStyle name="Normal 2 5 4 2 3 2 3 5" xfId="30147" xr:uid="{00000000-0005-0000-0000-0000B3500000}"/>
    <cellStyle name="Normal 2 5 4 2 3 2 4" xfId="2355" xr:uid="{00000000-0005-0000-0000-0000B4500000}"/>
    <cellStyle name="Normal 2 5 4 2 3 2 4 2" xfId="11720" xr:uid="{00000000-0005-0000-0000-0000B5500000}"/>
    <cellStyle name="Normal 2 5 4 2 3 2 4 2 2" xfId="37275" xr:uid="{00000000-0005-0000-0000-0000B6500000}"/>
    <cellStyle name="Normal 2 5 4 2 3 2 4 3" xfId="21724" xr:uid="{00000000-0005-0000-0000-0000B7500000}"/>
    <cellStyle name="Normal 2 5 4 2 3 2 4 3 2" xfId="47277" xr:uid="{00000000-0005-0000-0000-0000B8500000}"/>
    <cellStyle name="Normal 2 5 4 2 3 2 4 4" xfId="28207" xr:uid="{00000000-0005-0000-0000-0000B9500000}"/>
    <cellStyle name="Normal 2 5 4 2 3 2 5" xfId="6031" xr:uid="{00000000-0005-0000-0000-0000BA500000}"/>
    <cellStyle name="Normal 2 5 4 2 3 2 5 2" xfId="14858" xr:uid="{00000000-0005-0000-0000-0000BB500000}"/>
    <cellStyle name="Normal 2 5 4 2 3 2 5 2 2" xfId="40413" xr:uid="{00000000-0005-0000-0000-0000BC500000}"/>
    <cellStyle name="Normal 2 5 4 2 3 2 5 3" xfId="25109" xr:uid="{00000000-0005-0000-0000-0000BD500000}"/>
    <cellStyle name="Normal 2 5 4 2 3 2 5 3 2" xfId="50662" xr:uid="{00000000-0005-0000-0000-0000BE500000}"/>
    <cellStyle name="Normal 2 5 4 2 3 2 5 4" xfId="31592" xr:uid="{00000000-0005-0000-0000-0000BF500000}"/>
    <cellStyle name="Normal 2 5 4 2 3 2 6" xfId="7475" xr:uid="{00000000-0005-0000-0000-0000C0500000}"/>
    <cellStyle name="Normal 2 5 4 2 3 2 6 2" xfId="20206" xr:uid="{00000000-0005-0000-0000-0000C1500000}"/>
    <cellStyle name="Normal 2 5 4 2 3 2 6 2 2" xfId="45759" xr:uid="{00000000-0005-0000-0000-0000C2500000}"/>
    <cellStyle name="Normal 2 5 4 2 3 2 6 3" xfId="33032" xr:uid="{00000000-0005-0000-0000-0000C3500000}"/>
    <cellStyle name="Normal 2 5 4 2 3 2 7" xfId="16717" xr:uid="{00000000-0005-0000-0000-0000C4500000}"/>
    <cellStyle name="Normal 2 5 4 2 3 2 7 2" xfId="42270" xr:uid="{00000000-0005-0000-0000-0000C5500000}"/>
    <cellStyle name="Normal 2 5 4 2 3 2 8" xfId="26689" xr:uid="{00000000-0005-0000-0000-0000C6500000}"/>
    <cellStyle name="Normal 2 5 4 2 3 3" xfId="1268" xr:uid="{00000000-0005-0000-0000-0000C7500000}"/>
    <cellStyle name="Normal 2 5 4 2 3 3 2" xfId="3697" xr:uid="{00000000-0005-0000-0000-0000C8500000}"/>
    <cellStyle name="Normal 2 5 4 2 3 3 2 2" xfId="12833" xr:uid="{00000000-0005-0000-0000-0000C9500000}"/>
    <cellStyle name="Normal 2 5 4 2 3 3 2 2 2" xfId="23052" xr:uid="{00000000-0005-0000-0000-0000CA500000}"/>
    <cellStyle name="Normal 2 5 4 2 3 3 2 2 2 2" xfId="48605" xr:uid="{00000000-0005-0000-0000-0000CB500000}"/>
    <cellStyle name="Normal 2 5 4 2 3 3 2 2 3" xfId="38388" xr:uid="{00000000-0005-0000-0000-0000CC500000}"/>
    <cellStyle name="Normal 2 5 4 2 3 3 2 3" xfId="9254" xr:uid="{00000000-0005-0000-0000-0000CD500000}"/>
    <cellStyle name="Normal 2 5 4 2 3 3 2 3 2" xfId="34811" xr:uid="{00000000-0005-0000-0000-0000CE500000}"/>
    <cellStyle name="Normal 2 5 4 2 3 3 2 4" xfId="18045" xr:uid="{00000000-0005-0000-0000-0000CF500000}"/>
    <cellStyle name="Normal 2 5 4 2 3 3 2 4 2" xfId="43598" xr:uid="{00000000-0005-0000-0000-0000D0500000}"/>
    <cellStyle name="Normal 2 5 4 2 3 3 2 5" xfId="29535" xr:uid="{00000000-0005-0000-0000-0000D1500000}"/>
    <cellStyle name="Normal 2 5 4 2 3 3 3" xfId="4924" xr:uid="{00000000-0005-0000-0000-0000D2500000}"/>
    <cellStyle name="Normal 2 5 4 2 3 3 3 2" xfId="13761" xr:uid="{00000000-0005-0000-0000-0000D3500000}"/>
    <cellStyle name="Normal 2 5 4 2 3 3 3 2 2" xfId="24012" xr:uid="{00000000-0005-0000-0000-0000D4500000}"/>
    <cellStyle name="Normal 2 5 4 2 3 3 3 2 2 2" xfId="49565" xr:uid="{00000000-0005-0000-0000-0000D5500000}"/>
    <cellStyle name="Normal 2 5 4 2 3 3 3 2 3" xfId="39316" xr:uid="{00000000-0005-0000-0000-0000D6500000}"/>
    <cellStyle name="Normal 2 5 4 2 3 3 3 3" xfId="10182" xr:uid="{00000000-0005-0000-0000-0000D7500000}"/>
    <cellStyle name="Normal 2 5 4 2 3 3 3 3 2" xfId="35739" xr:uid="{00000000-0005-0000-0000-0000D8500000}"/>
    <cellStyle name="Normal 2 5 4 2 3 3 3 4" xfId="19005" xr:uid="{00000000-0005-0000-0000-0000D9500000}"/>
    <cellStyle name="Normal 2 5 4 2 3 3 3 4 2" xfId="44558" xr:uid="{00000000-0005-0000-0000-0000DA500000}"/>
    <cellStyle name="Normal 2 5 4 2 3 3 3 5" xfId="30495" xr:uid="{00000000-0005-0000-0000-0000DB500000}"/>
    <cellStyle name="Normal 2 5 4 2 3 3 4" xfId="2091" xr:uid="{00000000-0005-0000-0000-0000DC500000}"/>
    <cellStyle name="Normal 2 5 4 2 3 3 4 2" xfId="11456" xr:uid="{00000000-0005-0000-0000-0000DD500000}"/>
    <cellStyle name="Normal 2 5 4 2 3 3 4 2 2" xfId="37011" xr:uid="{00000000-0005-0000-0000-0000DE500000}"/>
    <cellStyle name="Normal 2 5 4 2 3 3 4 3" xfId="21460" xr:uid="{00000000-0005-0000-0000-0000DF500000}"/>
    <cellStyle name="Normal 2 5 4 2 3 3 4 3 2" xfId="47013" xr:uid="{00000000-0005-0000-0000-0000E0500000}"/>
    <cellStyle name="Normal 2 5 4 2 3 3 4 4" xfId="27943" xr:uid="{00000000-0005-0000-0000-0000E1500000}"/>
    <cellStyle name="Normal 2 5 4 2 3 3 5" xfId="6379" xr:uid="{00000000-0005-0000-0000-0000E2500000}"/>
    <cellStyle name="Normal 2 5 4 2 3 3 5 2" xfId="15206" xr:uid="{00000000-0005-0000-0000-0000E3500000}"/>
    <cellStyle name="Normal 2 5 4 2 3 3 5 2 2" xfId="40761" xr:uid="{00000000-0005-0000-0000-0000E4500000}"/>
    <cellStyle name="Normal 2 5 4 2 3 3 5 3" xfId="25457" xr:uid="{00000000-0005-0000-0000-0000E5500000}"/>
    <cellStyle name="Normal 2 5 4 2 3 3 5 3 2" xfId="51010" xr:uid="{00000000-0005-0000-0000-0000E6500000}"/>
    <cellStyle name="Normal 2 5 4 2 3 3 5 4" xfId="31940" xr:uid="{00000000-0005-0000-0000-0000E7500000}"/>
    <cellStyle name="Normal 2 5 4 2 3 3 6" xfId="7825" xr:uid="{00000000-0005-0000-0000-0000E8500000}"/>
    <cellStyle name="Normal 2 5 4 2 3 3 6 2" xfId="20651" xr:uid="{00000000-0005-0000-0000-0000E9500000}"/>
    <cellStyle name="Normal 2 5 4 2 3 3 6 2 2" xfId="46204" xr:uid="{00000000-0005-0000-0000-0000EA500000}"/>
    <cellStyle name="Normal 2 5 4 2 3 3 6 3" xfId="33382" xr:uid="{00000000-0005-0000-0000-0000EB500000}"/>
    <cellStyle name="Normal 2 5 4 2 3 3 7" xfId="16453" xr:uid="{00000000-0005-0000-0000-0000EC500000}"/>
    <cellStyle name="Normal 2 5 4 2 3 3 7 2" xfId="42006" xr:uid="{00000000-0005-0000-0000-0000ED500000}"/>
    <cellStyle name="Normal 2 5 4 2 3 3 8" xfId="27134" xr:uid="{00000000-0005-0000-0000-0000EE500000}"/>
    <cellStyle name="Normal 2 5 4 2 3 4" xfId="2982" xr:uid="{00000000-0005-0000-0000-0000EF500000}"/>
    <cellStyle name="Normal 2 5 4 2 3 4 2" xfId="5360" xr:uid="{00000000-0005-0000-0000-0000F0500000}"/>
    <cellStyle name="Normal 2 5 4 2 3 4 2 2" xfId="14197" xr:uid="{00000000-0005-0000-0000-0000F1500000}"/>
    <cellStyle name="Normal 2 5 4 2 3 4 2 2 2" xfId="24448" xr:uid="{00000000-0005-0000-0000-0000F2500000}"/>
    <cellStyle name="Normal 2 5 4 2 3 4 2 2 2 2" xfId="50001" xr:uid="{00000000-0005-0000-0000-0000F3500000}"/>
    <cellStyle name="Normal 2 5 4 2 3 4 2 2 3" xfId="39752" xr:uid="{00000000-0005-0000-0000-0000F4500000}"/>
    <cellStyle name="Normal 2 5 4 2 3 4 2 3" xfId="10618" xr:uid="{00000000-0005-0000-0000-0000F5500000}"/>
    <cellStyle name="Normal 2 5 4 2 3 4 2 3 2" xfId="36175" xr:uid="{00000000-0005-0000-0000-0000F6500000}"/>
    <cellStyle name="Normal 2 5 4 2 3 4 2 4" xfId="19441" xr:uid="{00000000-0005-0000-0000-0000F7500000}"/>
    <cellStyle name="Normal 2 5 4 2 3 4 2 4 2" xfId="44994" xr:uid="{00000000-0005-0000-0000-0000F8500000}"/>
    <cellStyle name="Normal 2 5 4 2 3 4 2 5" xfId="30931" xr:uid="{00000000-0005-0000-0000-0000F9500000}"/>
    <cellStyle name="Normal 2 5 4 2 3 4 3" xfId="6815" xr:uid="{00000000-0005-0000-0000-0000FA500000}"/>
    <cellStyle name="Normal 2 5 4 2 3 4 3 2" xfId="15642" xr:uid="{00000000-0005-0000-0000-0000FB500000}"/>
    <cellStyle name="Normal 2 5 4 2 3 4 3 2 2" xfId="41197" xr:uid="{00000000-0005-0000-0000-0000FC500000}"/>
    <cellStyle name="Normal 2 5 4 2 3 4 3 3" xfId="25893" xr:uid="{00000000-0005-0000-0000-0000FD500000}"/>
    <cellStyle name="Normal 2 5 4 2 3 4 3 3 2" xfId="51446" xr:uid="{00000000-0005-0000-0000-0000FE500000}"/>
    <cellStyle name="Normal 2 5 4 2 3 4 3 4" xfId="32376" xr:uid="{00000000-0005-0000-0000-0000FF500000}"/>
    <cellStyle name="Normal 2 5 4 2 3 4 4" xfId="8261" xr:uid="{00000000-0005-0000-0000-000000510000}"/>
    <cellStyle name="Normal 2 5 4 2 3 4 4 2" xfId="22343" xr:uid="{00000000-0005-0000-0000-000001510000}"/>
    <cellStyle name="Normal 2 5 4 2 3 4 4 2 2" xfId="47896" xr:uid="{00000000-0005-0000-0000-000002510000}"/>
    <cellStyle name="Normal 2 5 4 2 3 4 4 3" xfId="33818" xr:uid="{00000000-0005-0000-0000-000003510000}"/>
    <cellStyle name="Normal 2 5 4 2 3 4 5" xfId="17336" xr:uid="{00000000-0005-0000-0000-000004510000}"/>
    <cellStyle name="Normal 2 5 4 2 3 4 5 2" xfId="42889" xr:uid="{00000000-0005-0000-0000-000005510000}"/>
    <cellStyle name="Normal 2 5 4 2 3 4 6" xfId="28826" xr:uid="{00000000-0005-0000-0000-000006510000}"/>
    <cellStyle name="Normal 2 5 4 2 3 5" xfId="4316" xr:uid="{00000000-0005-0000-0000-000007510000}"/>
    <cellStyle name="Normal 2 5 4 2 3 5 2" xfId="13154" xr:uid="{00000000-0005-0000-0000-000008510000}"/>
    <cellStyle name="Normal 2 5 4 2 3 5 2 2" xfId="23405" xr:uid="{00000000-0005-0000-0000-000009510000}"/>
    <cellStyle name="Normal 2 5 4 2 3 5 2 2 2" xfId="48958" xr:uid="{00000000-0005-0000-0000-00000A510000}"/>
    <cellStyle name="Normal 2 5 4 2 3 5 2 3" xfId="38709" xr:uid="{00000000-0005-0000-0000-00000B510000}"/>
    <cellStyle name="Normal 2 5 4 2 3 5 3" xfId="9575" xr:uid="{00000000-0005-0000-0000-00000C510000}"/>
    <cellStyle name="Normal 2 5 4 2 3 5 3 2" xfId="35132" xr:uid="{00000000-0005-0000-0000-00000D510000}"/>
    <cellStyle name="Normal 2 5 4 2 3 5 4" xfId="18398" xr:uid="{00000000-0005-0000-0000-00000E510000}"/>
    <cellStyle name="Normal 2 5 4 2 3 5 4 2" xfId="43951" xr:uid="{00000000-0005-0000-0000-00000F510000}"/>
    <cellStyle name="Normal 2 5 4 2 3 5 5" xfId="29888" xr:uid="{00000000-0005-0000-0000-000010510000}"/>
    <cellStyle name="Normal 2 5 4 2 3 6" xfId="1588" xr:uid="{00000000-0005-0000-0000-000011510000}"/>
    <cellStyle name="Normal 2 5 4 2 3 6 2" xfId="10965" xr:uid="{00000000-0005-0000-0000-000012510000}"/>
    <cellStyle name="Normal 2 5 4 2 3 6 2 2" xfId="36520" xr:uid="{00000000-0005-0000-0000-000013510000}"/>
    <cellStyle name="Normal 2 5 4 2 3 6 3" xfId="20969" xr:uid="{00000000-0005-0000-0000-000014510000}"/>
    <cellStyle name="Normal 2 5 4 2 3 6 3 2" xfId="46522" xr:uid="{00000000-0005-0000-0000-000015510000}"/>
    <cellStyle name="Normal 2 5 4 2 3 6 4" xfId="27452" xr:uid="{00000000-0005-0000-0000-000016510000}"/>
    <cellStyle name="Normal 2 5 4 2 3 7" xfId="5772" xr:uid="{00000000-0005-0000-0000-000017510000}"/>
    <cellStyle name="Normal 2 5 4 2 3 7 2" xfId="14599" xr:uid="{00000000-0005-0000-0000-000018510000}"/>
    <cellStyle name="Normal 2 5 4 2 3 7 2 2" xfId="40154" xr:uid="{00000000-0005-0000-0000-000019510000}"/>
    <cellStyle name="Normal 2 5 4 2 3 7 3" xfId="24850" xr:uid="{00000000-0005-0000-0000-00001A510000}"/>
    <cellStyle name="Normal 2 5 4 2 3 7 3 2" xfId="50403" xr:uid="{00000000-0005-0000-0000-00001B510000}"/>
    <cellStyle name="Normal 2 5 4 2 3 7 4" xfId="31333" xr:uid="{00000000-0005-0000-0000-00001C510000}"/>
    <cellStyle name="Normal 2 5 4 2 3 8" xfId="7216" xr:uid="{00000000-0005-0000-0000-00001D510000}"/>
    <cellStyle name="Normal 2 5 4 2 3 8 2" xfId="19942" xr:uid="{00000000-0005-0000-0000-00001E510000}"/>
    <cellStyle name="Normal 2 5 4 2 3 8 2 2" xfId="45495" xr:uid="{00000000-0005-0000-0000-00001F510000}"/>
    <cellStyle name="Normal 2 5 4 2 3 8 3" xfId="32773" xr:uid="{00000000-0005-0000-0000-000020510000}"/>
    <cellStyle name="Normal 2 5 4 2 3 9" xfId="15962" xr:uid="{00000000-0005-0000-0000-000021510000}"/>
    <cellStyle name="Normal 2 5 4 2 3 9 2" xfId="41515" xr:uid="{00000000-0005-0000-0000-000022510000}"/>
    <cellStyle name="Normal 2 5 4 2 3_Degree data" xfId="2603" xr:uid="{00000000-0005-0000-0000-000023510000}"/>
    <cellStyle name="Normal 2 5 4 2 4" xfId="396" xr:uid="{00000000-0005-0000-0000-000024510000}"/>
    <cellStyle name="Normal 2 5 4 2 4 2" xfId="2882" xr:uid="{00000000-0005-0000-0000-000025510000}"/>
    <cellStyle name="Normal 2 5 4 2 4 2 2" xfId="12170" xr:uid="{00000000-0005-0000-0000-000026510000}"/>
    <cellStyle name="Normal 2 5 4 2 4 2 2 2" xfId="22243" xr:uid="{00000000-0005-0000-0000-000027510000}"/>
    <cellStyle name="Normal 2 5 4 2 4 2 2 2 2" xfId="47796" xr:uid="{00000000-0005-0000-0000-000028510000}"/>
    <cellStyle name="Normal 2 5 4 2 4 2 2 3" xfId="37725" xr:uid="{00000000-0005-0000-0000-000029510000}"/>
    <cellStyle name="Normal 2 5 4 2 4 2 3" xfId="8456" xr:uid="{00000000-0005-0000-0000-00002A510000}"/>
    <cellStyle name="Normal 2 5 4 2 4 2 3 2" xfId="34013" xr:uid="{00000000-0005-0000-0000-00002B510000}"/>
    <cellStyle name="Normal 2 5 4 2 4 2 4" xfId="17236" xr:uid="{00000000-0005-0000-0000-00002C510000}"/>
    <cellStyle name="Normal 2 5 4 2 4 2 4 2" xfId="42789" xr:uid="{00000000-0005-0000-0000-00002D510000}"/>
    <cellStyle name="Normal 2 5 4 2 4 2 5" xfId="28726" xr:uid="{00000000-0005-0000-0000-00002E510000}"/>
    <cellStyle name="Normal 2 5 4 2 4 3" xfId="4573" xr:uid="{00000000-0005-0000-0000-00002F510000}"/>
    <cellStyle name="Normal 2 5 4 2 4 3 2" xfId="13411" xr:uid="{00000000-0005-0000-0000-000030510000}"/>
    <cellStyle name="Normal 2 5 4 2 4 3 2 2" xfId="23662" xr:uid="{00000000-0005-0000-0000-000031510000}"/>
    <cellStyle name="Normal 2 5 4 2 4 3 2 2 2" xfId="49215" xr:uid="{00000000-0005-0000-0000-000032510000}"/>
    <cellStyle name="Normal 2 5 4 2 4 3 2 3" xfId="38966" xr:uid="{00000000-0005-0000-0000-000033510000}"/>
    <cellStyle name="Normal 2 5 4 2 4 3 3" xfId="9832" xr:uid="{00000000-0005-0000-0000-000034510000}"/>
    <cellStyle name="Normal 2 5 4 2 4 3 3 2" xfId="35389" xr:uid="{00000000-0005-0000-0000-000035510000}"/>
    <cellStyle name="Normal 2 5 4 2 4 3 4" xfId="18655" xr:uid="{00000000-0005-0000-0000-000036510000}"/>
    <cellStyle name="Normal 2 5 4 2 4 3 4 2" xfId="44208" xr:uid="{00000000-0005-0000-0000-000037510000}"/>
    <cellStyle name="Normal 2 5 4 2 4 3 5" xfId="30145" xr:uid="{00000000-0005-0000-0000-000038510000}"/>
    <cellStyle name="Normal 2 5 4 2 4 4" xfId="1991" xr:uid="{00000000-0005-0000-0000-000039510000}"/>
    <cellStyle name="Normal 2 5 4 2 4 4 2" xfId="11356" xr:uid="{00000000-0005-0000-0000-00003A510000}"/>
    <cellStyle name="Normal 2 5 4 2 4 4 2 2" xfId="36911" xr:uid="{00000000-0005-0000-0000-00003B510000}"/>
    <cellStyle name="Normal 2 5 4 2 4 4 3" xfId="21360" xr:uid="{00000000-0005-0000-0000-00003C510000}"/>
    <cellStyle name="Normal 2 5 4 2 4 4 3 2" xfId="46913" xr:uid="{00000000-0005-0000-0000-00003D510000}"/>
    <cellStyle name="Normal 2 5 4 2 4 4 4" xfId="27843" xr:uid="{00000000-0005-0000-0000-00003E510000}"/>
    <cellStyle name="Normal 2 5 4 2 4 5" xfId="6029" xr:uid="{00000000-0005-0000-0000-00003F510000}"/>
    <cellStyle name="Normal 2 5 4 2 4 5 2" xfId="14856" xr:uid="{00000000-0005-0000-0000-000040510000}"/>
    <cellStyle name="Normal 2 5 4 2 4 5 2 2" xfId="40411" xr:uid="{00000000-0005-0000-0000-000041510000}"/>
    <cellStyle name="Normal 2 5 4 2 4 5 3" xfId="25107" xr:uid="{00000000-0005-0000-0000-000042510000}"/>
    <cellStyle name="Normal 2 5 4 2 4 5 3 2" xfId="50660" xr:uid="{00000000-0005-0000-0000-000043510000}"/>
    <cellStyle name="Normal 2 5 4 2 4 5 4" xfId="31590" xr:uid="{00000000-0005-0000-0000-000044510000}"/>
    <cellStyle name="Normal 2 5 4 2 4 6" xfId="7473" xr:uid="{00000000-0005-0000-0000-000045510000}"/>
    <cellStyle name="Normal 2 5 4 2 4 6 2" xfId="19842" xr:uid="{00000000-0005-0000-0000-000046510000}"/>
    <cellStyle name="Normal 2 5 4 2 4 6 2 2" xfId="45395" xr:uid="{00000000-0005-0000-0000-000047510000}"/>
    <cellStyle name="Normal 2 5 4 2 4 6 3" xfId="33030" xr:uid="{00000000-0005-0000-0000-000048510000}"/>
    <cellStyle name="Normal 2 5 4 2 4 7" xfId="16353" xr:uid="{00000000-0005-0000-0000-000049510000}"/>
    <cellStyle name="Normal 2 5 4 2 4 7 2" xfId="41906" xr:uid="{00000000-0005-0000-0000-00004A510000}"/>
    <cellStyle name="Normal 2 5 4 2 4 8" xfId="26325" xr:uid="{00000000-0005-0000-0000-00004B510000}"/>
    <cellStyle name="Normal 2 5 4 2 5" xfId="758" xr:uid="{00000000-0005-0000-0000-00004C510000}"/>
    <cellStyle name="Normal 2 5 4 2 5 2" xfId="3244" xr:uid="{00000000-0005-0000-0000-00004D510000}"/>
    <cellStyle name="Normal 2 5 4 2 5 2 2" xfId="12386" xr:uid="{00000000-0005-0000-0000-00004E510000}"/>
    <cellStyle name="Normal 2 5 4 2 5 2 2 2" xfId="22605" xr:uid="{00000000-0005-0000-0000-00004F510000}"/>
    <cellStyle name="Normal 2 5 4 2 5 2 2 2 2" xfId="48158" xr:uid="{00000000-0005-0000-0000-000050510000}"/>
    <cellStyle name="Normal 2 5 4 2 5 2 2 3" xfId="37941" xr:uid="{00000000-0005-0000-0000-000051510000}"/>
    <cellStyle name="Normal 2 5 4 2 5 2 3" xfId="8808" xr:uid="{00000000-0005-0000-0000-000052510000}"/>
    <cellStyle name="Normal 2 5 4 2 5 2 3 2" xfId="34365" xr:uid="{00000000-0005-0000-0000-000053510000}"/>
    <cellStyle name="Normal 2 5 4 2 5 2 4" xfId="17598" xr:uid="{00000000-0005-0000-0000-000054510000}"/>
    <cellStyle name="Normal 2 5 4 2 5 2 4 2" xfId="43151" xr:uid="{00000000-0005-0000-0000-000055510000}"/>
    <cellStyle name="Normal 2 5 4 2 5 2 5" xfId="29088" xr:uid="{00000000-0005-0000-0000-000056510000}"/>
    <cellStyle name="Normal 2 5 4 2 5 3" xfId="4922" xr:uid="{00000000-0005-0000-0000-000057510000}"/>
    <cellStyle name="Normal 2 5 4 2 5 3 2" xfId="13759" xr:uid="{00000000-0005-0000-0000-000058510000}"/>
    <cellStyle name="Normal 2 5 4 2 5 3 2 2" xfId="24010" xr:uid="{00000000-0005-0000-0000-000059510000}"/>
    <cellStyle name="Normal 2 5 4 2 5 3 2 2 2" xfId="49563" xr:uid="{00000000-0005-0000-0000-00005A510000}"/>
    <cellStyle name="Normal 2 5 4 2 5 3 2 3" xfId="39314" xr:uid="{00000000-0005-0000-0000-00005B510000}"/>
    <cellStyle name="Normal 2 5 4 2 5 3 3" xfId="10180" xr:uid="{00000000-0005-0000-0000-00005C510000}"/>
    <cellStyle name="Normal 2 5 4 2 5 3 3 2" xfId="35737" xr:uid="{00000000-0005-0000-0000-00005D510000}"/>
    <cellStyle name="Normal 2 5 4 2 5 3 4" xfId="19003" xr:uid="{00000000-0005-0000-0000-00005E510000}"/>
    <cellStyle name="Normal 2 5 4 2 5 3 4 2" xfId="44556" xr:uid="{00000000-0005-0000-0000-00005F510000}"/>
    <cellStyle name="Normal 2 5 4 2 5 3 5" xfId="30493" xr:uid="{00000000-0005-0000-0000-000060510000}"/>
    <cellStyle name="Normal 2 5 4 2 5 4" xfId="2353" xr:uid="{00000000-0005-0000-0000-000061510000}"/>
    <cellStyle name="Normal 2 5 4 2 5 4 2" xfId="11718" xr:uid="{00000000-0005-0000-0000-000062510000}"/>
    <cellStyle name="Normal 2 5 4 2 5 4 2 2" xfId="37273" xr:uid="{00000000-0005-0000-0000-000063510000}"/>
    <cellStyle name="Normal 2 5 4 2 5 4 3" xfId="21722" xr:uid="{00000000-0005-0000-0000-000064510000}"/>
    <cellStyle name="Normal 2 5 4 2 5 4 3 2" xfId="47275" xr:uid="{00000000-0005-0000-0000-000065510000}"/>
    <cellStyle name="Normal 2 5 4 2 5 4 4" xfId="28205" xr:uid="{00000000-0005-0000-0000-000066510000}"/>
    <cellStyle name="Normal 2 5 4 2 5 5" xfId="6377" xr:uid="{00000000-0005-0000-0000-000067510000}"/>
    <cellStyle name="Normal 2 5 4 2 5 5 2" xfId="15204" xr:uid="{00000000-0005-0000-0000-000068510000}"/>
    <cellStyle name="Normal 2 5 4 2 5 5 2 2" xfId="40759" xr:uid="{00000000-0005-0000-0000-000069510000}"/>
    <cellStyle name="Normal 2 5 4 2 5 5 3" xfId="25455" xr:uid="{00000000-0005-0000-0000-00006A510000}"/>
    <cellStyle name="Normal 2 5 4 2 5 5 3 2" xfId="51008" xr:uid="{00000000-0005-0000-0000-00006B510000}"/>
    <cellStyle name="Normal 2 5 4 2 5 5 4" xfId="31938" xr:uid="{00000000-0005-0000-0000-00006C510000}"/>
    <cellStyle name="Normal 2 5 4 2 5 6" xfId="7823" xr:uid="{00000000-0005-0000-0000-00006D510000}"/>
    <cellStyle name="Normal 2 5 4 2 5 6 2" xfId="20204" xr:uid="{00000000-0005-0000-0000-00006E510000}"/>
    <cellStyle name="Normal 2 5 4 2 5 6 2 2" xfId="45757" xr:uid="{00000000-0005-0000-0000-00006F510000}"/>
    <cellStyle name="Normal 2 5 4 2 5 6 3" xfId="33380" xr:uid="{00000000-0005-0000-0000-000070510000}"/>
    <cellStyle name="Normal 2 5 4 2 5 7" xfId="16715" xr:uid="{00000000-0005-0000-0000-000071510000}"/>
    <cellStyle name="Normal 2 5 4 2 5 7 2" xfId="42268" xr:uid="{00000000-0005-0000-0000-000072510000}"/>
    <cellStyle name="Normal 2 5 4 2 5 8" xfId="26687" xr:uid="{00000000-0005-0000-0000-000073510000}"/>
    <cellStyle name="Normal 2 5 4 2 6" xfId="1168" xr:uid="{00000000-0005-0000-0000-000074510000}"/>
    <cellStyle name="Normal 2 5 4 2 6 2" xfId="3597" xr:uid="{00000000-0005-0000-0000-000075510000}"/>
    <cellStyle name="Normal 2 5 4 2 6 2 2" xfId="12733" xr:uid="{00000000-0005-0000-0000-000076510000}"/>
    <cellStyle name="Normal 2 5 4 2 6 2 2 2" xfId="22952" xr:uid="{00000000-0005-0000-0000-000077510000}"/>
    <cellStyle name="Normal 2 5 4 2 6 2 2 2 2" xfId="48505" xr:uid="{00000000-0005-0000-0000-000078510000}"/>
    <cellStyle name="Normal 2 5 4 2 6 2 2 3" xfId="38288" xr:uid="{00000000-0005-0000-0000-000079510000}"/>
    <cellStyle name="Normal 2 5 4 2 6 2 3" xfId="9154" xr:uid="{00000000-0005-0000-0000-00007A510000}"/>
    <cellStyle name="Normal 2 5 4 2 6 2 3 2" xfId="34711" xr:uid="{00000000-0005-0000-0000-00007B510000}"/>
    <cellStyle name="Normal 2 5 4 2 6 2 4" xfId="17945" xr:uid="{00000000-0005-0000-0000-00007C510000}"/>
    <cellStyle name="Normal 2 5 4 2 6 2 4 2" xfId="43498" xr:uid="{00000000-0005-0000-0000-00007D510000}"/>
    <cellStyle name="Normal 2 5 4 2 6 2 5" xfId="29435" xr:uid="{00000000-0005-0000-0000-00007E510000}"/>
    <cellStyle name="Normal 2 5 4 2 6 3" xfId="5260" xr:uid="{00000000-0005-0000-0000-00007F510000}"/>
    <cellStyle name="Normal 2 5 4 2 6 3 2" xfId="14097" xr:uid="{00000000-0005-0000-0000-000080510000}"/>
    <cellStyle name="Normal 2 5 4 2 6 3 2 2" xfId="24348" xr:uid="{00000000-0005-0000-0000-000081510000}"/>
    <cellStyle name="Normal 2 5 4 2 6 3 2 2 2" xfId="49901" xr:uid="{00000000-0005-0000-0000-000082510000}"/>
    <cellStyle name="Normal 2 5 4 2 6 3 2 3" xfId="39652" xr:uid="{00000000-0005-0000-0000-000083510000}"/>
    <cellStyle name="Normal 2 5 4 2 6 3 3" xfId="10518" xr:uid="{00000000-0005-0000-0000-000084510000}"/>
    <cellStyle name="Normal 2 5 4 2 6 3 3 2" xfId="36075" xr:uid="{00000000-0005-0000-0000-000085510000}"/>
    <cellStyle name="Normal 2 5 4 2 6 3 4" xfId="19341" xr:uid="{00000000-0005-0000-0000-000086510000}"/>
    <cellStyle name="Normal 2 5 4 2 6 3 4 2" xfId="44894" xr:uid="{00000000-0005-0000-0000-000087510000}"/>
    <cellStyle name="Normal 2 5 4 2 6 3 5" xfId="30831" xr:uid="{00000000-0005-0000-0000-000088510000}"/>
    <cellStyle name="Normal 2 5 4 2 6 4" xfId="1768" xr:uid="{00000000-0005-0000-0000-000089510000}"/>
    <cellStyle name="Normal 2 5 4 2 6 4 2" xfId="11139" xr:uid="{00000000-0005-0000-0000-00008A510000}"/>
    <cellStyle name="Normal 2 5 4 2 6 4 2 2" xfId="36694" xr:uid="{00000000-0005-0000-0000-00008B510000}"/>
    <cellStyle name="Normal 2 5 4 2 6 4 3" xfId="21143" xr:uid="{00000000-0005-0000-0000-00008C510000}"/>
    <cellStyle name="Normal 2 5 4 2 6 4 3 2" xfId="46696" xr:uid="{00000000-0005-0000-0000-00008D510000}"/>
    <cellStyle name="Normal 2 5 4 2 6 4 4" xfId="27626" xr:uid="{00000000-0005-0000-0000-00008E510000}"/>
    <cellStyle name="Normal 2 5 4 2 6 5" xfId="6715" xr:uid="{00000000-0005-0000-0000-00008F510000}"/>
    <cellStyle name="Normal 2 5 4 2 6 5 2" xfId="15542" xr:uid="{00000000-0005-0000-0000-000090510000}"/>
    <cellStyle name="Normal 2 5 4 2 6 5 2 2" xfId="41097" xr:uid="{00000000-0005-0000-0000-000091510000}"/>
    <cellStyle name="Normal 2 5 4 2 6 5 3" xfId="25793" xr:uid="{00000000-0005-0000-0000-000092510000}"/>
    <cellStyle name="Normal 2 5 4 2 6 5 3 2" xfId="51346" xr:uid="{00000000-0005-0000-0000-000093510000}"/>
    <cellStyle name="Normal 2 5 4 2 6 5 4" xfId="32276" xr:uid="{00000000-0005-0000-0000-000094510000}"/>
    <cellStyle name="Normal 2 5 4 2 6 6" xfId="8161" xr:uid="{00000000-0005-0000-0000-000095510000}"/>
    <cellStyle name="Normal 2 5 4 2 6 6 2" xfId="20551" xr:uid="{00000000-0005-0000-0000-000096510000}"/>
    <cellStyle name="Normal 2 5 4 2 6 6 2 2" xfId="46104" xr:uid="{00000000-0005-0000-0000-000097510000}"/>
    <cellStyle name="Normal 2 5 4 2 6 6 3" xfId="33718" xr:uid="{00000000-0005-0000-0000-000098510000}"/>
    <cellStyle name="Normal 2 5 4 2 6 7" xfId="16136" xr:uid="{00000000-0005-0000-0000-000099510000}"/>
    <cellStyle name="Normal 2 5 4 2 6 7 2" xfId="41689" xr:uid="{00000000-0005-0000-0000-00009A510000}"/>
    <cellStyle name="Normal 2 5 4 2 6 8" xfId="27034" xr:uid="{00000000-0005-0000-0000-00009B510000}"/>
    <cellStyle name="Normal 2 5 4 2 7" xfId="2665" xr:uid="{00000000-0005-0000-0000-00009C510000}"/>
    <cellStyle name="Normal 2 5 4 2 7 2" xfId="11982" xr:uid="{00000000-0005-0000-0000-00009D510000}"/>
    <cellStyle name="Normal 2 5 4 2 7 2 2" xfId="22026" xr:uid="{00000000-0005-0000-0000-00009E510000}"/>
    <cellStyle name="Normal 2 5 4 2 7 2 2 2" xfId="47579" xr:uid="{00000000-0005-0000-0000-00009F510000}"/>
    <cellStyle name="Normal 2 5 4 2 7 2 3" xfId="37537" xr:uid="{00000000-0005-0000-0000-0000A0510000}"/>
    <cellStyle name="Normal 2 5 4 2 7 3" xfId="8497" xr:uid="{00000000-0005-0000-0000-0000A1510000}"/>
    <cellStyle name="Normal 2 5 4 2 7 3 2" xfId="34054" xr:uid="{00000000-0005-0000-0000-0000A2510000}"/>
    <cellStyle name="Normal 2 5 4 2 7 4" xfId="17019" xr:uid="{00000000-0005-0000-0000-0000A3510000}"/>
    <cellStyle name="Normal 2 5 4 2 7 4 2" xfId="42572" xr:uid="{00000000-0005-0000-0000-0000A4510000}"/>
    <cellStyle name="Normal 2 5 4 2 7 5" xfId="28509" xr:uid="{00000000-0005-0000-0000-0000A5510000}"/>
    <cellStyle name="Normal 2 5 4 2 8" xfId="4216" xr:uid="{00000000-0005-0000-0000-0000A6510000}"/>
    <cellStyle name="Normal 2 5 4 2 8 2" xfId="13054" xr:uid="{00000000-0005-0000-0000-0000A7510000}"/>
    <cellStyle name="Normal 2 5 4 2 8 2 2" xfId="23305" xr:uid="{00000000-0005-0000-0000-0000A8510000}"/>
    <cellStyle name="Normal 2 5 4 2 8 2 2 2" xfId="48858" xr:uid="{00000000-0005-0000-0000-0000A9510000}"/>
    <cellStyle name="Normal 2 5 4 2 8 2 3" xfId="38609" xr:uid="{00000000-0005-0000-0000-0000AA510000}"/>
    <cellStyle name="Normal 2 5 4 2 8 3" xfId="9475" xr:uid="{00000000-0005-0000-0000-0000AB510000}"/>
    <cellStyle name="Normal 2 5 4 2 8 3 2" xfId="35032" xr:uid="{00000000-0005-0000-0000-0000AC510000}"/>
    <cellStyle name="Normal 2 5 4 2 8 4" xfId="18298" xr:uid="{00000000-0005-0000-0000-0000AD510000}"/>
    <cellStyle name="Normal 2 5 4 2 8 4 2" xfId="43851" xr:uid="{00000000-0005-0000-0000-0000AE510000}"/>
    <cellStyle name="Normal 2 5 4 2 8 5" xfId="29788" xr:uid="{00000000-0005-0000-0000-0000AF510000}"/>
    <cellStyle name="Normal 2 5 4 2 9" xfId="1488" xr:uid="{00000000-0005-0000-0000-0000B0510000}"/>
    <cellStyle name="Normal 2 5 4 2 9 2" xfId="10865" xr:uid="{00000000-0005-0000-0000-0000B1510000}"/>
    <cellStyle name="Normal 2 5 4 2 9 2 2" xfId="36420" xr:uid="{00000000-0005-0000-0000-0000B2510000}"/>
    <cellStyle name="Normal 2 5 4 2 9 3" xfId="20869" xr:uid="{00000000-0005-0000-0000-0000B3510000}"/>
    <cellStyle name="Normal 2 5 4 2 9 3 2" xfId="46422" xr:uid="{00000000-0005-0000-0000-0000B4510000}"/>
    <cellStyle name="Normal 2 5 4 2 9 4" xfId="27352" xr:uid="{00000000-0005-0000-0000-0000B5510000}"/>
    <cellStyle name="Normal 2 5 4 2_Degree data" xfId="3828" xr:uid="{00000000-0005-0000-0000-0000B6510000}"/>
    <cellStyle name="Normal 2 5 4 3" xfId="213" xr:uid="{00000000-0005-0000-0000-0000B7510000}"/>
    <cellStyle name="Normal 2 5 4 3 10" xfId="7159" xr:uid="{00000000-0005-0000-0000-0000B8510000}"/>
    <cellStyle name="Normal 2 5 4 3 10 2" xfId="19668" xr:uid="{00000000-0005-0000-0000-0000B9510000}"/>
    <cellStyle name="Normal 2 5 4 3 10 2 2" xfId="45221" xr:uid="{00000000-0005-0000-0000-0000BA510000}"/>
    <cellStyle name="Normal 2 5 4 3 10 3" xfId="32716" xr:uid="{00000000-0005-0000-0000-0000BB510000}"/>
    <cellStyle name="Normal 2 5 4 3 11" xfId="15905" xr:uid="{00000000-0005-0000-0000-0000BC510000}"/>
    <cellStyle name="Normal 2 5 4 3 11 2" xfId="41458" xr:uid="{00000000-0005-0000-0000-0000BD510000}"/>
    <cellStyle name="Normal 2 5 4 3 12" xfId="26151" xr:uid="{00000000-0005-0000-0000-0000BE510000}"/>
    <cellStyle name="Normal 2 5 4 3 2" xfId="539" xr:uid="{00000000-0005-0000-0000-0000BF510000}"/>
    <cellStyle name="Normal 2 5 4 3 2 10" xfId="26468" xr:uid="{00000000-0005-0000-0000-0000C0510000}"/>
    <cellStyle name="Normal 2 5 4 3 2 2" xfId="762" xr:uid="{00000000-0005-0000-0000-0000C1510000}"/>
    <cellStyle name="Normal 2 5 4 3 2 2 2" xfId="3248" xr:uid="{00000000-0005-0000-0000-0000C2510000}"/>
    <cellStyle name="Normal 2 5 4 3 2 2 2 2" xfId="12390" xr:uid="{00000000-0005-0000-0000-0000C3510000}"/>
    <cellStyle name="Normal 2 5 4 3 2 2 2 2 2" xfId="22609" xr:uid="{00000000-0005-0000-0000-0000C4510000}"/>
    <cellStyle name="Normal 2 5 4 3 2 2 2 2 2 2" xfId="48162" xr:uid="{00000000-0005-0000-0000-0000C5510000}"/>
    <cellStyle name="Normal 2 5 4 3 2 2 2 2 3" xfId="37945" xr:uid="{00000000-0005-0000-0000-0000C6510000}"/>
    <cellStyle name="Normal 2 5 4 3 2 2 2 3" xfId="8812" xr:uid="{00000000-0005-0000-0000-0000C7510000}"/>
    <cellStyle name="Normal 2 5 4 3 2 2 2 3 2" xfId="34369" xr:uid="{00000000-0005-0000-0000-0000C8510000}"/>
    <cellStyle name="Normal 2 5 4 3 2 2 2 4" xfId="17602" xr:uid="{00000000-0005-0000-0000-0000C9510000}"/>
    <cellStyle name="Normal 2 5 4 3 2 2 2 4 2" xfId="43155" xr:uid="{00000000-0005-0000-0000-0000CA510000}"/>
    <cellStyle name="Normal 2 5 4 3 2 2 2 5" xfId="29092" xr:uid="{00000000-0005-0000-0000-0000CB510000}"/>
    <cellStyle name="Normal 2 5 4 3 2 2 3" xfId="4577" xr:uid="{00000000-0005-0000-0000-0000CC510000}"/>
    <cellStyle name="Normal 2 5 4 3 2 2 3 2" xfId="13415" xr:uid="{00000000-0005-0000-0000-0000CD510000}"/>
    <cellStyle name="Normal 2 5 4 3 2 2 3 2 2" xfId="23666" xr:uid="{00000000-0005-0000-0000-0000CE510000}"/>
    <cellStyle name="Normal 2 5 4 3 2 2 3 2 2 2" xfId="49219" xr:uid="{00000000-0005-0000-0000-0000CF510000}"/>
    <cellStyle name="Normal 2 5 4 3 2 2 3 2 3" xfId="38970" xr:uid="{00000000-0005-0000-0000-0000D0510000}"/>
    <cellStyle name="Normal 2 5 4 3 2 2 3 3" xfId="9836" xr:uid="{00000000-0005-0000-0000-0000D1510000}"/>
    <cellStyle name="Normal 2 5 4 3 2 2 3 3 2" xfId="35393" xr:uid="{00000000-0005-0000-0000-0000D2510000}"/>
    <cellStyle name="Normal 2 5 4 3 2 2 3 4" xfId="18659" xr:uid="{00000000-0005-0000-0000-0000D3510000}"/>
    <cellStyle name="Normal 2 5 4 3 2 2 3 4 2" xfId="44212" xr:uid="{00000000-0005-0000-0000-0000D4510000}"/>
    <cellStyle name="Normal 2 5 4 3 2 2 3 5" xfId="30149" xr:uid="{00000000-0005-0000-0000-0000D5510000}"/>
    <cellStyle name="Normal 2 5 4 3 2 2 4" xfId="2357" xr:uid="{00000000-0005-0000-0000-0000D6510000}"/>
    <cellStyle name="Normal 2 5 4 3 2 2 4 2" xfId="11722" xr:uid="{00000000-0005-0000-0000-0000D7510000}"/>
    <cellStyle name="Normal 2 5 4 3 2 2 4 2 2" xfId="37277" xr:uid="{00000000-0005-0000-0000-0000D8510000}"/>
    <cellStyle name="Normal 2 5 4 3 2 2 4 3" xfId="21726" xr:uid="{00000000-0005-0000-0000-0000D9510000}"/>
    <cellStyle name="Normal 2 5 4 3 2 2 4 3 2" xfId="47279" xr:uid="{00000000-0005-0000-0000-0000DA510000}"/>
    <cellStyle name="Normal 2 5 4 3 2 2 4 4" xfId="28209" xr:uid="{00000000-0005-0000-0000-0000DB510000}"/>
    <cellStyle name="Normal 2 5 4 3 2 2 5" xfId="6033" xr:uid="{00000000-0005-0000-0000-0000DC510000}"/>
    <cellStyle name="Normal 2 5 4 3 2 2 5 2" xfId="14860" xr:uid="{00000000-0005-0000-0000-0000DD510000}"/>
    <cellStyle name="Normal 2 5 4 3 2 2 5 2 2" xfId="40415" xr:uid="{00000000-0005-0000-0000-0000DE510000}"/>
    <cellStyle name="Normal 2 5 4 3 2 2 5 3" xfId="25111" xr:uid="{00000000-0005-0000-0000-0000DF510000}"/>
    <cellStyle name="Normal 2 5 4 3 2 2 5 3 2" xfId="50664" xr:uid="{00000000-0005-0000-0000-0000E0510000}"/>
    <cellStyle name="Normal 2 5 4 3 2 2 5 4" xfId="31594" xr:uid="{00000000-0005-0000-0000-0000E1510000}"/>
    <cellStyle name="Normal 2 5 4 3 2 2 6" xfId="7477" xr:uid="{00000000-0005-0000-0000-0000E2510000}"/>
    <cellStyle name="Normal 2 5 4 3 2 2 6 2" xfId="20208" xr:uid="{00000000-0005-0000-0000-0000E3510000}"/>
    <cellStyle name="Normal 2 5 4 3 2 2 6 2 2" xfId="45761" xr:uid="{00000000-0005-0000-0000-0000E4510000}"/>
    <cellStyle name="Normal 2 5 4 3 2 2 6 3" xfId="33034" xr:uid="{00000000-0005-0000-0000-0000E5510000}"/>
    <cellStyle name="Normal 2 5 4 3 2 2 7" xfId="16719" xr:uid="{00000000-0005-0000-0000-0000E6510000}"/>
    <cellStyle name="Normal 2 5 4 3 2 2 7 2" xfId="42272" xr:uid="{00000000-0005-0000-0000-0000E7510000}"/>
    <cellStyle name="Normal 2 5 4 3 2 2 8" xfId="26691" xr:uid="{00000000-0005-0000-0000-0000E8510000}"/>
    <cellStyle name="Normal 2 5 4 3 2 3" xfId="1311" xr:uid="{00000000-0005-0000-0000-0000E9510000}"/>
    <cellStyle name="Normal 2 5 4 3 2 3 2" xfId="3740" xr:uid="{00000000-0005-0000-0000-0000EA510000}"/>
    <cellStyle name="Normal 2 5 4 3 2 3 2 2" xfId="12876" xr:uid="{00000000-0005-0000-0000-0000EB510000}"/>
    <cellStyle name="Normal 2 5 4 3 2 3 2 2 2" xfId="23095" xr:uid="{00000000-0005-0000-0000-0000EC510000}"/>
    <cellStyle name="Normal 2 5 4 3 2 3 2 2 2 2" xfId="48648" xr:uid="{00000000-0005-0000-0000-0000ED510000}"/>
    <cellStyle name="Normal 2 5 4 3 2 3 2 2 3" xfId="38431" xr:uid="{00000000-0005-0000-0000-0000EE510000}"/>
    <cellStyle name="Normal 2 5 4 3 2 3 2 3" xfId="9297" xr:uid="{00000000-0005-0000-0000-0000EF510000}"/>
    <cellStyle name="Normal 2 5 4 3 2 3 2 3 2" xfId="34854" xr:uid="{00000000-0005-0000-0000-0000F0510000}"/>
    <cellStyle name="Normal 2 5 4 3 2 3 2 4" xfId="18088" xr:uid="{00000000-0005-0000-0000-0000F1510000}"/>
    <cellStyle name="Normal 2 5 4 3 2 3 2 4 2" xfId="43641" xr:uid="{00000000-0005-0000-0000-0000F2510000}"/>
    <cellStyle name="Normal 2 5 4 3 2 3 2 5" xfId="29578" xr:uid="{00000000-0005-0000-0000-0000F3510000}"/>
    <cellStyle name="Normal 2 5 4 3 2 3 3" xfId="4926" xr:uid="{00000000-0005-0000-0000-0000F4510000}"/>
    <cellStyle name="Normal 2 5 4 3 2 3 3 2" xfId="13763" xr:uid="{00000000-0005-0000-0000-0000F5510000}"/>
    <cellStyle name="Normal 2 5 4 3 2 3 3 2 2" xfId="24014" xr:uid="{00000000-0005-0000-0000-0000F6510000}"/>
    <cellStyle name="Normal 2 5 4 3 2 3 3 2 2 2" xfId="49567" xr:uid="{00000000-0005-0000-0000-0000F7510000}"/>
    <cellStyle name="Normal 2 5 4 3 2 3 3 2 3" xfId="39318" xr:uid="{00000000-0005-0000-0000-0000F8510000}"/>
    <cellStyle name="Normal 2 5 4 3 2 3 3 3" xfId="10184" xr:uid="{00000000-0005-0000-0000-0000F9510000}"/>
    <cellStyle name="Normal 2 5 4 3 2 3 3 3 2" xfId="35741" xr:uid="{00000000-0005-0000-0000-0000FA510000}"/>
    <cellStyle name="Normal 2 5 4 3 2 3 3 4" xfId="19007" xr:uid="{00000000-0005-0000-0000-0000FB510000}"/>
    <cellStyle name="Normal 2 5 4 3 2 3 3 4 2" xfId="44560" xr:uid="{00000000-0005-0000-0000-0000FC510000}"/>
    <cellStyle name="Normal 2 5 4 3 2 3 3 5" xfId="30497" xr:uid="{00000000-0005-0000-0000-0000FD510000}"/>
    <cellStyle name="Normal 2 5 4 3 2 3 4" xfId="2134" xr:uid="{00000000-0005-0000-0000-0000FE510000}"/>
    <cellStyle name="Normal 2 5 4 3 2 3 4 2" xfId="11499" xr:uid="{00000000-0005-0000-0000-0000FF510000}"/>
    <cellStyle name="Normal 2 5 4 3 2 3 4 2 2" xfId="37054" xr:uid="{00000000-0005-0000-0000-000000520000}"/>
    <cellStyle name="Normal 2 5 4 3 2 3 4 3" xfId="21503" xr:uid="{00000000-0005-0000-0000-000001520000}"/>
    <cellStyle name="Normal 2 5 4 3 2 3 4 3 2" xfId="47056" xr:uid="{00000000-0005-0000-0000-000002520000}"/>
    <cellStyle name="Normal 2 5 4 3 2 3 4 4" xfId="27986" xr:uid="{00000000-0005-0000-0000-000003520000}"/>
    <cellStyle name="Normal 2 5 4 3 2 3 5" xfId="6381" xr:uid="{00000000-0005-0000-0000-000004520000}"/>
    <cellStyle name="Normal 2 5 4 3 2 3 5 2" xfId="15208" xr:uid="{00000000-0005-0000-0000-000005520000}"/>
    <cellStyle name="Normal 2 5 4 3 2 3 5 2 2" xfId="40763" xr:uid="{00000000-0005-0000-0000-000006520000}"/>
    <cellStyle name="Normal 2 5 4 3 2 3 5 3" xfId="25459" xr:uid="{00000000-0005-0000-0000-000007520000}"/>
    <cellStyle name="Normal 2 5 4 3 2 3 5 3 2" xfId="51012" xr:uid="{00000000-0005-0000-0000-000008520000}"/>
    <cellStyle name="Normal 2 5 4 3 2 3 5 4" xfId="31942" xr:uid="{00000000-0005-0000-0000-000009520000}"/>
    <cellStyle name="Normal 2 5 4 3 2 3 6" xfId="7827" xr:uid="{00000000-0005-0000-0000-00000A520000}"/>
    <cellStyle name="Normal 2 5 4 3 2 3 6 2" xfId="20694" xr:uid="{00000000-0005-0000-0000-00000B520000}"/>
    <cellStyle name="Normal 2 5 4 3 2 3 6 2 2" xfId="46247" xr:uid="{00000000-0005-0000-0000-00000C520000}"/>
    <cellStyle name="Normal 2 5 4 3 2 3 6 3" xfId="33384" xr:uid="{00000000-0005-0000-0000-00000D520000}"/>
    <cellStyle name="Normal 2 5 4 3 2 3 7" xfId="16496" xr:uid="{00000000-0005-0000-0000-00000E520000}"/>
    <cellStyle name="Normal 2 5 4 3 2 3 7 2" xfId="42049" xr:uid="{00000000-0005-0000-0000-00000F520000}"/>
    <cellStyle name="Normal 2 5 4 3 2 3 8" xfId="27177" xr:uid="{00000000-0005-0000-0000-000010520000}"/>
    <cellStyle name="Normal 2 5 4 3 2 4" xfId="3025" xr:uid="{00000000-0005-0000-0000-000011520000}"/>
    <cellStyle name="Normal 2 5 4 3 2 4 2" xfId="5403" xr:uid="{00000000-0005-0000-0000-000012520000}"/>
    <cellStyle name="Normal 2 5 4 3 2 4 2 2" xfId="14240" xr:uid="{00000000-0005-0000-0000-000013520000}"/>
    <cellStyle name="Normal 2 5 4 3 2 4 2 2 2" xfId="24491" xr:uid="{00000000-0005-0000-0000-000014520000}"/>
    <cellStyle name="Normal 2 5 4 3 2 4 2 2 2 2" xfId="50044" xr:uid="{00000000-0005-0000-0000-000015520000}"/>
    <cellStyle name="Normal 2 5 4 3 2 4 2 2 3" xfId="39795" xr:uid="{00000000-0005-0000-0000-000016520000}"/>
    <cellStyle name="Normal 2 5 4 3 2 4 2 3" xfId="10661" xr:uid="{00000000-0005-0000-0000-000017520000}"/>
    <cellStyle name="Normal 2 5 4 3 2 4 2 3 2" xfId="36218" xr:uid="{00000000-0005-0000-0000-000018520000}"/>
    <cellStyle name="Normal 2 5 4 3 2 4 2 4" xfId="19484" xr:uid="{00000000-0005-0000-0000-000019520000}"/>
    <cellStyle name="Normal 2 5 4 3 2 4 2 4 2" xfId="45037" xr:uid="{00000000-0005-0000-0000-00001A520000}"/>
    <cellStyle name="Normal 2 5 4 3 2 4 2 5" xfId="30974" xr:uid="{00000000-0005-0000-0000-00001B520000}"/>
    <cellStyle name="Normal 2 5 4 3 2 4 3" xfId="6858" xr:uid="{00000000-0005-0000-0000-00001C520000}"/>
    <cellStyle name="Normal 2 5 4 3 2 4 3 2" xfId="15685" xr:uid="{00000000-0005-0000-0000-00001D520000}"/>
    <cellStyle name="Normal 2 5 4 3 2 4 3 2 2" xfId="41240" xr:uid="{00000000-0005-0000-0000-00001E520000}"/>
    <cellStyle name="Normal 2 5 4 3 2 4 3 3" xfId="25936" xr:uid="{00000000-0005-0000-0000-00001F520000}"/>
    <cellStyle name="Normal 2 5 4 3 2 4 3 3 2" xfId="51489" xr:uid="{00000000-0005-0000-0000-000020520000}"/>
    <cellStyle name="Normal 2 5 4 3 2 4 3 4" xfId="32419" xr:uid="{00000000-0005-0000-0000-000021520000}"/>
    <cellStyle name="Normal 2 5 4 3 2 4 4" xfId="8304" xr:uid="{00000000-0005-0000-0000-000022520000}"/>
    <cellStyle name="Normal 2 5 4 3 2 4 4 2" xfId="22386" xr:uid="{00000000-0005-0000-0000-000023520000}"/>
    <cellStyle name="Normal 2 5 4 3 2 4 4 2 2" xfId="47939" xr:uid="{00000000-0005-0000-0000-000024520000}"/>
    <cellStyle name="Normal 2 5 4 3 2 4 4 3" xfId="33861" xr:uid="{00000000-0005-0000-0000-000025520000}"/>
    <cellStyle name="Normal 2 5 4 3 2 4 5" xfId="17379" xr:uid="{00000000-0005-0000-0000-000026520000}"/>
    <cellStyle name="Normal 2 5 4 3 2 4 5 2" xfId="42932" xr:uid="{00000000-0005-0000-0000-000027520000}"/>
    <cellStyle name="Normal 2 5 4 3 2 4 6" xfId="28869" xr:uid="{00000000-0005-0000-0000-000028520000}"/>
    <cellStyle name="Normal 2 5 4 3 2 5" xfId="4359" xr:uid="{00000000-0005-0000-0000-000029520000}"/>
    <cellStyle name="Normal 2 5 4 3 2 5 2" xfId="13197" xr:uid="{00000000-0005-0000-0000-00002A520000}"/>
    <cellStyle name="Normal 2 5 4 3 2 5 2 2" xfId="23448" xr:uid="{00000000-0005-0000-0000-00002B520000}"/>
    <cellStyle name="Normal 2 5 4 3 2 5 2 2 2" xfId="49001" xr:uid="{00000000-0005-0000-0000-00002C520000}"/>
    <cellStyle name="Normal 2 5 4 3 2 5 2 3" xfId="38752" xr:uid="{00000000-0005-0000-0000-00002D520000}"/>
    <cellStyle name="Normal 2 5 4 3 2 5 3" xfId="9618" xr:uid="{00000000-0005-0000-0000-00002E520000}"/>
    <cellStyle name="Normal 2 5 4 3 2 5 3 2" xfId="35175" xr:uid="{00000000-0005-0000-0000-00002F520000}"/>
    <cellStyle name="Normal 2 5 4 3 2 5 4" xfId="18441" xr:uid="{00000000-0005-0000-0000-000030520000}"/>
    <cellStyle name="Normal 2 5 4 3 2 5 4 2" xfId="43994" xr:uid="{00000000-0005-0000-0000-000031520000}"/>
    <cellStyle name="Normal 2 5 4 3 2 5 5" xfId="29931" xr:uid="{00000000-0005-0000-0000-000032520000}"/>
    <cellStyle name="Normal 2 5 4 3 2 6" xfId="1631" xr:uid="{00000000-0005-0000-0000-000033520000}"/>
    <cellStyle name="Normal 2 5 4 3 2 6 2" xfId="11008" xr:uid="{00000000-0005-0000-0000-000034520000}"/>
    <cellStyle name="Normal 2 5 4 3 2 6 2 2" xfId="36563" xr:uid="{00000000-0005-0000-0000-000035520000}"/>
    <cellStyle name="Normal 2 5 4 3 2 6 3" xfId="21012" xr:uid="{00000000-0005-0000-0000-000036520000}"/>
    <cellStyle name="Normal 2 5 4 3 2 6 3 2" xfId="46565" xr:uid="{00000000-0005-0000-0000-000037520000}"/>
    <cellStyle name="Normal 2 5 4 3 2 6 4" xfId="27495" xr:uid="{00000000-0005-0000-0000-000038520000}"/>
    <cellStyle name="Normal 2 5 4 3 2 7" xfId="5815" xr:uid="{00000000-0005-0000-0000-000039520000}"/>
    <cellStyle name="Normal 2 5 4 3 2 7 2" xfId="14642" xr:uid="{00000000-0005-0000-0000-00003A520000}"/>
    <cellStyle name="Normal 2 5 4 3 2 7 2 2" xfId="40197" xr:uid="{00000000-0005-0000-0000-00003B520000}"/>
    <cellStyle name="Normal 2 5 4 3 2 7 3" xfId="24893" xr:uid="{00000000-0005-0000-0000-00003C520000}"/>
    <cellStyle name="Normal 2 5 4 3 2 7 3 2" xfId="50446" xr:uid="{00000000-0005-0000-0000-00003D520000}"/>
    <cellStyle name="Normal 2 5 4 3 2 7 4" xfId="31376" xr:uid="{00000000-0005-0000-0000-00003E520000}"/>
    <cellStyle name="Normal 2 5 4 3 2 8" xfId="7259" xr:uid="{00000000-0005-0000-0000-00003F520000}"/>
    <cellStyle name="Normal 2 5 4 3 2 8 2" xfId="19985" xr:uid="{00000000-0005-0000-0000-000040520000}"/>
    <cellStyle name="Normal 2 5 4 3 2 8 2 2" xfId="45538" xr:uid="{00000000-0005-0000-0000-000041520000}"/>
    <cellStyle name="Normal 2 5 4 3 2 8 3" xfId="32816" xr:uid="{00000000-0005-0000-0000-000042520000}"/>
    <cellStyle name="Normal 2 5 4 3 2 9" xfId="16005" xr:uid="{00000000-0005-0000-0000-000043520000}"/>
    <cellStyle name="Normal 2 5 4 3 2 9 2" xfId="41558" xr:uid="{00000000-0005-0000-0000-000044520000}"/>
    <cellStyle name="Normal 2 5 4 3 2_Degree data" xfId="3846" xr:uid="{00000000-0005-0000-0000-000045520000}"/>
    <cellStyle name="Normal 2 5 4 3 3" xfId="439" xr:uid="{00000000-0005-0000-0000-000046520000}"/>
    <cellStyle name="Normal 2 5 4 3 3 2" xfId="2925" xr:uid="{00000000-0005-0000-0000-000047520000}"/>
    <cellStyle name="Normal 2 5 4 3 3 2 2" xfId="12213" xr:uid="{00000000-0005-0000-0000-000048520000}"/>
    <cellStyle name="Normal 2 5 4 3 3 2 2 2" xfId="22286" xr:uid="{00000000-0005-0000-0000-000049520000}"/>
    <cellStyle name="Normal 2 5 4 3 3 2 2 2 2" xfId="47839" xr:uid="{00000000-0005-0000-0000-00004A520000}"/>
    <cellStyle name="Normal 2 5 4 3 3 2 2 3" xfId="37768" xr:uid="{00000000-0005-0000-0000-00004B520000}"/>
    <cellStyle name="Normal 2 5 4 3 3 2 3" xfId="8445" xr:uid="{00000000-0005-0000-0000-00004C520000}"/>
    <cellStyle name="Normal 2 5 4 3 3 2 3 2" xfId="34002" xr:uid="{00000000-0005-0000-0000-00004D520000}"/>
    <cellStyle name="Normal 2 5 4 3 3 2 4" xfId="17279" xr:uid="{00000000-0005-0000-0000-00004E520000}"/>
    <cellStyle name="Normal 2 5 4 3 3 2 4 2" xfId="42832" xr:uid="{00000000-0005-0000-0000-00004F520000}"/>
    <cellStyle name="Normal 2 5 4 3 3 2 5" xfId="28769" xr:uid="{00000000-0005-0000-0000-000050520000}"/>
    <cellStyle name="Normal 2 5 4 3 3 3" xfId="4576" xr:uid="{00000000-0005-0000-0000-000051520000}"/>
    <cellStyle name="Normal 2 5 4 3 3 3 2" xfId="13414" xr:uid="{00000000-0005-0000-0000-000052520000}"/>
    <cellStyle name="Normal 2 5 4 3 3 3 2 2" xfId="23665" xr:uid="{00000000-0005-0000-0000-000053520000}"/>
    <cellStyle name="Normal 2 5 4 3 3 3 2 2 2" xfId="49218" xr:uid="{00000000-0005-0000-0000-000054520000}"/>
    <cellStyle name="Normal 2 5 4 3 3 3 2 3" xfId="38969" xr:uid="{00000000-0005-0000-0000-000055520000}"/>
    <cellStyle name="Normal 2 5 4 3 3 3 3" xfId="9835" xr:uid="{00000000-0005-0000-0000-000056520000}"/>
    <cellStyle name="Normal 2 5 4 3 3 3 3 2" xfId="35392" xr:uid="{00000000-0005-0000-0000-000057520000}"/>
    <cellStyle name="Normal 2 5 4 3 3 3 4" xfId="18658" xr:uid="{00000000-0005-0000-0000-000058520000}"/>
    <cellStyle name="Normal 2 5 4 3 3 3 4 2" xfId="44211" xr:uid="{00000000-0005-0000-0000-000059520000}"/>
    <cellStyle name="Normal 2 5 4 3 3 3 5" xfId="30148" xr:uid="{00000000-0005-0000-0000-00005A520000}"/>
    <cellStyle name="Normal 2 5 4 3 3 4" xfId="2034" xr:uid="{00000000-0005-0000-0000-00005B520000}"/>
    <cellStyle name="Normal 2 5 4 3 3 4 2" xfId="11399" xr:uid="{00000000-0005-0000-0000-00005C520000}"/>
    <cellStyle name="Normal 2 5 4 3 3 4 2 2" xfId="36954" xr:uid="{00000000-0005-0000-0000-00005D520000}"/>
    <cellStyle name="Normal 2 5 4 3 3 4 3" xfId="21403" xr:uid="{00000000-0005-0000-0000-00005E520000}"/>
    <cellStyle name="Normal 2 5 4 3 3 4 3 2" xfId="46956" xr:uid="{00000000-0005-0000-0000-00005F520000}"/>
    <cellStyle name="Normal 2 5 4 3 3 4 4" xfId="27886" xr:uid="{00000000-0005-0000-0000-000060520000}"/>
    <cellStyle name="Normal 2 5 4 3 3 5" xfId="6032" xr:uid="{00000000-0005-0000-0000-000061520000}"/>
    <cellStyle name="Normal 2 5 4 3 3 5 2" xfId="14859" xr:uid="{00000000-0005-0000-0000-000062520000}"/>
    <cellStyle name="Normal 2 5 4 3 3 5 2 2" xfId="40414" xr:uid="{00000000-0005-0000-0000-000063520000}"/>
    <cellStyle name="Normal 2 5 4 3 3 5 3" xfId="25110" xr:uid="{00000000-0005-0000-0000-000064520000}"/>
    <cellStyle name="Normal 2 5 4 3 3 5 3 2" xfId="50663" xr:uid="{00000000-0005-0000-0000-000065520000}"/>
    <cellStyle name="Normal 2 5 4 3 3 5 4" xfId="31593" xr:uid="{00000000-0005-0000-0000-000066520000}"/>
    <cellStyle name="Normal 2 5 4 3 3 6" xfId="7476" xr:uid="{00000000-0005-0000-0000-000067520000}"/>
    <cellStyle name="Normal 2 5 4 3 3 6 2" xfId="19885" xr:uid="{00000000-0005-0000-0000-000068520000}"/>
    <cellStyle name="Normal 2 5 4 3 3 6 2 2" xfId="45438" xr:uid="{00000000-0005-0000-0000-000069520000}"/>
    <cellStyle name="Normal 2 5 4 3 3 6 3" xfId="33033" xr:uid="{00000000-0005-0000-0000-00006A520000}"/>
    <cellStyle name="Normal 2 5 4 3 3 7" xfId="16396" xr:uid="{00000000-0005-0000-0000-00006B520000}"/>
    <cellStyle name="Normal 2 5 4 3 3 7 2" xfId="41949" xr:uid="{00000000-0005-0000-0000-00006C520000}"/>
    <cellStyle name="Normal 2 5 4 3 3 8" xfId="26368" xr:uid="{00000000-0005-0000-0000-00006D520000}"/>
    <cellStyle name="Normal 2 5 4 3 4" xfId="761" xr:uid="{00000000-0005-0000-0000-00006E520000}"/>
    <cellStyle name="Normal 2 5 4 3 4 2" xfId="3247" xr:uid="{00000000-0005-0000-0000-00006F520000}"/>
    <cellStyle name="Normal 2 5 4 3 4 2 2" xfId="12389" xr:uid="{00000000-0005-0000-0000-000070520000}"/>
    <cellStyle name="Normal 2 5 4 3 4 2 2 2" xfId="22608" xr:uid="{00000000-0005-0000-0000-000071520000}"/>
    <cellStyle name="Normal 2 5 4 3 4 2 2 2 2" xfId="48161" xr:uid="{00000000-0005-0000-0000-000072520000}"/>
    <cellStyle name="Normal 2 5 4 3 4 2 2 3" xfId="37944" xr:uid="{00000000-0005-0000-0000-000073520000}"/>
    <cellStyle name="Normal 2 5 4 3 4 2 3" xfId="8811" xr:uid="{00000000-0005-0000-0000-000074520000}"/>
    <cellStyle name="Normal 2 5 4 3 4 2 3 2" xfId="34368" xr:uid="{00000000-0005-0000-0000-000075520000}"/>
    <cellStyle name="Normal 2 5 4 3 4 2 4" xfId="17601" xr:uid="{00000000-0005-0000-0000-000076520000}"/>
    <cellStyle name="Normal 2 5 4 3 4 2 4 2" xfId="43154" xr:uid="{00000000-0005-0000-0000-000077520000}"/>
    <cellStyle name="Normal 2 5 4 3 4 2 5" xfId="29091" xr:uid="{00000000-0005-0000-0000-000078520000}"/>
    <cellStyle name="Normal 2 5 4 3 4 3" xfId="4925" xr:uid="{00000000-0005-0000-0000-000079520000}"/>
    <cellStyle name="Normal 2 5 4 3 4 3 2" xfId="13762" xr:uid="{00000000-0005-0000-0000-00007A520000}"/>
    <cellStyle name="Normal 2 5 4 3 4 3 2 2" xfId="24013" xr:uid="{00000000-0005-0000-0000-00007B520000}"/>
    <cellStyle name="Normal 2 5 4 3 4 3 2 2 2" xfId="49566" xr:uid="{00000000-0005-0000-0000-00007C520000}"/>
    <cellStyle name="Normal 2 5 4 3 4 3 2 3" xfId="39317" xr:uid="{00000000-0005-0000-0000-00007D520000}"/>
    <cellStyle name="Normal 2 5 4 3 4 3 3" xfId="10183" xr:uid="{00000000-0005-0000-0000-00007E520000}"/>
    <cellStyle name="Normal 2 5 4 3 4 3 3 2" xfId="35740" xr:uid="{00000000-0005-0000-0000-00007F520000}"/>
    <cellStyle name="Normal 2 5 4 3 4 3 4" xfId="19006" xr:uid="{00000000-0005-0000-0000-000080520000}"/>
    <cellStyle name="Normal 2 5 4 3 4 3 4 2" xfId="44559" xr:uid="{00000000-0005-0000-0000-000081520000}"/>
    <cellStyle name="Normal 2 5 4 3 4 3 5" xfId="30496" xr:uid="{00000000-0005-0000-0000-000082520000}"/>
    <cellStyle name="Normal 2 5 4 3 4 4" xfId="2356" xr:uid="{00000000-0005-0000-0000-000083520000}"/>
    <cellStyle name="Normal 2 5 4 3 4 4 2" xfId="11721" xr:uid="{00000000-0005-0000-0000-000084520000}"/>
    <cellStyle name="Normal 2 5 4 3 4 4 2 2" xfId="37276" xr:uid="{00000000-0005-0000-0000-000085520000}"/>
    <cellStyle name="Normal 2 5 4 3 4 4 3" xfId="21725" xr:uid="{00000000-0005-0000-0000-000086520000}"/>
    <cellStyle name="Normal 2 5 4 3 4 4 3 2" xfId="47278" xr:uid="{00000000-0005-0000-0000-000087520000}"/>
    <cellStyle name="Normal 2 5 4 3 4 4 4" xfId="28208" xr:uid="{00000000-0005-0000-0000-000088520000}"/>
    <cellStyle name="Normal 2 5 4 3 4 5" xfId="6380" xr:uid="{00000000-0005-0000-0000-000089520000}"/>
    <cellStyle name="Normal 2 5 4 3 4 5 2" xfId="15207" xr:uid="{00000000-0005-0000-0000-00008A520000}"/>
    <cellStyle name="Normal 2 5 4 3 4 5 2 2" xfId="40762" xr:uid="{00000000-0005-0000-0000-00008B520000}"/>
    <cellStyle name="Normal 2 5 4 3 4 5 3" xfId="25458" xr:uid="{00000000-0005-0000-0000-00008C520000}"/>
    <cellStyle name="Normal 2 5 4 3 4 5 3 2" xfId="51011" xr:uid="{00000000-0005-0000-0000-00008D520000}"/>
    <cellStyle name="Normal 2 5 4 3 4 5 4" xfId="31941" xr:uid="{00000000-0005-0000-0000-00008E520000}"/>
    <cellStyle name="Normal 2 5 4 3 4 6" xfId="7826" xr:uid="{00000000-0005-0000-0000-00008F520000}"/>
    <cellStyle name="Normal 2 5 4 3 4 6 2" xfId="20207" xr:uid="{00000000-0005-0000-0000-000090520000}"/>
    <cellStyle name="Normal 2 5 4 3 4 6 2 2" xfId="45760" xr:uid="{00000000-0005-0000-0000-000091520000}"/>
    <cellStyle name="Normal 2 5 4 3 4 6 3" xfId="33383" xr:uid="{00000000-0005-0000-0000-000092520000}"/>
    <cellStyle name="Normal 2 5 4 3 4 7" xfId="16718" xr:uid="{00000000-0005-0000-0000-000093520000}"/>
    <cellStyle name="Normal 2 5 4 3 4 7 2" xfId="42271" xr:uid="{00000000-0005-0000-0000-000094520000}"/>
    <cellStyle name="Normal 2 5 4 3 4 8" xfId="26690" xr:uid="{00000000-0005-0000-0000-000095520000}"/>
    <cellStyle name="Normal 2 5 4 3 5" xfId="1211" xr:uid="{00000000-0005-0000-0000-000096520000}"/>
    <cellStyle name="Normal 2 5 4 3 5 2" xfId="3640" xr:uid="{00000000-0005-0000-0000-000097520000}"/>
    <cellStyle name="Normal 2 5 4 3 5 2 2" xfId="12776" xr:uid="{00000000-0005-0000-0000-000098520000}"/>
    <cellStyle name="Normal 2 5 4 3 5 2 2 2" xfId="22995" xr:uid="{00000000-0005-0000-0000-000099520000}"/>
    <cellStyle name="Normal 2 5 4 3 5 2 2 2 2" xfId="48548" xr:uid="{00000000-0005-0000-0000-00009A520000}"/>
    <cellStyle name="Normal 2 5 4 3 5 2 2 3" xfId="38331" xr:uid="{00000000-0005-0000-0000-00009B520000}"/>
    <cellStyle name="Normal 2 5 4 3 5 2 3" xfId="9197" xr:uid="{00000000-0005-0000-0000-00009C520000}"/>
    <cellStyle name="Normal 2 5 4 3 5 2 3 2" xfId="34754" xr:uid="{00000000-0005-0000-0000-00009D520000}"/>
    <cellStyle name="Normal 2 5 4 3 5 2 4" xfId="17988" xr:uid="{00000000-0005-0000-0000-00009E520000}"/>
    <cellStyle name="Normal 2 5 4 3 5 2 4 2" xfId="43541" xr:uid="{00000000-0005-0000-0000-00009F520000}"/>
    <cellStyle name="Normal 2 5 4 3 5 2 5" xfId="29478" xr:uid="{00000000-0005-0000-0000-0000A0520000}"/>
    <cellStyle name="Normal 2 5 4 3 5 3" xfId="5303" xr:uid="{00000000-0005-0000-0000-0000A1520000}"/>
    <cellStyle name="Normal 2 5 4 3 5 3 2" xfId="14140" xr:uid="{00000000-0005-0000-0000-0000A2520000}"/>
    <cellStyle name="Normal 2 5 4 3 5 3 2 2" xfId="24391" xr:uid="{00000000-0005-0000-0000-0000A3520000}"/>
    <cellStyle name="Normal 2 5 4 3 5 3 2 2 2" xfId="49944" xr:uid="{00000000-0005-0000-0000-0000A4520000}"/>
    <cellStyle name="Normal 2 5 4 3 5 3 2 3" xfId="39695" xr:uid="{00000000-0005-0000-0000-0000A5520000}"/>
    <cellStyle name="Normal 2 5 4 3 5 3 3" xfId="10561" xr:uid="{00000000-0005-0000-0000-0000A6520000}"/>
    <cellStyle name="Normal 2 5 4 3 5 3 3 2" xfId="36118" xr:uid="{00000000-0005-0000-0000-0000A7520000}"/>
    <cellStyle name="Normal 2 5 4 3 5 3 4" xfId="19384" xr:uid="{00000000-0005-0000-0000-0000A8520000}"/>
    <cellStyle name="Normal 2 5 4 3 5 3 4 2" xfId="44937" xr:uid="{00000000-0005-0000-0000-0000A9520000}"/>
    <cellStyle name="Normal 2 5 4 3 5 3 5" xfId="30874" xr:uid="{00000000-0005-0000-0000-0000AA520000}"/>
    <cellStyle name="Normal 2 5 4 3 5 4" xfId="1814" xr:uid="{00000000-0005-0000-0000-0000AB520000}"/>
    <cellStyle name="Normal 2 5 4 3 5 4 2" xfId="11182" xr:uid="{00000000-0005-0000-0000-0000AC520000}"/>
    <cellStyle name="Normal 2 5 4 3 5 4 2 2" xfId="36737" xr:uid="{00000000-0005-0000-0000-0000AD520000}"/>
    <cellStyle name="Normal 2 5 4 3 5 4 3" xfId="21186" xr:uid="{00000000-0005-0000-0000-0000AE520000}"/>
    <cellStyle name="Normal 2 5 4 3 5 4 3 2" xfId="46739" xr:uid="{00000000-0005-0000-0000-0000AF520000}"/>
    <cellStyle name="Normal 2 5 4 3 5 4 4" xfId="27669" xr:uid="{00000000-0005-0000-0000-0000B0520000}"/>
    <cellStyle name="Normal 2 5 4 3 5 5" xfId="6758" xr:uid="{00000000-0005-0000-0000-0000B1520000}"/>
    <cellStyle name="Normal 2 5 4 3 5 5 2" xfId="15585" xr:uid="{00000000-0005-0000-0000-0000B2520000}"/>
    <cellStyle name="Normal 2 5 4 3 5 5 2 2" xfId="41140" xr:uid="{00000000-0005-0000-0000-0000B3520000}"/>
    <cellStyle name="Normal 2 5 4 3 5 5 3" xfId="25836" xr:uid="{00000000-0005-0000-0000-0000B4520000}"/>
    <cellStyle name="Normal 2 5 4 3 5 5 3 2" xfId="51389" xr:uid="{00000000-0005-0000-0000-0000B5520000}"/>
    <cellStyle name="Normal 2 5 4 3 5 5 4" xfId="32319" xr:uid="{00000000-0005-0000-0000-0000B6520000}"/>
    <cellStyle name="Normal 2 5 4 3 5 6" xfId="8204" xr:uid="{00000000-0005-0000-0000-0000B7520000}"/>
    <cellStyle name="Normal 2 5 4 3 5 6 2" xfId="20594" xr:uid="{00000000-0005-0000-0000-0000B8520000}"/>
    <cellStyle name="Normal 2 5 4 3 5 6 2 2" xfId="46147" xr:uid="{00000000-0005-0000-0000-0000B9520000}"/>
    <cellStyle name="Normal 2 5 4 3 5 6 3" xfId="33761" xr:uid="{00000000-0005-0000-0000-0000BA520000}"/>
    <cellStyle name="Normal 2 5 4 3 5 7" xfId="16179" xr:uid="{00000000-0005-0000-0000-0000BB520000}"/>
    <cellStyle name="Normal 2 5 4 3 5 7 2" xfId="41732" xr:uid="{00000000-0005-0000-0000-0000BC520000}"/>
    <cellStyle name="Normal 2 5 4 3 5 8" xfId="27077" xr:uid="{00000000-0005-0000-0000-0000BD520000}"/>
    <cellStyle name="Normal 2 5 4 3 6" xfId="2708" xr:uid="{00000000-0005-0000-0000-0000BE520000}"/>
    <cellStyle name="Normal 2 5 4 3 6 2" xfId="12025" xr:uid="{00000000-0005-0000-0000-0000BF520000}"/>
    <cellStyle name="Normal 2 5 4 3 6 2 2" xfId="22069" xr:uid="{00000000-0005-0000-0000-0000C0520000}"/>
    <cellStyle name="Normal 2 5 4 3 6 2 2 2" xfId="47622" xr:uid="{00000000-0005-0000-0000-0000C1520000}"/>
    <cellStyle name="Normal 2 5 4 3 6 2 3" xfId="37580" xr:uid="{00000000-0005-0000-0000-0000C2520000}"/>
    <cellStyle name="Normal 2 5 4 3 6 3" xfId="8540" xr:uid="{00000000-0005-0000-0000-0000C3520000}"/>
    <cellStyle name="Normal 2 5 4 3 6 3 2" xfId="34097" xr:uid="{00000000-0005-0000-0000-0000C4520000}"/>
    <cellStyle name="Normal 2 5 4 3 6 4" xfId="17062" xr:uid="{00000000-0005-0000-0000-0000C5520000}"/>
    <cellStyle name="Normal 2 5 4 3 6 4 2" xfId="42615" xr:uid="{00000000-0005-0000-0000-0000C6520000}"/>
    <cellStyle name="Normal 2 5 4 3 6 5" xfId="28552" xr:uid="{00000000-0005-0000-0000-0000C7520000}"/>
    <cellStyle name="Normal 2 5 4 3 7" xfId="4259" xr:uid="{00000000-0005-0000-0000-0000C8520000}"/>
    <cellStyle name="Normal 2 5 4 3 7 2" xfId="13097" xr:uid="{00000000-0005-0000-0000-0000C9520000}"/>
    <cellStyle name="Normal 2 5 4 3 7 2 2" xfId="23348" xr:uid="{00000000-0005-0000-0000-0000CA520000}"/>
    <cellStyle name="Normal 2 5 4 3 7 2 2 2" xfId="48901" xr:uid="{00000000-0005-0000-0000-0000CB520000}"/>
    <cellStyle name="Normal 2 5 4 3 7 2 3" xfId="38652" xr:uid="{00000000-0005-0000-0000-0000CC520000}"/>
    <cellStyle name="Normal 2 5 4 3 7 3" xfId="9518" xr:uid="{00000000-0005-0000-0000-0000CD520000}"/>
    <cellStyle name="Normal 2 5 4 3 7 3 2" xfId="35075" xr:uid="{00000000-0005-0000-0000-0000CE520000}"/>
    <cellStyle name="Normal 2 5 4 3 7 4" xfId="18341" xr:uid="{00000000-0005-0000-0000-0000CF520000}"/>
    <cellStyle name="Normal 2 5 4 3 7 4 2" xfId="43894" xr:uid="{00000000-0005-0000-0000-0000D0520000}"/>
    <cellStyle name="Normal 2 5 4 3 7 5" xfId="29831" xr:uid="{00000000-0005-0000-0000-0000D1520000}"/>
    <cellStyle name="Normal 2 5 4 3 8" xfId="1531" xr:uid="{00000000-0005-0000-0000-0000D2520000}"/>
    <cellStyle name="Normal 2 5 4 3 8 2" xfId="10908" xr:uid="{00000000-0005-0000-0000-0000D3520000}"/>
    <cellStyle name="Normal 2 5 4 3 8 2 2" xfId="36463" xr:uid="{00000000-0005-0000-0000-0000D4520000}"/>
    <cellStyle name="Normal 2 5 4 3 8 3" xfId="20912" xr:uid="{00000000-0005-0000-0000-0000D5520000}"/>
    <cellStyle name="Normal 2 5 4 3 8 3 2" xfId="46465" xr:uid="{00000000-0005-0000-0000-0000D6520000}"/>
    <cellStyle name="Normal 2 5 4 3 8 4" xfId="27395" xr:uid="{00000000-0005-0000-0000-0000D7520000}"/>
    <cellStyle name="Normal 2 5 4 3 9" xfId="5715" xr:uid="{00000000-0005-0000-0000-0000D8520000}"/>
    <cellStyle name="Normal 2 5 4 3 9 2" xfId="14542" xr:uid="{00000000-0005-0000-0000-0000D9520000}"/>
    <cellStyle name="Normal 2 5 4 3 9 2 2" xfId="40097" xr:uid="{00000000-0005-0000-0000-0000DA520000}"/>
    <cellStyle name="Normal 2 5 4 3 9 3" xfId="24793" xr:uid="{00000000-0005-0000-0000-0000DB520000}"/>
    <cellStyle name="Normal 2 5 4 3 9 3 2" xfId="50346" xr:uid="{00000000-0005-0000-0000-0000DC520000}"/>
    <cellStyle name="Normal 2 5 4 3 9 4" xfId="31276" xr:uid="{00000000-0005-0000-0000-0000DD520000}"/>
    <cellStyle name="Normal 2 5 4 3_Degree data" xfId="3929" xr:uid="{00000000-0005-0000-0000-0000DE520000}"/>
    <cellStyle name="Normal 2 5 4 4" xfId="245" xr:uid="{00000000-0005-0000-0000-0000DF520000}"/>
    <cellStyle name="Normal 2 5 4 4 10" xfId="7083" xr:uid="{00000000-0005-0000-0000-0000E0520000}"/>
    <cellStyle name="Normal 2 5 4 4 10 2" xfId="19697" xr:uid="{00000000-0005-0000-0000-0000E1520000}"/>
    <cellStyle name="Normal 2 5 4 4 10 2 2" xfId="45250" xr:uid="{00000000-0005-0000-0000-0000E2520000}"/>
    <cellStyle name="Normal 2 5 4 4 10 3" xfId="32640" xr:uid="{00000000-0005-0000-0000-0000E3520000}"/>
    <cellStyle name="Normal 2 5 4 4 11" xfId="15829" xr:uid="{00000000-0005-0000-0000-0000E4520000}"/>
    <cellStyle name="Normal 2 5 4 4 11 2" xfId="41382" xr:uid="{00000000-0005-0000-0000-0000E5520000}"/>
    <cellStyle name="Normal 2 5 4 4 12" xfId="26180" xr:uid="{00000000-0005-0000-0000-0000E6520000}"/>
    <cellStyle name="Normal 2 5 4 4 2" xfId="568" xr:uid="{00000000-0005-0000-0000-0000E7520000}"/>
    <cellStyle name="Normal 2 5 4 4 2 10" xfId="26497" xr:uid="{00000000-0005-0000-0000-0000E8520000}"/>
    <cellStyle name="Normal 2 5 4 4 2 2" xfId="764" xr:uid="{00000000-0005-0000-0000-0000E9520000}"/>
    <cellStyle name="Normal 2 5 4 4 2 2 2" xfId="3250" xr:uid="{00000000-0005-0000-0000-0000EA520000}"/>
    <cellStyle name="Normal 2 5 4 4 2 2 2 2" xfId="12392" xr:uid="{00000000-0005-0000-0000-0000EB520000}"/>
    <cellStyle name="Normal 2 5 4 4 2 2 2 2 2" xfId="22611" xr:uid="{00000000-0005-0000-0000-0000EC520000}"/>
    <cellStyle name="Normal 2 5 4 4 2 2 2 2 2 2" xfId="48164" xr:uid="{00000000-0005-0000-0000-0000ED520000}"/>
    <cellStyle name="Normal 2 5 4 4 2 2 2 2 3" xfId="37947" xr:uid="{00000000-0005-0000-0000-0000EE520000}"/>
    <cellStyle name="Normal 2 5 4 4 2 2 2 3" xfId="8814" xr:uid="{00000000-0005-0000-0000-0000EF520000}"/>
    <cellStyle name="Normal 2 5 4 4 2 2 2 3 2" xfId="34371" xr:uid="{00000000-0005-0000-0000-0000F0520000}"/>
    <cellStyle name="Normal 2 5 4 4 2 2 2 4" xfId="17604" xr:uid="{00000000-0005-0000-0000-0000F1520000}"/>
    <cellStyle name="Normal 2 5 4 4 2 2 2 4 2" xfId="43157" xr:uid="{00000000-0005-0000-0000-0000F2520000}"/>
    <cellStyle name="Normal 2 5 4 4 2 2 2 5" xfId="29094" xr:uid="{00000000-0005-0000-0000-0000F3520000}"/>
    <cellStyle name="Normal 2 5 4 4 2 2 3" xfId="4579" xr:uid="{00000000-0005-0000-0000-0000F4520000}"/>
    <cellStyle name="Normal 2 5 4 4 2 2 3 2" xfId="13417" xr:uid="{00000000-0005-0000-0000-0000F5520000}"/>
    <cellStyle name="Normal 2 5 4 4 2 2 3 2 2" xfId="23668" xr:uid="{00000000-0005-0000-0000-0000F6520000}"/>
    <cellStyle name="Normal 2 5 4 4 2 2 3 2 2 2" xfId="49221" xr:uid="{00000000-0005-0000-0000-0000F7520000}"/>
    <cellStyle name="Normal 2 5 4 4 2 2 3 2 3" xfId="38972" xr:uid="{00000000-0005-0000-0000-0000F8520000}"/>
    <cellStyle name="Normal 2 5 4 4 2 2 3 3" xfId="9838" xr:uid="{00000000-0005-0000-0000-0000F9520000}"/>
    <cellStyle name="Normal 2 5 4 4 2 2 3 3 2" xfId="35395" xr:uid="{00000000-0005-0000-0000-0000FA520000}"/>
    <cellStyle name="Normal 2 5 4 4 2 2 3 4" xfId="18661" xr:uid="{00000000-0005-0000-0000-0000FB520000}"/>
    <cellStyle name="Normal 2 5 4 4 2 2 3 4 2" xfId="44214" xr:uid="{00000000-0005-0000-0000-0000FC520000}"/>
    <cellStyle name="Normal 2 5 4 4 2 2 3 5" xfId="30151" xr:uid="{00000000-0005-0000-0000-0000FD520000}"/>
    <cellStyle name="Normal 2 5 4 4 2 2 4" xfId="2359" xr:uid="{00000000-0005-0000-0000-0000FE520000}"/>
    <cellStyle name="Normal 2 5 4 4 2 2 4 2" xfId="11724" xr:uid="{00000000-0005-0000-0000-0000FF520000}"/>
    <cellStyle name="Normal 2 5 4 4 2 2 4 2 2" xfId="37279" xr:uid="{00000000-0005-0000-0000-000000530000}"/>
    <cellStyle name="Normal 2 5 4 4 2 2 4 3" xfId="21728" xr:uid="{00000000-0005-0000-0000-000001530000}"/>
    <cellStyle name="Normal 2 5 4 4 2 2 4 3 2" xfId="47281" xr:uid="{00000000-0005-0000-0000-000002530000}"/>
    <cellStyle name="Normal 2 5 4 4 2 2 4 4" xfId="28211" xr:uid="{00000000-0005-0000-0000-000003530000}"/>
    <cellStyle name="Normal 2 5 4 4 2 2 5" xfId="6035" xr:uid="{00000000-0005-0000-0000-000004530000}"/>
    <cellStyle name="Normal 2 5 4 4 2 2 5 2" xfId="14862" xr:uid="{00000000-0005-0000-0000-000005530000}"/>
    <cellStyle name="Normal 2 5 4 4 2 2 5 2 2" xfId="40417" xr:uid="{00000000-0005-0000-0000-000006530000}"/>
    <cellStyle name="Normal 2 5 4 4 2 2 5 3" xfId="25113" xr:uid="{00000000-0005-0000-0000-000007530000}"/>
    <cellStyle name="Normal 2 5 4 4 2 2 5 3 2" xfId="50666" xr:uid="{00000000-0005-0000-0000-000008530000}"/>
    <cellStyle name="Normal 2 5 4 4 2 2 5 4" xfId="31596" xr:uid="{00000000-0005-0000-0000-000009530000}"/>
    <cellStyle name="Normal 2 5 4 4 2 2 6" xfId="7479" xr:uid="{00000000-0005-0000-0000-00000A530000}"/>
    <cellStyle name="Normal 2 5 4 4 2 2 6 2" xfId="20210" xr:uid="{00000000-0005-0000-0000-00000B530000}"/>
    <cellStyle name="Normal 2 5 4 4 2 2 6 2 2" xfId="45763" xr:uid="{00000000-0005-0000-0000-00000C530000}"/>
    <cellStyle name="Normal 2 5 4 4 2 2 6 3" xfId="33036" xr:uid="{00000000-0005-0000-0000-00000D530000}"/>
    <cellStyle name="Normal 2 5 4 4 2 2 7" xfId="16721" xr:uid="{00000000-0005-0000-0000-00000E530000}"/>
    <cellStyle name="Normal 2 5 4 4 2 2 7 2" xfId="42274" xr:uid="{00000000-0005-0000-0000-00000F530000}"/>
    <cellStyle name="Normal 2 5 4 4 2 2 8" xfId="26693" xr:uid="{00000000-0005-0000-0000-000010530000}"/>
    <cellStyle name="Normal 2 5 4 4 2 3" xfId="1340" xr:uid="{00000000-0005-0000-0000-000011530000}"/>
    <cellStyle name="Normal 2 5 4 4 2 3 2" xfId="3769" xr:uid="{00000000-0005-0000-0000-000012530000}"/>
    <cellStyle name="Normal 2 5 4 4 2 3 2 2" xfId="12905" xr:uid="{00000000-0005-0000-0000-000013530000}"/>
    <cellStyle name="Normal 2 5 4 4 2 3 2 2 2" xfId="23124" xr:uid="{00000000-0005-0000-0000-000014530000}"/>
    <cellStyle name="Normal 2 5 4 4 2 3 2 2 2 2" xfId="48677" xr:uid="{00000000-0005-0000-0000-000015530000}"/>
    <cellStyle name="Normal 2 5 4 4 2 3 2 2 3" xfId="38460" xr:uid="{00000000-0005-0000-0000-000016530000}"/>
    <cellStyle name="Normal 2 5 4 4 2 3 2 3" xfId="9326" xr:uid="{00000000-0005-0000-0000-000017530000}"/>
    <cellStyle name="Normal 2 5 4 4 2 3 2 3 2" xfId="34883" xr:uid="{00000000-0005-0000-0000-000018530000}"/>
    <cellStyle name="Normal 2 5 4 4 2 3 2 4" xfId="18117" xr:uid="{00000000-0005-0000-0000-000019530000}"/>
    <cellStyle name="Normal 2 5 4 4 2 3 2 4 2" xfId="43670" xr:uid="{00000000-0005-0000-0000-00001A530000}"/>
    <cellStyle name="Normal 2 5 4 4 2 3 2 5" xfId="29607" xr:uid="{00000000-0005-0000-0000-00001B530000}"/>
    <cellStyle name="Normal 2 5 4 4 2 3 3" xfId="4928" xr:uid="{00000000-0005-0000-0000-00001C530000}"/>
    <cellStyle name="Normal 2 5 4 4 2 3 3 2" xfId="13765" xr:uid="{00000000-0005-0000-0000-00001D530000}"/>
    <cellStyle name="Normal 2 5 4 4 2 3 3 2 2" xfId="24016" xr:uid="{00000000-0005-0000-0000-00001E530000}"/>
    <cellStyle name="Normal 2 5 4 4 2 3 3 2 2 2" xfId="49569" xr:uid="{00000000-0005-0000-0000-00001F530000}"/>
    <cellStyle name="Normal 2 5 4 4 2 3 3 2 3" xfId="39320" xr:uid="{00000000-0005-0000-0000-000020530000}"/>
    <cellStyle name="Normal 2 5 4 4 2 3 3 3" xfId="10186" xr:uid="{00000000-0005-0000-0000-000021530000}"/>
    <cellStyle name="Normal 2 5 4 4 2 3 3 3 2" xfId="35743" xr:uid="{00000000-0005-0000-0000-000022530000}"/>
    <cellStyle name="Normal 2 5 4 4 2 3 3 4" xfId="19009" xr:uid="{00000000-0005-0000-0000-000023530000}"/>
    <cellStyle name="Normal 2 5 4 4 2 3 3 4 2" xfId="44562" xr:uid="{00000000-0005-0000-0000-000024530000}"/>
    <cellStyle name="Normal 2 5 4 4 2 3 3 5" xfId="30499" xr:uid="{00000000-0005-0000-0000-000025530000}"/>
    <cellStyle name="Normal 2 5 4 4 2 3 4" xfId="2163" xr:uid="{00000000-0005-0000-0000-000026530000}"/>
    <cellStyle name="Normal 2 5 4 4 2 3 4 2" xfId="11528" xr:uid="{00000000-0005-0000-0000-000027530000}"/>
    <cellStyle name="Normal 2 5 4 4 2 3 4 2 2" xfId="37083" xr:uid="{00000000-0005-0000-0000-000028530000}"/>
    <cellStyle name="Normal 2 5 4 4 2 3 4 3" xfId="21532" xr:uid="{00000000-0005-0000-0000-000029530000}"/>
    <cellStyle name="Normal 2 5 4 4 2 3 4 3 2" xfId="47085" xr:uid="{00000000-0005-0000-0000-00002A530000}"/>
    <cellStyle name="Normal 2 5 4 4 2 3 4 4" xfId="28015" xr:uid="{00000000-0005-0000-0000-00002B530000}"/>
    <cellStyle name="Normal 2 5 4 4 2 3 5" xfId="6383" xr:uid="{00000000-0005-0000-0000-00002C530000}"/>
    <cellStyle name="Normal 2 5 4 4 2 3 5 2" xfId="15210" xr:uid="{00000000-0005-0000-0000-00002D530000}"/>
    <cellStyle name="Normal 2 5 4 4 2 3 5 2 2" xfId="40765" xr:uid="{00000000-0005-0000-0000-00002E530000}"/>
    <cellStyle name="Normal 2 5 4 4 2 3 5 3" xfId="25461" xr:uid="{00000000-0005-0000-0000-00002F530000}"/>
    <cellStyle name="Normal 2 5 4 4 2 3 5 3 2" xfId="51014" xr:uid="{00000000-0005-0000-0000-000030530000}"/>
    <cellStyle name="Normal 2 5 4 4 2 3 5 4" xfId="31944" xr:uid="{00000000-0005-0000-0000-000031530000}"/>
    <cellStyle name="Normal 2 5 4 4 2 3 6" xfId="7829" xr:uid="{00000000-0005-0000-0000-000032530000}"/>
    <cellStyle name="Normal 2 5 4 4 2 3 6 2" xfId="20723" xr:uid="{00000000-0005-0000-0000-000033530000}"/>
    <cellStyle name="Normal 2 5 4 4 2 3 6 2 2" xfId="46276" xr:uid="{00000000-0005-0000-0000-000034530000}"/>
    <cellStyle name="Normal 2 5 4 4 2 3 6 3" xfId="33386" xr:uid="{00000000-0005-0000-0000-000035530000}"/>
    <cellStyle name="Normal 2 5 4 4 2 3 7" xfId="16525" xr:uid="{00000000-0005-0000-0000-000036530000}"/>
    <cellStyle name="Normal 2 5 4 4 2 3 7 2" xfId="42078" xr:uid="{00000000-0005-0000-0000-000037530000}"/>
    <cellStyle name="Normal 2 5 4 4 2 3 8" xfId="27206" xr:uid="{00000000-0005-0000-0000-000038530000}"/>
    <cellStyle name="Normal 2 5 4 4 2 4" xfId="3054" xr:uid="{00000000-0005-0000-0000-000039530000}"/>
    <cellStyle name="Normal 2 5 4 4 2 4 2" xfId="5432" xr:uid="{00000000-0005-0000-0000-00003A530000}"/>
    <cellStyle name="Normal 2 5 4 4 2 4 2 2" xfId="14269" xr:uid="{00000000-0005-0000-0000-00003B530000}"/>
    <cellStyle name="Normal 2 5 4 4 2 4 2 2 2" xfId="24520" xr:uid="{00000000-0005-0000-0000-00003C530000}"/>
    <cellStyle name="Normal 2 5 4 4 2 4 2 2 2 2" xfId="50073" xr:uid="{00000000-0005-0000-0000-00003D530000}"/>
    <cellStyle name="Normal 2 5 4 4 2 4 2 2 3" xfId="39824" xr:uid="{00000000-0005-0000-0000-00003E530000}"/>
    <cellStyle name="Normal 2 5 4 4 2 4 2 3" xfId="10690" xr:uid="{00000000-0005-0000-0000-00003F530000}"/>
    <cellStyle name="Normal 2 5 4 4 2 4 2 3 2" xfId="36247" xr:uid="{00000000-0005-0000-0000-000040530000}"/>
    <cellStyle name="Normal 2 5 4 4 2 4 2 4" xfId="19513" xr:uid="{00000000-0005-0000-0000-000041530000}"/>
    <cellStyle name="Normal 2 5 4 4 2 4 2 4 2" xfId="45066" xr:uid="{00000000-0005-0000-0000-000042530000}"/>
    <cellStyle name="Normal 2 5 4 4 2 4 2 5" xfId="31003" xr:uid="{00000000-0005-0000-0000-000043530000}"/>
    <cellStyle name="Normal 2 5 4 4 2 4 3" xfId="6887" xr:uid="{00000000-0005-0000-0000-000044530000}"/>
    <cellStyle name="Normal 2 5 4 4 2 4 3 2" xfId="15714" xr:uid="{00000000-0005-0000-0000-000045530000}"/>
    <cellStyle name="Normal 2 5 4 4 2 4 3 2 2" xfId="41269" xr:uid="{00000000-0005-0000-0000-000046530000}"/>
    <cellStyle name="Normal 2 5 4 4 2 4 3 3" xfId="25965" xr:uid="{00000000-0005-0000-0000-000047530000}"/>
    <cellStyle name="Normal 2 5 4 4 2 4 3 3 2" xfId="51518" xr:uid="{00000000-0005-0000-0000-000048530000}"/>
    <cellStyle name="Normal 2 5 4 4 2 4 3 4" xfId="32448" xr:uid="{00000000-0005-0000-0000-000049530000}"/>
    <cellStyle name="Normal 2 5 4 4 2 4 4" xfId="8333" xr:uid="{00000000-0005-0000-0000-00004A530000}"/>
    <cellStyle name="Normal 2 5 4 4 2 4 4 2" xfId="22415" xr:uid="{00000000-0005-0000-0000-00004B530000}"/>
    <cellStyle name="Normal 2 5 4 4 2 4 4 2 2" xfId="47968" xr:uid="{00000000-0005-0000-0000-00004C530000}"/>
    <cellStyle name="Normal 2 5 4 4 2 4 4 3" xfId="33890" xr:uid="{00000000-0005-0000-0000-00004D530000}"/>
    <cellStyle name="Normal 2 5 4 4 2 4 5" xfId="17408" xr:uid="{00000000-0005-0000-0000-00004E530000}"/>
    <cellStyle name="Normal 2 5 4 4 2 4 5 2" xfId="42961" xr:uid="{00000000-0005-0000-0000-00004F530000}"/>
    <cellStyle name="Normal 2 5 4 4 2 4 6" xfId="28898" xr:uid="{00000000-0005-0000-0000-000050530000}"/>
    <cellStyle name="Normal 2 5 4 4 2 5" xfId="4388" xr:uid="{00000000-0005-0000-0000-000051530000}"/>
    <cellStyle name="Normal 2 5 4 4 2 5 2" xfId="13226" xr:uid="{00000000-0005-0000-0000-000052530000}"/>
    <cellStyle name="Normal 2 5 4 4 2 5 2 2" xfId="23477" xr:uid="{00000000-0005-0000-0000-000053530000}"/>
    <cellStyle name="Normal 2 5 4 4 2 5 2 2 2" xfId="49030" xr:uid="{00000000-0005-0000-0000-000054530000}"/>
    <cellStyle name="Normal 2 5 4 4 2 5 2 3" xfId="38781" xr:uid="{00000000-0005-0000-0000-000055530000}"/>
    <cellStyle name="Normal 2 5 4 4 2 5 3" xfId="9647" xr:uid="{00000000-0005-0000-0000-000056530000}"/>
    <cellStyle name="Normal 2 5 4 4 2 5 3 2" xfId="35204" xr:uid="{00000000-0005-0000-0000-000057530000}"/>
    <cellStyle name="Normal 2 5 4 4 2 5 4" xfId="18470" xr:uid="{00000000-0005-0000-0000-000058530000}"/>
    <cellStyle name="Normal 2 5 4 4 2 5 4 2" xfId="44023" xr:uid="{00000000-0005-0000-0000-000059530000}"/>
    <cellStyle name="Normal 2 5 4 4 2 5 5" xfId="29960" xr:uid="{00000000-0005-0000-0000-00005A530000}"/>
    <cellStyle name="Normal 2 5 4 4 2 6" xfId="1660" xr:uid="{00000000-0005-0000-0000-00005B530000}"/>
    <cellStyle name="Normal 2 5 4 4 2 6 2" xfId="11037" xr:uid="{00000000-0005-0000-0000-00005C530000}"/>
    <cellStyle name="Normal 2 5 4 4 2 6 2 2" xfId="36592" xr:uid="{00000000-0005-0000-0000-00005D530000}"/>
    <cellStyle name="Normal 2 5 4 4 2 6 3" xfId="21041" xr:uid="{00000000-0005-0000-0000-00005E530000}"/>
    <cellStyle name="Normal 2 5 4 4 2 6 3 2" xfId="46594" xr:uid="{00000000-0005-0000-0000-00005F530000}"/>
    <cellStyle name="Normal 2 5 4 4 2 6 4" xfId="27524" xr:uid="{00000000-0005-0000-0000-000060530000}"/>
    <cellStyle name="Normal 2 5 4 4 2 7" xfId="5844" xr:uid="{00000000-0005-0000-0000-000061530000}"/>
    <cellStyle name="Normal 2 5 4 4 2 7 2" xfId="14671" xr:uid="{00000000-0005-0000-0000-000062530000}"/>
    <cellStyle name="Normal 2 5 4 4 2 7 2 2" xfId="40226" xr:uid="{00000000-0005-0000-0000-000063530000}"/>
    <cellStyle name="Normal 2 5 4 4 2 7 3" xfId="24922" xr:uid="{00000000-0005-0000-0000-000064530000}"/>
    <cellStyle name="Normal 2 5 4 4 2 7 3 2" xfId="50475" xr:uid="{00000000-0005-0000-0000-000065530000}"/>
    <cellStyle name="Normal 2 5 4 4 2 7 4" xfId="31405" xr:uid="{00000000-0005-0000-0000-000066530000}"/>
    <cellStyle name="Normal 2 5 4 4 2 8" xfId="7288" xr:uid="{00000000-0005-0000-0000-000067530000}"/>
    <cellStyle name="Normal 2 5 4 4 2 8 2" xfId="20014" xr:uid="{00000000-0005-0000-0000-000068530000}"/>
    <cellStyle name="Normal 2 5 4 4 2 8 2 2" xfId="45567" xr:uid="{00000000-0005-0000-0000-000069530000}"/>
    <cellStyle name="Normal 2 5 4 4 2 8 3" xfId="32845" xr:uid="{00000000-0005-0000-0000-00006A530000}"/>
    <cellStyle name="Normal 2 5 4 4 2 9" xfId="16034" xr:uid="{00000000-0005-0000-0000-00006B530000}"/>
    <cellStyle name="Normal 2 5 4 4 2 9 2" xfId="41587" xr:uid="{00000000-0005-0000-0000-00006C530000}"/>
    <cellStyle name="Normal 2 5 4 4 2_Degree data" xfId="3826" xr:uid="{00000000-0005-0000-0000-00006D530000}"/>
    <cellStyle name="Normal 2 5 4 4 3" xfId="363" xr:uid="{00000000-0005-0000-0000-00006E530000}"/>
    <cellStyle name="Normal 2 5 4 4 3 2" xfId="2849" xr:uid="{00000000-0005-0000-0000-00006F530000}"/>
    <cellStyle name="Normal 2 5 4 4 3 2 2" xfId="12137" xr:uid="{00000000-0005-0000-0000-000070530000}"/>
    <cellStyle name="Normal 2 5 4 4 3 2 2 2" xfId="22210" xr:uid="{00000000-0005-0000-0000-000071530000}"/>
    <cellStyle name="Normal 2 5 4 4 3 2 2 2 2" xfId="47763" xr:uid="{00000000-0005-0000-0000-000072530000}"/>
    <cellStyle name="Normal 2 5 4 4 3 2 2 3" xfId="37692" xr:uid="{00000000-0005-0000-0000-000073530000}"/>
    <cellStyle name="Normal 2 5 4 4 3 2 3" xfId="8584" xr:uid="{00000000-0005-0000-0000-000074530000}"/>
    <cellStyle name="Normal 2 5 4 4 3 2 3 2" xfId="34141" xr:uid="{00000000-0005-0000-0000-000075530000}"/>
    <cellStyle name="Normal 2 5 4 4 3 2 4" xfId="17203" xr:uid="{00000000-0005-0000-0000-000076530000}"/>
    <cellStyle name="Normal 2 5 4 4 3 2 4 2" xfId="42756" xr:uid="{00000000-0005-0000-0000-000077530000}"/>
    <cellStyle name="Normal 2 5 4 4 3 2 5" xfId="28693" xr:uid="{00000000-0005-0000-0000-000078530000}"/>
    <cellStyle name="Normal 2 5 4 4 3 3" xfId="4578" xr:uid="{00000000-0005-0000-0000-000079530000}"/>
    <cellStyle name="Normal 2 5 4 4 3 3 2" xfId="13416" xr:uid="{00000000-0005-0000-0000-00007A530000}"/>
    <cellStyle name="Normal 2 5 4 4 3 3 2 2" xfId="23667" xr:uid="{00000000-0005-0000-0000-00007B530000}"/>
    <cellStyle name="Normal 2 5 4 4 3 3 2 2 2" xfId="49220" xr:uid="{00000000-0005-0000-0000-00007C530000}"/>
    <cellStyle name="Normal 2 5 4 4 3 3 2 3" xfId="38971" xr:uid="{00000000-0005-0000-0000-00007D530000}"/>
    <cellStyle name="Normal 2 5 4 4 3 3 3" xfId="9837" xr:uid="{00000000-0005-0000-0000-00007E530000}"/>
    <cellStyle name="Normal 2 5 4 4 3 3 3 2" xfId="35394" xr:uid="{00000000-0005-0000-0000-00007F530000}"/>
    <cellStyle name="Normal 2 5 4 4 3 3 4" xfId="18660" xr:uid="{00000000-0005-0000-0000-000080530000}"/>
    <cellStyle name="Normal 2 5 4 4 3 3 4 2" xfId="44213" xr:uid="{00000000-0005-0000-0000-000081530000}"/>
    <cellStyle name="Normal 2 5 4 4 3 3 5" xfId="30150" xr:uid="{00000000-0005-0000-0000-000082530000}"/>
    <cellStyle name="Normal 2 5 4 4 3 4" xfId="1958" xr:uid="{00000000-0005-0000-0000-000083530000}"/>
    <cellStyle name="Normal 2 5 4 4 3 4 2" xfId="11323" xr:uid="{00000000-0005-0000-0000-000084530000}"/>
    <cellStyle name="Normal 2 5 4 4 3 4 2 2" xfId="36878" xr:uid="{00000000-0005-0000-0000-000085530000}"/>
    <cellStyle name="Normal 2 5 4 4 3 4 3" xfId="21327" xr:uid="{00000000-0005-0000-0000-000086530000}"/>
    <cellStyle name="Normal 2 5 4 4 3 4 3 2" xfId="46880" xr:uid="{00000000-0005-0000-0000-000087530000}"/>
    <cellStyle name="Normal 2 5 4 4 3 4 4" xfId="27810" xr:uid="{00000000-0005-0000-0000-000088530000}"/>
    <cellStyle name="Normal 2 5 4 4 3 5" xfId="6034" xr:uid="{00000000-0005-0000-0000-000089530000}"/>
    <cellStyle name="Normal 2 5 4 4 3 5 2" xfId="14861" xr:uid="{00000000-0005-0000-0000-00008A530000}"/>
    <cellStyle name="Normal 2 5 4 4 3 5 2 2" xfId="40416" xr:uid="{00000000-0005-0000-0000-00008B530000}"/>
    <cellStyle name="Normal 2 5 4 4 3 5 3" xfId="25112" xr:uid="{00000000-0005-0000-0000-00008C530000}"/>
    <cellStyle name="Normal 2 5 4 4 3 5 3 2" xfId="50665" xr:uid="{00000000-0005-0000-0000-00008D530000}"/>
    <cellStyle name="Normal 2 5 4 4 3 5 4" xfId="31595" xr:uid="{00000000-0005-0000-0000-00008E530000}"/>
    <cellStyle name="Normal 2 5 4 4 3 6" xfId="7478" xr:uid="{00000000-0005-0000-0000-00008F530000}"/>
    <cellStyle name="Normal 2 5 4 4 3 6 2" xfId="19809" xr:uid="{00000000-0005-0000-0000-000090530000}"/>
    <cellStyle name="Normal 2 5 4 4 3 6 2 2" xfId="45362" xr:uid="{00000000-0005-0000-0000-000091530000}"/>
    <cellStyle name="Normal 2 5 4 4 3 6 3" xfId="33035" xr:uid="{00000000-0005-0000-0000-000092530000}"/>
    <cellStyle name="Normal 2 5 4 4 3 7" xfId="16320" xr:uid="{00000000-0005-0000-0000-000093530000}"/>
    <cellStyle name="Normal 2 5 4 4 3 7 2" xfId="41873" xr:uid="{00000000-0005-0000-0000-000094530000}"/>
    <cellStyle name="Normal 2 5 4 4 3 8" xfId="26292" xr:uid="{00000000-0005-0000-0000-000095530000}"/>
    <cellStyle name="Normal 2 5 4 4 4" xfId="763" xr:uid="{00000000-0005-0000-0000-000096530000}"/>
    <cellStyle name="Normal 2 5 4 4 4 2" xfId="3249" xr:uid="{00000000-0005-0000-0000-000097530000}"/>
    <cellStyle name="Normal 2 5 4 4 4 2 2" xfId="12391" xr:uid="{00000000-0005-0000-0000-000098530000}"/>
    <cellStyle name="Normal 2 5 4 4 4 2 2 2" xfId="22610" xr:uid="{00000000-0005-0000-0000-000099530000}"/>
    <cellStyle name="Normal 2 5 4 4 4 2 2 2 2" xfId="48163" xr:uid="{00000000-0005-0000-0000-00009A530000}"/>
    <cellStyle name="Normal 2 5 4 4 4 2 2 3" xfId="37946" xr:uid="{00000000-0005-0000-0000-00009B530000}"/>
    <cellStyle name="Normal 2 5 4 4 4 2 3" xfId="8813" xr:uid="{00000000-0005-0000-0000-00009C530000}"/>
    <cellStyle name="Normal 2 5 4 4 4 2 3 2" xfId="34370" xr:uid="{00000000-0005-0000-0000-00009D530000}"/>
    <cellStyle name="Normal 2 5 4 4 4 2 4" xfId="17603" xr:uid="{00000000-0005-0000-0000-00009E530000}"/>
    <cellStyle name="Normal 2 5 4 4 4 2 4 2" xfId="43156" xr:uid="{00000000-0005-0000-0000-00009F530000}"/>
    <cellStyle name="Normal 2 5 4 4 4 2 5" xfId="29093" xr:uid="{00000000-0005-0000-0000-0000A0530000}"/>
    <cellStyle name="Normal 2 5 4 4 4 3" xfId="4927" xr:uid="{00000000-0005-0000-0000-0000A1530000}"/>
    <cellStyle name="Normal 2 5 4 4 4 3 2" xfId="13764" xr:uid="{00000000-0005-0000-0000-0000A2530000}"/>
    <cellStyle name="Normal 2 5 4 4 4 3 2 2" xfId="24015" xr:uid="{00000000-0005-0000-0000-0000A3530000}"/>
    <cellStyle name="Normal 2 5 4 4 4 3 2 2 2" xfId="49568" xr:uid="{00000000-0005-0000-0000-0000A4530000}"/>
    <cellStyle name="Normal 2 5 4 4 4 3 2 3" xfId="39319" xr:uid="{00000000-0005-0000-0000-0000A5530000}"/>
    <cellStyle name="Normal 2 5 4 4 4 3 3" xfId="10185" xr:uid="{00000000-0005-0000-0000-0000A6530000}"/>
    <cellStyle name="Normal 2 5 4 4 4 3 3 2" xfId="35742" xr:uid="{00000000-0005-0000-0000-0000A7530000}"/>
    <cellStyle name="Normal 2 5 4 4 4 3 4" xfId="19008" xr:uid="{00000000-0005-0000-0000-0000A8530000}"/>
    <cellStyle name="Normal 2 5 4 4 4 3 4 2" xfId="44561" xr:uid="{00000000-0005-0000-0000-0000A9530000}"/>
    <cellStyle name="Normal 2 5 4 4 4 3 5" xfId="30498" xr:uid="{00000000-0005-0000-0000-0000AA530000}"/>
    <cellStyle name="Normal 2 5 4 4 4 4" xfId="2358" xr:uid="{00000000-0005-0000-0000-0000AB530000}"/>
    <cellStyle name="Normal 2 5 4 4 4 4 2" xfId="11723" xr:uid="{00000000-0005-0000-0000-0000AC530000}"/>
    <cellStyle name="Normal 2 5 4 4 4 4 2 2" xfId="37278" xr:uid="{00000000-0005-0000-0000-0000AD530000}"/>
    <cellStyle name="Normal 2 5 4 4 4 4 3" xfId="21727" xr:uid="{00000000-0005-0000-0000-0000AE530000}"/>
    <cellStyle name="Normal 2 5 4 4 4 4 3 2" xfId="47280" xr:uid="{00000000-0005-0000-0000-0000AF530000}"/>
    <cellStyle name="Normal 2 5 4 4 4 4 4" xfId="28210" xr:uid="{00000000-0005-0000-0000-0000B0530000}"/>
    <cellStyle name="Normal 2 5 4 4 4 5" xfId="6382" xr:uid="{00000000-0005-0000-0000-0000B1530000}"/>
    <cellStyle name="Normal 2 5 4 4 4 5 2" xfId="15209" xr:uid="{00000000-0005-0000-0000-0000B2530000}"/>
    <cellStyle name="Normal 2 5 4 4 4 5 2 2" xfId="40764" xr:uid="{00000000-0005-0000-0000-0000B3530000}"/>
    <cellStyle name="Normal 2 5 4 4 4 5 3" xfId="25460" xr:uid="{00000000-0005-0000-0000-0000B4530000}"/>
    <cellStyle name="Normal 2 5 4 4 4 5 3 2" xfId="51013" xr:uid="{00000000-0005-0000-0000-0000B5530000}"/>
    <cellStyle name="Normal 2 5 4 4 4 5 4" xfId="31943" xr:uid="{00000000-0005-0000-0000-0000B6530000}"/>
    <cellStyle name="Normal 2 5 4 4 4 6" xfId="7828" xr:uid="{00000000-0005-0000-0000-0000B7530000}"/>
    <cellStyle name="Normal 2 5 4 4 4 6 2" xfId="20209" xr:uid="{00000000-0005-0000-0000-0000B8530000}"/>
    <cellStyle name="Normal 2 5 4 4 4 6 2 2" xfId="45762" xr:uid="{00000000-0005-0000-0000-0000B9530000}"/>
    <cellStyle name="Normal 2 5 4 4 4 6 3" xfId="33385" xr:uid="{00000000-0005-0000-0000-0000BA530000}"/>
    <cellStyle name="Normal 2 5 4 4 4 7" xfId="16720" xr:uid="{00000000-0005-0000-0000-0000BB530000}"/>
    <cellStyle name="Normal 2 5 4 4 4 7 2" xfId="42273" xr:uid="{00000000-0005-0000-0000-0000BC530000}"/>
    <cellStyle name="Normal 2 5 4 4 4 8" xfId="26692" xr:uid="{00000000-0005-0000-0000-0000BD530000}"/>
    <cellStyle name="Normal 2 5 4 4 5" xfId="1135" xr:uid="{00000000-0005-0000-0000-0000BE530000}"/>
    <cellStyle name="Normal 2 5 4 4 5 2" xfId="3564" xr:uid="{00000000-0005-0000-0000-0000BF530000}"/>
    <cellStyle name="Normal 2 5 4 4 5 2 2" xfId="12700" xr:uid="{00000000-0005-0000-0000-0000C0530000}"/>
    <cellStyle name="Normal 2 5 4 4 5 2 2 2" xfId="22919" xr:uid="{00000000-0005-0000-0000-0000C1530000}"/>
    <cellStyle name="Normal 2 5 4 4 5 2 2 2 2" xfId="48472" xr:uid="{00000000-0005-0000-0000-0000C2530000}"/>
    <cellStyle name="Normal 2 5 4 4 5 2 2 3" xfId="38255" xr:uid="{00000000-0005-0000-0000-0000C3530000}"/>
    <cellStyle name="Normal 2 5 4 4 5 2 3" xfId="9121" xr:uid="{00000000-0005-0000-0000-0000C4530000}"/>
    <cellStyle name="Normal 2 5 4 4 5 2 3 2" xfId="34678" xr:uid="{00000000-0005-0000-0000-0000C5530000}"/>
    <cellStyle name="Normal 2 5 4 4 5 2 4" xfId="17912" xr:uid="{00000000-0005-0000-0000-0000C6530000}"/>
    <cellStyle name="Normal 2 5 4 4 5 2 4 2" xfId="43465" xr:uid="{00000000-0005-0000-0000-0000C7530000}"/>
    <cellStyle name="Normal 2 5 4 4 5 2 5" xfId="29402" xr:uid="{00000000-0005-0000-0000-0000C8530000}"/>
    <cellStyle name="Normal 2 5 4 4 5 3" xfId="5227" xr:uid="{00000000-0005-0000-0000-0000C9530000}"/>
    <cellStyle name="Normal 2 5 4 4 5 3 2" xfId="14064" xr:uid="{00000000-0005-0000-0000-0000CA530000}"/>
    <cellStyle name="Normal 2 5 4 4 5 3 2 2" xfId="24315" xr:uid="{00000000-0005-0000-0000-0000CB530000}"/>
    <cellStyle name="Normal 2 5 4 4 5 3 2 2 2" xfId="49868" xr:uid="{00000000-0005-0000-0000-0000CC530000}"/>
    <cellStyle name="Normal 2 5 4 4 5 3 2 3" xfId="39619" xr:uid="{00000000-0005-0000-0000-0000CD530000}"/>
    <cellStyle name="Normal 2 5 4 4 5 3 3" xfId="10485" xr:uid="{00000000-0005-0000-0000-0000CE530000}"/>
    <cellStyle name="Normal 2 5 4 4 5 3 3 2" xfId="36042" xr:uid="{00000000-0005-0000-0000-0000CF530000}"/>
    <cellStyle name="Normal 2 5 4 4 5 3 4" xfId="19308" xr:uid="{00000000-0005-0000-0000-0000D0530000}"/>
    <cellStyle name="Normal 2 5 4 4 5 3 4 2" xfId="44861" xr:uid="{00000000-0005-0000-0000-0000D1530000}"/>
    <cellStyle name="Normal 2 5 4 4 5 3 5" xfId="30798" xr:uid="{00000000-0005-0000-0000-0000D2530000}"/>
    <cellStyle name="Normal 2 5 4 4 5 4" xfId="1843" xr:uid="{00000000-0005-0000-0000-0000D3530000}"/>
    <cellStyle name="Normal 2 5 4 4 5 4 2" xfId="11211" xr:uid="{00000000-0005-0000-0000-0000D4530000}"/>
    <cellStyle name="Normal 2 5 4 4 5 4 2 2" xfId="36766" xr:uid="{00000000-0005-0000-0000-0000D5530000}"/>
    <cellStyle name="Normal 2 5 4 4 5 4 3" xfId="21215" xr:uid="{00000000-0005-0000-0000-0000D6530000}"/>
    <cellStyle name="Normal 2 5 4 4 5 4 3 2" xfId="46768" xr:uid="{00000000-0005-0000-0000-0000D7530000}"/>
    <cellStyle name="Normal 2 5 4 4 5 4 4" xfId="27698" xr:uid="{00000000-0005-0000-0000-0000D8530000}"/>
    <cellStyle name="Normal 2 5 4 4 5 5" xfId="6682" xr:uid="{00000000-0005-0000-0000-0000D9530000}"/>
    <cellStyle name="Normal 2 5 4 4 5 5 2" xfId="15509" xr:uid="{00000000-0005-0000-0000-0000DA530000}"/>
    <cellStyle name="Normal 2 5 4 4 5 5 2 2" xfId="41064" xr:uid="{00000000-0005-0000-0000-0000DB530000}"/>
    <cellStyle name="Normal 2 5 4 4 5 5 3" xfId="25760" xr:uid="{00000000-0005-0000-0000-0000DC530000}"/>
    <cellStyle name="Normal 2 5 4 4 5 5 3 2" xfId="51313" xr:uid="{00000000-0005-0000-0000-0000DD530000}"/>
    <cellStyle name="Normal 2 5 4 4 5 5 4" xfId="32243" xr:uid="{00000000-0005-0000-0000-0000DE530000}"/>
    <cellStyle name="Normal 2 5 4 4 5 6" xfId="8128" xr:uid="{00000000-0005-0000-0000-0000DF530000}"/>
    <cellStyle name="Normal 2 5 4 4 5 6 2" xfId="20518" xr:uid="{00000000-0005-0000-0000-0000E0530000}"/>
    <cellStyle name="Normal 2 5 4 4 5 6 2 2" xfId="46071" xr:uid="{00000000-0005-0000-0000-0000E1530000}"/>
    <cellStyle name="Normal 2 5 4 4 5 6 3" xfId="33685" xr:uid="{00000000-0005-0000-0000-0000E2530000}"/>
    <cellStyle name="Normal 2 5 4 4 5 7" xfId="16208" xr:uid="{00000000-0005-0000-0000-0000E3530000}"/>
    <cellStyle name="Normal 2 5 4 4 5 7 2" xfId="41761" xr:uid="{00000000-0005-0000-0000-0000E4530000}"/>
    <cellStyle name="Normal 2 5 4 4 5 8" xfId="27001" xr:uid="{00000000-0005-0000-0000-0000E5530000}"/>
    <cellStyle name="Normal 2 5 4 4 6" xfId="2737" xr:uid="{00000000-0005-0000-0000-0000E6530000}"/>
    <cellStyle name="Normal 2 5 4 4 6 2" xfId="12054" xr:uid="{00000000-0005-0000-0000-0000E7530000}"/>
    <cellStyle name="Normal 2 5 4 4 6 2 2" xfId="22098" xr:uid="{00000000-0005-0000-0000-0000E8530000}"/>
    <cellStyle name="Normal 2 5 4 4 6 2 2 2" xfId="47651" xr:uid="{00000000-0005-0000-0000-0000E9530000}"/>
    <cellStyle name="Normal 2 5 4 4 6 2 3" xfId="37609" xr:uid="{00000000-0005-0000-0000-0000EA530000}"/>
    <cellStyle name="Normal 2 5 4 4 6 3" xfId="8615" xr:uid="{00000000-0005-0000-0000-0000EB530000}"/>
    <cellStyle name="Normal 2 5 4 4 6 3 2" xfId="34172" xr:uid="{00000000-0005-0000-0000-0000EC530000}"/>
    <cellStyle name="Normal 2 5 4 4 6 4" xfId="17091" xr:uid="{00000000-0005-0000-0000-0000ED530000}"/>
    <cellStyle name="Normal 2 5 4 4 6 4 2" xfId="42644" xr:uid="{00000000-0005-0000-0000-0000EE530000}"/>
    <cellStyle name="Normal 2 5 4 4 6 5" xfId="28581" xr:uid="{00000000-0005-0000-0000-0000EF530000}"/>
    <cellStyle name="Normal 2 5 4 4 7" xfId="4183" xr:uid="{00000000-0005-0000-0000-0000F0530000}"/>
    <cellStyle name="Normal 2 5 4 4 7 2" xfId="13021" xr:uid="{00000000-0005-0000-0000-0000F1530000}"/>
    <cellStyle name="Normal 2 5 4 4 7 2 2" xfId="23272" xr:uid="{00000000-0005-0000-0000-0000F2530000}"/>
    <cellStyle name="Normal 2 5 4 4 7 2 2 2" xfId="48825" xr:uid="{00000000-0005-0000-0000-0000F3530000}"/>
    <cellStyle name="Normal 2 5 4 4 7 2 3" xfId="38576" xr:uid="{00000000-0005-0000-0000-0000F4530000}"/>
    <cellStyle name="Normal 2 5 4 4 7 3" xfId="9442" xr:uid="{00000000-0005-0000-0000-0000F5530000}"/>
    <cellStyle name="Normal 2 5 4 4 7 3 2" xfId="34999" xr:uid="{00000000-0005-0000-0000-0000F6530000}"/>
    <cellStyle name="Normal 2 5 4 4 7 4" xfId="18265" xr:uid="{00000000-0005-0000-0000-0000F7530000}"/>
    <cellStyle name="Normal 2 5 4 4 7 4 2" xfId="43818" xr:uid="{00000000-0005-0000-0000-0000F8530000}"/>
    <cellStyle name="Normal 2 5 4 4 7 5" xfId="29755" xr:uid="{00000000-0005-0000-0000-0000F9530000}"/>
    <cellStyle name="Normal 2 5 4 4 8" xfId="1455" xr:uid="{00000000-0005-0000-0000-0000FA530000}"/>
    <cellStyle name="Normal 2 5 4 4 8 2" xfId="10832" xr:uid="{00000000-0005-0000-0000-0000FB530000}"/>
    <cellStyle name="Normal 2 5 4 4 8 2 2" xfId="36387" xr:uid="{00000000-0005-0000-0000-0000FC530000}"/>
    <cellStyle name="Normal 2 5 4 4 8 3" xfId="20836" xr:uid="{00000000-0005-0000-0000-0000FD530000}"/>
    <cellStyle name="Normal 2 5 4 4 8 3 2" xfId="46389" xr:uid="{00000000-0005-0000-0000-0000FE530000}"/>
    <cellStyle name="Normal 2 5 4 4 8 4" xfId="27319" xr:uid="{00000000-0005-0000-0000-0000FF530000}"/>
    <cellStyle name="Normal 2 5 4 4 9" xfId="5639" xr:uid="{00000000-0005-0000-0000-000000540000}"/>
    <cellStyle name="Normal 2 5 4 4 9 2" xfId="14466" xr:uid="{00000000-0005-0000-0000-000001540000}"/>
    <cellStyle name="Normal 2 5 4 4 9 2 2" xfId="40021" xr:uid="{00000000-0005-0000-0000-000002540000}"/>
    <cellStyle name="Normal 2 5 4 4 9 3" xfId="24717" xr:uid="{00000000-0005-0000-0000-000003540000}"/>
    <cellStyle name="Normal 2 5 4 4 9 3 2" xfId="50270" xr:uid="{00000000-0005-0000-0000-000004540000}"/>
    <cellStyle name="Normal 2 5 4 4 9 4" xfId="31200" xr:uid="{00000000-0005-0000-0000-000005540000}"/>
    <cellStyle name="Normal 2 5 4 4_Degree data" xfId="3899" xr:uid="{00000000-0005-0000-0000-000006540000}"/>
    <cellStyle name="Normal 2 5 4 5" xfId="463" xr:uid="{00000000-0005-0000-0000-000007540000}"/>
    <cellStyle name="Normal 2 5 4 5 10" xfId="26392" xr:uid="{00000000-0005-0000-0000-000008540000}"/>
    <cellStyle name="Normal 2 5 4 5 2" xfId="765" xr:uid="{00000000-0005-0000-0000-000009540000}"/>
    <cellStyle name="Normal 2 5 4 5 2 2" xfId="3251" xr:uid="{00000000-0005-0000-0000-00000A540000}"/>
    <cellStyle name="Normal 2 5 4 5 2 2 2" xfId="12393" xr:uid="{00000000-0005-0000-0000-00000B540000}"/>
    <cellStyle name="Normal 2 5 4 5 2 2 2 2" xfId="22612" xr:uid="{00000000-0005-0000-0000-00000C540000}"/>
    <cellStyle name="Normal 2 5 4 5 2 2 2 2 2" xfId="48165" xr:uid="{00000000-0005-0000-0000-00000D540000}"/>
    <cellStyle name="Normal 2 5 4 5 2 2 2 3" xfId="37948" xr:uid="{00000000-0005-0000-0000-00000E540000}"/>
    <cellStyle name="Normal 2 5 4 5 2 2 3" xfId="8815" xr:uid="{00000000-0005-0000-0000-00000F540000}"/>
    <cellStyle name="Normal 2 5 4 5 2 2 3 2" xfId="34372" xr:uid="{00000000-0005-0000-0000-000010540000}"/>
    <cellStyle name="Normal 2 5 4 5 2 2 4" xfId="17605" xr:uid="{00000000-0005-0000-0000-000011540000}"/>
    <cellStyle name="Normal 2 5 4 5 2 2 4 2" xfId="43158" xr:uid="{00000000-0005-0000-0000-000012540000}"/>
    <cellStyle name="Normal 2 5 4 5 2 2 5" xfId="29095" xr:uid="{00000000-0005-0000-0000-000013540000}"/>
    <cellStyle name="Normal 2 5 4 5 2 3" xfId="4580" xr:uid="{00000000-0005-0000-0000-000014540000}"/>
    <cellStyle name="Normal 2 5 4 5 2 3 2" xfId="13418" xr:uid="{00000000-0005-0000-0000-000015540000}"/>
    <cellStyle name="Normal 2 5 4 5 2 3 2 2" xfId="23669" xr:uid="{00000000-0005-0000-0000-000016540000}"/>
    <cellStyle name="Normal 2 5 4 5 2 3 2 2 2" xfId="49222" xr:uid="{00000000-0005-0000-0000-000017540000}"/>
    <cellStyle name="Normal 2 5 4 5 2 3 2 3" xfId="38973" xr:uid="{00000000-0005-0000-0000-000018540000}"/>
    <cellStyle name="Normal 2 5 4 5 2 3 3" xfId="9839" xr:uid="{00000000-0005-0000-0000-000019540000}"/>
    <cellStyle name="Normal 2 5 4 5 2 3 3 2" xfId="35396" xr:uid="{00000000-0005-0000-0000-00001A540000}"/>
    <cellStyle name="Normal 2 5 4 5 2 3 4" xfId="18662" xr:uid="{00000000-0005-0000-0000-00001B540000}"/>
    <cellStyle name="Normal 2 5 4 5 2 3 4 2" xfId="44215" xr:uid="{00000000-0005-0000-0000-00001C540000}"/>
    <cellStyle name="Normal 2 5 4 5 2 3 5" xfId="30152" xr:uid="{00000000-0005-0000-0000-00001D540000}"/>
    <cellStyle name="Normal 2 5 4 5 2 4" xfId="2360" xr:uid="{00000000-0005-0000-0000-00001E540000}"/>
    <cellStyle name="Normal 2 5 4 5 2 4 2" xfId="11725" xr:uid="{00000000-0005-0000-0000-00001F540000}"/>
    <cellStyle name="Normal 2 5 4 5 2 4 2 2" xfId="37280" xr:uid="{00000000-0005-0000-0000-000020540000}"/>
    <cellStyle name="Normal 2 5 4 5 2 4 3" xfId="21729" xr:uid="{00000000-0005-0000-0000-000021540000}"/>
    <cellStyle name="Normal 2 5 4 5 2 4 3 2" xfId="47282" xr:uid="{00000000-0005-0000-0000-000022540000}"/>
    <cellStyle name="Normal 2 5 4 5 2 4 4" xfId="28212" xr:uid="{00000000-0005-0000-0000-000023540000}"/>
    <cellStyle name="Normal 2 5 4 5 2 5" xfId="6036" xr:uid="{00000000-0005-0000-0000-000024540000}"/>
    <cellStyle name="Normal 2 5 4 5 2 5 2" xfId="14863" xr:uid="{00000000-0005-0000-0000-000025540000}"/>
    <cellStyle name="Normal 2 5 4 5 2 5 2 2" xfId="40418" xr:uid="{00000000-0005-0000-0000-000026540000}"/>
    <cellStyle name="Normal 2 5 4 5 2 5 3" xfId="25114" xr:uid="{00000000-0005-0000-0000-000027540000}"/>
    <cellStyle name="Normal 2 5 4 5 2 5 3 2" xfId="50667" xr:uid="{00000000-0005-0000-0000-000028540000}"/>
    <cellStyle name="Normal 2 5 4 5 2 5 4" xfId="31597" xr:uid="{00000000-0005-0000-0000-000029540000}"/>
    <cellStyle name="Normal 2 5 4 5 2 6" xfId="7480" xr:uid="{00000000-0005-0000-0000-00002A540000}"/>
    <cellStyle name="Normal 2 5 4 5 2 6 2" xfId="20211" xr:uid="{00000000-0005-0000-0000-00002B540000}"/>
    <cellStyle name="Normal 2 5 4 5 2 6 2 2" xfId="45764" xr:uid="{00000000-0005-0000-0000-00002C540000}"/>
    <cellStyle name="Normal 2 5 4 5 2 6 3" xfId="33037" xr:uid="{00000000-0005-0000-0000-00002D540000}"/>
    <cellStyle name="Normal 2 5 4 5 2 7" xfId="16722" xr:uid="{00000000-0005-0000-0000-00002E540000}"/>
    <cellStyle name="Normal 2 5 4 5 2 7 2" xfId="42275" xr:uid="{00000000-0005-0000-0000-00002F540000}"/>
    <cellStyle name="Normal 2 5 4 5 2 8" xfId="26694" xr:uid="{00000000-0005-0000-0000-000030540000}"/>
    <cellStyle name="Normal 2 5 4 5 3" xfId="1235" xr:uid="{00000000-0005-0000-0000-000031540000}"/>
    <cellStyle name="Normal 2 5 4 5 3 2" xfId="3664" xr:uid="{00000000-0005-0000-0000-000032540000}"/>
    <cellStyle name="Normal 2 5 4 5 3 2 2" xfId="12800" xr:uid="{00000000-0005-0000-0000-000033540000}"/>
    <cellStyle name="Normal 2 5 4 5 3 2 2 2" xfId="23019" xr:uid="{00000000-0005-0000-0000-000034540000}"/>
    <cellStyle name="Normal 2 5 4 5 3 2 2 2 2" xfId="48572" xr:uid="{00000000-0005-0000-0000-000035540000}"/>
    <cellStyle name="Normal 2 5 4 5 3 2 2 3" xfId="38355" xr:uid="{00000000-0005-0000-0000-000036540000}"/>
    <cellStyle name="Normal 2 5 4 5 3 2 3" xfId="9221" xr:uid="{00000000-0005-0000-0000-000037540000}"/>
    <cellStyle name="Normal 2 5 4 5 3 2 3 2" xfId="34778" xr:uid="{00000000-0005-0000-0000-000038540000}"/>
    <cellStyle name="Normal 2 5 4 5 3 2 4" xfId="18012" xr:uid="{00000000-0005-0000-0000-000039540000}"/>
    <cellStyle name="Normal 2 5 4 5 3 2 4 2" xfId="43565" xr:uid="{00000000-0005-0000-0000-00003A540000}"/>
    <cellStyle name="Normal 2 5 4 5 3 2 5" xfId="29502" xr:uid="{00000000-0005-0000-0000-00003B540000}"/>
    <cellStyle name="Normal 2 5 4 5 3 3" xfId="4929" xr:uid="{00000000-0005-0000-0000-00003C540000}"/>
    <cellStyle name="Normal 2 5 4 5 3 3 2" xfId="13766" xr:uid="{00000000-0005-0000-0000-00003D540000}"/>
    <cellStyle name="Normal 2 5 4 5 3 3 2 2" xfId="24017" xr:uid="{00000000-0005-0000-0000-00003E540000}"/>
    <cellStyle name="Normal 2 5 4 5 3 3 2 2 2" xfId="49570" xr:uid="{00000000-0005-0000-0000-00003F540000}"/>
    <cellStyle name="Normal 2 5 4 5 3 3 2 3" xfId="39321" xr:uid="{00000000-0005-0000-0000-000040540000}"/>
    <cellStyle name="Normal 2 5 4 5 3 3 3" xfId="10187" xr:uid="{00000000-0005-0000-0000-000041540000}"/>
    <cellStyle name="Normal 2 5 4 5 3 3 3 2" xfId="35744" xr:uid="{00000000-0005-0000-0000-000042540000}"/>
    <cellStyle name="Normal 2 5 4 5 3 3 4" xfId="19010" xr:uid="{00000000-0005-0000-0000-000043540000}"/>
    <cellStyle name="Normal 2 5 4 5 3 3 4 2" xfId="44563" xr:uid="{00000000-0005-0000-0000-000044540000}"/>
    <cellStyle name="Normal 2 5 4 5 3 3 5" xfId="30500" xr:uid="{00000000-0005-0000-0000-000045540000}"/>
    <cellStyle name="Normal 2 5 4 5 3 4" xfId="2058" xr:uid="{00000000-0005-0000-0000-000046540000}"/>
    <cellStyle name="Normal 2 5 4 5 3 4 2" xfId="11423" xr:uid="{00000000-0005-0000-0000-000047540000}"/>
    <cellStyle name="Normal 2 5 4 5 3 4 2 2" xfId="36978" xr:uid="{00000000-0005-0000-0000-000048540000}"/>
    <cellStyle name="Normal 2 5 4 5 3 4 3" xfId="21427" xr:uid="{00000000-0005-0000-0000-000049540000}"/>
    <cellStyle name="Normal 2 5 4 5 3 4 3 2" xfId="46980" xr:uid="{00000000-0005-0000-0000-00004A540000}"/>
    <cellStyle name="Normal 2 5 4 5 3 4 4" xfId="27910" xr:uid="{00000000-0005-0000-0000-00004B540000}"/>
    <cellStyle name="Normal 2 5 4 5 3 5" xfId="6384" xr:uid="{00000000-0005-0000-0000-00004C540000}"/>
    <cellStyle name="Normal 2 5 4 5 3 5 2" xfId="15211" xr:uid="{00000000-0005-0000-0000-00004D540000}"/>
    <cellStyle name="Normal 2 5 4 5 3 5 2 2" xfId="40766" xr:uid="{00000000-0005-0000-0000-00004E540000}"/>
    <cellStyle name="Normal 2 5 4 5 3 5 3" xfId="25462" xr:uid="{00000000-0005-0000-0000-00004F540000}"/>
    <cellStyle name="Normal 2 5 4 5 3 5 3 2" xfId="51015" xr:uid="{00000000-0005-0000-0000-000050540000}"/>
    <cellStyle name="Normal 2 5 4 5 3 5 4" xfId="31945" xr:uid="{00000000-0005-0000-0000-000051540000}"/>
    <cellStyle name="Normal 2 5 4 5 3 6" xfId="7830" xr:uid="{00000000-0005-0000-0000-000052540000}"/>
    <cellStyle name="Normal 2 5 4 5 3 6 2" xfId="20618" xr:uid="{00000000-0005-0000-0000-000053540000}"/>
    <cellStyle name="Normal 2 5 4 5 3 6 2 2" xfId="46171" xr:uid="{00000000-0005-0000-0000-000054540000}"/>
    <cellStyle name="Normal 2 5 4 5 3 6 3" xfId="33387" xr:uid="{00000000-0005-0000-0000-000055540000}"/>
    <cellStyle name="Normal 2 5 4 5 3 7" xfId="16420" xr:uid="{00000000-0005-0000-0000-000056540000}"/>
    <cellStyle name="Normal 2 5 4 5 3 7 2" xfId="41973" xr:uid="{00000000-0005-0000-0000-000057540000}"/>
    <cellStyle name="Normal 2 5 4 5 3 8" xfId="27101" xr:uid="{00000000-0005-0000-0000-000058540000}"/>
    <cellStyle name="Normal 2 5 4 5 4" xfId="2949" xr:uid="{00000000-0005-0000-0000-000059540000}"/>
    <cellStyle name="Normal 2 5 4 5 4 2" xfId="5327" xr:uid="{00000000-0005-0000-0000-00005A540000}"/>
    <cellStyle name="Normal 2 5 4 5 4 2 2" xfId="14164" xr:uid="{00000000-0005-0000-0000-00005B540000}"/>
    <cellStyle name="Normal 2 5 4 5 4 2 2 2" xfId="24415" xr:uid="{00000000-0005-0000-0000-00005C540000}"/>
    <cellStyle name="Normal 2 5 4 5 4 2 2 2 2" xfId="49968" xr:uid="{00000000-0005-0000-0000-00005D540000}"/>
    <cellStyle name="Normal 2 5 4 5 4 2 2 3" xfId="39719" xr:uid="{00000000-0005-0000-0000-00005E540000}"/>
    <cellStyle name="Normal 2 5 4 5 4 2 3" xfId="10585" xr:uid="{00000000-0005-0000-0000-00005F540000}"/>
    <cellStyle name="Normal 2 5 4 5 4 2 3 2" xfId="36142" xr:uid="{00000000-0005-0000-0000-000060540000}"/>
    <cellStyle name="Normal 2 5 4 5 4 2 4" xfId="19408" xr:uid="{00000000-0005-0000-0000-000061540000}"/>
    <cellStyle name="Normal 2 5 4 5 4 2 4 2" xfId="44961" xr:uid="{00000000-0005-0000-0000-000062540000}"/>
    <cellStyle name="Normal 2 5 4 5 4 2 5" xfId="30898" xr:uid="{00000000-0005-0000-0000-000063540000}"/>
    <cellStyle name="Normal 2 5 4 5 4 3" xfId="6782" xr:uid="{00000000-0005-0000-0000-000064540000}"/>
    <cellStyle name="Normal 2 5 4 5 4 3 2" xfId="15609" xr:uid="{00000000-0005-0000-0000-000065540000}"/>
    <cellStyle name="Normal 2 5 4 5 4 3 2 2" xfId="41164" xr:uid="{00000000-0005-0000-0000-000066540000}"/>
    <cellStyle name="Normal 2 5 4 5 4 3 3" xfId="25860" xr:uid="{00000000-0005-0000-0000-000067540000}"/>
    <cellStyle name="Normal 2 5 4 5 4 3 3 2" xfId="51413" xr:uid="{00000000-0005-0000-0000-000068540000}"/>
    <cellStyle name="Normal 2 5 4 5 4 3 4" xfId="32343" xr:uid="{00000000-0005-0000-0000-000069540000}"/>
    <cellStyle name="Normal 2 5 4 5 4 4" xfId="8228" xr:uid="{00000000-0005-0000-0000-00006A540000}"/>
    <cellStyle name="Normal 2 5 4 5 4 4 2" xfId="22310" xr:uid="{00000000-0005-0000-0000-00006B540000}"/>
    <cellStyle name="Normal 2 5 4 5 4 4 2 2" xfId="47863" xr:uid="{00000000-0005-0000-0000-00006C540000}"/>
    <cellStyle name="Normal 2 5 4 5 4 4 3" xfId="33785" xr:uid="{00000000-0005-0000-0000-00006D540000}"/>
    <cellStyle name="Normal 2 5 4 5 4 5" xfId="17303" xr:uid="{00000000-0005-0000-0000-00006E540000}"/>
    <cellStyle name="Normal 2 5 4 5 4 5 2" xfId="42856" xr:uid="{00000000-0005-0000-0000-00006F540000}"/>
    <cellStyle name="Normal 2 5 4 5 4 6" xfId="28793" xr:uid="{00000000-0005-0000-0000-000070540000}"/>
    <cellStyle name="Normal 2 5 4 5 5" xfId="4283" xr:uid="{00000000-0005-0000-0000-000071540000}"/>
    <cellStyle name="Normal 2 5 4 5 5 2" xfId="13121" xr:uid="{00000000-0005-0000-0000-000072540000}"/>
    <cellStyle name="Normal 2 5 4 5 5 2 2" xfId="23372" xr:uid="{00000000-0005-0000-0000-000073540000}"/>
    <cellStyle name="Normal 2 5 4 5 5 2 2 2" xfId="48925" xr:uid="{00000000-0005-0000-0000-000074540000}"/>
    <cellStyle name="Normal 2 5 4 5 5 2 3" xfId="38676" xr:uid="{00000000-0005-0000-0000-000075540000}"/>
    <cellStyle name="Normal 2 5 4 5 5 3" xfId="9542" xr:uid="{00000000-0005-0000-0000-000076540000}"/>
    <cellStyle name="Normal 2 5 4 5 5 3 2" xfId="35099" xr:uid="{00000000-0005-0000-0000-000077540000}"/>
    <cellStyle name="Normal 2 5 4 5 5 4" xfId="18365" xr:uid="{00000000-0005-0000-0000-000078540000}"/>
    <cellStyle name="Normal 2 5 4 5 5 4 2" xfId="43918" xr:uid="{00000000-0005-0000-0000-000079540000}"/>
    <cellStyle name="Normal 2 5 4 5 5 5" xfId="29855" xr:uid="{00000000-0005-0000-0000-00007A540000}"/>
    <cellStyle name="Normal 2 5 4 5 6" xfId="1555" xr:uid="{00000000-0005-0000-0000-00007B540000}"/>
    <cellStyle name="Normal 2 5 4 5 6 2" xfId="10932" xr:uid="{00000000-0005-0000-0000-00007C540000}"/>
    <cellStyle name="Normal 2 5 4 5 6 2 2" xfId="36487" xr:uid="{00000000-0005-0000-0000-00007D540000}"/>
    <cellStyle name="Normal 2 5 4 5 6 3" xfId="20936" xr:uid="{00000000-0005-0000-0000-00007E540000}"/>
    <cellStyle name="Normal 2 5 4 5 6 3 2" xfId="46489" xr:uid="{00000000-0005-0000-0000-00007F540000}"/>
    <cellStyle name="Normal 2 5 4 5 6 4" xfId="27419" xr:uid="{00000000-0005-0000-0000-000080540000}"/>
    <cellStyle name="Normal 2 5 4 5 7" xfId="5739" xr:uid="{00000000-0005-0000-0000-000081540000}"/>
    <cellStyle name="Normal 2 5 4 5 7 2" xfId="14566" xr:uid="{00000000-0005-0000-0000-000082540000}"/>
    <cellStyle name="Normal 2 5 4 5 7 2 2" xfId="40121" xr:uid="{00000000-0005-0000-0000-000083540000}"/>
    <cellStyle name="Normal 2 5 4 5 7 3" xfId="24817" xr:uid="{00000000-0005-0000-0000-000084540000}"/>
    <cellStyle name="Normal 2 5 4 5 7 3 2" xfId="50370" xr:uid="{00000000-0005-0000-0000-000085540000}"/>
    <cellStyle name="Normal 2 5 4 5 7 4" xfId="31300" xr:uid="{00000000-0005-0000-0000-000086540000}"/>
    <cellStyle name="Normal 2 5 4 5 8" xfId="7183" xr:uid="{00000000-0005-0000-0000-000087540000}"/>
    <cellStyle name="Normal 2 5 4 5 8 2" xfId="19909" xr:uid="{00000000-0005-0000-0000-000088540000}"/>
    <cellStyle name="Normal 2 5 4 5 8 2 2" xfId="45462" xr:uid="{00000000-0005-0000-0000-000089540000}"/>
    <cellStyle name="Normal 2 5 4 5 8 3" xfId="32740" xr:uid="{00000000-0005-0000-0000-00008A540000}"/>
    <cellStyle name="Normal 2 5 4 5 9" xfId="15929" xr:uid="{00000000-0005-0000-0000-00008B540000}"/>
    <cellStyle name="Normal 2 5 4 5 9 2" xfId="41482" xr:uid="{00000000-0005-0000-0000-00008C540000}"/>
    <cellStyle name="Normal 2 5 4 5_Degree data" xfId="3901" xr:uid="{00000000-0005-0000-0000-00008D540000}"/>
    <cellStyle name="Normal 2 5 4 6" xfId="339" xr:uid="{00000000-0005-0000-0000-00008E540000}"/>
    <cellStyle name="Normal 2 5 4 6 10" xfId="26268" xr:uid="{00000000-0005-0000-0000-00008F540000}"/>
    <cellStyle name="Normal 2 5 4 6 2" xfId="766" xr:uid="{00000000-0005-0000-0000-000090540000}"/>
    <cellStyle name="Normal 2 5 4 6 2 2" xfId="3252" xr:uid="{00000000-0005-0000-0000-000091540000}"/>
    <cellStyle name="Normal 2 5 4 6 2 2 2" xfId="12394" xr:uid="{00000000-0005-0000-0000-000092540000}"/>
    <cellStyle name="Normal 2 5 4 6 2 2 2 2" xfId="22613" xr:uid="{00000000-0005-0000-0000-000093540000}"/>
    <cellStyle name="Normal 2 5 4 6 2 2 2 2 2" xfId="48166" xr:uid="{00000000-0005-0000-0000-000094540000}"/>
    <cellStyle name="Normal 2 5 4 6 2 2 2 3" xfId="37949" xr:uid="{00000000-0005-0000-0000-000095540000}"/>
    <cellStyle name="Normal 2 5 4 6 2 2 3" xfId="8816" xr:uid="{00000000-0005-0000-0000-000096540000}"/>
    <cellStyle name="Normal 2 5 4 6 2 2 3 2" xfId="34373" xr:uid="{00000000-0005-0000-0000-000097540000}"/>
    <cellStyle name="Normal 2 5 4 6 2 2 4" xfId="17606" xr:uid="{00000000-0005-0000-0000-000098540000}"/>
    <cellStyle name="Normal 2 5 4 6 2 2 4 2" xfId="43159" xr:uid="{00000000-0005-0000-0000-000099540000}"/>
    <cellStyle name="Normal 2 5 4 6 2 2 5" xfId="29096" xr:uid="{00000000-0005-0000-0000-00009A540000}"/>
    <cellStyle name="Normal 2 5 4 6 2 3" xfId="4581" xr:uid="{00000000-0005-0000-0000-00009B540000}"/>
    <cellStyle name="Normal 2 5 4 6 2 3 2" xfId="13419" xr:uid="{00000000-0005-0000-0000-00009C540000}"/>
    <cellStyle name="Normal 2 5 4 6 2 3 2 2" xfId="23670" xr:uid="{00000000-0005-0000-0000-00009D540000}"/>
    <cellStyle name="Normal 2 5 4 6 2 3 2 2 2" xfId="49223" xr:uid="{00000000-0005-0000-0000-00009E540000}"/>
    <cellStyle name="Normal 2 5 4 6 2 3 2 3" xfId="38974" xr:uid="{00000000-0005-0000-0000-00009F540000}"/>
    <cellStyle name="Normal 2 5 4 6 2 3 3" xfId="9840" xr:uid="{00000000-0005-0000-0000-0000A0540000}"/>
    <cellStyle name="Normal 2 5 4 6 2 3 3 2" xfId="35397" xr:uid="{00000000-0005-0000-0000-0000A1540000}"/>
    <cellStyle name="Normal 2 5 4 6 2 3 4" xfId="18663" xr:uid="{00000000-0005-0000-0000-0000A2540000}"/>
    <cellStyle name="Normal 2 5 4 6 2 3 4 2" xfId="44216" xr:uid="{00000000-0005-0000-0000-0000A3540000}"/>
    <cellStyle name="Normal 2 5 4 6 2 3 5" xfId="30153" xr:uid="{00000000-0005-0000-0000-0000A4540000}"/>
    <cellStyle name="Normal 2 5 4 6 2 4" xfId="2361" xr:uid="{00000000-0005-0000-0000-0000A5540000}"/>
    <cellStyle name="Normal 2 5 4 6 2 4 2" xfId="11726" xr:uid="{00000000-0005-0000-0000-0000A6540000}"/>
    <cellStyle name="Normal 2 5 4 6 2 4 2 2" xfId="37281" xr:uid="{00000000-0005-0000-0000-0000A7540000}"/>
    <cellStyle name="Normal 2 5 4 6 2 4 3" xfId="21730" xr:uid="{00000000-0005-0000-0000-0000A8540000}"/>
    <cellStyle name="Normal 2 5 4 6 2 4 3 2" xfId="47283" xr:uid="{00000000-0005-0000-0000-0000A9540000}"/>
    <cellStyle name="Normal 2 5 4 6 2 4 4" xfId="28213" xr:uid="{00000000-0005-0000-0000-0000AA540000}"/>
    <cellStyle name="Normal 2 5 4 6 2 5" xfId="6037" xr:uid="{00000000-0005-0000-0000-0000AB540000}"/>
    <cellStyle name="Normal 2 5 4 6 2 5 2" xfId="14864" xr:uid="{00000000-0005-0000-0000-0000AC540000}"/>
    <cellStyle name="Normal 2 5 4 6 2 5 2 2" xfId="40419" xr:uid="{00000000-0005-0000-0000-0000AD540000}"/>
    <cellStyle name="Normal 2 5 4 6 2 5 3" xfId="25115" xr:uid="{00000000-0005-0000-0000-0000AE540000}"/>
    <cellStyle name="Normal 2 5 4 6 2 5 3 2" xfId="50668" xr:uid="{00000000-0005-0000-0000-0000AF540000}"/>
    <cellStyle name="Normal 2 5 4 6 2 5 4" xfId="31598" xr:uid="{00000000-0005-0000-0000-0000B0540000}"/>
    <cellStyle name="Normal 2 5 4 6 2 6" xfId="7481" xr:uid="{00000000-0005-0000-0000-0000B1540000}"/>
    <cellStyle name="Normal 2 5 4 6 2 6 2" xfId="20212" xr:uid="{00000000-0005-0000-0000-0000B2540000}"/>
    <cellStyle name="Normal 2 5 4 6 2 6 2 2" xfId="45765" xr:uid="{00000000-0005-0000-0000-0000B3540000}"/>
    <cellStyle name="Normal 2 5 4 6 2 6 3" xfId="33038" xr:uid="{00000000-0005-0000-0000-0000B4540000}"/>
    <cellStyle name="Normal 2 5 4 6 2 7" xfId="16723" xr:uid="{00000000-0005-0000-0000-0000B5540000}"/>
    <cellStyle name="Normal 2 5 4 6 2 7 2" xfId="42276" xr:uid="{00000000-0005-0000-0000-0000B6540000}"/>
    <cellStyle name="Normal 2 5 4 6 2 8" xfId="26695" xr:uid="{00000000-0005-0000-0000-0000B7540000}"/>
    <cellStyle name="Normal 2 5 4 6 3" xfId="1111" xr:uid="{00000000-0005-0000-0000-0000B8540000}"/>
    <cellStyle name="Normal 2 5 4 6 3 2" xfId="3540" xr:uid="{00000000-0005-0000-0000-0000B9540000}"/>
    <cellStyle name="Normal 2 5 4 6 3 2 2" xfId="12676" xr:uid="{00000000-0005-0000-0000-0000BA540000}"/>
    <cellStyle name="Normal 2 5 4 6 3 2 2 2" xfId="22895" xr:uid="{00000000-0005-0000-0000-0000BB540000}"/>
    <cellStyle name="Normal 2 5 4 6 3 2 2 2 2" xfId="48448" xr:uid="{00000000-0005-0000-0000-0000BC540000}"/>
    <cellStyle name="Normal 2 5 4 6 3 2 2 3" xfId="38231" xr:uid="{00000000-0005-0000-0000-0000BD540000}"/>
    <cellStyle name="Normal 2 5 4 6 3 2 3" xfId="9097" xr:uid="{00000000-0005-0000-0000-0000BE540000}"/>
    <cellStyle name="Normal 2 5 4 6 3 2 3 2" xfId="34654" xr:uid="{00000000-0005-0000-0000-0000BF540000}"/>
    <cellStyle name="Normal 2 5 4 6 3 2 4" xfId="17888" xr:uid="{00000000-0005-0000-0000-0000C0540000}"/>
    <cellStyle name="Normal 2 5 4 6 3 2 4 2" xfId="43441" xr:uid="{00000000-0005-0000-0000-0000C1540000}"/>
    <cellStyle name="Normal 2 5 4 6 3 2 5" xfId="29378" xr:uid="{00000000-0005-0000-0000-0000C2540000}"/>
    <cellStyle name="Normal 2 5 4 6 3 3" xfId="4930" xr:uid="{00000000-0005-0000-0000-0000C3540000}"/>
    <cellStyle name="Normal 2 5 4 6 3 3 2" xfId="13767" xr:uid="{00000000-0005-0000-0000-0000C4540000}"/>
    <cellStyle name="Normal 2 5 4 6 3 3 2 2" xfId="24018" xr:uid="{00000000-0005-0000-0000-0000C5540000}"/>
    <cellStyle name="Normal 2 5 4 6 3 3 2 2 2" xfId="49571" xr:uid="{00000000-0005-0000-0000-0000C6540000}"/>
    <cellStyle name="Normal 2 5 4 6 3 3 2 3" xfId="39322" xr:uid="{00000000-0005-0000-0000-0000C7540000}"/>
    <cellStyle name="Normal 2 5 4 6 3 3 3" xfId="10188" xr:uid="{00000000-0005-0000-0000-0000C8540000}"/>
    <cellStyle name="Normal 2 5 4 6 3 3 3 2" xfId="35745" xr:uid="{00000000-0005-0000-0000-0000C9540000}"/>
    <cellStyle name="Normal 2 5 4 6 3 3 4" xfId="19011" xr:uid="{00000000-0005-0000-0000-0000CA540000}"/>
    <cellStyle name="Normal 2 5 4 6 3 3 4 2" xfId="44564" xr:uid="{00000000-0005-0000-0000-0000CB540000}"/>
    <cellStyle name="Normal 2 5 4 6 3 3 5" xfId="30501" xr:uid="{00000000-0005-0000-0000-0000CC540000}"/>
    <cellStyle name="Normal 2 5 4 6 3 4" xfId="2588" xr:uid="{00000000-0005-0000-0000-0000CD540000}"/>
    <cellStyle name="Normal 2 5 4 6 3 4 2" xfId="11952" xr:uid="{00000000-0005-0000-0000-0000CE540000}"/>
    <cellStyle name="Normal 2 5 4 6 3 4 2 2" xfId="37507" xr:uid="{00000000-0005-0000-0000-0000CF540000}"/>
    <cellStyle name="Normal 2 5 4 6 3 4 3" xfId="21956" xr:uid="{00000000-0005-0000-0000-0000D0540000}"/>
    <cellStyle name="Normal 2 5 4 6 3 4 3 2" xfId="47509" xr:uid="{00000000-0005-0000-0000-0000D1540000}"/>
    <cellStyle name="Normal 2 5 4 6 3 4 4" xfId="28439" xr:uid="{00000000-0005-0000-0000-0000D2540000}"/>
    <cellStyle name="Normal 2 5 4 6 3 5" xfId="6385" xr:uid="{00000000-0005-0000-0000-0000D3540000}"/>
    <cellStyle name="Normal 2 5 4 6 3 5 2" xfId="15212" xr:uid="{00000000-0005-0000-0000-0000D4540000}"/>
    <cellStyle name="Normal 2 5 4 6 3 5 2 2" xfId="40767" xr:uid="{00000000-0005-0000-0000-0000D5540000}"/>
    <cellStyle name="Normal 2 5 4 6 3 5 3" xfId="25463" xr:uid="{00000000-0005-0000-0000-0000D6540000}"/>
    <cellStyle name="Normal 2 5 4 6 3 5 3 2" xfId="51016" xr:uid="{00000000-0005-0000-0000-0000D7540000}"/>
    <cellStyle name="Normal 2 5 4 6 3 5 4" xfId="31946" xr:uid="{00000000-0005-0000-0000-0000D8540000}"/>
    <cellStyle name="Normal 2 5 4 6 3 6" xfId="7831" xr:uid="{00000000-0005-0000-0000-0000D9540000}"/>
    <cellStyle name="Normal 2 5 4 6 3 6 2" xfId="20494" xr:uid="{00000000-0005-0000-0000-0000DA540000}"/>
    <cellStyle name="Normal 2 5 4 6 3 6 2 2" xfId="46047" xr:uid="{00000000-0005-0000-0000-0000DB540000}"/>
    <cellStyle name="Normal 2 5 4 6 3 6 3" xfId="33388" xr:uid="{00000000-0005-0000-0000-0000DC540000}"/>
    <cellStyle name="Normal 2 5 4 6 3 7" xfId="16949" xr:uid="{00000000-0005-0000-0000-0000DD540000}"/>
    <cellStyle name="Normal 2 5 4 6 3 7 2" xfId="42502" xr:uid="{00000000-0005-0000-0000-0000DE540000}"/>
    <cellStyle name="Normal 2 5 4 6 3 8" xfId="26977" xr:uid="{00000000-0005-0000-0000-0000DF540000}"/>
    <cellStyle name="Normal 2 5 4 6 4" xfId="2825" xr:uid="{00000000-0005-0000-0000-0000E0540000}"/>
    <cellStyle name="Normal 2 5 4 6 4 2" xfId="5203" xr:uid="{00000000-0005-0000-0000-0000E1540000}"/>
    <cellStyle name="Normal 2 5 4 6 4 2 2" xfId="14040" xr:uid="{00000000-0005-0000-0000-0000E2540000}"/>
    <cellStyle name="Normal 2 5 4 6 4 2 2 2" xfId="24291" xr:uid="{00000000-0005-0000-0000-0000E3540000}"/>
    <cellStyle name="Normal 2 5 4 6 4 2 2 2 2" xfId="49844" xr:uid="{00000000-0005-0000-0000-0000E4540000}"/>
    <cellStyle name="Normal 2 5 4 6 4 2 2 3" xfId="39595" xr:uid="{00000000-0005-0000-0000-0000E5540000}"/>
    <cellStyle name="Normal 2 5 4 6 4 2 3" xfId="10461" xr:uid="{00000000-0005-0000-0000-0000E6540000}"/>
    <cellStyle name="Normal 2 5 4 6 4 2 3 2" xfId="36018" xr:uid="{00000000-0005-0000-0000-0000E7540000}"/>
    <cellStyle name="Normal 2 5 4 6 4 2 4" xfId="19284" xr:uid="{00000000-0005-0000-0000-0000E8540000}"/>
    <cellStyle name="Normal 2 5 4 6 4 2 4 2" xfId="44837" xr:uid="{00000000-0005-0000-0000-0000E9540000}"/>
    <cellStyle name="Normal 2 5 4 6 4 2 5" xfId="30774" xr:uid="{00000000-0005-0000-0000-0000EA540000}"/>
    <cellStyle name="Normal 2 5 4 6 4 3" xfId="6658" xr:uid="{00000000-0005-0000-0000-0000EB540000}"/>
    <cellStyle name="Normal 2 5 4 6 4 3 2" xfId="15485" xr:uid="{00000000-0005-0000-0000-0000EC540000}"/>
    <cellStyle name="Normal 2 5 4 6 4 3 2 2" xfId="41040" xr:uid="{00000000-0005-0000-0000-0000ED540000}"/>
    <cellStyle name="Normal 2 5 4 6 4 3 3" xfId="25736" xr:uid="{00000000-0005-0000-0000-0000EE540000}"/>
    <cellStyle name="Normal 2 5 4 6 4 3 3 2" xfId="51289" xr:uid="{00000000-0005-0000-0000-0000EF540000}"/>
    <cellStyle name="Normal 2 5 4 6 4 3 4" xfId="32219" xr:uid="{00000000-0005-0000-0000-0000F0540000}"/>
    <cellStyle name="Normal 2 5 4 6 4 4" xfId="8104" xr:uid="{00000000-0005-0000-0000-0000F1540000}"/>
    <cellStyle name="Normal 2 5 4 6 4 4 2" xfId="22186" xr:uid="{00000000-0005-0000-0000-0000F2540000}"/>
    <cellStyle name="Normal 2 5 4 6 4 4 2 2" xfId="47739" xr:uid="{00000000-0005-0000-0000-0000F3540000}"/>
    <cellStyle name="Normal 2 5 4 6 4 4 3" xfId="33661" xr:uid="{00000000-0005-0000-0000-0000F4540000}"/>
    <cellStyle name="Normal 2 5 4 6 4 5" xfId="17179" xr:uid="{00000000-0005-0000-0000-0000F5540000}"/>
    <cellStyle name="Normal 2 5 4 6 4 5 2" xfId="42732" xr:uid="{00000000-0005-0000-0000-0000F6540000}"/>
    <cellStyle name="Normal 2 5 4 6 4 6" xfId="28669" xr:uid="{00000000-0005-0000-0000-0000F7540000}"/>
    <cellStyle name="Normal 2 5 4 6 5" xfId="4157" xr:uid="{00000000-0005-0000-0000-0000F8540000}"/>
    <cellStyle name="Normal 2 5 4 6 5 2" xfId="12995" xr:uid="{00000000-0005-0000-0000-0000F9540000}"/>
    <cellStyle name="Normal 2 5 4 6 5 2 2" xfId="23246" xr:uid="{00000000-0005-0000-0000-0000FA540000}"/>
    <cellStyle name="Normal 2 5 4 6 5 2 2 2" xfId="48799" xr:uid="{00000000-0005-0000-0000-0000FB540000}"/>
    <cellStyle name="Normal 2 5 4 6 5 2 3" xfId="38550" xr:uid="{00000000-0005-0000-0000-0000FC540000}"/>
    <cellStyle name="Normal 2 5 4 6 5 3" xfId="9416" xr:uid="{00000000-0005-0000-0000-0000FD540000}"/>
    <cellStyle name="Normal 2 5 4 6 5 3 2" xfId="34973" xr:uid="{00000000-0005-0000-0000-0000FE540000}"/>
    <cellStyle name="Normal 2 5 4 6 5 4" xfId="18239" xr:uid="{00000000-0005-0000-0000-0000FF540000}"/>
    <cellStyle name="Normal 2 5 4 6 5 4 2" xfId="43792" xr:uid="{00000000-0005-0000-0000-000000550000}"/>
    <cellStyle name="Normal 2 5 4 6 5 5" xfId="29729" xr:uid="{00000000-0005-0000-0000-000001550000}"/>
    <cellStyle name="Normal 2 5 4 6 6" xfId="1934" xr:uid="{00000000-0005-0000-0000-000002550000}"/>
    <cellStyle name="Normal 2 5 4 6 6 2" xfId="11299" xr:uid="{00000000-0005-0000-0000-000003550000}"/>
    <cellStyle name="Normal 2 5 4 6 6 2 2" xfId="36854" xr:uid="{00000000-0005-0000-0000-000004550000}"/>
    <cellStyle name="Normal 2 5 4 6 6 3" xfId="21303" xr:uid="{00000000-0005-0000-0000-000005550000}"/>
    <cellStyle name="Normal 2 5 4 6 6 3 2" xfId="46856" xr:uid="{00000000-0005-0000-0000-000006550000}"/>
    <cellStyle name="Normal 2 5 4 6 6 4" xfId="27786" xr:uid="{00000000-0005-0000-0000-000007550000}"/>
    <cellStyle name="Normal 2 5 4 6 7" xfId="5615" xr:uid="{00000000-0005-0000-0000-000008550000}"/>
    <cellStyle name="Normal 2 5 4 6 7 2" xfId="14442" xr:uid="{00000000-0005-0000-0000-000009550000}"/>
    <cellStyle name="Normal 2 5 4 6 7 2 2" xfId="39997" xr:uid="{00000000-0005-0000-0000-00000A550000}"/>
    <cellStyle name="Normal 2 5 4 6 7 3" xfId="24693" xr:uid="{00000000-0005-0000-0000-00000B550000}"/>
    <cellStyle name="Normal 2 5 4 6 7 3 2" xfId="50246" xr:uid="{00000000-0005-0000-0000-00000C550000}"/>
    <cellStyle name="Normal 2 5 4 6 7 4" xfId="31176" xr:uid="{00000000-0005-0000-0000-00000D550000}"/>
    <cellStyle name="Normal 2 5 4 6 8" xfId="7059" xr:uid="{00000000-0005-0000-0000-00000E550000}"/>
    <cellStyle name="Normal 2 5 4 6 8 2" xfId="19785" xr:uid="{00000000-0005-0000-0000-00000F550000}"/>
    <cellStyle name="Normal 2 5 4 6 8 2 2" xfId="45338" xr:uid="{00000000-0005-0000-0000-000010550000}"/>
    <cellStyle name="Normal 2 5 4 6 8 3" xfId="32616" xr:uid="{00000000-0005-0000-0000-000011550000}"/>
    <cellStyle name="Normal 2 5 4 6 9" xfId="16296" xr:uid="{00000000-0005-0000-0000-000012550000}"/>
    <cellStyle name="Normal 2 5 4 6 9 2" xfId="41849" xr:uid="{00000000-0005-0000-0000-000013550000}"/>
    <cellStyle name="Normal 2 5 4 6_Degree data" xfId="3830" xr:uid="{00000000-0005-0000-0000-000014550000}"/>
    <cellStyle name="Normal 2 5 4 7" xfId="757" xr:uid="{00000000-0005-0000-0000-000015550000}"/>
    <cellStyle name="Normal 2 5 4 7 2" xfId="3243" xr:uid="{00000000-0005-0000-0000-000016550000}"/>
    <cellStyle name="Normal 2 5 4 7 2 2" xfId="12385" xr:uid="{00000000-0005-0000-0000-000017550000}"/>
    <cellStyle name="Normal 2 5 4 7 2 2 2" xfId="22604" xr:uid="{00000000-0005-0000-0000-000018550000}"/>
    <cellStyle name="Normal 2 5 4 7 2 2 2 2" xfId="48157" xr:uid="{00000000-0005-0000-0000-000019550000}"/>
    <cellStyle name="Normal 2 5 4 7 2 2 3" xfId="37940" xr:uid="{00000000-0005-0000-0000-00001A550000}"/>
    <cellStyle name="Normal 2 5 4 7 2 3" xfId="8807" xr:uid="{00000000-0005-0000-0000-00001B550000}"/>
    <cellStyle name="Normal 2 5 4 7 2 3 2" xfId="34364" xr:uid="{00000000-0005-0000-0000-00001C550000}"/>
    <cellStyle name="Normal 2 5 4 7 2 4" xfId="17597" xr:uid="{00000000-0005-0000-0000-00001D550000}"/>
    <cellStyle name="Normal 2 5 4 7 2 4 2" xfId="43150" xr:uid="{00000000-0005-0000-0000-00001E550000}"/>
    <cellStyle name="Normal 2 5 4 7 2 5" xfId="29087" xr:uid="{00000000-0005-0000-0000-00001F550000}"/>
    <cellStyle name="Normal 2 5 4 7 3" xfId="4572" xr:uid="{00000000-0005-0000-0000-000020550000}"/>
    <cellStyle name="Normal 2 5 4 7 3 2" xfId="13410" xr:uid="{00000000-0005-0000-0000-000021550000}"/>
    <cellStyle name="Normal 2 5 4 7 3 2 2" xfId="23661" xr:uid="{00000000-0005-0000-0000-000022550000}"/>
    <cellStyle name="Normal 2 5 4 7 3 2 2 2" xfId="49214" xr:uid="{00000000-0005-0000-0000-000023550000}"/>
    <cellStyle name="Normal 2 5 4 7 3 2 3" xfId="38965" xr:uid="{00000000-0005-0000-0000-000024550000}"/>
    <cellStyle name="Normal 2 5 4 7 3 3" xfId="9831" xr:uid="{00000000-0005-0000-0000-000025550000}"/>
    <cellStyle name="Normal 2 5 4 7 3 3 2" xfId="35388" xr:uid="{00000000-0005-0000-0000-000026550000}"/>
    <cellStyle name="Normal 2 5 4 7 3 4" xfId="18654" xr:uid="{00000000-0005-0000-0000-000027550000}"/>
    <cellStyle name="Normal 2 5 4 7 3 4 2" xfId="44207" xr:uid="{00000000-0005-0000-0000-000028550000}"/>
    <cellStyle name="Normal 2 5 4 7 3 5" xfId="30144" xr:uid="{00000000-0005-0000-0000-000029550000}"/>
    <cellStyle name="Normal 2 5 4 7 4" xfId="2352" xr:uid="{00000000-0005-0000-0000-00002A550000}"/>
    <cellStyle name="Normal 2 5 4 7 4 2" xfId="11717" xr:uid="{00000000-0005-0000-0000-00002B550000}"/>
    <cellStyle name="Normal 2 5 4 7 4 2 2" xfId="37272" xr:uid="{00000000-0005-0000-0000-00002C550000}"/>
    <cellStyle name="Normal 2 5 4 7 4 3" xfId="21721" xr:uid="{00000000-0005-0000-0000-00002D550000}"/>
    <cellStyle name="Normal 2 5 4 7 4 3 2" xfId="47274" xr:uid="{00000000-0005-0000-0000-00002E550000}"/>
    <cellStyle name="Normal 2 5 4 7 4 4" xfId="28204" xr:uid="{00000000-0005-0000-0000-00002F550000}"/>
    <cellStyle name="Normal 2 5 4 7 5" xfId="6028" xr:uid="{00000000-0005-0000-0000-000030550000}"/>
    <cellStyle name="Normal 2 5 4 7 5 2" xfId="14855" xr:uid="{00000000-0005-0000-0000-000031550000}"/>
    <cellStyle name="Normal 2 5 4 7 5 2 2" xfId="40410" xr:uid="{00000000-0005-0000-0000-000032550000}"/>
    <cellStyle name="Normal 2 5 4 7 5 3" xfId="25106" xr:uid="{00000000-0005-0000-0000-000033550000}"/>
    <cellStyle name="Normal 2 5 4 7 5 3 2" xfId="50659" xr:uid="{00000000-0005-0000-0000-000034550000}"/>
    <cellStyle name="Normal 2 5 4 7 5 4" xfId="31589" xr:uid="{00000000-0005-0000-0000-000035550000}"/>
    <cellStyle name="Normal 2 5 4 7 6" xfId="7472" xr:uid="{00000000-0005-0000-0000-000036550000}"/>
    <cellStyle name="Normal 2 5 4 7 6 2" xfId="20203" xr:uid="{00000000-0005-0000-0000-000037550000}"/>
    <cellStyle name="Normal 2 5 4 7 6 2 2" xfId="45756" xr:uid="{00000000-0005-0000-0000-000038550000}"/>
    <cellStyle name="Normal 2 5 4 7 6 3" xfId="33029" xr:uid="{00000000-0005-0000-0000-000039550000}"/>
    <cellStyle name="Normal 2 5 4 7 7" xfId="16714" xr:uid="{00000000-0005-0000-0000-00003A550000}"/>
    <cellStyle name="Normal 2 5 4 7 7 2" xfId="42267" xr:uid="{00000000-0005-0000-0000-00003B550000}"/>
    <cellStyle name="Normal 2 5 4 7 8" xfId="26686" xr:uid="{00000000-0005-0000-0000-00003C550000}"/>
    <cellStyle name="Normal 2 5 4 8" xfId="1066" xr:uid="{00000000-0005-0000-0000-00003D550000}"/>
    <cellStyle name="Normal 2 5 4 8 2" xfId="3495" xr:uid="{00000000-0005-0000-0000-00003E550000}"/>
    <cellStyle name="Normal 2 5 4 8 2 2" xfId="12631" xr:uid="{00000000-0005-0000-0000-00003F550000}"/>
    <cellStyle name="Normal 2 5 4 8 2 2 2" xfId="22850" xr:uid="{00000000-0005-0000-0000-000040550000}"/>
    <cellStyle name="Normal 2 5 4 8 2 2 2 2" xfId="48403" xr:uid="{00000000-0005-0000-0000-000041550000}"/>
    <cellStyle name="Normal 2 5 4 8 2 2 3" xfId="38186" xr:uid="{00000000-0005-0000-0000-000042550000}"/>
    <cellStyle name="Normal 2 5 4 8 2 3" xfId="9053" xr:uid="{00000000-0005-0000-0000-000043550000}"/>
    <cellStyle name="Normal 2 5 4 8 2 3 2" xfId="34610" xr:uid="{00000000-0005-0000-0000-000044550000}"/>
    <cellStyle name="Normal 2 5 4 8 2 4" xfId="17843" xr:uid="{00000000-0005-0000-0000-000045550000}"/>
    <cellStyle name="Normal 2 5 4 8 2 4 2" xfId="43396" xr:uid="{00000000-0005-0000-0000-000046550000}"/>
    <cellStyle name="Normal 2 5 4 8 2 5" xfId="29333" xr:uid="{00000000-0005-0000-0000-000047550000}"/>
    <cellStyle name="Normal 2 5 4 8 3" xfId="4921" xr:uid="{00000000-0005-0000-0000-000048550000}"/>
    <cellStyle name="Normal 2 5 4 8 3 2" xfId="13758" xr:uid="{00000000-0005-0000-0000-000049550000}"/>
    <cellStyle name="Normal 2 5 4 8 3 2 2" xfId="24009" xr:uid="{00000000-0005-0000-0000-00004A550000}"/>
    <cellStyle name="Normal 2 5 4 8 3 2 2 2" xfId="49562" xr:uid="{00000000-0005-0000-0000-00004B550000}"/>
    <cellStyle name="Normal 2 5 4 8 3 2 3" xfId="39313" xr:uid="{00000000-0005-0000-0000-00004C550000}"/>
    <cellStyle name="Normal 2 5 4 8 3 3" xfId="10179" xr:uid="{00000000-0005-0000-0000-00004D550000}"/>
    <cellStyle name="Normal 2 5 4 8 3 3 2" xfId="35736" xr:uid="{00000000-0005-0000-0000-00004E550000}"/>
    <cellStyle name="Normal 2 5 4 8 3 4" xfId="19002" xr:uid="{00000000-0005-0000-0000-00004F550000}"/>
    <cellStyle name="Normal 2 5 4 8 3 4 2" xfId="44555" xr:uid="{00000000-0005-0000-0000-000050550000}"/>
    <cellStyle name="Normal 2 5 4 8 3 5" xfId="30492" xr:uid="{00000000-0005-0000-0000-000051550000}"/>
    <cellStyle name="Normal 2 5 4 8 4" xfId="1731" xr:uid="{00000000-0005-0000-0000-000052550000}"/>
    <cellStyle name="Normal 2 5 4 8 4 2" xfId="11105" xr:uid="{00000000-0005-0000-0000-000053550000}"/>
    <cellStyle name="Normal 2 5 4 8 4 2 2" xfId="36660" xr:uid="{00000000-0005-0000-0000-000054550000}"/>
    <cellStyle name="Normal 2 5 4 8 4 3" xfId="21109" xr:uid="{00000000-0005-0000-0000-000055550000}"/>
    <cellStyle name="Normal 2 5 4 8 4 3 2" xfId="46662" xr:uid="{00000000-0005-0000-0000-000056550000}"/>
    <cellStyle name="Normal 2 5 4 8 4 4" xfId="27592" xr:uid="{00000000-0005-0000-0000-000057550000}"/>
    <cellStyle name="Normal 2 5 4 8 5" xfId="6376" xr:uid="{00000000-0005-0000-0000-000058550000}"/>
    <cellStyle name="Normal 2 5 4 8 5 2" xfId="15203" xr:uid="{00000000-0005-0000-0000-000059550000}"/>
    <cellStyle name="Normal 2 5 4 8 5 2 2" xfId="40758" xr:uid="{00000000-0005-0000-0000-00005A550000}"/>
    <cellStyle name="Normal 2 5 4 8 5 3" xfId="25454" xr:uid="{00000000-0005-0000-0000-00005B550000}"/>
    <cellStyle name="Normal 2 5 4 8 5 3 2" xfId="51007" xr:uid="{00000000-0005-0000-0000-00005C550000}"/>
    <cellStyle name="Normal 2 5 4 8 5 4" xfId="31937" xr:uid="{00000000-0005-0000-0000-00005D550000}"/>
    <cellStyle name="Normal 2 5 4 8 6" xfId="7822" xr:uid="{00000000-0005-0000-0000-00005E550000}"/>
    <cellStyle name="Normal 2 5 4 8 6 2" xfId="20449" xr:uid="{00000000-0005-0000-0000-00005F550000}"/>
    <cellStyle name="Normal 2 5 4 8 6 2 2" xfId="46002" xr:uid="{00000000-0005-0000-0000-000060550000}"/>
    <cellStyle name="Normal 2 5 4 8 6 3" xfId="33379" xr:uid="{00000000-0005-0000-0000-000061550000}"/>
    <cellStyle name="Normal 2 5 4 8 7" xfId="16102" xr:uid="{00000000-0005-0000-0000-000062550000}"/>
    <cellStyle name="Normal 2 5 4 8 7 2" xfId="41655" xr:uid="{00000000-0005-0000-0000-000063550000}"/>
    <cellStyle name="Normal 2 5 4 8 8" xfId="26932" xr:uid="{00000000-0005-0000-0000-000064550000}"/>
    <cellStyle name="Normal 2 5 4 9" xfId="2631" xr:uid="{00000000-0005-0000-0000-000065550000}"/>
    <cellStyle name="Normal 2 5 4 9 2" xfId="5158" xr:uid="{00000000-0005-0000-0000-000066550000}"/>
    <cellStyle name="Normal 2 5 4 9 2 2" xfId="13995" xr:uid="{00000000-0005-0000-0000-000067550000}"/>
    <cellStyle name="Normal 2 5 4 9 2 2 2" xfId="24246" xr:uid="{00000000-0005-0000-0000-000068550000}"/>
    <cellStyle name="Normal 2 5 4 9 2 2 2 2" xfId="49799" xr:uid="{00000000-0005-0000-0000-000069550000}"/>
    <cellStyle name="Normal 2 5 4 9 2 2 3" xfId="39550" xr:uid="{00000000-0005-0000-0000-00006A550000}"/>
    <cellStyle name="Normal 2 5 4 9 2 3" xfId="10416" xr:uid="{00000000-0005-0000-0000-00006B550000}"/>
    <cellStyle name="Normal 2 5 4 9 2 3 2" xfId="35973" xr:uid="{00000000-0005-0000-0000-00006C550000}"/>
    <cellStyle name="Normal 2 5 4 9 2 4" xfId="19239" xr:uid="{00000000-0005-0000-0000-00006D550000}"/>
    <cellStyle name="Normal 2 5 4 9 2 4 2" xfId="44792" xr:uid="{00000000-0005-0000-0000-00006E550000}"/>
    <cellStyle name="Normal 2 5 4 9 2 5" xfId="30729" xr:uid="{00000000-0005-0000-0000-00006F550000}"/>
    <cellStyle name="Normal 2 5 4 9 3" xfId="6613" xr:uid="{00000000-0005-0000-0000-000070550000}"/>
    <cellStyle name="Normal 2 5 4 9 3 2" xfId="15440" xr:uid="{00000000-0005-0000-0000-000071550000}"/>
    <cellStyle name="Normal 2 5 4 9 3 2 2" xfId="40995" xr:uid="{00000000-0005-0000-0000-000072550000}"/>
    <cellStyle name="Normal 2 5 4 9 3 3" xfId="25691" xr:uid="{00000000-0005-0000-0000-000073550000}"/>
    <cellStyle name="Normal 2 5 4 9 3 3 2" xfId="51244" xr:uid="{00000000-0005-0000-0000-000074550000}"/>
    <cellStyle name="Normal 2 5 4 9 3 4" xfId="32174" xr:uid="{00000000-0005-0000-0000-000075550000}"/>
    <cellStyle name="Normal 2 5 4 9 4" xfId="8059" xr:uid="{00000000-0005-0000-0000-000076550000}"/>
    <cellStyle name="Normal 2 5 4 9 4 2" xfId="21993" xr:uid="{00000000-0005-0000-0000-000077550000}"/>
    <cellStyle name="Normal 2 5 4 9 4 2 2" xfId="47546" xr:uid="{00000000-0005-0000-0000-000078550000}"/>
    <cellStyle name="Normal 2 5 4 9 4 3" xfId="33616" xr:uid="{00000000-0005-0000-0000-000079550000}"/>
    <cellStyle name="Normal 2 5 4 9 5" xfId="16986" xr:uid="{00000000-0005-0000-0000-00007A550000}"/>
    <cellStyle name="Normal 2 5 4 9 5 2" xfId="42539" xr:uid="{00000000-0005-0000-0000-00007B550000}"/>
    <cellStyle name="Normal 2 5 4 9 6" xfId="28476" xr:uid="{00000000-0005-0000-0000-00007C550000}"/>
    <cellStyle name="Normal 2 5 4_Degree data" xfId="3890" xr:uid="{00000000-0005-0000-0000-00007D550000}"/>
    <cellStyle name="Normal 2 5 5" xfId="133" xr:uid="{00000000-0005-0000-0000-00007E550000}"/>
    <cellStyle name="Normal 2 5 5 10" xfId="1401" xr:uid="{00000000-0005-0000-0000-00007F550000}"/>
    <cellStyle name="Normal 2 5 5 10 2" xfId="10778" xr:uid="{00000000-0005-0000-0000-000080550000}"/>
    <cellStyle name="Normal 2 5 5 10 2 2" xfId="36333" xr:uid="{00000000-0005-0000-0000-000081550000}"/>
    <cellStyle name="Normal 2 5 5 10 3" xfId="20782" xr:uid="{00000000-0005-0000-0000-000082550000}"/>
    <cellStyle name="Normal 2 5 5 10 3 2" xfId="46335" xr:uid="{00000000-0005-0000-0000-000083550000}"/>
    <cellStyle name="Normal 2 5 5 10 4" xfId="27265" xr:uid="{00000000-0005-0000-0000-000084550000}"/>
    <cellStyle name="Normal 2 5 5 11" xfId="5512" xr:uid="{00000000-0005-0000-0000-000085550000}"/>
    <cellStyle name="Normal 2 5 5 11 2" xfId="14339" xr:uid="{00000000-0005-0000-0000-000086550000}"/>
    <cellStyle name="Normal 2 5 5 11 2 2" xfId="39894" xr:uid="{00000000-0005-0000-0000-000087550000}"/>
    <cellStyle name="Normal 2 5 5 11 3" xfId="24590" xr:uid="{00000000-0005-0000-0000-000088550000}"/>
    <cellStyle name="Normal 2 5 5 11 3 2" xfId="50143" xr:uid="{00000000-0005-0000-0000-000089550000}"/>
    <cellStyle name="Normal 2 5 5 11 4" xfId="31073" xr:uid="{00000000-0005-0000-0000-00008A550000}"/>
    <cellStyle name="Normal 2 5 5 12" xfId="6952" xr:uid="{00000000-0005-0000-0000-00008B550000}"/>
    <cellStyle name="Normal 2 5 5 12 2" xfId="19597" xr:uid="{00000000-0005-0000-0000-00008C550000}"/>
    <cellStyle name="Normal 2 5 5 12 2 2" xfId="45150" xr:uid="{00000000-0005-0000-0000-00008D550000}"/>
    <cellStyle name="Normal 2 5 5 12 3" xfId="32510" xr:uid="{00000000-0005-0000-0000-00008E550000}"/>
    <cellStyle name="Normal 2 5 5 13" xfId="15775" xr:uid="{00000000-0005-0000-0000-00008F550000}"/>
    <cellStyle name="Normal 2 5 5 13 2" xfId="41328" xr:uid="{00000000-0005-0000-0000-000090550000}"/>
    <cellStyle name="Normal 2 5 5 14" xfId="26080" xr:uid="{00000000-0005-0000-0000-000091550000}"/>
    <cellStyle name="Normal 2 5 5 2" xfId="183" xr:uid="{00000000-0005-0000-0000-000092550000}"/>
    <cellStyle name="Normal 2 5 5 2 10" xfId="7131" xr:uid="{00000000-0005-0000-0000-000093550000}"/>
    <cellStyle name="Normal 2 5 5 2 10 2" xfId="19640" xr:uid="{00000000-0005-0000-0000-000094550000}"/>
    <cellStyle name="Normal 2 5 5 2 10 2 2" xfId="45193" xr:uid="{00000000-0005-0000-0000-000095550000}"/>
    <cellStyle name="Normal 2 5 5 2 10 3" xfId="32688" xr:uid="{00000000-0005-0000-0000-000096550000}"/>
    <cellStyle name="Normal 2 5 5 2 11" xfId="15877" xr:uid="{00000000-0005-0000-0000-000097550000}"/>
    <cellStyle name="Normal 2 5 5 2 11 2" xfId="41430" xr:uid="{00000000-0005-0000-0000-000098550000}"/>
    <cellStyle name="Normal 2 5 5 2 12" xfId="26123" xr:uid="{00000000-0005-0000-0000-000099550000}"/>
    <cellStyle name="Normal 2 5 5 2 2" xfId="511" xr:uid="{00000000-0005-0000-0000-00009A550000}"/>
    <cellStyle name="Normal 2 5 5 2 2 10" xfId="26440" xr:uid="{00000000-0005-0000-0000-00009B550000}"/>
    <cellStyle name="Normal 2 5 5 2 2 2" xfId="769" xr:uid="{00000000-0005-0000-0000-00009C550000}"/>
    <cellStyle name="Normal 2 5 5 2 2 2 2" xfId="3255" xr:uid="{00000000-0005-0000-0000-00009D550000}"/>
    <cellStyle name="Normal 2 5 5 2 2 2 2 2" xfId="12397" xr:uid="{00000000-0005-0000-0000-00009E550000}"/>
    <cellStyle name="Normal 2 5 5 2 2 2 2 2 2" xfId="22616" xr:uid="{00000000-0005-0000-0000-00009F550000}"/>
    <cellStyle name="Normal 2 5 5 2 2 2 2 2 2 2" xfId="48169" xr:uid="{00000000-0005-0000-0000-0000A0550000}"/>
    <cellStyle name="Normal 2 5 5 2 2 2 2 2 3" xfId="37952" xr:uid="{00000000-0005-0000-0000-0000A1550000}"/>
    <cellStyle name="Normal 2 5 5 2 2 2 2 3" xfId="8819" xr:uid="{00000000-0005-0000-0000-0000A2550000}"/>
    <cellStyle name="Normal 2 5 5 2 2 2 2 3 2" xfId="34376" xr:uid="{00000000-0005-0000-0000-0000A3550000}"/>
    <cellStyle name="Normal 2 5 5 2 2 2 2 4" xfId="17609" xr:uid="{00000000-0005-0000-0000-0000A4550000}"/>
    <cellStyle name="Normal 2 5 5 2 2 2 2 4 2" xfId="43162" xr:uid="{00000000-0005-0000-0000-0000A5550000}"/>
    <cellStyle name="Normal 2 5 5 2 2 2 2 5" xfId="29099" xr:uid="{00000000-0005-0000-0000-0000A6550000}"/>
    <cellStyle name="Normal 2 5 5 2 2 2 3" xfId="4584" xr:uid="{00000000-0005-0000-0000-0000A7550000}"/>
    <cellStyle name="Normal 2 5 5 2 2 2 3 2" xfId="13422" xr:uid="{00000000-0005-0000-0000-0000A8550000}"/>
    <cellStyle name="Normal 2 5 5 2 2 2 3 2 2" xfId="23673" xr:uid="{00000000-0005-0000-0000-0000A9550000}"/>
    <cellStyle name="Normal 2 5 5 2 2 2 3 2 2 2" xfId="49226" xr:uid="{00000000-0005-0000-0000-0000AA550000}"/>
    <cellStyle name="Normal 2 5 5 2 2 2 3 2 3" xfId="38977" xr:uid="{00000000-0005-0000-0000-0000AB550000}"/>
    <cellStyle name="Normal 2 5 5 2 2 2 3 3" xfId="9843" xr:uid="{00000000-0005-0000-0000-0000AC550000}"/>
    <cellStyle name="Normal 2 5 5 2 2 2 3 3 2" xfId="35400" xr:uid="{00000000-0005-0000-0000-0000AD550000}"/>
    <cellStyle name="Normal 2 5 5 2 2 2 3 4" xfId="18666" xr:uid="{00000000-0005-0000-0000-0000AE550000}"/>
    <cellStyle name="Normal 2 5 5 2 2 2 3 4 2" xfId="44219" xr:uid="{00000000-0005-0000-0000-0000AF550000}"/>
    <cellStyle name="Normal 2 5 5 2 2 2 3 5" xfId="30156" xr:uid="{00000000-0005-0000-0000-0000B0550000}"/>
    <cellStyle name="Normal 2 5 5 2 2 2 4" xfId="2364" xr:uid="{00000000-0005-0000-0000-0000B1550000}"/>
    <cellStyle name="Normal 2 5 5 2 2 2 4 2" xfId="11729" xr:uid="{00000000-0005-0000-0000-0000B2550000}"/>
    <cellStyle name="Normal 2 5 5 2 2 2 4 2 2" xfId="37284" xr:uid="{00000000-0005-0000-0000-0000B3550000}"/>
    <cellStyle name="Normal 2 5 5 2 2 2 4 3" xfId="21733" xr:uid="{00000000-0005-0000-0000-0000B4550000}"/>
    <cellStyle name="Normal 2 5 5 2 2 2 4 3 2" xfId="47286" xr:uid="{00000000-0005-0000-0000-0000B5550000}"/>
    <cellStyle name="Normal 2 5 5 2 2 2 4 4" xfId="28216" xr:uid="{00000000-0005-0000-0000-0000B6550000}"/>
    <cellStyle name="Normal 2 5 5 2 2 2 5" xfId="6040" xr:uid="{00000000-0005-0000-0000-0000B7550000}"/>
    <cellStyle name="Normal 2 5 5 2 2 2 5 2" xfId="14867" xr:uid="{00000000-0005-0000-0000-0000B8550000}"/>
    <cellStyle name="Normal 2 5 5 2 2 2 5 2 2" xfId="40422" xr:uid="{00000000-0005-0000-0000-0000B9550000}"/>
    <cellStyle name="Normal 2 5 5 2 2 2 5 3" xfId="25118" xr:uid="{00000000-0005-0000-0000-0000BA550000}"/>
    <cellStyle name="Normal 2 5 5 2 2 2 5 3 2" xfId="50671" xr:uid="{00000000-0005-0000-0000-0000BB550000}"/>
    <cellStyle name="Normal 2 5 5 2 2 2 5 4" xfId="31601" xr:uid="{00000000-0005-0000-0000-0000BC550000}"/>
    <cellStyle name="Normal 2 5 5 2 2 2 6" xfId="7484" xr:uid="{00000000-0005-0000-0000-0000BD550000}"/>
    <cellStyle name="Normal 2 5 5 2 2 2 6 2" xfId="20215" xr:uid="{00000000-0005-0000-0000-0000BE550000}"/>
    <cellStyle name="Normal 2 5 5 2 2 2 6 2 2" xfId="45768" xr:uid="{00000000-0005-0000-0000-0000BF550000}"/>
    <cellStyle name="Normal 2 5 5 2 2 2 6 3" xfId="33041" xr:uid="{00000000-0005-0000-0000-0000C0550000}"/>
    <cellStyle name="Normal 2 5 5 2 2 2 7" xfId="16726" xr:uid="{00000000-0005-0000-0000-0000C1550000}"/>
    <cellStyle name="Normal 2 5 5 2 2 2 7 2" xfId="42279" xr:uid="{00000000-0005-0000-0000-0000C2550000}"/>
    <cellStyle name="Normal 2 5 5 2 2 2 8" xfId="26698" xr:uid="{00000000-0005-0000-0000-0000C3550000}"/>
    <cellStyle name="Normal 2 5 5 2 2 3" xfId="1283" xr:uid="{00000000-0005-0000-0000-0000C4550000}"/>
    <cellStyle name="Normal 2 5 5 2 2 3 2" xfId="3712" xr:uid="{00000000-0005-0000-0000-0000C5550000}"/>
    <cellStyle name="Normal 2 5 5 2 2 3 2 2" xfId="12848" xr:uid="{00000000-0005-0000-0000-0000C6550000}"/>
    <cellStyle name="Normal 2 5 5 2 2 3 2 2 2" xfId="23067" xr:uid="{00000000-0005-0000-0000-0000C7550000}"/>
    <cellStyle name="Normal 2 5 5 2 2 3 2 2 2 2" xfId="48620" xr:uid="{00000000-0005-0000-0000-0000C8550000}"/>
    <cellStyle name="Normal 2 5 5 2 2 3 2 2 3" xfId="38403" xr:uid="{00000000-0005-0000-0000-0000C9550000}"/>
    <cellStyle name="Normal 2 5 5 2 2 3 2 3" xfId="9269" xr:uid="{00000000-0005-0000-0000-0000CA550000}"/>
    <cellStyle name="Normal 2 5 5 2 2 3 2 3 2" xfId="34826" xr:uid="{00000000-0005-0000-0000-0000CB550000}"/>
    <cellStyle name="Normal 2 5 5 2 2 3 2 4" xfId="18060" xr:uid="{00000000-0005-0000-0000-0000CC550000}"/>
    <cellStyle name="Normal 2 5 5 2 2 3 2 4 2" xfId="43613" xr:uid="{00000000-0005-0000-0000-0000CD550000}"/>
    <cellStyle name="Normal 2 5 5 2 2 3 2 5" xfId="29550" xr:uid="{00000000-0005-0000-0000-0000CE550000}"/>
    <cellStyle name="Normal 2 5 5 2 2 3 3" xfId="4933" xr:uid="{00000000-0005-0000-0000-0000CF550000}"/>
    <cellStyle name="Normal 2 5 5 2 2 3 3 2" xfId="13770" xr:uid="{00000000-0005-0000-0000-0000D0550000}"/>
    <cellStyle name="Normal 2 5 5 2 2 3 3 2 2" xfId="24021" xr:uid="{00000000-0005-0000-0000-0000D1550000}"/>
    <cellStyle name="Normal 2 5 5 2 2 3 3 2 2 2" xfId="49574" xr:uid="{00000000-0005-0000-0000-0000D2550000}"/>
    <cellStyle name="Normal 2 5 5 2 2 3 3 2 3" xfId="39325" xr:uid="{00000000-0005-0000-0000-0000D3550000}"/>
    <cellStyle name="Normal 2 5 5 2 2 3 3 3" xfId="10191" xr:uid="{00000000-0005-0000-0000-0000D4550000}"/>
    <cellStyle name="Normal 2 5 5 2 2 3 3 3 2" xfId="35748" xr:uid="{00000000-0005-0000-0000-0000D5550000}"/>
    <cellStyle name="Normal 2 5 5 2 2 3 3 4" xfId="19014" xr:uid="{00000000-0005-0000-0000-0000D6550000}"/>
    <cellStyle name="Normal 2 5 5 2 2 3 3 4 2" xfId="44567" xr:uid="{00000000-0005-0000-0000-0000D7550000}"/>
    <cellStyle name="Normal 2 5 5 2 2 3 3 5" xfId="30504" xr:uid="{00000000-0005-0000-0000-0000D8550000}"/>
    <cellStyle name="Normal 2 5 5 2 2 3 4" xfId="2106" xr:uid="{00000000-0005-0000-0000-0000D9550000}"/>
    <cellStyle name="Normal 2 5 5 2 2 3 4 2" xfId="11471" xr:uid="{00000000-0005-0000-0000-0000DA550000}"/>
    <cellStyle name="Normal 2 5 5 2 2 3 4 2 2" xfId="37026" xr:uid="{00000000-0005-0000-0000-0000DB550000}"/>
    <cellStyle name="Normal 2 5 5 2 2 3 4 3" xfId="21475" xr:uid="{00000000-0005-0000-0000-0000DC550000}"/>
    <cellStyle name="Normal 2 5 5 2 2 3 4 3 2" xfId="47028" xr:uid="{00000000-0005-0000-0000-0000DD550000}"/>
    <cellStyle name="Normal 2 5 5 2 2 3 4 4" xfId="27958" xr:uid="{00000000-0005-0000-0000-0000DE550000}"/>
    <cellStyle name="Normal 2 5 5 2 2 3 5" xfId="6388" xr:uid="{00000000-0005-0000-0000-0000DF550000}"/>
    <cellStyle name="Normal 2 5 5 2 2 3 5 2" xfId="15215" xr:uid="{00000000-0005-0000-0000-0000E0550000}"/>
    <cellStyle name="Normal 2 5 5 2 2 3 5 2 2" xfId="40770" xr:uid="{00000000-0005-0000-0000-0000E1550000}"/>
    <cellStyle name="Normal 2 5 5 2 2 3 5 3" xfId="25466" xr:uid="{00000000-0005-0000-0000-0000E2550000}"/>
    <cellStyle name="Normal 2 5 5 2 2 3 5 3 2" xfId="51019" xr:uid="{00000000-0005-0000-0000-0000E3550000}"/>
    <cellStyle name="Normal 2 5 5 2 2 3 5 4" xfId="31949" xr:uid="{00000000-0005-0000-0000-0000E4550000}"/>
    <cellStyle name="Normal 2 5 5 2 2 3 6" xfId="7834" xr:uid="{00000000-0005-0000-0000-0000E5550000}"/>
    <cellStyle name="Normal 2 5 5 2 2 3 6 2" xfId="20666" xr:uid="{00000000-0005-0000-0000-0000E6550000}"/>
    <cellStyle name="Normal 2 5 5 2 2 3 6 2 2" xfId="46219" xr:uid="{00000000-0005-0000-0000-0000E7550000}"/>
    <cellStyle name="Normal 2 5 5 2 2 3 6 3" xfId="33391" xr:uid="{00000000-0005-0000-0000-0000E8550000}"/>
    <cellStyle name="Normal 2 5 5 2 2 3 7" xfId="16468" xr:uid="{00000000-0005-0000-0000-0000E9550000}"/>
    <cellStyle name="Normal 2 5 5 2 2 3 7 2" xfId="42021" xr:uid="{00000000-0005-0000-0000-0000EA550000}"/>
    <cellStyle name="Normal 2 5 5 2 2 3 8" xfId="27149" xr:uid="{00000000-0005-0000-0000-0000EB550000}"/>
    <cellStyle name="Normal 2 5 5 2 2 4" xfId="2997" xr:uid="{00000000-0005-0000-0000-0000EC550000}"/>
    <cellStyle name="Normal 2 5 5 2 2 4 2" xfId="5375" xr:uid="{00000000-0005-0000-0000-0000ED550000}"/>
    <cellStyle name="Normal 2 5 5 2 2 4 2 2" xfId="14212" xr:uid="{00000000-0005-0000-0000-0000EE550000}"/>
    <cellStyle name="Normal 2 5 5 2 2 4 2 2 2" xfId="24463" xr:uid="{00000000-0005-0000-0000-0000EF550000}"/>
    <cellStyle name="Normal 2 5 5 2 2 4 2 2 2 2" xfId="50016" xr:uid="{00000000-0005-0000-0000-0000F0550000}"/>
    <cellStyle name="Normal 2 5 5 2 2 4 2 2 3" xfId="39767" xr:uid="{00000000-0005-0000-0000-0000F1550000}"/>
    <cellStyle name="Normal 2 5 5 2 2 4 2 3" xfId="10633" xr:uid="{00000000-0005-0000-0000-0000F2550000}"/>
    <cellStyle name="Normal 2 5 5 2 2 4 2 3 2" xfId="36190" xr:uid="{00000000-0005-0000-0000-0000F3550000}"/>
    <cellStyle name="Normal 2 5 5 2 2 4 2 4" xfId="19456" xr:uid="{00000000-0005-0000-0000-0000F4550000}"/>
    <cellStyle name="Normal 2 5 5 2 2 4 2 4 2" xfId="45009" xr:uid="{00000000-0005-0000-0000-0000F5550000}"/>
    <cellStyle name="Normal 2 5 5 2 2 4 2 5" xfId="30946" xr:uid="{00000000-0005-0000-0000-0000F6550000}"/>
    <cellStyle name="Normal 2 5 5 2 2 4 3" xfId="6830" xr:uid="{00000000-0005-0000-0000-0000F7550000}"/>
    <cellStyle name="Normal 2 5 5 2 2 4 3 2" xfId="15657" xr:uid="{00000000-0005-0000-0000-0000F8550000}"/>
    <cellStyle name="Normal 2 5 5 2 2 4 3 2 2" xfId="41212" xr:uid="{00000000-0005-0000-0000-0000F9550000}"/>
    <cellStyle name="Normal 2 5 5 2 2 4 3 3" xfId="25908" xr:uid="{00000000-0005-0000-0000-0000FA550000}"/>
    <cellStyle name="Normal 2 5 5 2 2 4 3 3 2" xfId="51461" xr:uid="{00000000-0005-0000-0000-0000FB550000}"/>
    <cellStyle name="Normal 2 5 5 2 2 4 3 4" xfId="32391" xr:uid="{00000000-0005-0000-0000-0000FC550000}"/>
    <cellStyle name="Normal 2 5 5 2 2 4 4" xfId="8276" xr:uid="{00000000-0005-0000-0000-0000FD550000}"/>
    <cellStyle name="Normal 2 5 5 2 2 4 4 2" xfId="22358" xr:uid="{00000000-0005-0000-0000-0000FE550000}"/>
    <cellStyle name="Normal 2 5 5 2 2 4 4 2 2" xfId="47911" xr:uid="{00000000-0005-0000-0000-0000FF550000}"/>
    <cellStyle name="Normal 2 5 5 2 2 4 4 3" xfId="33833" xr:uid="{00000000-0005-0000-0000-000000560000}"/>
    <cellStyle name="Normal 2 5 5 2 2 4 5" xfId="17351" xr:uid="{00000000-0005-0000-0000-000001560000}"/>
    <cellStyle name="Normal 2 5 5 2 2 4 5 2" xfId="42904" xr:uid="{00000000-0005-0000-0000-000002560000}"/>
    <cellStyle name="Normal 2 5 5 2 2 4 6" xfId="28841" xr:uid="{00000000-0005-0000-0000-000003560000}"/>
    <cellStyle name="Normal 2 5 5 2 2 5" xfId="4331" xr:uid="{00000000-0005-0000-0000-000004560000}"/>
    <cellStyle name="Normal 2 5 5 2 2 5 2" xfId="13169" xr:uid="{00000000-0005-0000-0000-000005560000}"/>
    <cellStyle name="Normal 2 5 5 2 2 5 2 2" xfId="23420" xr:uid="{00000000-0005-0000-0000-000006560000}"/>
    <cellStyle name="Normal 2 5 5 2 2 5 2 2 2" xfId="48973" xr:uid="{00000000-0005-0000-0000-000007560000}"/>
    <cellStyle name="Normal 2 5 5 2 2 5 2 3" xfId="38724" xr:uid="{00000000-0005-0000-0000-000008560000}"/>
    <cellStyle name="Normal 2 5 5 2 2 5 3" xfId="9590" xr:uid="{00000000-0005-0000-0000-000009560000}"/>
    <cellStyle name="Normal 2 5 5 2 2 5 3 2" xfId="35147" xr:uid="{00000000-0005-0000-0000-00000A560000}"/>
    <cellStyle name="Normal 2 5 5 2 2 5 4" xfId="18413" xr:uid="{00000000-0005-0000-0000-00000B560000}"/>
    <cellStyle name="Normal 2 5 5 2 2 5 4 2" xfId="43966" xr:uid="{00000000-0005-0000-0000-00000C560000}"/>
    <cellStyle name="Normal 2 5 5 2 2 5 5" xfId="29903" xr:uid="{00000000-0005-0000-0000-00000D560000}"/>
    <cellStyle name="Normal 2 5 5 2 2 6" xfId="1603" xr:uid="{00000000-0005-0000-0000-00000E560000}"/>
    <cellStyle name="Normal 2 5 5 2 2 6 2" xfId="10980" xr:uid="{00000000-0005-0000-0000-00000F560000}"/>
    <cellStyle name="Normal 2 5 5 2 2 6 2 2" xfId="36535" xr:uid="{00000000-0005-0000-0000-000010560000}"/>
    <cellStyle name="Normal 2 5 5 2 2 6 3" xfId="20984" xr:uid="{00000000-0005-0000-0000-000011560000}"/>
    <cellStyle name="Normal 2 5 5 2 2 6 3 2" xfId="46537" xr:uid="{00000000-0005-0000-0000-000012560000}"/>
    <cellStyle name="Normal 2 5 5 2 2 6 4" xfId="27467" xr:uid="{00000000-0005-0000-0000-000013560000}"/>
    <cellStyle name="Normal 2 5 5 2 2 7" xfId="5787" xr:uid="{00000000-0005-0000-0000-000014560000}"/>
    <cellStyle name="Normal 2 5 5 2 2 7 2" xfId="14614" xr:uid="{00000000-0005-0000-0000-000015560000}"/>
    <cellStyle name="Normal 2 5 5 2 2 7 2 2" xfId="40169" xr:uid="{00000000-0005-0000-0000-000016560000}"/>
    <cellStyle name="Normal 2 5 5 2 2 7 3" xfId="24865" xr:uid="{00000000-0005-0000-0000-000017560000}"/>
    <cellStyle name="Normal 2 5 5 2 2 7 3 2" xfId="50418" xr:uid="{00000000-0005-0000-0000-000018560000}"/>
    <cellStyle name="Normal 2 5 5 2 2 7 4" xfId="31348" xr:uid="{00000000-0005-0000-0000-000019560000}"/>
    <cellStyle name="Normal 2 5 5 2 2 8" xfId="7231" xr:uid="{00000000-0005-0000-0000-00001A560000}"/>
    <cellStyle name="Normal 2 5 5 2 2 8 2" xfId="19957" xr:uid="{00000000-0005-0000-0000-00001B560000}"/>
    <cellStyle name="Normal 2 5 5 2 2 8 2 2" xfId="45510" xr:uid="{00000000-0005-0000-0000-00001C560000}"/>
    <cellStyle name="Normal 2 5 5 2 2 8 3" xfId="32788" xr:uid="{00000000-0005-0000-0000-00001D560000}"/>
    <cellStyle name="Normal 2 5 5 2 2 9" xfId="15977" xr:uid="{00000000-0005-0000-0000-00001E560000}"/>
    <cellStyle name="Normal 2 5 5 2 2 9 2" xfId="41530" xr:uid="{00000000-0005-0000-0000-00001F560000}"/>
    <cellStyle name="Normal 2 5 5 2 2_Degree data" xfId="3462" xr:uid="{00000000-0005-0000-0000-000020560000}"/>
    <cellStyle name="Normal 2 5 5 2 3" xfId="411" xr:uid="{00000000-0005-0000-0000-000021560000}"/>
    <cellStyle name="Normal 2 5 5 2 3 2" xfId="2897" xr:uid="{00000000-0005-0000-0000-000022560000}"/>
    <cellStyle name="Normal 2 5 5 2 3 2 2" xfId="12185" xr:uid="{00000000-0005-0000-0000-000023560000}"/>
    <cellStyle name="Normal 2 5 5 2 3 2 2 2" xfId="22258" xr:uid="{00000000-0005-0000-0000-000024560000}"/>
    <cellStyle name="Normal 2 5 5 2 3 2 2 2 2" xfId="47811" xr:uid="{00000000-0005-0000-0000-000025560000}"/>
    <cellStyle name="Normal 2 5 5 2 3 2 2 3" xfId="37740" xr:uid="{00000000-0005-0000-0000-000026560000}"/>
    <cellStyle name="Normal 2 5 5 2 3 2 3" xfId="8451" xr:uid="{00000000-0005-0000-0000-000027560000}"/>
    <cellStyle name="Normal 2 5 5 2 3 2 3 2" xfId="34008" xr:uid="{00000000-0005-0000-0000-000028560000}"/>
    <cellStyle name="Normal 2 5 5 2 3 2 4" xfId="17251" xr:uid="{00000000-0005-0000-0000-000029560000}"/>
    <cellStyle name="Normal 2 5 5 2 3 2 4 2" xfId="42804" xr:uid="{00000000-0005-0000-0000-00002A560000}"/>
    <cellStyle name="Normal 2 5 5 2 3 2 5" xfId="28741" xr:uid="{00000000-0005-0000-0000-00002B560000}"/>
    <cellStyle name="Normal 2 5 5 2 3 3" xfId="4583" xr:uid="{00000000-0005-0000-0000-00002C560000}"/>
    <cellStyle name="Normal 2 5 5 2 3 3 2" xfId="13421" xr:uid="{00000000-0005-0000-0000-00002D560000}"/>
    <cellStyle name="Normal 2 5 5 2 3 3 2 2" xfId="23672" xr:uid="{00000000-0005-0000-0000-00002E560000}"/>
    <cellStyle name="Normal 2 5 5 2 3 3 2 2 2" xfId="49225" xr:uid="{00000000-0005-0000-0000-00002F560000}"/>
    <cellStyle name="Normal 2 5 5 2 3 3 2 3" xfId="38976" xr:uid="{00000000-0005-0000-0000-000030560000}"/>
    <cellStyle name="Normal 2 5 5 2 3 3 3" xfId="9842" xr:uid="{00000000-0005-0000-0000-000031560000}"/>
    <cellStyle name="Normal 2 5 5 2 3 3 3 2" xfId="35399" xr:uid="{00000000-0005-0000-0000-000032560000}"/>
    <cellStyle name="Normal 2 5 5 2 3 3 4" xfId="18665" xr:uid="{00000000-0005-0000-0000-000033560000}"/>
    <cellStyle name="Normal 2 5 5 2 3 3 4 2" xfId="44218" xr:uid="{00000000-0005-0000-0000-000034560000}"/>
    <cellStyle name="Normal 2 5 5 2 3 3 5" xfId="30155" xr:uid="{00000000-0005-0000-0000-000035560000}"/>
    <cellStyle name="Normal 2 5 5 2 3 4" xfId="2006" xr:uid="{00000000-0005-0000-0000-000036560000}"/>
    <cellStyle name="Normal 2 5 5 2 3 4 2" xfId="11371" xr:uid="{00000000-0005-0000-0000-000037560000}"/>
    <cellStyle name="Normal 2 5 5 2 3 4 2 2" xfId="36926" xr:uid="{00000000-0005-0000-0000-000038560000}"/>
    <cellStyle name="Normal 2 5 5 2 3 4 3" xfId="21375" xr:uid="{00000000-0005-0000-0000-000039560000}"/>
    <cellStyle name="Normal 2 5 5 2 3 4 3 2" xfId="46928" xr:uid="{00000000-0005-0000-0000-00003A560000}"/>
    <cellStyle name="Normal 2 5 5 2 3 4 4" xfId="27858" xr:uid="{00000000-0005-0000-0000-00003B560000}"/>
    <cellStyle name="Normal 2 5 5 2 3 5" xfId="6039" xr:uid="{00000000-0005-0000-0000-00003C560000}"/>
    <cellStyle name="Normal 2 5 5 2 3 5 2" xfId="14866" xr:uid="{00000000-0005-0000-0000-00003D560000}"/>
    <cellStyle name="Normal 2 5 5 2 3 5 2 2" xfId="40421" xr:uid="{00000000-0005-0000-0000-00003E560000}"/>
    <cellStyle name="Normal 2 5 5 2 3 5 3" xfId="25117" xr:uid="{00000000-0005-0000-0000-00003F560000}"/>
    <cellStyle name="Normal 2 5 5 2 3 5 3 2" xfId="50670" xr:uid="{00000000-0005-0000-0000-000040560000}"/>
    <cellStyle name="Normal 2 5 5 2 3 5 4" xfId="31600" xr:uid="{00000000-0005-0000-0000-000041560000}"/>
    <cellStyle name="Normal 2 5 5 2 3 6" xfId="7483" xr:uid="{00000000-0005-0000-0000-000042560000}"/>
    <cellStyle name="Normal 2 5 5 2 3 6 2" xfId="19857" xr:uid="{00000000-0005-0000-0000-000043560000}"/>
    <cellStyle name="Normal 2 5 5 2 3 6 2 2" xfId="45410" xr:uid="{00000000-0005-0000-0000-000044560000}"/>
    <cellStyle name="Normal 2 5 5 2 3 6 3" xfId="33040" xr:uid="{00000000-0005-0000-0000-000045560000}"/>
    <cellStyle name="Normal 2 5 5 2 3 7" xfId="16368" xr:uid="{00000000-0005-0000-0000-000046560000}"/>
    <cellStyle name="Normal 2 5 5 2 3 7 2" xfId="41921" xr:uid="{00000000-0005-0000-0000-000047560000}"/>
    <cellStyle name="Normal 2 5 5 2 3 8" xfId="26340" xr:uid="{00000000-0005-0000-0000-000048560000}"/>
    <cellStyle name="Normal 2 5 5 2 4" xfId="768" xr:uid="{00000000-0005-0000-0000-000049560000}"/>
    <cellStyle name="Normal 2 5 5 2 4 2" xfId="3254" xr:uid="{00000000-0005-0000-0000-00004A560000}"/>
    <cellStyle name="Normal 2 5 5 2 4 2 2" xfId="12396" xr:uid="{00000000-0005-0000-0000-00004B560000}"/>
    <cellStyle name="Normal 2 5 5 2 4 2 2 2" xfId="22615" xr:uid="{00000000-0005-0000-0000-00004C560000}"/>
    <cellStyle name="Normal 2 5 5 2 4 2 2 2 2" xfId="48168" xr:uid="{00000000-0005-0000-0000-00004D560000}"/>
    <cellStyle name="Normal 2 5 5 2 4 2 2 3" xfId="37951" xr:uid="{00000000-0005-0000-0000-00004E560000}"/>
    <cellStyle name="Normal 2 5 5 2 4 2 3" xfId="8818" xr:uid="{00000000-0005-0000-0000-00004F560000}"/>
    <cellStyle name="Normal 2 5 5 2 4 2 3 2" xfId="34375" xr:uid="{00000000-0005-0000-0000-000050560000}"/>
    <cellStyle name="Normal 2 5 5 2 4 2 4" xfId="17608" xr:uid="{00000000-0005-0000-0000-000051560000}"/>
    <cellStyle name="Normal 2 5 5 2 4 2 4 2" xfId="43161" xr:uid="{00000000-0005-0000-0000-000052560000}"/>
    <cellStyle name="Normal 2 5 5 2 4 2 5" xfId="29098" xr:uid="{00000000-0005-0000-0000-000053560000}"/>
    <cellStyle name="Normal 2 5 5 2 4 3" xfId="4932" xr:uid="{00000000-0005-0000-0000-000054560000}"/>
    <cellStyle name="Normal 2 5 5 2 4 3 2" xfId="13769" xr:uid="{00000000-0005-0000-0000-000055560000}"/>
    <cellStyle name="Normal 2 5 5 2 4 3 2 2" xfId="24020" xr:uid="{00000000-0005-0000-0000-000056560000}"/>
    <cellStyle name="Normal 2 5 5 2 4 3 2 2 2" xfId="49573" xr:uid="{00000000-0005-0000-0000-000057560000}"/>
    <cellStyle name="Normal 2 5 5 2 4 3 2 3" xfId="39324" xr:uid="{00000000-0005-0000-0000-000058560000}"/>
    <cellStyle name="Normal 2 5 5 2 4 3 3" xfId="10190" xr:uid="{00000000-0005-0000-0000-000059560000}"/>
    <cellStyle name="Normal 2 5 5 2 4 3 3 2" xfId="35747" xr:uid="{00000000-0005-0000-0000-00005A560000}"/>
    <cellStyle name="Normal 2 5 5 2 4 3 4" xfId="19013" xr:uid="{00000000-0005-0000-0000-00005B560000}"/>
    <cellStyle name="Normal 2 5 5 2 4 3 4 2" xfId="44566" xr:uid="{00000000-0005-0000-0000-00005C560000}"/>
    <cellStyle name="Normal 2 5 5 2 4 3 5" xfId="30503" xr:uid="{00000000-0005-0000-0000-00005D560000}"/>
    <cellStyle name="Normal 2 5 5 2 4 4" xfId="2363" xr:uid="{00000000-0005-0000-0000-00005E560000}"/>
    <cellStyle name="Normal 2 5 5 2 4 4 2" xfId="11728" xr:uid="{00000000-0005-0000-0000-00005F560000}"/>
    <cellStyle name="Normal 2 5 5 2 4 4 2 2" xfId="37283" xr:uid="{00000000-0005-0000-0000-000060560000}"/>
    <cellStyle name="Normal 2 5 5 2 4 4 3" xfId="21732" xr:uid="{00000000-0005-0000-0000-000061560000}"/>
    <cellStyle name="Normal 2 5 5 2 4 4 3 2" xfId="47285" xr:uid="{00000000-0005-0000-0000-000062560000}"/>
    <cellStyle name="Normal 2 5 5 2 4 4 4" xfId="28215" xr:uid="{00000000-0005-0000-0000-000063560000}"/>
    <cellStyle name="Normal 2 5 5 2 4 5" xfId="6387" xr:uid="{00000000-0005-0000-0000-000064560000}"/>
    <cellStyle name="Normal 2 5 5 2 4 5 2" xfId="15214" xr:uid="{00000000-0005-0000-0000-000065560000}"/>
    <cellStyle name="Normal 2 5 5 2 4 5 2 2" xfId="40769" xr:uid="{00000000-0005-0000-0000-000066560000}"/>
    <cellStyle name="Normal 2 5 5 2 4 5 3" xfId="25465" xr:uid="{00000000-0005-0000-0000-000067560000}"/>
    <cellStyle name="Normal 2 5 5 2 4 5 3 2" xfId="51018" xr:uid="{00000000-0005-0000-0000-000068560000}"/>
    <cellStyle name="Normal 2 5 5 2 4 5 4" xfId="31948" xr:uid="{00000000-0005-0000-0000-000069560000}"/>
    <cellStyle name="Normal 2 5 5 2 4 6" xfId="7833" xr:uid="{00000000-0005-0000-0000-00006A560000}"/>
    <cellStyle name="Normal 2 5 5 2 4 6 2" xfId="20214" xr:uid="{00000000-0005-0000-0000-00006B560000}"/>
    <cellStyle name="Normal 2 5 5 2 4 6 2 2" xfId="45767" xr:uid="{00000000-0005-0000-0000-00006C560000}"/>
    <cellStyle name="Normal 2 5 5 2 4 6 3" xfId="33390" xr:uid="{00000000-0005-0000-0000-00006D560000}"/>
    <cellStyle name="Normal 2 5 5 2 4 7" xfId="16725" xr:uid="{00000000-0005-0000-0000-00006E560000}"/>
    <cellStyle name="Normal 2 5 5 2 4 7 2" xfId="42278" xr:uid="{00000000-0005-0000-0000-00006F560000}"/>
    <cellStyle name="Normal 2 5 5 2 4 8" xfId="26697" xr:uid="{00000000-0005-0000-0000-000070560000}"/>
    <cellStyle name="Normal 2 5 5 2 5" xfId="1183" xr:uid="{00000000-0005-0000-0000-000071560000}"/>
    <cellStyle name="Normal 2 5 5 2 5 2" xfId="3612" xr:uid="{00000000-0005-0000-0000-000072560000}"/>
    <cellStyle name="Normal 2 5 5 2 5 2 2" xfId="12748" xr:uid="{00000000-0005-0000-0000-000073560000}"/>
    <cellStyle name="Normal 2 5 5 2 5 2 2 2" xfId="22967" xr:uid="{00000000-0005-0000-0000-000074560000}"/>
    <cellStyle name="Normal 2 5 5 2 5 2 2 2 2" xfId="48520" xr:uid="{00000000-0005-0000-0000-000075560000}"/>
    <cellStyle name="Normal 2 5 5 2 5 2 2 3" xfId="38303" xr:uid="{00000000-0005-0000-0000-000076560000}"/>
    <cellStyle name="Normal 2 5 5 2 5 2 3" xfId="9169" xr:uid="{00000000-0005-0000-0000-000077560000}"/>
    <cellStyle name="Normal 2 5 5 2 5 2 3 2" xfId="34726" xr:uid="{00000000-0005-0000-0000-000078560000}"/>
    <cellStyle name="Normal 2 5 5 2 5 2 4" xfId="17960" xr:uid="{00000000-0005-0000-0000-000079560000}"/>
    <cellStyle name="Normal 2 5 5 2 5 2 4 2" xfId="43513" xr:uid="{00000000-0005-0000-0000-00007A560000}"/>
    <cellStyle name="Normal 2 5 5 2 5 2 5" xfId="29450" xr:uid="{00000000-0005-0000-0000-00007B560000}"/>
    <cellStyle name="Normal 2 5 5 2 5 3" xfId="5275" xr:uid="{00000000-0005-0000-0000-00007C560000}"/>
    <cellStyle name="Normal 2 5 5 2 5 3 2" xfId="14112" xr:uid="{00000000-0005-0000-0000-00007D560000}"/>
    <cellStyle name="Normal 2 5 5 2 5 3 2 2" xfId="24363" xr:uid="{00000000-0005-0000-0000-00007E560000}"/>
    <cellStyle name="Normal 2 5 5 2 5 3 2 2 2" xfId="49916" xr:uid="{00000000-0005-0000-0000-00007F560000}"/>
    <cellStyle name="Normal 2 5 5 2 5 3 2 3" xfId="39667" xr:uid="{00000000-0005-0000-0000-000080560000}"/>
    <cellStyle name="Normal 2 5 5 2 5 3 3" xfId="10533" xr:uid="{00000000-0005-0000-0000-000081560000}"/>
    <cellStyle name="Normal 2 5 5 2 5 3 3 2" xfId="36090" xr:uid="{00000000-0005-0000-0000-000082560000}"/>
    <cellStyle name="Normal 2 5 5 2 5 3 4" xfId="19356" xr:uid="{00000000-0005-0000-0000-000083560000}"/>
    <cellStyle name="Normal 2 5 5 2 5 3 4 2" xfId="44909" xr:uid="{00000000-0005-0000-0000-000084560000}"/>
    <cellStyle name="Normal 2 5 5 2 5 3 5" xfId="30846" xr:uid="{00000000-0005-0000-0000-000085560000}"/>
    <cellStyle name="Normal 2 5 5 2 5 4" xfId="1785" xr:uid="{00000000-0005-0000-0000-000086560000}"/>
    <cellStyle name="Normal 2 5 5 2 5 4 2" xfId="11154" xr:uid="{00000000-0005-0000-0000-000087560000}"/>
    <cellStyle name="Normal 2 5 5 2 5 4 2 2" xfId="36709" xr:uid="{00000000-0005-0000-0000-000088560000}"/>
    <cellStyle name="Normal 2 5 5 2 5 4 3" xfId="21158" xr:uid="{00000000-0005-0000-0000-000089560000}"/>
    <cellStyle name="Normal 2 5 5 2 5 4 3 2" xfId="46711" xr:uid="{00000000-0005-0000-0000-00008A560000}"/>
    <cellStyle name="Normal 2 5 5 2 5 4 4" xfId="27641" xr:uid="{00000000-0005-0000-0000-00008B560000}"/>
    <cellStyle name="Normal 2 5 5 2 5 5" xfId="6730" xr:uid="{00000000-0005-0000-0000-00008C560000}"/>
    <cellStyle name="Normal 2 5 5 2 5 5 2" xfId="15557" xr:uid="{00000000-0005-0000-0000-00008D560000}"/>
    <cellStyle name="Normal 2 5 5 2 5 5 2 2" xfId="41112" xr:uid="{00000000-0005-0000-0000-00008E560000}"/>
    <cellStyle name="Normal 2 5 5 2 5 5 3" xfId="25808" xr:uid="{00000000-0005-0000-0000-00008F560000}"/>
    <cellStyle name="Normal 2 5 5 2 5 5 3 2" xfId="51361" xr:uid="{00000000-0005-0000-0000-000090560000}"/>
    <cellStyle name="Normal 2 5 5 2 5 5 4" xfId="32291" xr:uid="{00000000-0005-0000-0000-000091560000}"/>
    <cellStyle name="Normal 2 5 5 2 5 6" xfId="8176" xr:uid="{00000000-0005-0000-0000-000092560000}"/>
    <cellStyle name="Normal 2 5 5 2 5 6 2" xfId="20566" xr:uid="{00000000-0005-0000-0000-000093560000}"/>
    <cellStyle name="Normal 2 5 5 2 5 6 2 2" xfId="46119" xr:uid="{00000000-0005-0000-0000-000094560000}"/>
    <cellStyle name="Normal 2 5 5 2 5 6 3" xfId="33733" xr:uid="{00000000-0005-0000-0000-000095560000}"/>
    <cellStyle name="Normal 2 5 5 2 5 7" xfId="16151" xr:uid="{00000000-0005-0000-0000-000096560000}"/>
    <cellStyle name="Normal 2 5 5 2 5 7 2" xfId="41704" xr:uid="{00000000-0005-0000-0000-000097560000}"/>
    <cellStyle name="Normal 2 5 5 2 5 8" xfId="27049" xr:uid="{00000000-0005-0000-0000-000098560000}"/>
    <cellStyle name="Normal 2 5 5 2 6" xfId="2680" xr:uid="{00000000-0005-0000-0000-000099560000}"/>
    <cellStyle name="Normal 2 5 5 2 6 2" xfId="11997" xr:uid="{00000000-0005-0000-0000-00009A560000}"/>
    <cellStyle name="Normal 2 5 5 2 6 2 2" xfId="22041" xr:uid="{00000000-0005-0000-0000-00009B560000}"/>
    <cellStyle name="Normal 2 5 5 2 6 2 2 2" xfId="47594" xr:uid="{00000000-0005-0000-0000-00009C560000}"/>
    <cellStyle name="Normal 2 5 5 2 6 2 3" xfId="37552" xr:uid="{00000000-0005-0000-0000-00009D560000}"/>
    <cellStyle name="Normal 2 5 5 2 6 3" xfId="8496" xr:uid="{00000000-0005-0000-0000-00009E560000}"/>
    <cellStyle name="Normal 2 5 5 2 6 3 2" xfId="34053" xr:uid="{00000000-0005-0000-0000-00009F560000}"/>
    <cellStyle name="Normal 2 5 5 2 6 4" xfId="17034" xr:uid="{00000000-0005-0000-0000-0000A0560000}"/>
    <cellStyle name="Normal 2 5 5 2 6 4 2" xfId="42587" xr:uid="{00000000-0005-0000-0000-0000A1560000}"/>
    <cellStyle name="Normal 2 5 5 2 6 5" xfId="28524" xr:uid="{00000000-0005-0000-0000-0000A2560000}"/>
    <cellStyle name="Normal 2 5 5 2 7" xfId="4231" xr:uid="{00000000-0005-0000-0000-0000A3560000}"/>
    <cellStyle name="Normal 2 5 5 2 7 2" xfId="13069" xr:uid="{00000000-0005-0000-0000-0000A4560000}"/>
    <cellStyle name="Normal 2 5 5 2 7 2 2" xfId="23320" xr:uid="{00000000-0005-0000-0000-0000A5560000}"/>
    <cellStyle name="Normal 2 5 5 2 7 2 2 2" xfId="48873" xr:uid="{00000000-0005-0000-0000-0000A6560000}"/>
    <cellStyle name="Normal 2 5 5 2 7 2 3" xfId="38624" xr:uid="{00000000-0005-0000-0000-0000A7560000}"/>
    <cellStyle name="Normal 2 5 5 2 7 3" xfId="9490" xr:uid="{00000000-0005-0000-0000-0000A8560000}"/>
    <cellStyle name="Normal 2 5 5 2 7 3 2" xfId="35047" xr:uid="{00000000-0005-0000-0000-0000A9560000}"/>
    <cellStyle name="Normal 2 5 5 2 7 4" xfId="18313" xr:uid="{00000000-0005-0000-0000-0000AA560000}"/>
    <cellStyle name="Normal 2 5 5 2 7 4 2" xfId="43866" xr:uid="{00000000-0005-0000-0000-0000AB560000}"/>
    <cellStyle name="Normal 2 5 5 2 7 5" xfId="29803" xr:uid="{00000000-0005-0000-0000-0000AC560000}"/>
    <cellStyle name="Normal 2 5 5 2 8" xfId="1503" xr:uid="{00000000-0005-0000-0000-0000AD560000}"/>
    <cellStyle name="Normal 2 5 5 2 8 2" xfId="10880" xr:uid="{00000000-0005-0000-0000-0000AE560000}"/>
    <cellStyle name="Normal 2 5 5 2 8 2 2" xfId="36435" xr:uid="{00000000-0005-0000-0000-0000AF560000}"/>
    <cellStyle name="Normal 2 5 5 2 8 3" xfId="20884" xr:uid="{00000000-0005-0000-0000-0000B0560000}"/>
    <cellStyle name="Normal 2 5 5 2 8 3 2" xfId="46437" xr:uid="{00000000-0005-0000-0000-0000B1560000}"/>
    <cellStyle name="Normal 2 5 5 2 8 4" xfId="27367" xr:uid="{00000000-0005-0000-0000-0000B2560000}"/>
    <cellStyle name="Normal 2 5 5 2 9" xfId="5687" xr:uid="{00000000-0005-0000-0000-0000B3560000}"/>
    <cellStyle name="Normal 2 5 5 2 9 2" xfId="14514" xr:uid="{00000000-0005-0000-0000-0000B4560000}"/>
    <cellStyle name="Normal 2 5 5 2 9 2 2" xfId="40069" xr:uid="{00000000-0005-0000-0000-0000B5560000}"/>
    <cellStyle name="Normal 2 5 5 2 9 3" xfId="24765" xr:uid="{00000000-0005-0000-0000-0000B6560000}"/>
    <cellStyle name="Normal 2 5 5 2 9 3 2" xfId="50318" xr:uid="{00000000-0005-0000-0000-0000B7560000}"/>
    <cellStyle name="Normal 2 5 5 2 9 4" xfId="31248" xr:uid="{00000000-0005-0000-0000-0000B8560000}"/>
    <cellStyle name="Normal 2 5 5 2_Degree data" xfId="3884" xr:uid="{00000000-0005-0000-0000-0000B9560000}"/>
    <cellStyle name="Normal 2 5 5 3" xfId="250" xr:uid="{00000000-0005-0000-0000-0000BA560000}"/>
    <cellStyle name="Normal 2 5 5 3 10" xfId="7088" xr:uid="{00000000-0005-0000-0000-0000BB560000}"/>
    <cellStyle name="Normal 2 5 5 3 10 2" xfId="19702" xr:uid="{00000000-0005-0000-0000-0000BC560000}"/>
    <cellStyle name="Normal 2 5 5 3 10 2 2" xfId="45255" xr:uid="{00000000-0005-0000-0000-0000BD560000}"/>
    <cellStyle name="Normal 2 5 5 3 10 3" xfId="32645" xr:uid="{00000000-0005-0000-0000-0000BE560000}"/>
    <cellStyle name="Normal 2 5 5 3 11" xfId="15834" xr:uid="{00000000-0005-0000-0000-0000BF560000}"/>
    <cellStyle name="Normal 2 5 5 3 11 2" xfId="41387" xr:uid="{00000000-0005-0000-0000-0000C0560000}"/>
    <cellStyle name="Normal 2 5 5 3 12" xfId="26185" xr:uid="{00000000-0005-0000-0000-0000C1560000}"/>
    <cellStyle name="Normal 2 5 5 3 2" xfId="573" xr:uid="{00000000-0005-0000-0000-0000C2560000}"/>
    <cellStyle name="Normal 2 5 5 3 2 10" xfId="26502" xr:uid="{00000000-0005-0000-0000-0000C3560000}"/>
    <cellStyle name="Normal 2 5 5 3 2 2" xfId="771" xr:uid="{00000000-0005-0000-0000-0000C4560000}"/>
    <cellStyle name="Normal 2 5 5 3 2 2 2" xfId="3257" xr:uid="{00000000-0005-0000-0000-0000C5560000}"/>
    <cellStyle name="Normal 2 5 5 3 2 2 2 2" xfId="12399" xr:uid="{00000000-0005-0000-0000-0000C6560000}"/>
    <cellStyle name="Normal 2 5 5 3 2 2 2 2 2" xfId="22618" xr:uid="{00000000-0005-0000-0000-0000C7560000}"/>
    <cellStyle name="Normal 2 5 5 3 2 2 2 2 2 2" xfId="48171" xr:uid="{00000000-0005-0000-0000-0000C8560000}"/>
    <cellStyle name="Normal 2 5 5 3 2 2 2 2 3" xfId="37954" xr:uid="{00000000-0005-0000-0000-0000C9560000}"/>
    <cellStyle name="Normal 2 5 5 3 2 2 2 3" xfId="8821" xr:uid="{00000000-0005-0000-0000-0000CA560000}"/>
    <cellStyle name="Normal 2 5 5 3 2 2 2 3 2" xfId="34378" xr:uid="{00000000-0005-0000-0000-0000CB560000}"/>
    <cellStyle name="Normal 2 5 5 3 2 2 2 4" xfId="17611" xr:uid="{00000000-0005-0000-0000-0000CC560000}"/>
    <cellStyle name="Normal 2 5 5 3 2 2 2 4 2" xfId="43164" xr:uid="{00000000-0005-0000-0000-0000CD560000}"/>
    <cellStyle name="Normal 2 5 5 3 2 2 2 5" xfId="29101" xr:uid="{00000000-0005-0000-0000-0000CE560000}"/>
    <cellStyle name="Normal 2 5 5 3 2 2 3" xfId="4586" xr:uid="{00000000-0005-0000-0000-0000CF560000}"/>
    <cellStyle name="Normal 2 5 5 3 2 2 3 2" xfId="13424" xr:uid="{00000000-0005-0000-0000-0000D0560000}"/>
    <cellStyle name="Normal 2 5 5 3 2 2 3 2 2" xfId="23675" xr:uid="{00000000-0005-0000-0000-0000D1560000}"/>
    <cellStyle name="Normal 2 5 5 3 2 2 3 2 2 2" xfId="49228" xr:uid="{00000000-0005-0000-0000-0000D2560000}"/>
    <cellStyle name="Normal 2 5 5 3 2 2 3 2 3" xfId="38979" xr:uid="{00000000-0005-0000-0000-0000D3560000}"/>
    <cellStyle name="Normal 2 5 5 3 2 2 3 3" xfId="9845" xr:uid="{00000000-0005-0000-0000-0000D4560000}"/>
    <cellStyle name="Normal 2 5 5 3 2 2 3 3 2" xfId="35402" xr:uid="{00000000-0005-0000-0000-0000D5560000}"/>
    <cellStyle name="Normal 2 5 5 3 2 2 3 4" xfId="18668" xr:uid="{00000000-0005-0000-0000-0000D6560000}"/>
    <cellStyle name="Normal 2 5 5 3 2 2 3 4 2" xfId="44221" xr:uid="{00000000-0005-0000-0000-0000D7560000}"/>
    <cellStyle name="Normal 2 5 5 3 2 2 3 5" xfId="30158" xr:uid="{00000000-0005-0000-0000-0000D8560000}"/>
    <cellStyle name="Normal 2 5 5 3 2 2 4" xfId="2366" xr:uid="{00000000-0005-0000-0000-0000D9560000}"/>
    <cellStyle name="Normal 2 5 5 3 2 2 4 2" xfId="11731" xr:uid="{00000000-0005-0000-0000-0000DA560000}"/>
    <cellStyle name="Normal 2 5 5 3 2 2 4 2 2" xfId="37286" xr:uid="{00000000-0005-0000-0000-0000DB560000}"/>
    <cellStyle name="Normal 2 5 5 3 2 2 4 3" xfId="21735" xr:uid="{00000000-0005-0000-0000-0000DC560000}"/>
    <cellStyle name="Normal 2 5 5 3 2 2 4 3 2" xfId="47288" xr:uid="{00000000-0005-0000-0000-0000DD560000}"/>
    <cellStyle name="Normal 2 5 5 3 2 2 4 4" xfId="28218" xr:uid="{00000000-0005-0000-0000-0000DE560000}"/>
    <cellStyle name="Normal 2 5 5 3 2 2 5" xfId="6042" xr:uid="{00000000-0005-0000-0000-0000DF560000}"/>
    <cellStyle name="Normal 2 5 5 3 2 2 5 2" xfId="14869" xr:uid="{00000000-0005-0000-0000-0000E0560000}"/>
    <cellStyle name="Normal 2 5 5 3 2 2 5 2 2" xfId="40424" xr:uid="{00000000-0005-0000-0000-0000E1560000}"/>
    <cellStyle name="Normal 2 5 5 3 2 2 5 3" xfId="25120" xr:uid="{00000000-0005-0000-0000-0000E2560000}"/>
    <cellStyle name="Normal 2 5 5 3 2 2 5 3 2" xfId="50673" xr:uid="{00000000-0005-0000-0000-0000E3560000}"/>
    <cellStyle name="Normal 2 5 5 3 2 2 5 4" xfId="31603" xr:uid="{00000000-0005-0000-0000-0000E4560000}"/>
    <cellStyle name="Normal 2 5 5 3 2 2 6" xfId="7486" xr:uid="{00000000-0005-0000-0000-0000E5560000}"/>
    <cellStyle name="Normal 2 5 5 3 2 2 6 2" xfId="20217" xr:uid="{00000000-0005-0000-0000-0000E6560000}"/>
    <cellStyle name="Normal 2 5 5 3 2 2 6 2 2" xfId="45770" xr:uid="{00000000-0005-0000-0000-0000E7560000}"/>
    <cellStyle name="Normal 2 5 5 3 2 2 6 3" xfId="33043" xr:uid="{00000000-0005-0000-0000-0000E8560000}"/>
    <cellStyle name="Normal 2 5 5 3 2 2 7" xfId="16728" xr:uid="{00000000-0005-0000-0000-0000E9560000}"/>
    <cellStyle name="Normal 2 5 5 3 2 2 7 2" xfId="42281" xr:uid="{00000000-0005-0000-0000-0000EA560000}"/>
    <cellStyle name="Normal 2 5 5 3 2 2 8" xfId="26700" xr:uid="{00000000-0005-0000-0000-0000EB560000}"/>
    <cellStyle name="Normal 2 5 5 3 2 3" xfId="1345" xr:uid="{00000000-0005-0000-0000-0000EC560000}"/>
    <cellStyle name="Normal 2 5 5 3 2 3 2" xfId="3774" xr:uid="{00000000-0005-0000-0000-0000ED560000}"/>
    <cellStyle name="Normal 2 5 5 3 2 3 2 2" xfId="12910" xr:uid="{00000000-0005-0000-0000-0000EE560000}"/>
    <cellStyle name="Normal 2 5 5 3 2 3 2 2 2" xfId="23129" xr:uid="{00000000-0005-0000-0000-0000EF560000}"/>
    <cellStyle name="Normal 2 5 5 3 2 3 2 2 2 2" xfId="48682" xr:uid="{00000000-0005-0000-0000-0000F0560000}"/>
    <cellStyle name="Normal 2 5 5 3 2 3 2 2 3" xfId="38465" xr:uid="{00000000-0005-0000-0000-0000F1560000}"/>
    <cellStyle name="Normal 2 5 5 3 2 3 2 3" xfId="9331" xr:uid="{00000000-0005-0000-0000-0000F2560000}"/>
    <cellStyle name="Normal 2 5 5 3 2 3 2 3 2" xfId="34888" xr:uid="{00000000-0005-0000-0000-0000F3560000}"/>
    <cellStyle name="Normal 2 5 5 3 2 3 2 4" xfId="18122" xr:uid="{00000000-0005-0000-0000-0000F4560000}"/>
    <cellStyle name="Normal 2 5 5 3 2 3 2 4 2" xfId="43675" xr:uid="{00000000-0005-0000-0000-0000F5560000}"/>
    <cellStyle name="Normal 2 5 5 3 2 3 2 5" xfId="29612" xr:uid="{00000000-0005-0000-0000-0000F6560000}"/>
    <cellStyle name="Normal 2 5 5 3 2 3 3" xfId="4935" xr:uid="{00000000-0005-0000-0000-0000F7560000}"/>
    <cellStyle name="Normal 2 5 5 3 2 3 3 2" xfId="13772" xr:uid="{00000000-0005-0000-0000-0000F8560000}"/>
    <cellStyle name="Normal 2 5 5 3 2 3 3 2 2" xfId="24023" xr:uid="{00000000-0005-0000-0000-0000F9560000}"/>
    <cellStyle name="Normal 2 5 5 3 2 3 3 2 2 2" xfId="49576" xr:uid="{00000000-0005-0000-0000-0000FA560000}"/>
    <cellStyle name="Normal 2 5 5 3 2 3 3 2 3" xfId="39327" xr:uid="{00000000-0005-0000-0000-0000FB560000}"/>
    <cellStyle name="Normal 2 5 5 3 2 3 3 3" xfId="10193" xr:uid="{00000000-0005-0000-0000-0000FC560000}"/>
    <cellStyle name="Normal 2 5 5 3 2 3 3 3 2" xfId="35750" xr:uid="{00000000-0005-0000-0000-0000FD560000}"/>
    <cellStyle name="Normal 2 5 5 3 2 3 3 4" xfId="19016" xr:uid="{00000000-0005-0000-0000-0000FE560000}"/>
    <cellStyle name="Normal 2 5 5 3 2 3 3 4 2" xfId="44569" xr:uid="{00000000-0005-0000-0000-0000FF560000}"/>
    <cellStyle name="Normal 2 5 5 3 2 3 3 5" xfId="30506" xr:uid="{00000000-0005-0000-0000-000000570000}"/>
    <cellStyle name="Normal 2 5 5 3 2 3 4" xfId="2168" xr:uid="{00000000-0005-0000-0000-000001570000}"/>
    <cellStyle name="Normal 2 5 5 3 2 3 4 2" xfId="11533" xr:uid="{00000000-0005-0000-0000-000002570000}"/>
    <cellStyle name="Normal 2 5 5 3 2 3 4 2 2" xfId="37088" xr:uid="{00000000-0005-0000-0000-000003570000}"/>
    <cellStyle name="Normal 2 5 5 3 2 3 4 3" xfId="21537" xr:uid="{00000000-0005-0000-0000-000004570000}"/>
    <cellStyle name="Normal 2 5 5 3 2 3 4 3 2" xfId="47090" xr:uid="{00000000-0005-0000-0000-000005570000}"/>
    <cellStyle name="Normal 2 5 5 3 2 3 4 4" xfId="28020" xr:uid="{00000000-0005-0000-0000-000006570000}"/>
    <cellStyle name="Normal 2 5 5 3 2 3 5" xfId="6390" xr:uid="{00000000-0005-0000-0000-000007570000}"/>
    <cellStyle name="Normal 2 5 5 3 2 3 5 2" xfId="15217" xr:uid="{00000000-0005-0000-0000-000008570000}"/>
    <cellStyle name="Normal 2 5 5 3 2 3 5 2 2" xfId="40772" xr:uid="{00000000-0005-0000-0000-000009570000}"/>
    <cellStyle name="Normal 2 5 5 3 2 3 5 3" xfId="25468" xr:uid="{00000000-0005-0000-0000-00000A570000}"/>
    <cellStyle name="Normal 2 5 5 3 2 3 5 3 2" xfId="51021" xr:uid="{00000000-0005-0000-0000-00000B570000}"/>
    <cellStyle name="Normal 2 5 5 3 2 3 5 4" xfId="31951" xr:uid="{00000000-0005-0000-0000-00000C570000}"/>
    <cellStyle name="Normal 2 5 5 3 2 3 6" xfId="7836" xr:uid="{00000000-0005-0000-0000-00000D570000}"/>
    <cellStyle name="Normal 2 5 5 3 2 3 6 2" xfId="20728" xr:uid="{00000000-0005-0000-0000-00000E570000}"/>
    <cellStyle name="Normal 2 5 5 3 2 3 6 2 2" xfId="46281" xr:uid="{00000000-0005-0000-0000-00000F570000}"/>
    <cellStyle name="Normal 2 5 5 3 2 3 6 3" xfId="33393" xr:uid="{00000000-0005-0000-0000-000010570000}"/>
    <cellStyle name="Normal 2 5 5 3 2 3 7" xfId="16530" xr:uid="{00000000-0005-0000-0000-000011570000}"/>
    <cellStyle name="Normal 2 5 5 3 2 3 7 2" xfId="42083" xr:uid="{00000000-0005-0000-0000-000012570000}"/>
    <cellStyle name="Normal 2 5 5 3 2 3 8" xfId="27211" xr:uid="{00000000-0005-0000-0000-000013570000}"/>
    <cellStyle name="Normal 2 5 5 3 2 4" xfId="3059" xr:uid="{00000000-0005-0000-0000-000014570000}"/>
    <cellStyle name="Normal 2 5 5 3 2 4 2" xfId="5437" xr:uid="{00000000-0005-0000-0000-000015570000}"/>
    <cellStyle name="Normal 2 5 5 3 2 4 2 2" xfId="14274" xr:uid="{00000000-0005-0000-0000-000016570000}"/>
    <cellStyle name="Normal 2 5 5 3 2 4 2 2 2" xfId="24525" xr:uid="{00000000-0005-0000-0000-000017570000}"/>
    <cellStyle name="Normal 2 5 5 3 2 4 2 2 2 2" xfId="50078" xr:uid="{00000000-0005-0000-0000-000018570000}"/>
    <cellStyle name="Normal 2 5 5 3 2 4 2 2 3" xfId="39829" xr:uid="{00000000-0005-0000-0000-000019570000}"/>
    <cellStyle name="Normal 2 5 5 3 2 4 2 3" xfId="10695" xr:uid="{00000000-0005-0000-0000-00001A570000}"/>
    <cellStyle name="Normal 2 5 5 3 2 4 2 3 2" xfId="36252" xr:uid="{00000000-0005-0000-0000-00001B570000}"/>
    <cellStyle name="Normal 2 5 5 3 2 4 2 4" xfId="19518" xr:uid="{00000000-0005-0000-0000-00001C570000}"/>
    <cellStyle name="Normal 2 5 5 3 2 4 2 4 2" xfId="45071" xr:uid="{00000000-0005-0000-0000-00001D570000}"/>
    <cellStyle name="Normal 2 5 5 3 2 4 2 5" xfId="31008" xr:uid="{00000000-0005-0000-0000-00001E570000}"/>
    <cellStyle name="Normal 2 5 5 3 2 4 3" xfId="6892" xr:uid="{00000000-0005-0000-0000-00001F570000}"/>
    <cellStyle name="Normal 2 5 5 3 2 4 3 2" xfId="15719" xr:uid="{00000000-0005-0000-0000-000020570000}"/>
    <cellStyle name="Normal 2 5 5 3 2 4 3 2 2" xfId="41274" xr:uid="{00000000-0005-0000-0000-000021570000}"/>
    <cellStyle name="Normal 2 5 5 3 2 4 3 3" xfId="25970" xr:uid="{00000000-0005-0000-0000-000022570000}"/>
    <cellStyle name="Normal 2 5 5 3 2 4 3 3 2" xfId="51523" xr:uid="{00000000-0005-0000-0000-000023570000}"/>
    <cellStyle name="Normal 2 5 5 3 2 4 3 4" xfId="32453" xr:uid="{00000000-0005-0000-0000-000024570000}"/>
    <cellStyle name="Normal 2 5 5 3 2 4 4" xfId="8338" xr:uid="{00000000-0005-0000-0000-000025570000}"/>
    <cellStyle name="Normal 2 5 5 3 2 4 4 2" xfId="22420" xr:uid="{00000000-0005-0000-0000-000026570000}"/>
    <cellStyle name="Normal 2 5 5 3 2 4 4 2 2" xfId="47973" xr:uid="{00000000-0005-0000-0000-000027570000}"/>
    <cellStyle name="Normal 2 5 5 3 2 4 4 3" xfId="33895" xr:uid="{00000000-0005-0000-0000-000028570000}"/>
    <cellStyle name="Normal 2 5 5 3 2 4 5" xfId="17413" xr:uid="{00000000-0005-0000-0000-000029570000}"/>
    <cellStyle name="Normal 2 5 5 3 2 4 5 2" xfId="42966" xr:uid="{00000000-0005-0000-0000-00002A570000}"/>
    <cellStyle name="Normal 2 5 5 3 2 4 6" xfId="28903" xr:uid="{00000000-0005-0000-0000-00002B570000}"/>
    <cellStyle name="Normal 2 5 5 3 2 5" xfId="4393" xr:uid="{00000000-0005-0000-0000-00002C570000}"/>
    <cellStyle name="Normal 2 5 5 3 2 5 2" xfId="13231" xr:uid="{00000000-0005-0000-0000-00002D570000}"/>
    <cellStyle name="Normal 2 5 5 3 2 5 2 2" xfId="23482" xr:uid="{00000000-0005-0000-0000-00002E570000}"/>
    <cellStyle name="Normal 2 5 5 3 2 5 2 2 2" xfId="49035" xr:uid="{00000000-0005-0000-0000-00002F570000}"/>
    <cellStyle name="Normal 2 5 5 3 2 5 2 3" xfId="38786" xr:uid="{00000000-0005-0000-0000-000030570000}"/>
    <cellStyle name="Normal 2 5 5 3 2 5 3" xfId="9652" xr:uid="{00000000-0005-0000-0000-000031570000}"/>
    <cellStyle name="Normal 2 5 5 3 2 5 3 2" xfId="35209" xr:uid="{00000000-0005-0000-0000-000032570000}"/>
    <cellStyle name="Normal 2 5 5 3 2 5 4" xfId="18475" xr:uid="{00000000-0005-0000-0000-000033570000}"/>
    <cellStyle name="Normal 2 5 5 3 2 5 4 2" xfId="44028" xr:uid="{00000000-0005-0000-0000-000034570000}"/>
    <cellStyle name="Normal 2 5 5 3 2 5 5" xfId="29965" xr:uid="{00000000-0005-0000-0000-000035570000}"/>
    <cellStyle name="Normal 2 5 5 3 2 6" xfId="1665" xr:uid="{00000000-0005-0000-0000-000036570000}"/>
    <cellStyle name="Normal 2 5 5 3 2 6 2" xfId="11042" xr:uid="{00000000-0005-0000-0000-000037570000}"/>
    <cellStyle name="Normal 2 5 5 3 2 6 2 2" xfId="36597" xr:uid="{00000000-0005-0000-0000-000038570000}"/>
    <cellStyle name="Normal 2 5 5 3 2 6 3" xfId="21046" xr:uid="{00000000-0005-0000-0000-000039570000}"/>
    <cellStyle name="Normal 2 5 5 3 2 6 3 2" xfId="46599" xr:uid="{00000000-0005-0000-0000-00003A570000}"/>
    <cellStyle name="Normal 2 5 5 3 2 6 4" xfId="27529" xr:uid="{00000000-0005-0000-0000-00003B570000}"/>
    <cellStyle name="Normal 2 5 5 3 2 7" xfId="5849" xr:uid="{00000000-0005-0000-0000-00003C570000}"/>
    <cellStyle name="Normal 2 5 5 3 2 7 2" xfId="14676" xr:uid="{00000000-0005-0000-0000-00003D570000}"/>
    <cellStyle name="Normal 2 5 5 3 2 7 2 2" xfId="40231" xr:uid="{00000000-0005-0000-0000-00003E570000}"/>
    <cellStyle name="Normal 2 5 5 3 2 7 3" xfId="24927" xr:uid="{00000000-0005-0000-0000-00003F570000}"/>
    <cellStyle name="Normal 2 5 5 3 2 7 3 2" xfId="50480" xr:uid="{00000000-0005-0000-0000-000040570000}"/>
    <cellStyle name="Normal 2 5 5 3 2 7 4" xfId="31410" xr:uid="{00000000-0005-0000-0000-000041570000}"/>
    <cellStyle name="Normal 2 5 5 3 2 8" xfId="7293" xr:uid="{00000000-0005-0000-0000-000042570000}"/>
    <cellStyle name="Normal 2 5 5 3 2 8 2" xfId="20019" xr:uid="{00000000-0005-0000-0000-000043570000}"/>
    <cellStyle name="Normal 2 5 5 3 2 8 2 2" xfId="45572" xr:uid="{00000000-0005-0000-0000-000044570000}"/>
    <cellStyle name="Normal 2 5 5 3 2 8 3" xfId="32850" xr:uid="{00000000-0005-0000-0000-000045570000}"/>
    <cellStyle name="Normal 2 5 5 3 2 9" xfId="16039" xr:uid="{00000000-0005-0000-0000-000046570000}"/>
    <cellStyle name="Normal 2 5 5 3 2 9 2" xfId="41592" xr:uid="{00000000-0005-0000-0000-000047570000}"/>
    <cellStyle name="Normal 2 5 5 3 2_Degree data" xfId="3876" xr:uid="{00000000-0005-0000-0000-000048570000}"/>
    <cellStyle name="Normal 2 5 5 3 3" xfId="368" xr:uid="{00000000-0005-0000-0000-000049570000}"/>
    <cellStyle name="Normal 2 5 5 3 3 2" xfId="2854" xr:uid="{00000000-0005-0000-0000-00004A570000}"/>
    <cellStyle name="Normal 2 5 5 3 3 2 2" xfId="12142" xr:uid="{00000000-0005-0000-0000-00004B570000}"/>
    <cellStyle name="Normal 2 5 5 3 3 2 2 2" xfId="22215" xr:uid="{00000000-0005-0000-0000-00004C570000}"/>
    <cellStyle name="Normal 2 5 5 3 3 2 2 2 2" xfId="47768" xr:uid="{00000000-0005-0000-0000-00004D570000}"/>
    <cellStyle name="Normal 2 5 5 3 3 2 2 3" xfId="37697" xr:uid="{00000000-0005-0000-0000-00004E570000}"/>
    <cellStyle name="Normal 2 5 5 3 3 2 3" xfId="8524" xr:uid="{00000000-0005-0000-0000-00004F570000}"/>
    <cellStyle name="Normal 2 5 5 3 3 2 3 2" xfId="34081" xr:uid="{00000000-0005-0000-0000-000050570000}"/>
    <cellStyle name="Normal 2 5 5 3 3 2 4" xfId="17208" xr:uid="{00000000-0005-0000-0000-000051570000}"/>
    <cellStyle name="Normal 2 5 5 3 3 2 4 2" xfId="42761" xr:uid="{00000000-0005-0000-0000-000052570000}"/>
    <cellStyle name="Normal 2 5 5 3 3 2 5" xfId="28698" xr:uid="{00000000-0005-0000-0000-000053570000}"/>
    <cellStyle name="Normal 2 5 5 3 3 3" xfId="4585" xr:uid="{00000000-0005-0000-0000-000054570000}"/>
    <cellStyle name="Normal 2 5 5 3 3 3 2" xfId="13423" xr:uid="{00000000-0005-0000-0000-000055570000}"/>
    <cellStyle name="Normal 2 5 5 3 3 3 2 2" xfId="23674" xr:uid="{00000000-0005-0000-0000-000056570000}"/>
    <cellStyle name="Normal 2 5 5 3 3 3 2 2 2" xfId="49227" xr:uid="{00000000-0005-0000-0000-000057570000}"/>
    <cellStyle name="Normal 2 5 5 3 3 3 2 3" xfId="38978" xr:uid="{00000000-0005-0000-0000-000058570000}"/>
    <cellStyle name="Normal 2 5 5 3 3 3 3" xfId="9844" xr:uid="{00000000-0005-0000-0000-000059570000}"/>
    <cellStyle name="Normal 2 5 5 3 3 3 3 2" xfId="35401" xr:uid="{00000000-0005-0000-0000-00005A570000}"/>
    <cellStyle name="Normal 2 5 5 3 3 3 4" xfId="18667" xr:uid="{00000000-0005-0000-0000-00005B570000}"/>
    <cellStyle name="Normal 2 5 5 3 3 3 4 2" xfId="44220" xr:uid="{00000000-0005-0000-0000-00005C570000}"/>
    <cellStyle name="Normal 2 5 5 3 3 3 5" xfId="30157" xr:uid="{00000000-0005-0000-0000-00005D570000}"/>
    <cellStyle name="Normal 2 5 5 3 3 4" xfId="1963" xr:uid="{00000000-0005-0000-0000-00005E570000}"/>
    <cellStyle name="Normal 2 5 5 3 3 4 2" xfId="11328" xr:uid="{00000000-0005-0000-0000-00005F570000}"/>
    <cellStyle name="Normal 2 5 5 3 3 4 2 2" xfId="36883" xr:uid="{00000000-0005-0000-0000-000060570000}"/>
    <cellStyle name="Normal 2 5 5 3 3 4 3" xfId="21332" xr:uid="{00000000-0005-0000-0000-000061570000}"/>
    <cellStyle name="Normal 2 5 5 3 3 4 3 2" xfId="46885" xr:uid="{00000000-0005-0000-0000-000062570000}"/>
    <cellStyle name="Normal 2 5 5 3 3 4 4" xfId="27815" xr:uid="{00000000-0005-0000-0000-000063570000}"/>
    <cellStyle name="Normal 2 5 5 3 3 5" xfId="6041" xr:uid="{00000000-0005-0000-0000-000064570000}"/>
    <cellStyle name="Normal 2 5 5 3 3 5 2" xfId="14868" xr:uid="{00000000-0005-0000-0000-000065570000}"/>
    <cellStyle name="Normal 2 5 5 3 3 5 2 2" xfId="40423" xr:uid="{00000000-0005-0000-0000-000066570000}"/>
    <cellStyle name="Normal 2 5 5 3 3 5 3" xfId="25119" xr:uid="{00000000-0005-0000-0000-000067570000}"/>
    <cellStyle name="Normal 2 5 5 3 3 5 3 2" xfId="50672" xr:uid="{00000000-0005-0000-0000-000068570000}"/>
    <cellStyle name="Normal 2 5 5 3 3 5 4" xfId="31602" xr:uid="{00000000-0005-0000-0000-000069570000}"/>
    <cellStyle name="Normal 2 5 5 3 3 6" xfId="7485" xr:uid="{00000000-0005-0000-0000-00006A570000}"/>
    <cellStyle name="Normal 2 5 5 3 3 6 2" xfId="19814" xr:uid="{00000000-0005-0000-0000-00006B570000}"/>
    <cellStyle name="Normal 2 5 5 3 3 6 2 2" xfId="45367" xr:uid="{00000000-0005-0000-0000-00006C570000}"/>
    <cellStyle name="Normal 2 5 5 3 3 6 3" xfId="33042" xr:uid="{00000000-0005-0000-0000-00006D570000}"/>
    <cellStyle name="Normal 2 5 5 3 3 7" xfId="16325" xr:uid="{00000000-0005-0000-0000-00006E570000}"/>
    <cellStyle name="Normal 2 5 5 3 3 7 2" xfId="41878" xr:uid="{00000000-0005-0000-0000-00006F570000}"/>
    <cellStyle name="Normal 2 5 5 3 3 8" xfId="26297" xr:uid="{00000000-0005-0000-0000-000070570000}"/>
    <cellStyle name="Normal 2 5 5 3 4" xfId="770" xr:uid="{00000000-0005-0000-0000-000071570000}"/>
    <cellStyle name="Normal 2 5 5 3 4 2" xfId="3256" xr:uid="{00000000-0005-0000-0000-000072570000}"/>
    <cellStyle name="Normal 2 5 5 3 4 2 2" xfId="12398" xr:uid="{00000000-0005-0000-0000-000073570000}"/>
    <cellStyle name="Normal 2 5 5 3 4 2 2 2" xfId="22617" xr:uid="{00000000-0005-0000-0000-000074570000}"/>
    <cellStyle name="Normal 2 5 5 3 4 2 2 2 2" xfId="48170" xr:uid="{00000000-0005-0000-0000-000075570000}"/>
    <cellStyle name="Normal 2 5 5 3 4 2 2 3" xfId="37953" xr:uid="{00000000-0005-0000-0000-000076570000}"/>
    <cellStyle name="Normal 2 5 5 3 4 2 3" xfId="8820" xr:uid="{00000000-0005-0000-0000-000077570000}"/>
    <cellStyle name="Normal 2 5 5 3 4 2 3 2" xfId="34377" xr:uid="{00000000-0005-0000-0000-000078570000}"/>
    <cellStyle name="Normal 2 5 5 3 4 2 4" xfId="17610" xr:uid="{00000000-0005-0000-0000-000079570000}"/>
    <cellStyle name="Normal 2 5 5 3 4 2 4 2" xfId="43163" xr:uid="{00000000-0005-0000-0000-00007A570000}"/>
    <cellStyle name="Normal 2 5 5 3 4 2 5" xfId="29100" xr:uid="{00000000-0005-0000-0000-00007B570000}"/>
    <cellStyle name="Normal 2 5 5 3 4 3" xfId="4934" xr:uid="{00000000-0005-0000-0000-00007C570000}"/>
    <cellStyle name="Normal 2 5 5 3 4 3 2" xfId="13771" xr:uid="{00000000-0005-0000-0000-00007D570000}"/>
    <cellStyle name="Normal 2 5 5 3 4 3 2 2" xfId="24022" xr:uid="{00000000-0005-0000-0000-00007E570000}"/>
    <cellStyle name="Normal 2 5 5 3 4 3 2 2 2" xfId="49575" xr:uid="{00000000-0005-0000-0000-00007F570000}"/>
    <cellStyle name="Normal 2 5 5 3 4 3 2 3" xfId="39326" xr:uid="{00000000-0005-0000-0000-000080570000}"/>
    <cellStyle name="Normal 2 5 5 3 4 3 3" xfId="10192" xr:uid="{00000000-0005-0000-0000-000081570000}"/>
    <cellStyle name="Normal 2 5 5 3 4 3 3 2" xfId="35749" xr:uid="{00000000-0005-0000-0000-000082570000}"/>
    <cellStyle name="Normal 2 5 5 3 4 3 4" xfId="19015" xr:uid="{00000000-0005-0000-0000-000083570000}"/>
    <cellStyle name="Normal 2 5 5 3 4 3 4 2" xfId="44568" xr:uid="{00000000-0005-0000-0000-000084570000}"/>
    <cellStyle name="Normal 2 5 5 3 4 3 5" xfId="30505" xr:uid="{00000000-0005-0000-0000-000085570000}"/>
    <cellStyle name="Normal 2 5 5 3 4 4" xfId="2365" xr:uid="{00000000-0005-0000-0000-000086570000}"/>
    <cellStyle name="Normal 2 5 5 3 4 4 2" xfId="11730" xr:uid="{00000000-0005-0000-0000-000087570000}"/>
    <cellStyle name="Normal 2 5 5 3 4 4 2 2" xfId="37285" xr:uid="{00000000-0005-0000-0000-000088570000}"/>
    <cellStyle name="Normal 2 5 5 3 4 4 3" xfId="21734" xr:uid="{00000000-0005-0000-0000-000089570000}"/>
    <cellStyle name="Normal 2 5 5 3 4 4 3 2" xfId="47287" xr:uid="{00000000-0005-0000-0000-00008A570000}"/>
    <cellStyle name="Normal 2 5 5 3 4 4 4" xfId="28217" xr:uid="{00000000-0005-0000-0000-00008B570000}"/>
    <cellStyle name="Normal 2 5 5 3 4 5" xfId="6389" xr:uid="{00000000-0005-0000-0000-00008C570000}"/>
    <cellStyle name="Normal 2 5 5 3 4 5 2" xfId="15216" xr:uid="{00000000-0005-0000-0000-00008D570000}"/>
    <cellStyle name="Normal 2 5 5 3 4 5 2 2" xfId="40771" xr:uid="{00000000-0005-0000-0000-00008E570000}"/>
    <cellStyle name="Normal 2 5 5 3 4 5 3" xfId="25467" xr:uid="{00000000-0005-0000-0000-00008F570000}"/>
    <cellStyle name="Normal 2 5 5 3 4 5 3 2" xfId="51020" xr:uid="{00000000-0005-0000-0000-000090570000}"/>
    <cellStyle name="Normal 2 5 5 3 4 5 4" xfId="31950" xr:uid="{00000000-0005-0000-0000-000091570000}"/>
    <cellStyle name="Normal 2 5 5 3 4 6" xfId="7835" xr:uid="{00000000-0005-0000-0000-000092570000}"/>
    <cellStyle name="Normal 2 5 5 3 4 6 2" xfId="20216" xr:uid="{00000000-0005-0000-0000-000093570000}"/>
    <cellStyle name="Normal 2 5 5 3 4 6 2 2" xfId="45769" xr:uid="{00000000-0005-0000-0000-000094570000}"/>
    <cellStyle name="Normal 2 5 5 3 4 6 3" xfId="33392" xr:uid="{00000000-0005-0000-0000-000095570000}"/>
    <cellStyle name="Normal 2 5 5 3 4 7" xfId="16727" xr:uid="{00000000-0005-0000-0000-000096570000}"/>
    <cellStyle name="Normal 2 5 5 3 4 7 2" xfId="42280" xr:uid="{00000000-0005-0000-0000-000097570000}"/>
    <cellStyle name="Normal 2 5 5 3 4 8" xfId="26699" xr:uid="{00000000-0005-0000-0000-000098570000}"/>
    <cellStyle name="Normal 2 5 5 3 5" xfId="1140" xr:uid="{00000000-0005-0000-0000-000099570000}"/>
    <cellStyle name="Normal 2 5 5 3 5 2" xfId="3569" xr:uid="{00000000-0005-0000-0000-00009A570000}"/>
    <cellStyle name="Normal 2 5 5 3 5 2 2" xfId="12705" xr:uid="{00000000-0005-0000-0000-00009B570000}"/>
    <cellStyle name="Normal 2 5 5 3 5 2 2 2" xfId="22924" xr:uid="{00000000-0005-0000-0000-00009C570000}"/>
    <cellStyle name="Normal 2 5 5 3 5 2 2 2 2" xfId="48477" xr:uid="{00000000-0005-0000-0000-00009D570000}"/>
    <cellStyle name="Normal 2 5 5 3 5 2 2 3" xfId="38260" xr:uid="{00000000-0005-0000-0000-00009E570000}"/>
    <cellStyle name="Normal 2 5 5 3 5 2 3" xfId="9126" xr:uid="{00000000-0005-0000-0000-00009F570000}"/>
    <cellStyle name="Normal 2 5 5 3 5 2 3 2" xfId="34683" xr:uid="{00000000-0005-0000-0000-0000A0570000}"/>
    <cellStyle name="Normal 2 5 5 3 5 2 4" xfId="17917" xr:uid="{00000000-0005-0000-0000-0000A1570000}"/>
    <cellStyle name="Normal 2 5 5 3 5 2 4 2" xfId="43470" xr:uid="{00000000-0005-0000-0000-0000A2570000}"/>
    <cellStyle name="Normal 2 5 5 3 5 2 5" xfId="29407" xr:uid="{00000000-0005-0000-0000-0000A3570000}"/>
    <cellStyle name="Normal 2 5 5 3 5 3" xfId="5232" xr:uid="{00000000-0005-0000-0000-0000A4570000}"/>
    <cellStyle name="Normal 2 5 5 3 5 3 2" xfId="14069" xr:uid="{00000000-0005-0000-0000-0000A5570000}"/>
    <cellStyle name="Normal 2 5 5 3 5 3 2 2" xfId="24320" xr:uid="{00000000-0005-0000-0000-0000A6570000}"/>
    <cellStyle name="Normal 2 5 5 3 5 3 2 2 2" xfId="49873" xr:uid="{00000000-0005-0000-0000-0000A7570000}"/>
    <cellStyle name="Normal 2 5 5 3 5 3 2 3" xfId="39624" xr:uid="{00000000-0005-0000-0000-0000A8570000}"/>
    <cellStyle name="Normal 2 5 5 3 5 3 3" xfId="10490" xr:uid="{00000000-0005-0000-0000-0000A9570000}"/>
    <cellStyle name="Normal 2 5 5 3 5 3 3 2" xfId="36047" xr:uid="{00000000-0005-0000-0000-0000AA570000}"/>
    <cellStyle name="Normal 2 5 5 3 5 3 4" xfId="19313" xr:uid="{00000000-0005-0000-0000-0000AB570000}"/>
    <cellStyle name="Normal 2 5 5 3 5 3 4 2" xfId="44866" xr:uid="{00000000-0005-0000-0000-0000AC570000}"/>
    <cellStyle name="Normal 2 5 5 3 5 3 5" xfId="30803" xr:uid="{00000000-0005-0000-0000-0000AD570000}"/>
    <cellStyle name="Normal 2 5 5 3 5 4" xfId="1848" xr:uid="{00000000-0005-0000-0000-0000AE570000}"/>
    <cellStyle name="Normal 2 5 5 3 5 4 2" xfId="11216" xr:uid="{00000000-0005-0000-0000-0000AF570000}"/>
    <cellStyle name="Normal 2 5 5 3 5 4 2 2" xfId="36771" xr:uid="{00000000-0005-0000-0000-0000B0570000}"/>
    <cellStyle name="Normal 2 5 5 3 5 4 3" xfId="21220" xr:uid="{00000000-0005-0000-0000-0000B1570000}"/>
    <cellStyle name="Normal 2 5 5 3 5 4 3 2" xfId="46773" xr:uid="{00000000-0005-0000-0000-0000B2570000}"/>
    <cellStyle name="Normal 2 5 5 3 5 4 4" xfId="27703" xr:uid="{00000000-0005-0000-0000-0000B3570000}"/>
    <cellStyle name="Normal 2 5 5 3 5 5" xfId="6687" xr:uid="{00000000-0005-0000-0000-0000B4570000}"/>
    <cellStyle name="Normal 2 5 5 3 5 5 2" xfId="15514" xr:uid="{00000000-0005-0000-0000-0000B5570000}"/>
    <cellStyle name="Normal 2 5 5 3 5 5 2 2" xfId="41069" xr:uid="{00000000-0005-0000-0000-0000B6570000}"/>
    <cellStyle name="Normal 2 5 5 3 5 5 3" xfId="25765" xr:uid="{00000000-0005-0000-0000-0000B7570000}"/>
    <cellStyle name="Normal 2 5 5 3 5 5 3 2" xfId="51318" xr:uid="{00000000-0005-0000-0000-0000B8570000}"/>
    <cellStyle name="Normal 2 5 5 3 5 5 4" xfId="32248" xr:uid="{00000000-0005-0000-0000-0000B9570000}"/>
    <cellStyle name="Normal 2 5 5 3 5 6" xfId="8133" xr:uid="{00000000-0005-0000-0000-0000BA570000}"/>
    <cellStyle name="Normal 2 5 5 3 5 6 2" xfId="20523" xr:uid="{00000000-0005-0000-0000-0000BB570000}"/>
    <cellStyle name="Normal 2 5 5 3 5 6 2 2" xfId="46076" xr:uid="{00000000-0005-0000-0000-0000BC570000}"/>
    <cellStyle name="Normal 2 5 5 3 5 6 3" xfId="33690" xr:uid="{00000000-0005-0000-0000-0000BD570000}"/>
    <cellStyle name="Normal 2 5 5 3 5 7" xfId="16213" xr:uid="{00000000-0005-0000-0000-0000BE570000}"/>
    <cellStyle name="Normal 2 5 5 3 5 7 2" xfId="41766" xr:uid="{00000000-0005-0000-0000-0000BF570000}"/>
    <cellStyle name="Normal 2 5 5 3 5 8" xfId="27006" xr:uid="{00000000-0005-0000-0000-0000C0570000}"/>
    <cellStyle name="Normal 2 5 5 3 6" xfId="2742" xr:uid="{00000000-0005-0000-0000-0000C1570000}"/>
    <cellStyle name="Normal 2 5 5 3 6 2" xfId="12059" xr:uid="{00000000-0005-0000-0000-0000C2570000}"/>
    <cellStyle name="Normal 2 5 5 3 6 2 2" xfId="22103" xr:uid="{00000000-0005-0000-0000-0000C3570000}"/>
    <cellStyle name="Normal 2 5 5 3 6 2 2 2" xfId="47656" xr:uid="{00000000-0005-0000-0000-0000C4570000}"/>
    <cellStyle name="Normal 2 5 5 3 6 2 3" xfId="37614" xr:uid="{00000000-0005-0000-0000-0000C5570000}"/>
    <cellStyle name="Normal 2 5 5 3 6 3" xfId="8544" xr:uid="{00000000-0005-0000-0000-0000C6570000}"/>
    <cellStyle name="Normal 2 5 5 3 6 3 2" xfId="34101" xr:uid="{00000000-0005-0000-0000-0000C7570000}"/>
    <cellStyle name="Normal 2 5 5 3 6 4" xfId="17096" xr:uid="{00000000-0005-0000-0000-0000C8570000}"/>
    <cellStyle name="Normal 2 5 5 3 6 4 2" xfId="42649" xr:uid="{00000000-0005-0000-0000-0000C9570000}"/>
    <cellStyle name="Normal 2 5 5 3 6 5" xfId="28586" xr:uid="{00000000-0005-0000-0000-0000CA570000}"/>
    <cellStyle name="Normal 2 5 5 3 7" xfId="4188" xr:uid="{00000000-0005-0000-0000-0000CB570000}"/>
    <cellStyle name="Normal 2 5 5 3 7 2" xfId="13026" xr:uid="{00000000-0005-0000-0000-0000CC570000}"/>
    <cellStyle name="Normal 2 5 5 3 7 2 2" xfId="23277" xr:uid="{00000000-0005-0000-0000-0000CD570000}"/>
    <cellStyle name="Normal 2 5 5 3 7 2 2 2" xfId="48830" xr:uid="{00000000-0005-0000-0000-0000CE570000}"/>
    <cellStyle name="Normal 2 5 5 3 7 2 3" xfId="38581" xr:uid="{00000000-0005-0000-0000-0000CF570000}"/>
    <cellStyle name="Normal 2 5 5 3 7 3" xfId="9447" xr:uid="{00000000-0005-0000-0000-0000D0570000}"/>
    <cellStyle name="Normal 2 5 5 3 7 3 2" xfId="35004" xr:uid="{00000000-0005-0000-0000-0000D1570000}"/>
    <cellStyle name="Normal 2 5 5 3 7 4" xfId="18270" xr:uid="{00000000-0005-0000-0000-0000D2570000}"/>
    <cellStyle name="Normal 2 5 5 3 7 4 2" xfId="43823" xr:uid="{00000000-0005-0000-0000-0000D3570000}"/>
    <cellStyle name="Normal 2 5 5 3 7 5" xfId="29760" xr:uid="{00000000-0005-0000-0000-0000D4570000}"/>
    <cellStyle name="Normal 2 5 5 3 8" xfId="1460" xr:uid="{00000000-0005-0000-0000-0000D5570000}"/>
    <cellStyle name="Normal 2 5 5 3 8 2" xfId="10837" xr:uid="{00000000-0005-0000-0000-0000D6570000}"/>
    <cellStyle name="Normal 2 5 5 3 8 2 2" xfId="36392" xr:uid="{00000000-0005-0000-0000-0000D7570000}"/>
    <cellStyle name="Normal 2 5 5 3 8 3" xfId="20841" xr:uid="{00000000-0005-0000-0000-0000D8570000}"/>
    <cellStyle name="Normal 2 5 5 3 8 3 2" xfId="46394" xr:uid="{00000000-0005-0000-0000-0000D9570000}"/>
    <cellStyle name="Normal 2 5 5 3 8 4" xfId="27324" xr:uid="{00000000-0005-0000-0000-0000DA570000}"/>
    <cellStyle name="Normal 2 5 5 3 9" xfId="5644" xr:uid="{00000000-0005-0000-0000-0000DB570000}"/>
    <cellStyle name="Normal 2 5 5 3 9 2" xfId="14471" xr:uid="{00000000-0005-0000-0000-0000DC570000}"/>
    <cellStyle name="Normal 2 5 5 3 9 2 2" xfId="40026" xr:uid="{00000000-0005-0000-0000-0000DD570000}"/>
    <cellStyle name="Normal 2 5 5 3 9 3" xfId="24722" xr:uid="{00000000-0005-0000-0000-0000DE570000}"/>
    <cellStyle name="Normal 2 5 5 3 9 3 2" xfId="50275" xr:uid="{00000000-0005-0000-0000-0000DF570000}"/>
    <cellStyle name="Normal 2 5 5 3 9 4" xfId="31205" xr:uid="{00000000-0005-0000-0000-0000E0570000}"/>
    <cellStyle name="Normal 2 5 5 3_Degree data" xfId="3906" xr:uid="{00000000-0005-0000-0000-0000E1570000}"/>
    <cellStyle name="Normal 2 5 5 4" xfId="468" xr:uid="{00000000-0005-0000-0000-0000E2570000}"/>
    <cellStyle name="Normal 2 5 5 4 10" xfId="26397" xr:uid="{00000000-0005-0000-0000-0000E3570000}"/>
    <cellStyle name="Normal 2 5 5 4 2" xfId="772" xr:uid="{00000000-0005-0000-0000-0000E4570000}"/>
    <cellStyle name="Normal 2 5 5 4 2 2" xfId="3258" xr:uid="{00000000-0005-0000-0000-0000E5570000}"/>
    <cellStyle name="Normal 2 5 5 4 2 2 2" xfId="12400" xr:uid="{00000000-0005-0000-0000-0000E6570000}"/>
    <cellStyle name="Normal 2 5 5 4 2 2 2 2" xfId="22619" xr:uid="{00000000-0005-0000-0000-0000E7570000}"/>
    <cellStyle name="Normal 2 5 5 4 2 2 2 2 2" xfId="48172" xr:uid="{00000000-0005-0000-0000-0000E8570000}"/>
    <cellStyle name="Normal 2 5 5 4 2 2 2 3" xfId="37955" xr:uid="{00000000-0005-0000-0000-0000E9570000}"/>
    <cellStyle name="Normal 2 5 5 4 2 2 3" xfId="8822" xr:uid="{00000000-0005-0000-0000-0000EA570000}"/>
    <cellStyle name="Normal 2 5 5 4 2 2 3 2" xfId="34379" xr:uid="{00000000-0005-0000-0000-0000EB570000}"/>
    <cellStyle name="Normal 2 5 5 4 2 2 4" xfId="17612" xr:uid="{00000000-0005-0000-0000-0000EC570000}"/>
    <cellStyle name="Normal 2 5 5 4 2 2 4 2" xfId="43165" xr:uid="{00000000-0005-0000-0000-0000ED570000}"/>
    <cellStyle name="Normal 2 5 5 4 2 2 5" xfId="29102" xr:uid="{00000000-0005-0000-0000-0000EE570000}"/>
    <cellStyle name="Normal 2 5 5 4 2 3" xfId="4587" xr:uid="{00000000-0005-0000-0000-0000EF570000}"/>
    <cellStyle name="Normal 2 5 5 4 2 3 2" xfId="13425" xr:uid="{00000000-0005-0000-0000-0000F0570000}"/>
    <cellStyle name="Normal 2 5 5 4 2 3 2 2" xfId="23676" xr:uid="{00000000-0005-0000-0000-0000F1570000}"/>
    <cellStyle name="Normal 2 5 5 4 2 3 2 2 2" xfId="49229" xr:uid="{00000000-0005-0000-0000-0000F2570000}"/>
    <cellStyle name="Normal 2 5 5 4 2 3 2 3" xfId="38980" xr:uid="{00000000-0005-0000-0000-0000F3570000}"/>
    <cellStyle name="Normal 2 5 5 4 2 3 3" xfId="9846" xr:uid="{00000000-0005-0000-0000-0000F4570000}"/>
    <cellStyle name="Normal 2 5 5 4 2 3 3 2" xfId="35403" xr:uid="{00000000-0005-0000-0000-0000F5570000}"/>
    <cellStyle name="Normal 2 5 5 4 2 3 4" xfId="18669" xr:uid="{00000000-0005-0000-0000-0000F6570000}"/>
    <cellStyle name="Normal 2 5 5 4 2 3 4 2" xfId="44222" xr:uid="{00000000-0005-0000-0000-0000F7570000}"/>
    <cellStyle name="Normal 2 5 5 4 2 3 5" xfId="30159" xr:uid="{00000000-0005-0000-0000-0000F8570000}"/>
    <cellStyle name="Normal 2 5 5 4 2 4" xfId="2367" xr:uid="{00000000-0005-0000-0000-0000F9570000}"/>
    <cellStyle name="Normal 2 5 5 4 2 4 2" xfId="11732" xr:uid="{00000000-0005-0000-0000-0000FA570000}"/>
    <cellStyle name="Normal 2 5 5 4 2 4 2 2" xfId="37287" xr:uid="{00000000-0005-0000-0000-0000FB570000}"/>
    <cellStyle name="Normal 2 5 5 4 2 4 3" xfId="21736" xr:uid="{00000000-0005-0000-0000-0000FC570000}"/>
    <cellStyle name="Normal 2 5 5 4 2 4 3 2" xfId="47289" xr:uid="{00000000-0005-0000-0000-0000FD570000}"/>
    <cellStyle name="Normal 2 5 5 4 2 4 4" xfId="28219" xr:uid="{00000000-0005-0000-0000-0000FE570000}"/>
    <cellStyle name="Normal 2 5 5 4 2 5" xfId="6043" xr:uid="{00000000-0005-0000-0000-0000FF570000}"/>
    <cellStyle name="Normal 2 5 5 4 2 5 2" xfId="14870" xr:uid="{00000000-0005-0000-0000-000000580000}"/>
    <cellStyle name="Normal 2 5 5 4 2 5 2 2" xfId="40425" xr:uid="{00000000-0005-0000-0000-000001580000}"/>
    <cellStyle name="Normal 2 5 5 4 2 5 3" xfId="25121" xr:uid="{00000000-0005-0000-0000-000002580000}"/>
    <cellStyle name="Normal 2 5 5 4 2 5 3 2" xfId="50674" xr:uid="{00000000-0005-0000-0000-000003580000}"/>
    <cellStyle name="Normal 2 5 5 4 2 5 4" xfId="31604" xr:uid="{00000000-0005-0000-0000-000004580000}"/>
    <cellStyle name="Normal 2 5 5 4 2 6" xfId="7487" xr:uid="{00000000-0005-0000-0000-000005580000}"/>
    <cellStyle name="Normal 2 5 5 4 2 6 2" xfId="20218" xr:uid="{00000000-0005-0000-0000-000006580000}"/>
    <cellStyle name="Normal 2 5 5 4 2 6 2 2" xfId="45771" xr:uid="{00000000-0005-0000-0000-000007580000}"/>
    <cellStyle name="Normal 2 5 5 4 2 6 3" xfId="33044" xr:uid="{00000000-0005-0000-0000-000008580000}"/>
    <cellStyle name="Normal 2 5 5 4 2 7" xfId="16729" xr:uid="{00000000-0005-0000-0000-000009580000}"/>
    <cellStyle name="Normal 2 5 5 4 2 7 2" xfId="42282" xr:uid="{00000000-0005-0000-0000-00000A580000}"/>
    <cellStyle name="Normal 2 5 5 4 2 8" xfId="26701" xr:uid="{00000000-0005-0000-0000-00000B580000}"/>
    <cellStyle name="Normal 2 5 5 4 3" xfId="1240" xr:uid="{00000000-0005-0000-0000-00000C580000}"/>
    <cellStyle name="Normal 2 5 5 4 3 2" xfId="3669" xr:uid="{00000000-0005-0000-0000-00000D580000}"/>
    <cellStyle name="Normal 2 5 5 4 3 2 2" xfId="12805" xr:uid="{00000000-0005-0000-0000-00000E580000}"/>
    <cellStyle name="Normal 2 5 5 4 3 2 2 2" xfId="23024" xr:uid="{00000000-0005-0000-0000-00000F580000}"/>
    <cellStyle name="Normal 2 5 5 4 3 2 2 2 2" xfId="48577" xr:uid="{00000000-0005-0000-0000-000010580000}"/>
    <cellStyle name="Normal 2 5 5 4 3 2 2 3" xfId="38360" xr:uid="{00000000-0005-0000-0000-000011580000}"/>
    <cellStyle name="Normal 2 5 5 4 3 2 3" xfId="9226" xr:uid="{00000000-0005-0000-0000-000012580000}"/>
    <cellStyle name="Normal 2 5 5 4 3 2 3 2" xfId="34783" xr:uid="{00000000-0005-0000-0000-000013580000}"/>
    <cellStyle name="Normal 2 5 5 4 3 2 4" xfId="18017" xr:uid="{00000000-0005-0000-0000-000014580000}"/>
    <cellStyle name="Normal 2 5 5 4 3 2 4 2" xfId="43570" xr:uid="{00000000-0005-0000-0000-000015580000}"/>
    <cellStyle name="Normal 2 5 5 4 3 2 5" xfId="29507" xr:uid="{00000000-0005-0000-0000-000016580000}"/>
    <cellStyle name="Normal 2 5 5 4 3 3" xfId="4936" xr:uid="{00000000-0005-0000-0000-000017580000}"/>
    <cellStyle name="Normal 2 5 5 4 3 3 2" xfId="13773" xr:uid="{00000000-0005-0000-0000-000018580000}"/>
    <cellStyle name="Normal 2 5 5 4 3 3 2 2" xfId="24024" xr:uid="{00000000-0005-0000-0000-000019580000}"/>
    <cellStyle name="Normal 2 5 5 4 3 3 2 2 2" xfId="49577" xr:uid="{00000000-0005-0000-0000-00001A580000}"/>
    <cellStyle name="Normal 2 5 5 4 3 3 2 3" xfId="39328" xr:uid="{00000000-0005-0000-0000-00001B580000}"/>
    <cellStyle name="Normal 2 5 5 4 3 3 3" xfId="10194" xr:uid="{00000000-0005-0000-0000-00001C580000}"/>
    <cellStyle name="Normal 2 5 5 4 3 3 3 2" xfId="35751" xr:uid="{00000000-0005-0000-0000-00001D580000}"/>
    <cellStyle name="Normal 2 5 5 4 3 3 4" xfId="19017" xr:uid="{00000000-0005-0000-0000-00001E580000}"/>
    <cellStyle name="Normal 2 5 5 4 3 3 4 2" xfId="44570" xr:uid="{00000000-0005-0000-0000-00001F580000}"/>
    <cellStyle name="Normal 2 5 5 4 3 3 5" xfId="30507" xr:uid="{00000000-0005-0000-0000-000020580000}"/>
    <cellStyle name="Normal 2 5 5 4 3 4" xfId="2063" xr:uid="{00000000-0005-0000-0000-000021580000}"/>
    <cellStyle name="Normal 2 5 5 4 3 4 2" xfId="11428" xr:uid="{00000000-0005-0000-0000-000022580000}"/>
    <cellStyle name="Normal 2 5 5 4 3 4 2 2" xfId="36983" xr:uid="{00000000-0005-0000-0000-000023580000}"/>
    <cellStyle name="Normal 2 5 5 4 3 4 3" xfId="21432" xr:uid="{00000000-0005-0000-0000-000024580000}"/>
    <cellStyle name="Normal 2 5 5 4 3 4 3 2" xfId="46985" xr:uid="{00000000-0005-0000-0000-000025580000}"/>
    <cellStyle name="Normal 2 5 5 4 3 4 4" xfId="27915" xr:uid="{00000000-0005-0000-0000-000026580000}"/>
    <cellStyle name="Normal 2 5 5 4 3 5" xfId="6391" xr:uid="{00000000-0005-0000-0000-000027580000}"/>
    <cellStyle name="Normal 2 5 5 4 3 5 2" xfId="15218" xr:uid="{00000000-0005-0000-0000-000028580000}"/>
    <cellStyle name="Normal 2 5 5 4 3 5 2 2" xfId="40773" xr:uid="{00000000-0005-0000-0000-000029580000}"/>
    <cellStyle name="Normal 2 5 5 4 3 5 3" xfId="25469" xr:uid="{00000000-0005-0000-0000-00002A580000}"/>
    <cellStyle name="Normal 2 5 5 4 3 5 3 2" xfId="51022" xr:uid="{00000000-0005-0000-0000-00002B580000}"/>
    <cellStyle name="Normal 2 5 5 4 3 5 4" xfId="31952" xr:uid="{00000000-0005-0000-0000-00002C580000}"/>
    <cellStyle name="Normal 2 5 5 4 3 6" xfId="7837" xr:uid="{00000000-0005-0000-0000-00002D580000}"/>
    <cellStyle name="Normal 2 5 5 4 3 6 2" xfId="20623" xr:uid="{00000000-0005-0000-0000-00002E580000}"/>
    <cellStyle name="Normal 2 5 5 4 3 6 2 2" xfId="46176" xr:uid="{00000000-0005-0000-0000-00002F580000}"/>
    <cellStyle name="Normal 2 5 5 4 3 6 3" xfId="33394" xr:uid="{00000000-0005-0000-0000-000030580000}"/>
    <cellStyle name="Normal 2 5 5 4 3 7" xfId="16425" xr:uid="{00000000-0005-0000-0000-000031580000}"/>
    <cellStyle name="Normal 2 5 5 4 3 7 2" xfId="41978" xr:uid="{00000000-0005-0000-0000-000032580000}"/>
    <cellStyle name="Normal 2 5 5 4 3 8" xfId="27106" xr:uid="{00000000-0005-0000-0000-000033580000}"/>
    <cellStyle name="Normal 2 5 5 4 4" xfId="2954" xr:uid="{00000000-0005-0000-0000-000034580000}"/>
    <cellStyle name="Normal 2 5 5 4 4 2" xfId="5332" xr:uid="{00000000-0005-0000-0000-000035580000}"/>
    <cellStyle name="Normal 2 5 5 4 4 2 2" xfId="14169" xr:uid="{00000000-0005-0000-0000-000036580000}"/>
    <cellStyle name="Normal 2 5 5 4 4 2 2 2" xfId="24420" xr:uid="{00000000-0005-0000-0000-000037580000}"/>
    <cellStyle name="Normal 2 5 5 4 4 2 2 2 2" xfId="49973" xr:uid="{00000000-0005-0000-0000-000038580000}"/>
    <cellStyle name="Normal 2 5 5 4 4 2 2 3" xfId="39724" xr:uid="{00000000-0005-0000-0000-000039580000}"/>
    <cellStyle name="Normal 2 5 5 4 4 2 3" xfId="10590" xr:uid="{00000000-0005-0000-0000-00003A580000}"/>
    <cellStyle name="Normal 2 5 5 4 4 2 3 2" xfId="36147" xr:uid="{00000000-0005-0000-0000-00003B580000}"/>
    <cellStyle name="Normal 2 5 5 4 4 2 4" xfId="19413" xr:uid="{00000000-0005-0000-0000-00003C580000}"/>
    <cellStyle name="Normal 2 5 5 4 4 2 4 2" xfId="44966" xr:uid="{00000000-0005-0000-0000-00003D580000}"/>
    <cellStyle name="Normal 2 5 5 4 4 2 5" xfId="30903" xr:uid="{00000000-0005-0000-0000-00003E580000}"/>
    <cellStyle name="Normal 2 5 5 4 4 3" xfId="6787" xr:uid="{00000000-0005-0000-0000-00003F580000}"/>
    <cellStyle name="Normal 2 5 5 4 4 3 2" xfId="15614" xr:uid="{00000000-0005-0000-0000-000040580000}"/>
    <cellStyle name="Normal 2 5 5 4 4 3 2 2" xfId="41169" xr:uid="{00000000-0005-0000-0000-000041580000}"/>
    <cellStyle name="Normal 2 5 5 4 4 3 3" xfId="25865" xr:uid="{00000000-0005-0000-0000-000042580000}"/>
    <cellStyle name="Normal 2 5 5 4 4 3 3 2" xfId="51418" xr:uid="{00000000-0005-0000-0000-000043580000}"/>
    <cellStyle name="Normal 2 5 5 4 4 3 4" xfId="32348" xr:uid="{00000000-0005-0000-0000-000044580000}"/>
    <cellStyle name="Normal 2 5 5 4 4 4" xfId="8233" xr:uid="{00000000-0005-0000-0000-000045580000}"/>
    <cellStyle name="Normal 2 5 5 4 4 4 2" xfId="22315" xr:uid="{00000000-0005-0000-0000-000046580000}"/>
    <cellStyle name="Normal 2 5 5 4 4 4 2 2" xfId="47868" xr:uid="{00000000-0005-0000-0000-000047580000}"/>
    <cellStyle name="Normal 2 5 5 4 4 4 3" xfId="33790" xr:uid="{00000000-0005-0000-0000-000048580000}"/>
    <cellStyle name="Normal 2 5 5 4 4 5" xfId="17308" xr:uid="{00000000-0005-0000-0000-000049580000}"/>
    <cellStyle name="Normal 2 5 5 4 4 5 2" xfId="42861" xr:uid="{00000000-0005-0000-0000-00004A580000}"/>
    <cellStyle name="Normal 2 5 5 4 4 6" xfId="28798" xr:uid="{00000000-0005-0000-0000-00004B580000}"/>
    <cellStyle name="Normal 2 5 5 4 5" xfId="4288" xr:uid="{00000000-0005-0000-0000-00004C580000}"/>
    <cellStyle name="Normal 2 5 5 4 5 2" xfId="13126" xr:uid="{00000000-0005-0000-0000-00004D580000}"/>
    <cellStyle name="Normal 2 5 5 4 5 2 2" xfId="23377" xr:uid="{00000000-0005-0000-0000-00004E580000}"/>
    <cellStyle name="Normal 2 5 5 4 5 2 2 2" xfId="48930" xr:uid="{00000000-0005-0000-0000-00004F580000}"/>
    <cellStyle name="Normal 2 5 5 4 5 2 3" xfId="38681" xr:uid="{00000000-0005-0000-0000-000050580000}"/>
    <cellStyle name="Normal 2 5 5 4 5 3" xfId="9547" xr:uid="{00000000-0005-0000-0000-000051580000}"/>
    <cellStyle name="Normal 2 5 5 4 5 3 2" xfId="35104" xr:uid="{00000000-0005-0000-0000-000052580000}"/>
    <cellStyle name="Normal 2 5 5 4 5 4" xfId="18370" xr:uid="{00000000-0005-0000-0000-000053580000}"/>
    <cellStyle name="Normal 2 5 5 4 5 4 2" xfId="43923" xr:uid="{00000000-0005-0000-0000-000054580000}"/>
    <cellStyle name="Normal 2 5 5 4 5 5" xfId="29860" xr:uid="{00000000-0005-0000-0000-000055580000}"/>
    <cellStyle name="Normal 2 5 5 4 6" xfId="1560" xr:uid="{00000000-0005-0000-0000-000056580000}"/>
    <cellStyle name="Normal 2 5 5 4 6 2" xfId="10937" xr:uid="{00000000-0005-0000-0000-000057580000}"/>
    <cellStyle name="Normal 2 5 5 4 6 2 2" xfId="36492" xr:uid="{00000000-0005-0000-0000-000058580000}"/>
    <cellStyle name="Normal 2 5 5 4 6 3" xfId="20941" xr:uid="{00000000-0005-0000-0000-000059580000}"/>
    <cellStyle name="Normal 2 5 5 4 6 3 2" xfId="46494" xr:uid="{00000000-0005-0000-0000-00005A580000}"/>
    <cellStyle name="Normal 2 5 5 4 6 4" xfId="27424" xr:uid="{00000000-0005-0000-0000-00005B580000}"/>
    <cellStyle name="Normal 2 5 5 4 7" xfId="5744" xr:uid="{00000000-0005-0000-0000-00005C580000}"/>
    <cellStyle name="Normal 2 5 5 4 7 2" xfId="14571" xr:uid="{00000000-0005-0000-0000-00005D580000}"/>
    <cellStyle name="Normal 2 5 5 4 7 2 2" xfId="40126" xr:uid="{00000000-0005-0000-0000-00005E580000}"/>
    <cellStyle name="Normal 2 5 5 4 7 3" xfId="24822" xr:uid="{00000000-0005-0000-0000-00005F580000}"/>
    <cellStyle name="Normal 2 5 5 4 7 3 2" xfId="50375" xr:uid="{00000000-0005-0000-0000-000060580000}"/>
    <cellStyle name="Normal 2 5 5 4 7 4" xfId="31305" xr:uid="{00000000-0005-0000-0000-000061580000}"/>
    <cellStyle name="Normal 2 5 5 4 8" xfId="7188" xr:uid="{00000000-0005-0000-0000-000062580000}"/>
    <cellStyle name="Normal 2 5 5 4 8 2" xfId="19914" xr:uid="{00000000-0005-0000-0000-000063580000}"/>
    <cellStyle name="Normal 2 5 5 4 8 2 2" xfId="45467" xr:uid="{00000000-0005-0000-0000-000064580000}"/>
    <cellStyle name="Normal 2 5 5 4 8 3" xfId="32745" xr:uid="{00000000-0005-0000-0000-000065580000}"/>
    <cellStyle name="Normal 2 5 5 4 9" xfId="15934" xr:uid="{00000000-0005-0000-0000-000066580000}"/>
    <cellStyle name="Normal 2 5 5 4 9 2" xfId="41487" xr:uid="{00000000-0005-0000-0000-000067580000}"/>
    <cellStyle name="Normal 2 5 5 4_Degree data" xfId="3855" xr:uid="{00000000-0005-0000-0000-000068580000}"/>
    <cellStyle name="Normal 2 5 5 5" xfId="309" xr:uid="{00000000-0005-0000-0000-000069580000}"/>
    <cellStyle name="Normal 2 5 5 5 2" xfId="2795" xr:uid="{00000000-0005-0000-0000-00006A580000}"/>
    <cellStyle name="Normal 2 5 5 5 2 2" xfId="12099" xr:uid="{00000000-0005-0000-0000-00006B580000}"/>
    <cellStyle name="Normal 2 5 5 5 2 2 2" xfId="22156" xr:uid="{00000000-0005-0000-0000-00006C580000}"/>
    <cellStyle name="Normal 2 5 5 5 2 2 2 2" xfId="47709" xr:uid="{00000000-0005-0000-0000-00006D580000}"/>
    <cellStyle name="Normal 2 5 5 5 2 2 3" xfId="37654" xr:uid="{00000000-0005-0000-0000-00006E580000}"/>
    <cellStyle name="Normal 2 5 5 5 2 3" xfId="8396" xr:uid="{00000000-0005-0000-0000-00006F580000}"/>
    <cellStyle name="Normal 2 5 5 5 2 3 2" xfId="33953" xr:uid="{00000000-0005-0000-0000-000070580000}"/>
    <cellStyle name="Normal 2 5 5 5 2 4" xfId="17149" xr:uid="{00000000-0005-0000-0000-000071580000}"/>
    <cellStyle name="Normal 2 5 5 5 2 4 2" xfId="42702" xr:uid="{00000000-0005-0000-0000-000072580000}"/>
    <cellStyle name="Normal 2 5 5 5 2 5" xfId="28639" xr:uid="{00000000-0005-0000-0000-000073580000}"/>
    <cellStyle name="Normal 2 5 5 5 3" xfId="4582" xr:uid="{00000000-0005-0000-0000-000074580000}"/>
    <cellStyle name="Normal 2 5 5 5 3 2" xfId="13420" xr:uid="{00000000-0005-0000-0000-000075580000}"/>
    <cellStyle name="Normal 2 5 5 5 3 2 2" xfId="23671" xr:uid="{00000000-0005-0000-0000-000076580000}"/>
    <cellStyle name="Normal 2 5 5 5 3 2 2 2" xfId="49224" xr:uid="{00000000-0005-0000-0000-000077580000}"/>
    <cellStyle name="Normal 2 5 5 5 3 2 3" xfId="38975" xr:uid="{00000000-0005-0000-0000-000078580000}"/>
    <cellStyle name="Normal 2 5 5 5 3 3" xfId="9841" xr:uid="{00000000-0005-0000-0000-000079580000}"/>
    <cellStyle name="Normal 2 5 5 5 3 3 2" xfId="35398" xr:uid="{00000000-0005-0000-0000-00007A580000}"/>
    <cellStyle name="Normal 2 5 5 5 3 4" xfId="18664" xr:uid="{00000000-0005-0000-0000-00007B580000}"/>
    <cellStyle name="Normal 2 5 5 5 3 4 2" xfId="44217" xr:uid="{00000000-0005-0000-0000-00007C580000}"/>
    <cellStyle name="Normal 2 5 5 5 3 5" xfId="30154" xr:uid="{00000000-0005-0000-0000-00007D580000}"/>
    <cellStyle name="Normal 2 5 5 5 4" xfId="1904" xr:uid="{00000000-0005-0000-0000-00007E580000}"/>
    <cellStyle name="Normal 2 5 5 5 4 2" xfId="11269" xr:uid="{00000000-0005-0000-0000-00007F580000}"/>
    <cellStyle name="Normal 2 5 5 5 4 2 2" xfId="36824" xr:uid="{00000000-0005-0000-0000-000080580000}"/>
    <cellStyle name="Normal 2 5 5 5 4 3" xfId="21273" xr:uid="{00000000-0005-0000-0000-000081580000}"/>
    <cellStyle name="Normal 2 5 5 5 4 3 2" xfId="46826" xr:uid="{00000000-0005-0000-0000-000082580000}"/>
    <cellStyle name="Normal 2 5 5 5 4 4" xfId="27756" xr:uid="{00000000-0005-0000-0000-000083580000}"/>
    <cellStyle name="Normal 2 5 5 5 5" xfId="6038" xr:uid="{00000000-0005-0000-0000-000084580000}"/>
    <cellStyle name="Normal 2 5 5 5 5 2" xfId="14865" xr:uid="{00000000-0005-0000-0000-000085580000}"/>
    <cellStyle name="Normal 2 5 5 5 5 2 2" xfId="40420" xr:uid="{00000000-0005-0000-0000-000086580000}"/>
    <cellStyle name="Normal 2 5 5 5 5 3" xfId="25116" xr:uid="{00000000-0005-0000-0000-000087580000}"/>
    <cellStyle name="Normal 2 5 5 5 5 3 2" xfId="50669" xr:uid="{00000000-0005-0000-0000-000088580000}"/>
    <cellStyle name="Normal 2 5 5 5 5 4" xfId="31599" xr:uid="{00000000-0005-0000-0000-000089580000}"/>
    <cellStyle name="Normal 2 5 5 5 6" xfId="7482" xr:uid="{00000000-0005-0000-0000-00008A580000}"/>
    <cellStyle name="Normal 2 5 5 5 6 2" xfId="19755" xr:uid="{00000000-0005-0000-0000-00008B580000}"/>
    <cellStyle name="Normal 2 5 5 5 6 2 2" xfId="45308" xr:uid="{00000000-0005-0000-0000-00008C580000}"/>
    <cellStyle name="Normal 2 5 5 5 6 3" xfId="33039" xr:uid="{00000000-0005-0000-0000-00008D580000}"/>
    <cellStyle name="Normal 2 5 5 5 7" xfId="16266" xr:uid="{00000000-0005-0000-0000-00008E580000}"/>
    <cellStyle name="Normal 2 5 5 5 7 2" xfId="41819" xr:uid="{00000000-0005-0000-0000-00008F580000}"/>
    <cellStyle name="Normal 2 5 5 5 8" xfId="26238" xr:uid="{00000000-0005-0000-0000-000090580000}"/>
    <cellStyle name="Normal 2 5 5 6" xfId="767" xr:uid="{00000000-0005-0000-0000-000091580000}"/>
    <cellStyle name="Normal 2 5 5 6 2" xfId="3253" xr:uid="{00000000-0005-0000-0000-000092580000}"/>
    <cellStyle name="Normal 2 5 5 6 2 2" xfId="12395" xr:uid="{00000000-0005-0000-0000-000093580000}"/>
    <cellStyle name="Normal 2 5 5 6 2 2 2" xfId="22614" xr:uid="{00000000-0005-0000-0000-000094580000}"/>
    <cellStyle name="Normal 2 5 5 6 2 2 2 2" xfId="48167" xr:uid="{00000000-0005-0000-0000-000095580000}"/>
    <cellStyle name="Normal 2 5 5 6 2 2 3" xfId="37950" xr:uid="{00000000-0005-0000-0000-000096580000}"/>
    <cellStyle name="Normal 2 5 5 6 2 3" xfId="8817" xr:uid="{00000000-0005-0000-0000-000097580000}"/>
    <cellStyle name="Normal 2 5 5 6 2 3 2" xfId="34374" xr:uid="{00000000-0005-0000-0000-000098580000}"/>
    <cellStyle name="Normal 2 5 5 6 2 4" xfId="17607" xr:uid="{00000000-0005-0000-0000-000099580000}"/>
    <cellStyle name="Normal 2 5 5 6 2 4 2" xfId="43160" xr:uid="{00000000-0005-0000-0000-00009A580000}"/>
    <cellStyle name="Normal 2 5 5 6 2 5" xfId="29097" xr:uid="{00000000-0005-0000-0000-00009B580000}"/>
    <cellStyle name="Normal 2 5 5 6 3" xfId="4931" xr:uid="{00000000-0005-0000-0000-00009C580000}"/>
    <cellStyle name="Normal 2 5 5 6 3 2" xfId="13768" xr:uid="{00000000-0005-0000-0000-00009D580000}"/>
    <cellStyle name="Normal 2 5 5 6 3 2 2" xfId="24019" xr:uid="{00000000-0005-0000-0000-00009E580000}"/>
    <cellStyle name="Normal 2 5 5 6 3 2 2 2" xfId="49572" xr:uid="{00000000-0005-0000-0000-00009F580000}"/>
    <cellStyle name="Normal 2 5 5 6 3 2 3" xfId="39323" xr:uid="{00000000-0005-0000-0000-0000A0580000}"/>
    <cellStyle name="Normal 2 5 5 6 3 3" xfId="10189" xr:uid="{00000000-0005-0000-0000-0000A1580000}"/>
    <cellStyle name="Normal 2 5 5 6 3 3 2" xfId="35746" xr:uid="{00000000-0005-0000-0000-0000A2580000}"/>
    <cellStyle name="Normal 2 5 5 6 3 4" xfId="19012" xr:uid="{00000000-0005-0000-0000-0000A3580000}"/>
    <cellStyle name="Normal 2 5 5 6 3 4 2" xfId="44565" xr:uid="{00000000-0005-0000-0000-0000A4580000}"/>
    <cellStyle name="Normal 2 5 5 6 3 5" xfId="30502" xr:uid="{00000000-0005-0000-0000-0000A5580000}"/>
    <cellStyle name="Normal 2 5 5 6 4" xfId="2362" xr:uid="{00000000-0005-0000-0000-0000A6580000}"/>
    <cellStyle name="Normal 2 5 5 6 4 2" xfId="11727" xr:uid="{00000000-0005-0000-0000-0000A7580000}"/>
    <cellStyle name="Normal 2 5 5 6 4 2 2" xfId="37282" xr:uid="{00000000-0005-0000-0000-0000A8580000}"/>
    <cellStyle name="Normal 2 5 5 6 4 3" xfId="21731" xr:uid="{00000000-0005-0000-0000-0000A9580000}"/>
    <cellStyle name="Normal 2 5 5 6 4 3 2" xfId="47284" xr:uid="{00000000-0005-0000-0000-0000AA580000}"/>
    <cellStyle name="Normal 2 5 5 6 4 4" xfId="28214" xr:uid="{00000000-0005-0000-0000-0000AB580000}"/>
    <cellStyle name="Normal 2 5 5 6 5" xfId="6386" xr:uid="{00000000-0005-0000-0000-0000AC580000}"/>
    <cellStyle name="Normal 2 5 5 6 5 2" xfId="15213" xr:uid="{00000000-0005-0000-0000-0000AD580000}"/>
    <cellStyle name="Normal 2 5 5 6 5 2 2" xfId="40768" xr:uid="{00000000-0005-0000-0000-0000AE580000}"/>
    <cellStyle name="Normal 2 5 5 6 5 3" xfId="25464" xr:uid="{00000000-0005-0000-0000-0000AF580000}"/>
    <cellStyle name="Normal 2 5 5 6 5 3 2" xfId="51017" xr:uid="{00000000-0005-0000-0000-0000B0580000}"/>
    <cellStyle name="Normal 2 5 5 6 5 4" xfId="31947" xr:uid="{00000000-0005-0000-0000-0000B1580000}"/>
    <cellStyle name="Normal 2 5 5 6 6" xfId="7832" xr:uid="{00000000-0005-0000-0000-0000B2580000}"/>
    <cellStyle name="Normal 2 5 5 6 6 2" xfId="20213" xr:uid="{00000000-0005-0000-0000-0000B3580000}"/>
    <cellStyle name="Normal 2 5 5 6 6 2 2" xfId="45766" xr:uid="{00000000-0005-0000-0000-0000B4580000}"/>
    <cellStyle name="Normal 2 5 5 6 6 3" xfId="33389" xr:uid="{00000000-0005-0000-0000-0000B5580000}"/>
    <cellStyle name="Normal 2 5 5 6 7" xfId="16724" xr:uid="{00000000-0005-0000-0000-0000B6580000}"/>
    <cellStyle name="Normal 2 5 5 6 7 2" xfId="42277" xr:uid="{00000000-0005-0000-0000-0000B7580000}"/>
    <cellStyle name="Normal 2 5 5 6 8" xfId="26696" xr:uid="{00000000-0005-0000-0000-0000B8580000}"/>
    <cellStyle name="Normal 2 5 5 7" xfId="1081" xr:uid="{00000000-0005-0000-0000-0000B9580000}"/>
    <cellStyle name="Normal 2 5 5 7 2" xfId="3510" xr:uid="{00000000-0005-0000-0000-0000BA580000}"/>
    <cellStyle name="Normal 2 5 5 7 2 2" xfId="12646" xr:uid="{00000000-0005-0000-0000-0000BB580000}"/>
    <cellStyle name="Normal 2 5 5 7 2 2 2" xfId="22865" xr:uid="{00000000-0005-0000-0000-0000BC580000}"/>
    <cellStyle name="Normal 2 5 5 7 2 2 2 2" xfId="48418" xr:uid="{00000000-0005-0000-0000-0000BD580000}"/>
    <cellStyle name="Normal 2 5 5 7 2 2 3" xfId="38201" xr:uid="{00000000-0005-0000-0000-0000BE580000}"/>
    <cellStyle name="Normal 2 5 5 7 2 3" xfId="9068" xr:uid="{00000000-0005-0000-0000-0000BF580000}"/>
    <cellStyle name="Normal 2 5 5 7 2 3 2" xfId="34625" xr:uid="{00000000-0005-0000-0000-0000C0580000}"/>
    <cellStyle name="Normal 2 5 5 7 2 4" xfId="17858" xr:uid="{00000000-0005-0000-0000-0000C1580000}"/>
    <cellStyle name="Normal 2 5 5 7 2 4 2" xfId="43411" xr:uid="{00000000-0005-0000-0000-0000C2580000}"/>
    <cellStyle name="Normal 2 5 5 7 2 5" xfId="29348" xr:uid="{00000000-0005-0000-0000-0000C3580000}"/>
    <cellStyle name="Normal 2 5 5 7 3" xfId="5173" xr:uid="{00000000-0005-0000-0000-0000C4580000}"/>
    <cellStyle name="Normal 2 5 5 7 3 2" xfId="14010" xr:uid="{00000000-0005-0000-0000-0000C5580000}"/>
    <cellStyle name="Normal 2 5 5 7 3 2 2" xfId="24261" xr:uid="{00000000-0005-0000-0000-0000C6580000}"/>
    <cellStyle name="Normal 2 5 5 7 3 2 2 2" xfId="49814" xr:uid="{00000000-0005-0000-0000-0000C7580000}"/>
    <cellStyle name="Normal 2 5 5 7 3 2 3" xfId="39565" xr:uid="{00000000-0005-0000-0000-0000C8580000}"/>
    <cellStyle name="Normal 2 5 5 7 3 3" xfId="10431" xr:uid="{00000000-0005-0000-0000-0000C9580000}"/>
    <cellStyle name="Normal 2 5 5 7 3 3 2" xfId="35988" xr:uid="{00000000-0005-0000-0000-0000CA580000}"/>
    <cellStyle name="Normal 2 5 5 7 3 4" xfId="19254" xr:uid="{00000000-0005-0000-0000-0000CB580000}"/>
    <cellStyle name="Normal 2 5 5 7 3 4 2" xfId="44807" xr:uid="{00000000-0005-0000-0000-0000CC580000}"/>
    <cellStyle name="Normal 2 5 5 7 3 5" xfId="30744" xr:uid="{00000000-0005-0000-0000-0000CD580000}"/>
    <cellStyle name="Normal 2 5 5 7 4" xfId="1739" xr:uid="{00000000-0005-0000-0000-0000CE580000}"/>
    <cellStyle name="Normal 2 5 5 7 4 2" xfId="11110" xr:uid="{00000000-0005-0000-0000-0000CF580000}"/>
    <cellStyle name="Normal 2 5 5 7 4 2 2" xfId="36665" xr:uid="{00000000-0005-0000-0000-0000D0580000}"/>
    <cellStyle name="Normal 2 5 5 7 4 3" xfId="21114" xr:uid="{00000000-0005-0000-0000-0000D1580000}"/>
    <cellStyle name="Normal 2 5 5 7 4 3 2" xfId="46667" xr:uid="{00000000-0005-0000-0000-0000D2580000}"/>
    <cellStyle name="Normal 2 5 5 7 4 4" xfId="27597" xr:uid="{00000000-0005-0000-0000-0000D3580000}"/>
    <cellStyle name="Normal 2 5 5 7 5" xfId="6628" xr:uid="{00000000-0005-0000-0000-0000D4580000}"/>
    <cellStyle name="Normal 2 5 5 7 5 2" xfId="15455" xr:uid="{00000000-0005-0000-0000-0000D5580000}"/>
    <cellStyle name="Normal 2 5 5 7 5 2 2" xfId="41010" xr:uid="{00000000-0005-0000-0000-0000D6580000}"/>
    <cellStyle name="Normal 2 5 5 7 5 3" xfId="25706" xr:uid="{00000000-0005-0000-0000-0000D7580000}"/>
    <cellStyle name="Normal 2 5 5 7 5 3 2" xfId="51259" xr:uid="{00000000-0005-0000-0000-0000D8580000}"/>
    <cellStyle name="Normal 2 5 5 7 5 4" xfId="32189" xr:uid="{00000000-0005-0000-0000-0000D9580000}"/>
    <cellStyle name="Normal 2 5 5 7 6" xfId="8074" xr:uid="{00000000-0005-0000-0000-0000DA580000}"/>
    <cellStyle name="Normal 2 5 5 7 6 2" xfId="20464" xr:uid="{00000000-0005-0000-0000-0000DB580000}"/>
    <cellStyle name="Normal 2 5 5 7 6 2 2" xfId="46017" xr:uid="{00000000-0005-0000-0000-0000DC580000}"/>
    <cellStyle name="Normal 2 5 5 7 6 3" xfId="33631" xr:uid="{00000000-0005-0000-0000-0000DD580000}"/>
    <cellStyle name="Normal 2 5 5 7 7" xfId="16107" xr:uid="{00000000-0005-0000-0000-0000DE580000}"/>
    <cellStyle name="Normal 2 5 5 7 7 2" xfId="41660" xr:uid="{00000000-0005-0000-0000-0000DF580000}"/>
    <cellStyle name="Normal 2 5 5 7 8" xfId="26947" xr:uid="{00000000-0005-0000-0000-0000E0580000}"/>
    <cellStyle name="Normal 2 5 5 8" xfId="2637" xr:uid="{00000000-0005-0000-0000-0000E1580000}"/>
    <cellStyle name="Normal 2 5 5 8 2" xfId="5585" xr:uid="{00000000-0005-0000-0000-0000E2580000}"/>
    <cellStyle name="Normal 2 5 5 8 2 2" xfId="14412" xr:uid="{00000000-0005-0000-0000-0000E3580000}"/>
    <cellStyle name="Normal 2 5 5 8 2 2 2" xfId="39967" xr:uid="{00000000-0005-0000-0000-0000E4580000}"/>
    <cellStyle name="Normal 2 5 5 8 2 3" xfId="24663" xr:uid="{00000000-0005-0000-0000-0000E5580000}"/>
    <cellStyle name="Normal 2 5 5 8 2 3 2" xfId="50216" xr:uid="{00000000-0005-0000-0000-0000E6580000}"/>
    <cellStyle name="Normal 2 5 5 8 2 4" xfId="31146" xr:uid="{00000000-0005-0000-0000-0000E7580000}"/>
    <cellStyle name="Normal 2 5 5 8 3" xfId="7029" xr:uid="{00000000-0005-0000-0000-0000E8580000}"/>
    <cellStyle name="Normal 2 5 5 8 3 2" xfId="21998" xr:uid="{00000000-0005-0000-0000-0000E9580000}"/>
    <cellStyle name="Normal 2 5 5 8 3 2 2" xfId="47551" xr:uid="{00000000-0005-0000-0000-0000EA580000}"/>
    <cellStyle name="Normal 2 5 5 8 3 3" xfId="32586" xr:uid="{00000000-0005-0000-0000-0000EB580000}"/>
    <cellStyle name="Normal 2 5 5 8 4" xfId="16991" xr:uid="{00000000-0005-0000-0000-0000EC580000}"/>
    <cellStyle name="Normal 2 5 5 8 4 2" xfId="42544" xr:uid="{00000000-0005-0000-0000-0000ED580000}"/>
    <cellStyle name="Normal 2 5 5 8 5" xfId="28481" xr:uid="{00000000-0005-0000-0000-0000EE580000}"/>
    <cellStyle name="Normal 2 5 5 9" xfId="4127" xr:uid="{00000000-0005-0000-0000-0000EF580000}"/>
    <cellStyle name="Normal 2 5 5 9 2" xfId="12965" xr:uid="{00000000-0005-0000-0000-0000F0580000}"/>
    <cellStyle name="Normal 2 5 5 9 2 2" xfId="23216" xr:uid="{00000000-0005-0000-0000-0000F1580000}"/>
    <cellStyle name="Normal 2 5 5 9 2 2 2" xfId="48769" xr:uid="{00000000-0005-0000-0000-0000F2580000}"/>
    <cellStyle name="Normal 2 5 5 9 2 3" xfId="38520" xr:uid="{00000000-0005-0000-0000-0000F3580000}"/>
    <cellStyle name="Normal 2 5 5 9 3" xfId="9386" xr:uid="{00000000-0005-0000-0000-0000F4580000}"/>
    <cellStyle name="Normal 2 5 5 9 3 2" xfId="34943" xr:uid="{00000000-0005-0000-0000-0000F5580000}"/>
    <cellStyle name="Normal 2 5 5 9 4" xfId="18209" xr:uid="{00000000-0005-0000-0000-0000F6580000}"/>
    <cellStyle name="Normal 2 5 5 9 4 2" xfId="43762" xr:uid="{00000000-0005-0000-0000-0000F7580000}"/>
    <cellStyle name="Normal 2 5 5 9 5" xfId="29699" xr:uid="{00000000-0005-0000-0000-0000F8580000}"/>
    <cellStyle name="Normal 2 5 5_Degree data" xfId="3863" xr:uid="{00000000-0005-0000-0000-0000F9580000}"/>
    <cellStyle name="Normal 2 5 6" xfId="174" xr:uid="{00000000-0005-0000-0000-0000FA580000}"/>
    <cellStyle name="Normal 2 5 6 10" xfId="7122" xr:uid="{00000000-0005-0000-0000-0000FB580000}"/>
    <cellStyle name="Normal 2 5 6 10 2" xfId="19631" xr:uid="{00000000-0005-0000-0000-0000FC580000}"/>
    <cellStyle name="Normal 2 5 6 10 2 2" xfId="45184" xr:uid="{00000000-0005-0000-0000-0000FD580000}"/>
    <cellStyle name="Normal 2 5 6 10 3" xfId="32679" xr:uid="{00000000-0005-0000-0000-0000FE580000}"/>
    <cellStyle name="Normal 2 5 6 11" xfId="15868" xr:uid="{00000000-0005-0000-0000-0000FF580000}"/>
    <cellStyle name="Normal 2 5 6 11 2" xfId="41421" xr:uid="{00000000-0005-0000-0000-000000590000}"/>
    <cellStyle name="Normal 2 5 6 12" xfId="26114" xr:uid="{00000000-0005-0000-0000-000001590000}"/>
    <cellStyle name="Normal 2 5 6 2" xfId="502" xr:uid="{00000000-0005-0000-0000-000002590000}"/>
    <cellStyle name="Normal 2 5 6 2 10" xfId="26431" xr:uid="{00000000-0005-0000-0000-000003590000}"/>
    <cellStyle name="Normal 2 5 6 2 2" xfId="774" xr:uid="{00000000-0005-0000-0000-000004590000}"/>
    <cellStyle name="Normal 2 5 6 2 2 2" xfId="3260" xr:uid="{00000000-0005-0000-0000-000005590000}"/>
    <cellStyle name="Normal 2 5 6 2 2 2 2" xfId="12402" xr:uid="{00000000-0005-0000-0000-000006590000}"/>
    <cellStyle name="Normal 2 5 6 2 2 2 2 2" xfId="22621" xr:uid="{00000000-0005-0000-0000-000007590000}"/>
    <cellStyle name="Normal 2 5 6 2 2 2 2 2 2" xfId="48174" xr:uid="{00000000-0005-0000-0000-000008590000}"/>
    <cellStyle name="Normal 2 5 6 2 2 2 2 3" xfId="37957" xr:uid="{00000000-0005-0000-0000-000009590000}"/>
    <cellStyle name="Normal 2 5 6 2 2 2 3" xfId="8824" xr:uid="{00000000-0005-0000-0000-00000A590000}"/>
    <cellStyle name="Normal 2 5 6 2 2 2 3 2" xfId="34381" xr:uid="{00000000-0005-0000-0000-00000B590000}"/>
    <cellStyle name="Normal 2 5 6 2 2 2 4" xfId="17614" xr:uid="{00000000-0005-0000-0000-00000C590000}"/>
    <cellStyle name="Normal 2 5 6 2 2 2 4 2" xfId="43167" xr:uid="{00000000-0005-0000-0000-00000D590000}"/>
    <cellStyle name="Normal 2 5 6 2 2 2 5" xfId="29104" xr:uid="{00000000-0005-0000-0000-00000E590000}"/>
    <cellStyle name="Normal 2 5 6 2 2 3" xfId="4589" xr:uid="{00000000-0005-0000-0000-00000F590000}"/>
    <cellStyle name="Normal 2 5 6 2 2 3 2" xfId="13427" xr:uid="{00000000-0005-0000-0000-000010590000}"/>
    <cellStyle name="Normal 2 5 6 2 2 3 2 2" xfId="23678" xr:uid="{00000000-0005-0000-0000-000011590000}"/>
    <cellStyle name="Normal 2 5 6 2 2 3 2 2 2" xfId="49231" xr:uid="{00000000-0005-0000-0000-000012590000}"/>
    <cellStyle name="Normal 2 5 6 2 2 3 2 3" xfId="38982" xr:uid="{00000000-0005-0000-0000-000013590000}"/>
    <cellStyle name="Normal 2 5 6 2 2 3 3" xfId="9848" xr:uid="{00000000-0005-0000-0000-000014590000}"/>
    <cellStyle name="Normal 2 5 6 2 2 3 3 2" xfId="35405" xr:uid="{00000000-0005-0000-0000-000015590000}"/>
    <cellStyle name="Normal 2 5 6 2 2 3 4" xfId="18671" xr:uid="{00000000-0005-0000-0000-000016590000}"/>
    <cellStyle name="Normal 2 5 6 2 2 3 4 2" xfId="44224" xr:uid="{00000000-0005-0000-0000-000017590000}"/>
    <cellStyle name="Normal 2 5 6 2 2 3 5" xfId="30161" xr:uid="{00000000-0005-0000-0000-000018590000}"/>
    <cellStyle name="Normal 2 5 6 2 2 4" xfId="2369" xr:uid="{00000000-0005-0000-0000-000019590000}"/>
    <cellStyle name="Normal 2 5 6 2 2 4 2" xfId="11734" xr:uid="{00000000-0005-0000-0000-00001A590000}"/>
    <cellStyle name="Normal 2 5 6 2 2 4 2 2" xfId="37289" xr:uid="{00000000-0005-0000-0000-00001B590000}"/>
    <cellStyle name="Normal 2 5 6 2 2 4 3" xfId="21738" xr:uid="{00000000-0005-0000-0000-00001C590000}"/>
    <cellStyle name="Normal 2 5 6 2 2 4 3 2" xfId="47291" xr:uid="{00000000-0005-0000-0000-00001D590000}"/>
    <cellStyle name="Normal 2 5 6 2 2 4 4" xfId="28221" xr:uid="{00000000-0005-0000-0000-00001E590000}"/>
    <cellStyle name="Normal 2 5 6 2 2 5" xfId="6045" xr:uid="{00000000-0005-0000-0000-00001F590000}"/>
    <cellStyle name="Normal 2 5 6 2 2 5 2" xfId="14872" xr:uid="{00000000-0005-0000-0000-000020590000}"/>
    <cellStyle name="Normal 2 5 6 2 2 5 2 2" xfId="40427" xr:uid="{00000000-0005-0000-0000-000021590000}"/>
    <cellStyle name="Normal 2 5 6 2 2 5 3" xfId="25123" xr:uid="{00000000-0005-0000-0000-000022590000}"/>
    <cellStyle name="Normal 2 5 6 2 2 5 3 2" xfId="50676" xr:uid="{00000000-0005-0000-0000-000023590000}"/>
    <cellStyle name="Normal 2 5 6 2 2 5 4" xfId="31606" xr:uid="{00000000-0005-0000-0000-000024590000}"/>
    <cellStyle name="Normal 2 5 6 2 2 6" xfId="7489" xr:uid="{00000000-0005-0000-0000-000025590000}"/>
    <cellStyle name="Normal 2 5 6 2 2 6 2" xfId="20220" xr:uid="{00000000-0005-0000-0000-000026590000}"/>
    <cellStyle name="Normal 2 5 6 2 2 6 2 2" xfId="45773" xr:uid="{00000000-0005-0000-0000-000027590000}"/>
    <cellStyle name="Normal 2 5 6 2 2 6 3" xfId="33046" xr:uid="{00000000-0005-0000-0000-000028590000}"/>
    <cellStyle name="Normal 2 5 6 2 2 7" xfId="16731" xr:uid="{00000000-0005-0000-0000-000029590000}"/>
    <cellStyle name="Normal 2 5 6 2 2 7 2" xfId="42284" xr:uid="{00000000-0005-0000-0000-00002A590000}"/>
    <cellStyle name="Normal 2 5 6 2 2 8" xfId="26703" xr:uid="{00000000-0005-0000-0000-00002B590000}"/>
    <cellStyle name="Normal 2 5 6 2 3" xfId="1274" xr:uid="{00000000-0005-0000-0000-00002C590000}"/>
    <cellStyle name="Normal 2 5 6 2 3 2" xfId="3703" xr:uid="{00000000-0005-0000-0000-00002D590000}"/>
    <cellStyle name="Normal 2 5 6 2 3 2 2" xfId="12839" xr:uid="{00000000-0005-0000-0000-00002E590000}"/>
    <cellStyle name="Normal 2 5 6 2 3 2 2 2" xfId="23058" xr:uid="{00000000-0005-0000-0000-00002F590000}"/>
    <cellStyle name="Normal 2 5 6 2 3 2 2 2 2" xfId="48611" xr:uid="{00000000-0005-0000-0000-000030590000}"/>
    <cellStyle name="Normal 2 5 6 2 3 2 2 3" xfId="38394" xr:uid="{00000000-0005-0000-0000-000031590000}"/>
    <cellStyle name="Normal 2 5 6 2 3 2 3" xfId="9260" xr:uid="{00000000-0005-0000-0000-000032590000}"/>
    <cellStyle name="Normal 2 5 6 2 3 2 3 2" xfId="34817" xr:uid="{00000000-0005-0000-0000-000033590000}"/>
    <cellStyle name="Normal 2 5 6 2 3 2 4" xfId="18051" xr:uid="{00000000-0005-0000-0000-000034590000}"/>
    <cellStyle name="Normal 2 5 6 2 3 2 4 2" xfId="43604" xr:uid="{00000000-0005-0000-0000-000035590000}"/>
    <cellStyle name="Normal 2 5 6 2 3 2 5" xfId="29541" xr:uid="{00000000-0005-0000-0000-000036590000}"/>
    <cellStyle name="Normal 2 5 6 2 3 3" xfId="4938" xr:uid="{00000000-0005-0000-0000-000037590000}"/>
    <cellStyle name="Normal 2 5 6 2 3 3 2" xfId="13775" xr:uid="{00000000-0005-0000-0000-000038590000}"/>
    <cellStyle name="Normal 2 5 6 2 3 3 2 2" xfId="24026" xr:uid="{00000000-0005-0000-0000-000039590000}"/>
    <cellStyle name="Normal 2 5 6 2 3 3 2 2 2" xfId="49579" xr:uid="{00000000-0005-0000-0000-00003A590000}"/>
    <cellStyle name="Normal 2 5 6 2 3 3 2 3" xfId="39330" xr:uid="{00000000-0005-0000-0000-00003B590000}"/>
    <cellStyle name="Normal 2 5 6 2 3 3 3" xfId="10196" xr:uid="{00000000-0005-0000-0000-00003C590000}"/>
    <cellStyle name="Normal 2 5 6 2 3 3 3 2" xfId="35753" xr:uid="{00000000-0005-0000-0000-00003D590000}"/>
    <cellStyle name="Normal 2 5 6 2 3 3 4" xfId="19019" xr:uid="{00000000-0005-0000-0000-00003E590000}"/>
    <cellStyle name="Normal 2 5 6 2 3 3 4 2" xfId="44572" xr:uid="{00000000-0005-0000-0000-00003F590000}"/>
    <cellStyle name="Normal 2 5 6 2 3 3 5" xfId="30509" xr:uid="{00000000-0005-0000-0000-000040590000}"/>
    <cellStyle name="Normal 2 5 6 2 3 4" xfId="2097" xr:uid="{00000000-0005-0000-0000-000041590000}"/>
    <cellStyle name="Normal 2 5 6 2 3 4 2" xfId="11462" xr:uid="{00000000-0005-0000-0000-000042590000}"/>
    <cellStyle name="Normal 2 5 6 2 3 4 2 2" xfId="37017" xr:uid="{00000000-0005-0000-0000-000043590000}"/>
    <cellStyle name="Normal 2 5 6 2 3 4 3" xfId="21466" xr:uid="{00000000-0005-0000-0000-000044590000}"/>
    <cellStyle name="Normal 2 5 6 2 3 4 3 2" xfId="47019" xr:uid="{00000000-0005-0000-0000-000045590000}"/>
    <cellStyle name="Normal 2 5 6 2 3 4 4" xfId="27949" xr:uid="{00000000-0005-0000-0000-000046590000}"/>
    <cellStyle name="Normal 2 5 6 2 3 5" xfId="6393" xr:uid="{00000000-0005-0000-0000-000047590000}"/>
    <cellStyle name="Normal 2 5 6 2 3 5 2" xfId="15220" xr:uid="{00000000-0005-0000-0000-000048590000}"/>
    <cellStyle name="Normal 2 5 6 2 3 5 2 2" xfId="40775" xr:uid="{00000000-0005-0000-0000-000049590000}"/>
    <cellStyle name="Normal 2 5 6 2 3 5 3" xfId="25471" xr:uid="{00000000-0005-0000-0000-00004A590000}"/>
    <cellStyle name="Normal 2 5 6 2 3 5 3 2" xfId="51024" xr:uid="{00000000-0005-0000-0000-00004B590000}"/>
    <cellStyle name="Normal 2 5 6 2 3 5 4" xfId="31954" xr:uid="{00000000-0005-0000-0000-00004C590000}"/>
    <cellStyle name="Normal 2 5 6 2 3 6" xfId="7839" xr:uid="{00000000-0005-0000-0000-00004D590000}"/>
    <cellStyle name="Normal 2 5 6 2 3 6 2" xfId="20657" xr:uid="{00000000-0005-0000-0000-00004E590000}"/>
    <cellStyle name="Normal 2 5 6 2 3 6 2 2" xfId="46210" xr:uid="{00000000-0005-0000-0000-00004F590000}"/>
    <cellStyle name="Normal 2 5 6 2 3 6 3" xfId="33396" xr:uid="{00000000-0005-0000-0000-000050590000}"/>
    <cellStyle name="Normal 2 5 6 2 3 7" xfId="16459" xr:uid="{00000000-0005-0000-0000-000051590000}"/>
    <cellStyle name="Normal 2 5 6 2 3 7 2" xfId="42012" xr:uid="{00000000-0005-0000-0000-000052590000}"/>
    <cellStyle name="Normal 2 5 6 2 3 8" xfId="27140" xr:uid="{00000000-0005-0000-0000-000053590000}"/>
    <cellStyle name="Normal 2 5 6 2 4" xfId="2988" xr:uid="{00000000-0005-0000-0000-000054590000}"/>
    <cellStyle name="Normal 2 5 6 2 4 2" xfId="5366" xr:uid="{00000000-0005-0000-0000-000055590000}"/>
    <cellStyle name="Normal 2 5 6 2 4 2 2" xfId="14203" xr:uid="{00000000-0005-0000-0000-000056590000}"/>
    <cellStyle name="Normal 2 5 6 2 4 2 2 2" xfId="24454" xr:uid="{00000000-0005-0000-0000-000057590000}"/>
    <cellStyle name="Normal 2 5 6 2 4 2 2 2 2" xfId="50007" xr:uid="{00000000-0005-0000-0000-000058590000}"/>
    <cellStyle name="Normal 2 5 6 2 4 2 2 3" xfId="39758" xr:uid="{00000000-0005-0000-0000-000059590000}"/>
    <cellStyle name="Normal 2 5 6 2 4 2 3" xfId="10624" xr:uid="{00000000-0005-0000-0000-00005A590000}"/>
    <cellStyle name="Normal 2 5 6 2 4 2 3 2" xfId="36181" xr:uid="{00000000-0005-0000-0000-00005B590000}"/>
    <cellStyle name="Normal 2 5 6 2 4 2 4" xfId="19447" xr:uid="{00000000-0005-0000-0000-00005C590000}"/>
    <cellStyle name="Normal 2 5 6 2 4 2 4 2" xfId="45000" xr:uid="{00000000-0005-0000-0000-00005D590000}"/>
    <cellStyle name="Normal 2 5 6 2 4 2 5" xfId="30937" xr:uid="{00000000-0005-0000-0000-00005E590000}"/>
    <cellStyle name="Normal 2 5 6 2 4 3" xfId="6821" xr:uid="{00000000-0005-0000-0000-00005F590000}"/>
    <cellStyle name="Normal 2 5 6 2 4 3 2" xfId="15648" xr:uid="{00000000-0005-0000-0000-000060590000}"/>
    <cellStyle name="Normal 2 5 6 2 4 3 2 2" xfId="41203" xr:uid="{00000000-0005-0000-0000-000061590000}"/>
    <cellStyle name="Normal 2 5 6 2 4 3 3" xfId="25899" xr:uid="{00000000-0005-0000-0000-000062590000}"/>
    <cellStyle name="Normal 2 5 6 2 4 3 3 2" xfId="51452" xr:uid="{00000000-0005-0000-0000-000063590000}"/>
    <cellStyle name="Normal 2 5 6 2 4 3 4" xfId="32382" xr:uid="{00000000-0005-0000-0000-000064590000}"/>
    <cellStyle name="Normal 2 5 6 2 4 4" xfId="8267" xr:uid="{00000000-0005-0000-0000-000065590000}"/>
    <cellStyle name="Normal 2 5 6 2 4 4 2" xfId="22349" xr:uid="{00000000-0005-0000-0000-000066590000}"/>
    <cellStyle name="Normal 2 5 6 2 4 4 2 2" xfId="47902" xr:uid="{00000000-0005-0000-0000-000067590000}"/>
    <cellStyle name="Normal 2 5 6 2 4 4 3" xfId="33824" xr:uid="{00000000-0005-0000-0000-000068590000}"/>
    <cellStyle name="Normal 2 5 6 2 4 5" xfId="17342" xr:uid="{00000000-0005-0000-0000-000069590000}"/>
    <cellStyle name="Normal 2 5 6 2 4 5 2" xfId="42895" xr:uid="{00000000-0005-0000-0000-00006A590000}"/>
    <cellStyle name="Normal 2 5 6 2 4 6" xfId="28832" xr:uid="{00000000-0005-0000-0000-00006B590000}"/>
    <cellStyle name="Normal 2 5 6 2 5" xfId="4322" xr:uid="{00000000-0005-0000-0000-00006C590000}"/>
    <cellStyle name="Normal 2 5 6 2 5 2" xfId="13160" xr:uid="{00000000-0005-0000-0000-00006D590000}"/>
    <cellStyle name="Normal 2 5 6 2 5 2 2" xfId="23411" xr:uid="{00000000-0005-0000-0000-00006E590000}"/>
    <cellStyle name="Normal 2 5 6 2 5 2 2 2" xfId="48964" xr:uid="{00000000-0005-0000-0000-00006F590000}"/>
    <cellStyle name="Normal 2 5 6 2 5 2 3" xfId="38715" xr:uid="{00000000-0005-0000-0000-000070590000}"/>
    <cellStyle name="Normal 2 5 6 2 5 3" xfId="9581" xr:uid="{00000000-0005-0000-0000-000071590000}"/>
    <cellStyle name="Normal 2 5 6 2 5 3 2" xfId="35138" xr:uid="{00000000-0005-0000-0000-000072590000}"/>
    <cellStyle name="Normal 2 5 6 2 5 4" xfId="18404" xr:uid="{00000000-0005-0000-0000-000073590000}"/>
    <cellStyle name="Normal 2 5 6 2 5 4 2" xfId="43957" xr:uid="{00000000-0005-0000-0000-000074590000}"/>
    <cellStyle name="Normal 2 5 6 2 5 5" xfId="29894" xr:uid="{00000000-0005-0000-0000-000075590000}"/>
    <cellStyle name="Normal 2 5 6 2 6" xfId="1594" xr:uid="{00000000-0005-0000-0000-000076590000}"/>
    <cellStyle name="Normal 2 5 6 2 6 2" xfId="10971" xr:uid="{00000000-0005-0000-0000-000077590000}"/>
    <cellStyle name="Normal 2 5 6 2 6 2 2" xfId="36526" xr:uid="{00000000-0005-0000-0000-000078590000}"/>
    <cellStyle name="Normal 2 5 6 2 6 3" xfId="20975" xr:uid="{00000000-0005-0000-0000-000079590000}"/>
    <cellStyle name="Normal 2 5 6 2 6 3 2" xfId="46528" xr:uid="{00000000-0005-0000-0000-00007A590000}"/>
    <cellStyle name="Normal 2 5 6 2 6 4" xfId="27458" xr:uid="{00000000-0005-0000-0000-00007B590000}"/>
    <cellStyle name="Normal 2 5 6 2 7" xfId="5778" xr:uid="{00000000-0005-0000-0000-00007C590000}"/>
    <cellStyle name="Normal 2 5 6 2 7 2" xfId="14605" xr:uid="{00000000-0005-0000-0000-00007D590000}"/>
    <cellStyle name="Normal 2 5 6 2 7 2 2" xfId="40160" xr:uid="{00000000-0005-0000-0000-00007E590000}"/>
    <cellStyle name="Normal 2 5 6 2 7 3" xfId="24856" xr:uid="{00000000-0005-0000-0000-00007F590000}"/>
    <cellStyle name="Normal 2 5 6 2 7 3 2" xfId="50409" xr:uid="{00000000-0005-0000-0000-000080590000}"/>
    <cellStyle name="Normal 2 5 6 2 7 4" xfId="31339" xr:uid="{00000000-0005-0000-0000-000081590000}"/>
    <cellStyle name="Normal 2 5 6 2 8" xfId="7222" xr:uid="{00000000-0005-0000-0000-000082590000}"/>
    <cellStyle name="Normal 2 5 6 2 8 2" xfId="19948" xr:uid="{00000000-0005-0000-0000-000083590000}"/>
    <cellStyle name="Normal 2 5 6 2 8 2 2" xfId="45501" xr:uid="{00000000-0005-0000-0000-000084590000}"/>
    <cellStyle name="Normal 2 5 6 2 8 3" xfId="32779" xr:uid="{00000000-0005-0000-0000-000085590000}"/>
    <cellStyle name="Normal 2 5 6 2 9" xfId="15968" xr:uid="{00000000-0005-0000-0000-000086590000}"/>
    <cellStyle name="Normal 2 5 6 2 9 2" xfId="41521" xr:uid="{00000000-0005-0000-0000-000087590000}"/>
    <cellStyle name="Normal 2 5 6 2_Degree data" xfId="3465" xr:uid="{00000000-0005-0000-0000-000088590000}"/>
    <cellStyle name="Normal 2 5 6 3" xfId="402" xr:uid="{00000000-0005-0000-0000-000089590000}"/>
    <cellStyle name="Normal 2 5 6 3 2" xfId="2888" xr:uid="{00000000-0005-0000-0000-00008A590000}"/>
    <cellStyle name="Normal 2 5 6 3 2 2" xfId="12176" xr:uid="{00000000-0005-0000-0000-00008B590000}"/>
    <cellStyle name="Normal 2 5 6 3 2 2 2" xfId="22249" xr:uid="{00000000-0005-0000-0000-00008C590000}"/>
    <cellStyle name="Normal 2 5 6 3 2 2 2 2" xfId="47802" xr:uid="{00000000-0005-0000-0000-00008D590000}"/>
    <cellStyle name="Normal 2 5 6 3 2 2 3" xfId="37731" xr:uid="{00000000-0005-0000-0000-00008E590000}"/>
    <cellStyle name="Normal 2 5 6 3 2 3" xfId="8515" xr:uid="{00000000-0005-0000-0000-00008F590000}"/>
    <cellStyle name="Normal 2 5 6 3 2 3 2" xfId="34072" xr:uid="{00000000-0005-0000-0000-000090590000}"/>
    <cellStyle name="Normal 2 5 6 3 2 4" xfId="17242" xr:uid="{00000000-0005-0000-0000-000091590000}"/>
    <cellStyle name="Normal 2 5 6 3 2 4 2" xfId="42795" xr:uid="{00000000-0005-0000-0000-000092590000}"/>
    <cellStyle name="Normal 2 5 6 3 2 5" xfId="28732" xr:uid="{00000000-0005-0000-0000-000093590000}"/>
    <cellStyle name="Normal 2 5 6 3 3" xfId="4588" xr:uid="{00000000-0005-0000-0000-000094590000}"/>
    <cellStyle name="Normal 2 5 6 3 3 2" xfId="13426" xr:uid="{00000000-0005-0000-0000-000095590000}"/>
    <cellStyle name="Normal 2 5 6 3 3 2 2" xfId="23677" xr:uid="{00000000-0005-0000-0000-000096590000}"/>
    <cellStyle name="Normal 2 5 6 3 3 2 2 2" xfId="49230" xr:uid="{00000000-0005-0000-0000-000097590000}"/>
    <cellStyle name="Normal 2 5 6 3 3 2 3" xfId="38981" xr:uid="{00000000-0005-0000-0000-000098590000}"/>
    <cellStyle name="Normal 2 5 6 3 3 3" xfId="9847" xr:uid="{00000000-0005-0000-0000-000099590000}"/>
    <cellStyle name="Normal 2 5 6 3 3 3 2" xfId="35404" xr:uid="{00000000-0005-0000-0000-00009A590000}"/>
    <cellStyle name="Normal 2 5 6 3 3 4" xfId="18670" xr:uid="{00000000-0005-0000-0000-00009B590000}"/>
    <cellStyle name="Normal 2 5 6 3 3 4 2" xfId="44223" xr:uid="{00000000-0005-0000-0000-00009C590000}"/>
    <cellStyle name="Normal 2 5 6 3 3 5" xfId="30160" xr:uid="{00000000-0005-0000-0000-00009D590000}"/>
    <cellStyle name="Normal 2 5 6 3 4" xfId="1997" xr:uid="{00000000-0005-0000-0000-00009E590000}"/>
    <cellStyle name="Normal 2 5 6 3 4 2" xfId="11362" xr:uid="{00000000-0005-0000-0000-00009F590000}"/>
    <cellStyle name="Normal 2 5 6 3 4 2 2" xfId="36917" xr:uid="{00000000-0005-0000-0000-0000A0590000}"/>
    <cellStyle name="Normal 2 5 6 3 4 3" xfId="21366" xr:uid="{00000000-0005-0000-0000-0000A1590000}"/>
    <cellStyle name="Normal 2 5 6 3 4 3 2" xfId="46919" xr:uid="{00000000-0005-0000-0000-0000A2590000}"/>
    <cellStyle name="Normal 2 5 6 3 4 4" xfId="27849" xr:uid="{00000000-0005-0000-0000-0000A3590000}"/>
    <cellStyle name="Normal 2 5 6 3 5" xfId="6044" xr:uid="{00000000-0005-0000-0000-0000A4590000}"/>
    <cellStyle name="Normal 2 5 6 3 5 2" xfId="14871" xr:uid="{00000000-0005-0000-0000-0000A5590000}"/>
    <cellStyle name="Normal 2 5 6 3 5 2 2" xfId="40426" xr:uid="{00000000-0005-0000-0000-0000A6590000}"/>
    <cellStyle name="Normal 2 5 6 3 5 3" xfId="25122" xr:uid="{00000000-0005-0000-0000-0000A7590000}"/>
    <cellStyle name="Normal 2 5 6 3 5 3 2" xfId="50675" xr:uid="{00000000-0005-0000-0000-0000A8590000}"/>
    <cellStyle name="Normal 2 5 6 3 5 4" xfId="31605" xr:uid="{00000000-0005-0000-0000-0000A9590000}"/>
    <cellStyle name="Normal 2 5 6 3 6" xfId="7488" xr:uid="{00000000-0005-0000-0000-0000AA590000}"/>
    <cellStyle name="Normal 2 5 6 3 6 2" xfId="19848" xr:uid="{00000000-0005-0000-0000-0000AB590000}"/>
    <cellStyle name="Normal 2 5 6 3 6 2 2" xfId="45401" xr:uid="{00000000-0005-0000-0000-0000AC590000}"/>
    <cellStyle name="Normal 2 5 6 3 6 3" xfId="33045" xr:uid="{00000000-0005-0000-0000-0000AD590000}"/>
    <cellStyle name="Normal 2 5 6 3 7" xfId="16359" xr:uid="{00000000-0005-0000-0000-0000AE590000}"/>
    <cellStyle name="Normal 2 5 6 3 7 2" xfId="41912" xr:uid="{00000000-0005-0000-0000-0000AF590000}"/>
    <cellStyle name="Normal 2 5 6 3 8" xfId="26331" xr:uid="{00000000-0005-0000-0000-0000B0590000}"/>
    <cellStyle name="Normal 2 5 6 4" xfId="773" xr:uid="{00000000-0005-0000-0000-0000B1590000}"/>
    <cellStyle name="Normal 2 5 6 4 2" xfId="3259" xr:uid="{00000000-0005-0000-0000-0000B2590000}"/>
    <cellStyle name="Normal 2 5 6 4 2 2" xfId="12401" xr:uid="{00000000-0005-0000-0000-0000B3590000}"/>
    <cellStyle name="Normal 2 5 6 4 2 2 2" xfId="22620" xr:uid="{00000000-0005-0000-0000-0000B4590000}"/>
    <cellStyle name="Normal 2 5 6 4 2 2 2 2" xfId="48173" xr:uid="{00000000-0005-0000-0000-0000B5590000}"/>
    <cellStyle name="Normal 2 5 6 4 2 2 3" xfId="37956" xr:uid="{00000000-0005-0000-0000-0000B6590000}"/>
    <cellStyle name="Normal 2 5 6 4 2 3" xfId="8823" xr:uid="{00000000-0005-0000-0000-0000B7590000}"/>
    <cellStyle name="Normal 2 5 6 4 2 3 2" xfId="34380" xr:uid="{00000000-0005-0000-0000-0000B8590000}"/>
    <cellStyle name="Normal 2 5 6 4 2 4" xfId="17613" xr:uid="{00000000-0005-0000-0000-0000B9590000}"/>
    <cellStyle name="Normal 2 5 6 4 2 4 2" xfId="43166" xr:uid="{00000000-0005-0000-0000-0000BA590000}"/>
    <cellStyle name="Normal 2 5 6 4 2 5" xfId="29103" xr:uid="{00000000-0005-0000-0000-0000BB590000}"/>
    <cellStyle name="Normal 2 5 6 4 3" xfId="4937" xr:uid="{00000000-0005-0000-0000-0000BC590000}"/>
    <cellStyle name="Normal 2 5 6 4 3 2" xfId="13774" xr:uid="{00000000-0005-0000-0000-0000BD590000}"/>
    <cellStyle name="Normal 2 5 6 4 3 2 2" xfId="24025" xr:uid="{00000000-0005-0000-0000-0000BE590000}"/>
    <cellStyle name="Normal 2 5 6 4 3 2 2 2" xfId="49578" xr:uid="{00000000-0005-0000-0000-0000BF590000}"/>
    <cellStyle name="Normal 2 5 6 4 3 2 3" xfId="39329" xr:uid="{00000000-0005-0000-0000-0000C0590000}"/>
    <cellStyle name="Normal 2 5 6 4 3 3" xfId="10195" xr:uid="{00000000-0005-0000-0000-0000C1590000}"/>
    <cellStyle name="Normal 2 5 6 4 3 3 2" xfId="35752" xr:uid="{00000000-0005-0000-0000-0000C2590000}"/>
    <cellStyle name="Normal 2 5 6 4 3 4" xfId="19018" xr:uid="{00000000-0005-0000-0000-0000C3590000}"/>
    <cellStyle name="Normal 2 5 6 4 3 4 2" xfId="44571" xr:uid="{00000000-0005-0000-0000-0000C4590000}"/>
    <cellStyle name="Normal 2 5 6 4 3 5" xfId="30508" xr:uid="{00000000-0005-0000-0000-0000C5590000}"/>
    <cellStyle name="Normal 2 5 6 4 4" xfId="2368" xr:uid="{00000000-0005-0000-0000-0000C6590000}"/>
    <cellStyle name="Normal 2 5 6 4 4 2" xfId="11733" xr:uid="{00000000-0005-0000-0000-0000C7590000}"/>
    <cellStyle name="Normal 2 5 6 4 4 2 2" xfId="37288" xr:uid="{00000000-0005-0000-0000-0000C8590000}"/>
    <cellStyle name="Normal 2 5 6 4 4 3" xfId="21737" xr:uid="{00000000-0005-0000-0000-0000C9590000}"/>
    <cellStyle name="Normal 2 5 6 4 4 3 2" xfId="47290" xr:uid="{00000000-0005-0000-0000-0000CA590000}"/>
    <cellStyle name="Normal 2 5 6 4 4 4" xfId="28220" xr:uid="{00000000-0005-0000-0000-0000CB590000}"/>
    <cellStyle name="Normal 2 5 6 4 5" xfId="6392" xr:uid="{00000000-0005-0000-0000-0000CC590000}"/>
    <cellStyle name="Normal 2 5 6 4 5 2" xfId="15219" xr:uid="{00000000-0005-0000-0000-0000CD590000}"/>
    <cellStyle name="Normal 2 5 6 4 5 2 2" xfId="40774" xr:uid="{00000000-0005-0000-0000-0000CE590000}"/>
    <cellStyle name="Normal 2 5 6 4 5 3" xfId="25470" xr:uid="{00000000-0005-0000-0000-0000CF590000}"/>
    <cellStyle name="Normal 2 5 6 4 5 3 2" xfId="51023" xr:uid="{00000000-0005-0000-0000-0000D0590000}"/>
    <cellStyle name="Normal 2 5 6 4 5 4" xfId="31953" xr:uid="{00000000-0005-0000-0000-0000D1590000}"/>
    <cellStyle name="Normal 2 5 6 4 6" xfId="7838" xr:uid="{00000000-0005-0000-0000-0000D2590000}"/>
    <cellStyle name="Normal 2 5 6 4 6 2" xfId="20219" xr:uid="{00000000-0005-0000-0000-0000D3590000}"/>
    <cellStyle name="Normal 2 5 6 4 6 2 2" xfId="45772" xr:uid="{00000000-0005-0000-0000-0000D4590000}"/>
    <cellStyle name="Normal 2 5 6 4 6 3" xfId="33395" xr:uid="{00000000-0005-0000-0000-0000D5590000}"/>
    <cellStyle name="Normal 2 5 6 4 7" xfId="16730" xr:uid="{00000000-0005-0000-0000-0000D6590000}"/>
    <cellStyle name="Normal 2 5 6 4 7 2" xfId="42283" xr:uid="{00000000-0005-0000-0000-0000D7590000}"/>
    <cellStyle name="Normal 2 5 6 4 8" xfId="26702" xr:uid="{00000000-0005-0000-0000-0000D8590000}"/>
    <cellStyle name="Normal 2 5 6 5" xfId="1174" xr:uid="{00000000-0005-0000-0000-0000D9590000}"/>
    <cellStyle name="Normal 2 5 6 5 2" xfId="3603" xr:uid="{00000000-0005-0000-0000-0000DA590000}"/>
    <cellStyle name="Normal 2 5 6 5 2 2" xfId="12739" xr:uid="{00000000-0005-0000-0000-0000DB590000}"/>
    <cellStyle name="Normal 2 5 6 5 2 2 2" xfId="22958" xr:uid="{00000000-0005-0000-0000-0000DC590000}"/>
    <cellStyle name="Normal 2 5 6 5 2 2 2 2" xfId="48511" xr:uid="{00000000-0005-0000-0000-0000DD590000}"/>
    <cellStyle name="Normal 2 5 6 5 2 2 3" xfId="38294" xr:uid="{00000000-0005-0000-0000-0000DE590000}"/>
    <cellStyle name="Normal 2 5 6 5 2 3" xfId="9160" xr:uid="{00000000-0005-0000-0000-0000DF590000}"/>
    <cellStyle name="Normal 2 5 6 5 2 3 2" xfId="34717" xr:uid="{00000000-0005-0000-0000-0000E0590000}"/>
    <cellStyle name="Normal 2 5 6 5 2 4" xfId="17951" xr:uid="{00000000-0005-0000-0000-0000E1590000}"/>
    <cellStyle name="Normal 2 5 6 5 2 4 2" xfId="43504" xr:uid="{00000000-0005-0000-0000-0000E2590000}"/>
    <cellStyle name="Normal 2 5 6 5 2 5" xfId="29441" xr:uid="{00000000-0005-0000-0000-0000E3590000}"/>
    <cellStyle name="Normal 2 5 6 5 3" xfId="5266" xr:uid="{00000000-0005-0000-0000-0000E4590000}"/>
    <cellStyle name="Normal 2 5 6 5 3 2" xfId="14103" xr:uid="{00000000-0005-0000-0000-0000E5590000}"/>
    <cellStyle name="Normal 2 5 6 5 3 2 2" xfId="24354" xr:uid="{00000000-0005-0000-0000-0000E6590000}"/>
    <cellStyle name="Normal 2 5 6 5 3 2 2 2" xfId="49907" xr:uid="{00000000-0005-0000-0000-0000E7590000}"/>
    <cellStyle name="Normal 2 5 6 5 3 2 3" xfId="39658" xr:uid="{00000000-0005-0000-0000-0000E8590000}"/>
    <cellStyle name="Normal 2 5 6 5 3 3" xfId="10524" xr:uid="{00000000-0005-0000-0000-0000E9590000}"/>
    <cellStyle name="Normal 2 5 6 5 3 3 2" xfId="36081" xr:uid="{00000000-0005-0000-0000-0000EA590000}"/>
    <cellStyle name="Normal 2 5 6 5 3 4" xfId="19347" xr:uid="{00000000-0005-0000-0000-0000EB590000}"/>
    <cellStyle name="Normal 2 5 6 5 3 4 2" xfId="44900" xr:uid="{00000000-0005-0000-0000-0000EC590000}"/>
    <cellStyle name="Normal 2 5 6 5 3 5" xfId="30837" xr:uid="{00000000-0005-0000-0000-0000ED590000}"/>
    <cellStyle name="Normal 2 5 6 5 4" xfId="1776" xr:uid="{00000000-0005-0000-0000-0000EE590000}"/>
    <cellStyle name="Normal 2 5 6 5 4 2" xfId="11145" xr:uid="{00000000-0005-0000-0000-0000EF590000}"/>
    <cellStyle name="Normal 2 5 6 5 4 2 2" xfId="36700" xr:uid="{00000000-0005-0000-0000-0000F0590000}"/>
    <cellStyle name="Normal 2 5 6 5 4 3" xfId="21149" xr:uid="{00000000-0005-0000-0000-0000F1590000}"/>
    <cellStyle name="Normal 2 5 6 5 4 3 2" xfId="46702" xr:uid="{00000000-0005-0000-0000-0000F2590000}"/>
    <cellStyle name="Normal 2 5 6 5 4 4" xfId="27632" xr:uid="{00000000-0005-0000-0000-0000F3590000}"/>
    <cellStyle name="Normal 2 5 6 5 5" xfId="6721" xr:uid="{00000000-0005-0000-0000-0000F4590000}"/>
    <cellStyle name="Normal 2 5 6 5 5 2" xfId="15548" xr:uid="{00000000-0005-0000-0000-0000F5590000}"/>
    <cellStyle name="Normal 2 5 6 5 5 2 2" xfId="41103" xr:uid="{00000000-0005-0000-0000-0000F6590000}"/>
    <cellStyle name="Normal 2 5 6 5 5 3" xfId="25799" xr:uid="{00000000-0005-0000-0000-0000F7590000}"/>
    <cellStyle name="Normal 2 5 6 5 5 3 2" xfId="51352" xr:uid="{00000000-0005-0000-0000-0000F8590000}"/>
    <cellStyle name="Normal 2 5 6 5 5 4" xfId="32282" xr:uid="{00000000-0005-0000-0000-0000F9590000}"/>
    <cellStyle name="Normal 2 5 6 5 6" xfId="8167" xr:uid="{00000000-0005-0000-0000-0000FA590000}"/>
    <cellStyle name="Normal 2 5 6 5 6 2" xfId="20557" xr:uid="{00000000-0005-0000-0000-0000FB590000}"/>
    <cellStyle name="Normal 2 5 6 5 6 2 2" xfId="46110" xr:uid="{00000000-0005-0000-0000-0000FC590000}"/>
    <cellStyle name="Normal 2 5 6 5 6 3" xfId="33724" xr:uid="{00000000-0005-0000-0000-0000FD590000}"/>
    <cellStyle name="Normal 2 5 6 5 7" xfId="16142" xr:uid="{00000000-0005-0000-0000-0000FE590000}"/>
    <cellStyle name="Normal 2 5 6 5 7 2" xfId="41695" xr:uid="{00000000-0005-0000-0000-0000FF590000}"/>
    <cellStyle name="Normal 2 5 6 5 8" xfId="27040" xr:uid="{00000000-0005-0000-0000-0000005A0000}"/>
    <cellStyle name="Normal 2 5 6 6" xfId="2671" xr:uid="{00000000-0005-0000-0000-0000015A0000}"/>
    <cellStyle name="Normal 2 5 6 6 2" xfId="11988" xr:uid="{00000000-0005-0000-0000-0000025A0000}"/>
    <cellStyle name="Normal 2 5 6 6 2 2" xfId="22032" xr:uid="{00000000-0005-0000-0000-0000035A0000}"/>
    <cellStyle name="Normal 2 5 6 6 2 2 2" xfId="47585" xr:uid="{00000000-0005-0000-0000-0000045A0000}"/>
    <cellStyle name="Normal 2 5 6 6 2 3" xfId="37543" xr:uid="{00000000-0005-0000-0000-0000055A0000}"/>
    <cellStyle name="Normal 2 5 6 6 3" xfId="8404" xr:uid="{00000000-0005-0000-0000-0000065A0000}"/>
    <cellStyle name="Normal 2 5 6 6 3 2" xfId="33961" xr:uid="{00000000-0005-0000-0000-0000075A0000}"/>
    <cellStyle name="Normal 2 5 6 6 4" xfId="17025" xr:uid="{00000000-0005-0000-0000-0000085A0000}"/>
    <cellStyle name="Normal 2 5 6 6 4 2" xfId="42578" xr:uid="{00000000-0005-0000-0000-0000095A0000}"/>
    <cellStyle name="Normal 2 5 6 6 5" xfId="28515" xr:uid="{00000000-0005-0000-0000-00000A5A0000}"/>
    <cellStyle name="Normal 2 5 6 7" xfId="4222" xr:uid="{00000000-0005-0000-0000-00000B5A0000}"/>
    <cellStyle name="Normal 2 5 6 7 2" xfId="13060" xr:uid="{00000000-0005-0000-0000-00000C5A0000}"/>
    <cellStyle name="Normal 2 5 6 7 2 2" xfId="23311" xr:uid="{00000000-0005-0000-0000-00000D5A0000}"/>
    <cellStyle name="Normal 2 5 6 7 2 2 2" xfId="48864" xr:uid="{00000000-0005-0000-0000-00000E5A0000}"/>
    <cellStyle name="Normal 2 5 6 7 2 3" xfId="38615" xr:uid="{00000000-0005-0000-0000-00000F5A0000}"/>
    <cellStyle name="Normal 2 5 6 7 3" xfId="9481" xr:uid="{00000000-0005-0000-0000-0000105A0000}"/>
    <cellStyle name="Normal 2 5 6 7 3 2" xfId="35038" xr:uid="{00000000-0005-0000-0000-0000115A0000}"/>
    <cellStyle name="Normal 2 5 6 7 4" xfId="18304" xr:uid="{00000000-0005-0000-0000-0000125A0000}"/>
    <cellStyle name="Normal 2 5 6 7 4 2" xfId="43857" xr:uid="{00000000-0005-0000-0000-0000135A0000}"/>
    <cellStyle name="Normal 2 5 6 7 5" xfId="29794" xr:uid="{00000000-0005-0000-0000-0000145A0000}"/>
    <cellStyle name="Normal 2 5 6 8" xfId="1494" xr:uid="{00000000-0005-0000-0000-0000155A0000}"/>
    <cellStyle name="Normal 2 5 6 8 2" xfId="10871" xr:uid="{00000000-0005-0000-0000-0000165A0000}"/>
    <cellStyle name="Normal 2 5 6 8 2 2" xfId="36426" xr:uid="{00000000-0005-0000-0000-0000175A0000}"/>
    <cellStyle name="Normal 2 5 6 8 3" xfId="20875" xr:uid="{00000000-0005-0000-0000-0000185A0000}"/>
    <cellStyle name="Normal 2 5 6 8 3 2" xfId="46428" xr:uid="{00000000-0005-0000-0000-0000195A0000}"/>
    <cellStyle name="Normal 2 5 6 8 4" xfId="27358" xr:uid="{00000000-0005-0000-0000-00001A5A0000}"/>
    <cellStyle name="Normal 2 5 6 9" xfId="5678" xr:uid="{00000000-0005-0000-0000-00001B5A0000}"/>
    <cellStyle name="Normal 2 5 6 9 2" xfId="14505" xr:uid="{00000000-0005-0000-0000-00001C5A0000}"/>
    <cellStyle name="Normal 2 5 6 9 2 2" xfId="40060" xr:uid="{00000000-0005-0000-0000-00001D5A0000}"/>
    <cellStyle name="Normal 2 5 6 9 3" xfId="24756" xr:uid="{00000000-0005-0000-0000-00001E5A0000}"/>
    <cellStyle name="Normal 2 5 6 9 3 2" xfId="50309" xr:uid="{00000000-0005-0000-0000-00001F5A0000}"/>
    <cellStyle name="Normal 2 5 6 9 4" xfId="31239" xr:uid="{00000000-0005-0000-0000-0000205A0000}"/>
    <cellStyle name="Normal 2 5 6_Degree data" xfId="3885" xr:uid="{00000000-0005-0000-0000-0000215A0000}"/>
    <cellStyle name="Normal 2 5 7" xfId="227" xr:uid="{00000000-0005-0000-0000-0000225A0000}"/>
    <cellStyle name="Normal 2 5 7 10" xfId="7065" xr:uid="{00000000-0005-0000-0000-0000235A0000}"/>
    <cellStyle name="Normal 2 5 7 10 2" xfId="19679" xr:uid="{00000000-0005-0000-0000-0000245A0000}"/>
    <cellStyle name="Normal 2 5 7 10 2 2" xfId="45232" xr:uid="{00000000-0005-0000-0000-0000255A0000}"/>
    <cellStyle name="Normal 2 5 7 10 3" xfId="32622" xr:uid="{00000000-0005-0000-0000-0000265A0000}"/>
    <cellStyle name="Normal 2 5 7 11" xfId="15811" xr:uid="{00000000-0005-0000-0000-0000275A0000}"/>
    <cellStyle name="Normal 2 5 7 11 2" xfId="41364" xr:uid="{00000000-0005-0000-0000-0000285A0000}"/>
    <cellStyle name="Normal 2 5 7 12" xfId="26162" xr:uid="{00000000-0005-0000-0000-0000295A0000}"/>
    <cellStyle name="Normal 2 5 7 2" xfId="550" xr:uid="{00000000-0005-0000-0000-00002A5A0000}"/>
    <cellStyle name="Normal 2 5 7 2 10" xfId="26479" xr:uid="{00000000-0005-0000-0000-00002B5A0000}"/>
    <cellStyle name="Normal 2 5 7 2 2" xfId="776" xr:uid="{00000000-0005-0000-0000-00002C5A0000}"/>
    <cellStyle name="Normal 2 5 7 2 2 2" xfId="3262" xr:uid="{00000000-0005-0000-0000-00002D5A0000}"/>
    <cellStyle name="Normal 2 5 7 2 2 2 2" xfId="12404" xr:uid="{00000000-0005-0000-0000-00002E5A0000}"/>
    <cellStyle name="Normal 2 5 7 2 2 2 2 2" xfId="22623" xr:uid="{00000000-0005-0000-0000-00002F5A0000}"/>
    <cellStyle name="Normal 2 5 7 2 2 2 2 2 2" xfId="48176" xr:uid="{00000000-0005-0000-0000-0000305A0000}"/>
    <cellStyle name="Normal 2 5 7 2 2 2 2 3" xfId="37959" xr:uid="{00000000-0005-0000-0000-0000315A0000}"/>
    <cellStyle name="Normal 2 5 7 2 2 2 3" xfId="8826" xr:uid="{00000000-0005-0000-0000-0000325A0000}"/>
    <cellStyle name="Normal 2 5 7 2 2 2 3 2" xfId="34383" xr:uid="{00000000-0005-0000-0000-0000335A0000}"/>
    <cellStyle name="Normal 2 5 7 2 2 2 4" xfId="17616" xr:uid="{00000000-0005-0000-0000-0000345A0000}"/>
    <cellStyle name="Normal 2 5 7 2 2 2 4 2" xfId="43169" xr:uid="{00000000-0005-0000-0000-0000355A0000}"/>
    <cellStyle name="Normal 2 5 7 2 2 2 5" xfId="29106" xr:uid="{00000000-0005-0000-0000-0000365A0000}"/>
    <cellStyle name="Normal 2 5 7 2 2 3" xfId="4591" xr:uid="{00000000-0005-0000-0000-0000375A0000}"/>
    <cellStyle name="Normal 2 5 7 2 2 3 2" xfId="13429" xr:uid="{00000000-0005-0000-0000-0000385A0000}"/>
    <cellStyle name="Normal 2 5 7 2 2 3 2 2" xfId="23680" xr:uid="{00000000-0005-0000-0000-0000395A0000}"/>
    <cellStyle name="Normal 2 5 7 2 2 3 2 2 2" xfId="49233" xr:uid="{00000000-0005-0000-0000-00003A5A0000}"/>
    <cellStyle name="Normal 2 5 7 2 2 3 2 3" xfId="38984" xr:uid="{00000000-0005-0000-0000-00003B5A0000}"/>
    <cellStyle name="Normal 2 5 7 2 2 3 3" xfId="9850" xr:uid="{00000000-0005-0000-0000-00003C5A0000}"/>
    <cellStyle name="Normal 2 5 7 2 2 3 3 2" xfId="35407" xr:uid="{00000000-0005-0000-0000-00003D5A0000}"/>
    <cellStyle name="Normal 2 5 7 2 2 3 4" xfId="18673" xr:uid="{00000000-0005-0000-0000-00003E5A0000}"/>
    <cellStyle name="Normal 2 5 7 2 2 3 4 2" xfId="44226" xr:uid="{00000000-0005-0000-0000-00003F5A0000}"/>
    <cellStyle name="Normal 2 5 7 2 2 3 5" xfId="30163" xr:uid="{00000000-0005-0000-0000-0000405A0000}"/>
    <cellStyle name="Normal 2 5 7 2 2 4" xfId="2371" xr:uid="{00000000-0005-0000-0000-0000415A0000}"/>
    <cellStyle name="Normal 2 5 7 2 2 4 2" xfId="11736" xr:uid="{00000000-0005-0000-0000-0000425A0000}"/>
    <cellStyle name="Normal 2 5 7 2 2 4 2 2" xfId="37291" xr:uid="{00000000-0005-0000-0000-0000435A0000}"/>
    <cellStyle name="Normal 2 5 7 2 2 4 3" xfId="21740" xr:uid="{00000000-0005-0000-0000-0000445A0000}"/>
    <cellStyle name="Normal 2 5 7 2 2 4 3 2" xfId="47293" xr:uid="{00000000-0005-0000-0000-0000455A0000}"/>
    <cellStyle name="Normal 2 5 7 2 2 4 4" xfId="28223" xr:uid="{00000000-0005-0000-0000-0000465A0000}"/>
    <cellStyle name="Normal 2 5 7 2 2 5" xfId="6047" xr:uid="{00000000-0005-0000-0000-0000475A0000}"/>
    <cellStyle name="Normal 2 5 7 2 2 5 2" xfId="14874" xr:uid="{00000000-0005-0000-0000-0000485A0000}"/>
    <cellStyle name="Normal 2 5 7 2 2 5 2 2" xfId="40429" xr:uid="{00000000-0005-0000-0000-0000495A0000}"/>
    <cellStyle name="Normal 2 5 7 2 2 5 3" xfId="25125" xr:uid="{00000000-0005-0000-0000-00004A5A0000}"/>
    <cellStyle name="Normal 2 5 7 2 2 5 3 2" xfId="50678" xr:uid="{00000000-0005-0000-0000-00004B5A0000}"/>
    <cellStyle name="Normal 2 5 7 2 2 5 4" xfId="31608" xr:uid="{00000000-0005-0000-0000-00004C5A0000}"/>
    <cellStyle name="Normal 2 5 7 2 2 6" xfId="7491" xr:uid="{00000000-0005-0000-0000-00004D5A0000}"/>
    <cellStyle name="Normal 2 5 7 2 2 6 2" xfId="20222" xr:uid="{00000000-0005-0000-0000-00004E5A0000}"/>
    <cellStyle name="Normal 2 5 7 2 2 6 2 2" xfId="45775" xr:uid="{00000000-0005-0000-0000-00004F5A0000}"/>
    <cellStyle name="Normal 2 5 7 2 2 6 3" xfId="33048" xr:uid="{00000000-0005-0000-0000-0000505A0000}"/>
    <cellStyle name="Normal 2 5 7 2 2 7" xfId="16733" xr:uid="{00000000-0005-0000-0000-0000515A0000}"/>
    <cellStyle name="Normal 2 5 7 2 2 7 2" xfId="42286" xr:uid="{00000000-0005-0000-0000-0000525A0000}"/>
    <cellStyle name="Normal 2 5 7 2 2 8" xfId="26705" xr:uid="{00000000-0005-0000-0000-0000535A0000}"/>
    <cellStyle name="Normal 2 5 7 2 3" xfId="1322" xr:uid="{00000000-0005-0000-0000-0000545A0000}"/>
    <cellStyle name="Normal 2 5 7 2 3 2" xfId="3751" xr:uid="{00000000-0005-0000-0000-0000555A0000}"/>
    <cellStyle name="Normal 2 5 7 2 3 2 2" xfId="12887" xr:uid="{00000000-0005-0000-0000-0000565A0000}"/>
    <cellStyle name="Normal 2 5 7 2 3 2 2 2" xfId="23106" xr:uid="{00000000-0005-0000-0000-0000575A0000}"/>
    <cellStyle name="Normal 2 5 7 2 3 2 2 2 2" xfId="48659" xr:uid="{00000000-0005-0000-0000-0000585A0000}"/>
    <cellStyle name="Normal 2 5 7 2 3 2 2 3" xfId="38442" xr:uid="{00000000-0005-0000-0000-0000595A0000}"/>
    <cellStyle name="Normal 2 5 7 2 3 2 3" xfId="9308" xr:uid="{00000000-0005-0000-0000-00005A5A0000}"/>
    <cellStyle name="Normal 2 5 7 2 3 2 3 2" xfId="34865" xr:uid="{00000000-0005-0000-0000-00005B5A0000}"/>
    <cellStyle name="Normal 2 5 7 2 3 2 4" xfId="18099" xr:uid="{00000000-0005-0000-0000-00005C5A0000}"/>
    <cellStyle name="Normal 2 5 7 2 3 2 4 2" xfId="43652" xr:uid="{00000000-0005-0000-0000-00005D5A0000}"/>
    <cellStyle name="Normal 2 5 7 2 3 2 5" xfId="29589" xr:uid="{00000000-0005-0000-0000-00005E5A0000}"/>
    <cellStyle name="Normal 2 5 7 2 3 3" xfId="4940" xr:uid="{00000000-0005-0000-0000-00005F5A0000}"/>
    <cellStyle name="Normal 2 5 7 2 3 3 2" xfId="13777" xr:uid="{00000000-0005-0000-0000-0000605A0000}"/>
    <cellStyle name="Normal 2 5 7 2 3 3 2 2" xfId="24028" xr:uid="{00000000-0005-0000-0000-0000615A0000}"/>
    <cellStyle name="Normal 2 5 7 2 3 3 2 2 2" xfId="49581" xr:uid="{00000000-0005-0000-0000-0000625A0000}"/>
    <cellStyle name="Normal 2 5 7 2 3 3 2 3" xfId="39332" xr:uid="{00000000-0005-0000-0000-0000635A0000}"/>
    <cellStyle name="Normal 2 5 7 2 3 3 3" xfId="10198" xr:uid="{00000000-0005-0000-0000-0000645A0000}"/>
    <cellStyle name="Normal 2 5 7 2 3 3 3 2" xfId="35755" xr:uid="{00000000-0005-0000-0000-0000655A0000}"/>
    <cellStyle name="Normal 2 5 7 2 3 3 4" xfId="19021" xr:uid="{00000000-0005-0000-0000-0000665A0000}"/>
    <cellStyle name="Normal 2 5 7 2 3 3 4 2" xfId="44574" xr:uid="{00000000-0005-0000-0000-0000675A0000}"/>
    <cellStyle name="Normal 2 5 7 2 3 3 5" xfId="30511" xr:uid="{00000000-0005-0000-0000-0000685A0000}"/>
    <cellStyle name="Normal 2 5 7 2 3 4" xfId="2145" xr:uid="{00000000-0005-0000-0000-0000695A0000}"/>
    <cellStyle name="Normal 2 5 7 2 3 4 2" xfId="11510" xr:uid="{00000000-0005-0000-0000-00006A5A0000}"/>
    <cellStyle name="Normal 2 5 7 2 3 4 2 2" xfId="37065" xr:uid="{00000000-0005-0000-0000-00006B5A0000}"/>
    <cellStyle name="Normal 2 5 7 2 3 4 3" xfId="21514" xr:uid="{00000000-0005-0000-0000-00006C5A0000}"/>
    <cellStyle name="Normal 2 5 7 2 3 4 3 2" xfId="47067" xr:uid="{00000000-0005-0000-0000-00006D5A0000}"/>
    <cellStyle name="Normal 2 5 7 2 3 4 4" xfId="27997" xr:uid="{00000000-0005-0000-0000-00006E5A0000}"/>
    <cellStyle name="Normal 2 5 7 2 3 5" xfId="6395" xr:uid="{00000000-0005-0000-0000-00006F5A0000}"/>
    <cellStyle name="Normal 2 5 7 2 3 5 2" xfId="15222" xr:uid="{00000000-0005-0000-0000-0000705A0000}"/>
    <cellStyle name="Normal 2 5 7 2 3 5 2 2" xfId="40777" xr:uid="{00000000-0005-0000-0000-0000715A0000}"/>
    <cellStyle name="Normal 2 5 7 2 3 5 3" xfId="25473" xr:uid="{00000000-0005-0000-0000-0000725A0000}"/>
    <cellStyle name="Normal 2 5 7 2 3 5 3 2" xfId="51026" xr:uid="{00000000-0005-0000-0000-0000735A0000}"/>
    <cellStyle name="Normal 2 5 7 2 3 5 4" xfId="31956" xr:uid="{00000000-0005-0000-0000-0000745A0000}"/>
    <cellStyle name="Normal 2 5 7 2 3 6" xfId="7841" xr:uid="{00000000-0005-0000-0000-0000755A0000}"/>
    <cellStyle name="Normal 2 5 7 2 3 6 2" xfId="20705" xr:uid="{00000000-0005-0000-0000-0000765A0000}"/>
    <cellStyle name="Normal 2 5 7 2 3 6 2 2" xfId="46258" xr:uid="{00000000-0005-0000-0000-0000775A0000}"/>
    <cellStyle name="Normal 2 5 7 2 3 6 3" xfId="33398" xr:uid="{00000000-0005-0000-0000-0000785A0000}"/>
    <cellStyle name="Normal 2 5 7 2 3 7" xfId="16507" xr:uid="{00000000-0005-0000-0000-0000795A0000}"/>
    <cellStyle name="Normal 2 5 7 2 3 7 2" xfId="42060" xr:uid="{00000000-0005-0000-0000-00007A5A0000}"/>
    <cellStyle name="Normal 2 5 7 2 3 8" xfId="27188" xr:uid="{00000000-0005-0000-0000-00007B5A0000}"/>
    <cellStyle name="Normal 2 5 7 2 4" xfId="3036" xr:uid="{00000000-0005-0000-0000-00007C5A0000}"/>
    <cellStyle name="Normal 2 5 7 2 4 2" xfId="5414" xr:uid="{00000000-0005-0000-0000-00007D5A0000}"/>
    <cellStyle name="Normal 2 5 7 2 4 2 2" xfId="14251" xr:uid="{00000000-0005-0000-0000-00007E5A0000}"/>
    <cellStyle name="Normal 2 5 7 2 4 2 2 2" xfId="24502" xr:uid="{00000000-0005-0000-0000-00007F5A0000}"/>
    <cellStyle name="Normal 2 5 7 2 4 2 2 2 2" xfId="50055" xr:uid="{00000000-0005-0000-0000-0000805A0000}"/>
    <cellStyle name="Normal 2 5 7 2 4 2 2 3" xfId="39806" xr:uid="{00000000-0005-0000-0000-0000815A0000}"/>
    <cellStyle name="Normal 2 5 7 2 4 2 3" xfId="10672" xr:uid="{00000000-0005-0000-0000-0000825A0000}"/>
    <cellStyle name="Normal 2 5 7 2 4 2 3 2" xfId="36229" xr:uid="{00000000-0005-0000-0000-0000835A0000}"/>
    <cellStyle name="Normal 2 5 7 2 4 2 4" xfId="19495" xr:uid="{00000000-0005-0000-0000-0000845A0000}"/>
    <cellStyle name="Normal 2 5 7 2 4 2 4 2" xfId="45048" xr:uid="{00000000-0005-0000-0000-0000855A0000}"/>
    <cellStyle name="Normal 2 5 7 2 4 2 5" xfId="30985" xr:uid="{00000000-0005-0000-0000-0000865A0000}"/>
    <cellStyle name="Normal 2 5 7 2 4 3" xfId="6869" xr:uid="{00000000-0005-0000-0000-0000875A0000}"/>
    <cellStyle name="Normal 2 5 7 2 4 3 2" xfId="15696" xr:uid="{00000000-0005-0000-0000-0000885A0000}"/>
    <cellStyle name="Normal 2 5 7 2 4 3 2 2" xfId="41251" xr:uid="{00000000-0005-0000-0000-0000895A0000}"/>
    <cellStyle name="Normal 2 5 7 2 4 3 3" xfId="25947" xr:uid="{00000000-0005-0000-0000-00008A5A0000}"/>
    <cellStyle name="Normal 2 5 7 2 4 3 3 2" xfId="51500" xr:uid="{00000000-0005-0000-0000-00008B5A0000}"/>
    <cellStyle name="Normal 2 5 7 2 4 3 4" xfId="32430" xr:uid="{00000000-0005-0000-0000-00008C5A0000}"/>
    <cellStyle name="Normal 2 5 7 2 4 4" xfId="8315" xr:uid="{00000000-0005-0000-0000-00008D5A0000}"/>
    <cellStyle name="Normal 2 5 7 2 4 4 2" xfId="22397" xr:uid="{00000000-0005-0000-0000-00008E5A0000}"/>
    <cellStyle name="Normal 2 5 7 2 4 4 2 2" xfId="47950" xr:uid="{00000000-0005-0000-0000-00008F5A0000}"/>
    <cellStyle name="Normal 2 5 7 2 4 4 3" xfId="33872" xr:uid="{00000000-0005-0000-0000-0000905A0000}"/>
    <cellStyle name="Normal 2 5 7 2 4 5" xfId="17390" xr:uid="{00000000-0005-0000-0000-0000915A0000}"/>
    <cellStyle name="Normal 2 5 7 2 4 5 2" xfId="42943" xr:uid="{00000000-0005-0000-0000-0000925A0000}"/>
    <cellStyle name="Normal 2 5 7 2 4 6" xfId="28880" xr:uid="{00000000-0005-0000-0000-0000935A0000}"/>
    <cellStyle name="Normal 2 5 7 2 5" xfId="4370" xr:uid="{00000000-0005-0000-0000-0000945A0000}"/>
    <cellStyle name="Normal 2 5 7 2 5 2" xfId="13208" xr:uid="{00000000-0005-0000-0000-0000955A0000}"/>
    <cellStyle name="Normal 2 5 7 2 5 2 2" xfId="23459" xr:uid="{00000000-0005-0000-0000-0000965A0000}"/>
    <cellStyle name="Normal 2 5 7 2 5 2 2 2" xfId="49012" xr:uid="{00000000-0005-0000-0000-0000975A0000}"/>
    <cellStyle name="Normal 2 5 7 2 5 2 3" xfId="38763" xr:uid="{00000000-0005-0000-0000-0000985A0000}"/>
    <cellStyle name="Normal 2 5 7 2 5 3" xfId="9629" xr:uid="{00000000-0005-0000-0000-0000995A0000}"/>
    <cellStyle name="Normal 2 5 7 2 5 3 2" xfId="35186" xr:uid="{00000000-0005-0000-0000-00009A5A0000}"/>
    <cellStyle name="Normal 2 5 7 2 5 4" xfId="18452" xr:uid="{00000000-0005-0000-0000-00009B5A0000}"/>
    <cellStyle name="Normal 2 5 7 2 5 4 2" xfId="44005" xr:uid="{00000000-0005-0000-0000-00009C5A0000}"/>
    <cellStyle name="Normal 2 5 7 2 5 5" xfId="29942" xr:uid="{00000000-0005-0000-0000-00009D5A0000}"/>
    <cellStyle name="Normal 2 5 7 2 6" xfId="1642" xr:uid="{00000000-0005-0000-0000-00009E5A0000}"/>
    <cellStyle name="Normal 2 5 7 2 6 2" xfId="11019" xr:uid="{00000000-0005-0000-0000-00009F5A0000}"/>
    <cellStyle name="Normal 2 5 7 2 6 2 2" xfId="36574" xr:uid="{00000000-0005-0000-0000-0000A05A0000}"/>
    <cellStyle name="Normal 2 5 7 2 6 3" xfId="21023" xr:uid="{00000000-0005-0000-0000-0000A15A0000}"/>
    <cellStyle name="Normal 2 5 7 2 6 3 2" xfId="46576" xr:uid="{00000000-0005-0000-0000-0000A25A0000}"/>
    <cellStyle name="Normal 2 5 7 2 6 4" xfId="27506" xr:uid="{00000000-0005-0000-0000-0000A35A0000}"/>
    <cellStyle name="Normal 2 5 7 2 7" xfId="5826" xr:uid="{00000000-0005-0000-0000-0000A45A0000}"/>
    <cellStyle name="Normal 2 5 7 2 7 2" xfId="14653" xr:uid="{00000000-0005-0000-0000-0000A55A0000}"/>
    <cellStyle name="Normal 2 5 7 2 7 2 2" xfId="40208" xr:uid="{00000000-0005-0000-0000-0000A65A0000}"/>
    <cellStyle name="Normal 2 5 7 2 7 3" xfId="24904" xr:uid="{00000000-0005-0000-0000-0000A75A0000}"/>
    <cellStyle name="Normal 2 5 7 2 7 3 2" xfId="50457" xr:uid="{00000000-0005-0000-0000-0000A85A0000}"/>
    <cellStyle name="Normal 2 5 7 2 7 4" xfId="31387" xr:uid="{00000000-0005-0000-0000-0000A95A0000}"/>
    <cellStyle name="Normal 2 5 7 2 8" xfId="7270" xr:uid="{00000000-0005-0000-0000-0000AA5A0000}"/>
    <cellStyle name="Normal 2 5 7 2 8 2" xfId="19996" xr:uid="{00000000-0005-0000-0000-0000AB5A0000}"/>
    <cellStyle name="Normal 2 5 7 2 8 2 2" xfId="45549" xr:uid="{00000000-0005-0000-0000-0000AC5A0000}"/>
    <cellStyle name="Normal 2 5 7 2 8 3" xfId="32827" xr:uid="{00000000-0005-0000-0000-0000AD5A0000}"/>
    <cellStyle name="Normal 2 5 7 2 9" xfId="16016" xr:uid="{00000000-0005-0000-0000-0000AE5A0000}"/>
    <cellStyle name="Normal 2 5 7 2 9 2" xfId="41569" xr:uid="{00000000-0005-0000-0000-0000AF5A0000}"/>
    <cellStyle name="Normal 2 5 7 2_Degree data" xfId="3917" xr:uid="{00000000-0005-0000-0000-0000B05A0000}"/>
    <cellStyle name="Normal 2 5 7 3" xfId="345" xr:uid="{00000000-0005-0000-0000-0000B15A0000}"/>
    <cellStyle name="Normal 2 5 7 3 2" xfId="2831" xr:uid="{00000000-0005-0000-0000-0000B25A0000}"/>
    <cellStyle name="Normal 2 5 7 3 2 2" xfId="12119" xr:uid="{00000000-0005-0000-0000-0000B35A0000}"/>
    <cellStyle name="Normal 2 5 7 3 2 2 2" xfId="22192" xr:uid="{00000000-0005-0000-0000-0000B45A0000}"/>
    <cellStyle name="Normal 2 5 7 3 2 2 2 2" xfId="47745" xr:uid="{00000000-0005-0000-0000-0000B55A0000}"/>
    <cellStyle name="Normal 2 5 7 3 2 2 3" xfId="37674" xr:uid="{00000000-0005-0000-0000-0000B65A0000}"/>
    <cellStyle name="Normal 2 5 7 3 2 3" xfId="8409" xr:uid="{00000000-0005-0000-0000-0000B75A0000}"/>
    <cellStyle name="Normal 2 5 7 3 2 3 2" xfId="33966" xr:uid="{00000000-0005-0000-0000-0000B85A0000}"/>
    <cellStyle name="Normal 2 5 7 3 2 4" xfId="17185" xr:uid="{00000000-0005-0000-0000-0000B95A0000}"/>
    <cellStyle name="Normal 2 5 7 3 2 4 2" xfId="42738" xr:uid="{00000000-0005-0000-0000-0000BA5A0000}"/>
    <cellStyle name="Normal 2 5 7 3 2 5" xfId="28675" xr:uid="{00000000-0005-0000-0000-0000BB5A0000}"/>
    <cellStyle name="Normal 2 5 7 3 3" xfId="4590" xr:uid="{00000000-0005-0000-0000-0000BC5A0000}"/>
    <cellStyle name="Normal 2 5 7 3 3 2" xfId="13428" xr:uid="{00000000-0005-0000-0000-0000BD5A0000}"/>
    <cellStyle name="Normal 2 5 7 3 3 2 2" xfId="23679" xr:uid="{00000000-0005-0000-0000-0000BE5A0000}"/>
    <cellStyle name="Normal 2 5 7 3 3 2 2 2" xfId="49232" xr:uid="{00000000-0005-0000-0000-0000BF5A0000}"/>
    <cellStyle name="Normal 2 5 7 3 3 2 3" xfId="38983" xr:uid="{00000000-0005-0000-0000-0000C05A0000}"/>
    <cellStyle name="Normal 2 5 7 3 3 3" xfId="9849" xr:uid="{00000000-0005-0000-0000-0000C15A0000}"/>
    <cellStyle name="Normal 2 5 7 3 3 3 2" xfId="35406" xr:uid="{00000000-0005-0000-0000-0000C25A0000}"/>
    <cellStyle name="Normal 2 5 7 3 3 4" xfId="18672" xr:uid="{00000000-0005-0000-0000-0000C35A0000}"/>
    <cellStyle name="Normal 2 5 7 3 3 4 2" xfId="44225" xr:uid="{00000000-0005-0000-0000-0000C45A0000}"/>
    <cellStyle name="Normal 2 5 7 3 3 5" xfId="30162" xr:uid="{00000000-0005-0000-0000-0000C55A0000}"/>
    <cellStyle name="Normal 2 5 7 3 4" xfId="1940" xr:uid="{00000000-0005-0000-0000-0000C65A0000}"/>
    <cellStyle name="Normal 2 5 7 3 4 2" xfId="11305" xr:uid="{00000000-0005-0000-0000-0000C75A0000}"/>
    <cellStyle name="Normal 2 5 7 3 4 2 2" xfId="36860" xr:uid="{00000000-0005-0000-0000-0000C85A0000}"/>
    <cellStyle name="Normal 2 5 7 3 4 3" xfId="21309" xr:uid="{00000000-0005-0000-0000-0000C95A0000}"/>
    <cellStyle name="Normal 2 5 7 3 4 3 2" xfId="46862" xr:uid="{00000000-0005-0000-0000-0000CA5A0000}"/>
    <cellStyle name="Normal 2 5 7 3 4 4" xfId="27792" xr:uid="{00000000-0005-0000-0000-0000CB5A0000}"/>
    <cellStyle name="Normal 2 5 7 3 5" xfId="6046" xr:uid="{00000000-0005-0000-0000-0000CC5A0000}"/>
    <cellStyle name="Normal 2 5 7 3 5 2" xfId="14873" xr:uid="{00000000-0005-0000-0000-0000CD5A0000}"/>
    <cellStyle name="Normal 2 5 7 3 5 2 2" xfId="40428" xr:uid="{00000000-0005-0000-0000-0000CE5A0000}"/>
    <cellStyle name="Normal 2 5 7 3 5 3" xfId="25124" xr:uid="{00000000-0005-0000-0000-0000CF5A0000}"/>
    <cellStyle name="Normal 2 5 7 3 5 3 2" xfId="50677" xr:uid="{00000000-0005-0000-0000-0000D05A0000}"/>
    <cellStyle name="Normal 2 5 7 3 5 4" xfId="31607" xr:uid="{00000000-0005-0000-0000-0000D15A0000}"/>
    <cellStyle name="Normal 2 5 7 3 6" xfId="7490" xr:uid="{00000000-0005-0000-0000-0000D25A0000}"/>
    <cellStyle name="Normal 2 5 7 3 6 2" xfId="19791" xr:uid="{00000000-0005-0000-0000-0000D35A0000}"/>
    <cellStyle name="Normal 2 5 7 3 6 2 2" xfId="45344" xr:uid="{00000000-0005-0000-0000-0000D45A0000}"/>
    <cellStyle name="Normal 2 5 7 3 6 3" xfId="33047" xr:uid="{00000000-0005-0000-0000-0000D55A0000}"/>
    <cellStyle name="Normal 2 5 7 3 7" xfId="16302" xr:uid="{00000000-0005-0000-0000-0000D65A0000}"/>
    <cellStyle name="Normal 2 5 7 3 7 2" xfId="41855" xr:uid="{00000000-0005-0000-0000-0000D75A0000}"/>
    <cellStyle name="Normal 2 5 7 3 8" xfId="26274" xr:uid="{00000000-0005-0000-0000-0000D85A0000}"/>
    <cellStyle name="Normal 2 5 7 4" xfId="775" xr:uid="{00000000-0005-0000-0000-0000D95A0000}"/>
    <cellStyle name="Normal 2 5 7 4 2" xfId="3261" xr:uid="{00000000-0005-0000-0000-0000DA5A0000}"/>
    <cellStyle name="Normal 2 5 7 4 2 2" xfId="12403" xr:uid="{00000000-0005-0000-0000-0000DB5A0000}"/>
    <cellStyle name="Normal 2 5 7 4 2 2 2" xfId="22622" xr:uid="{00000000-0005-0000-0000-0000DC5A0000}"/>
    <cellStyle name="Normal 2 5 7 4 2 2 2 2" xfId="48175" xr:uid="{00000000-0005-0000-0000-0000DD5A0000}"/>
    <cellStyle name="Normal 2 5 7 4 2 2 3" xfId="37958" xr:uid="{00000000-0005-0000-0000-0000DE5A0000}"/>
    <cellStyle name="Normal 2 5 7 4 2 3" xfId="8825" xr:uid="{00000000-0005-0000-0000-0000DF5A0000}"/>
    <cellStyle name="Normal 2 5 7 4 2 3 2" xfId="34382" xr:uid="{00000000-0005-0000-0000-0000E05A0000}"/>
    <cellStyle name="Normal 2 5 7 4 2 4" xfId="17615" xr:uid="{00000000-0005-0000-0000-0000E15A0000}"/>
    <cellStyle name="Normal 2 5 7 4 2 4 2" xfId="43168" xr:uid="{00000000-0005-0000-0000-0000E25A0000}"/>
    <cellStyle name="Normal 2 5 7 4 2 5" xfId="29105" xr:uid="{00000000-0005-0000-0000-0000E35A0000}"/>
    <cellStyle name="Normal 2 5 7 4 3" xfId="4939" xr:uid="{00000000-0005-0000-0000-0000E45A0000}"/>
    <cellStyle name="Normal 2 5 7 4 3 2" xfId="13776" xr:uid="{00000000-0005-0000-0000-0000E55A0000}"/>
    <cellStyle name="Normal 2 5 7 4 3 2 2" xfId="24027" xr:uid="{00000000-0005-0000-0000-0000E65A0000}"/>
    <cellStyle name="Normal 2 5 7 4 3 2 2 2" xfId="49580" xr:uid="{00000000-0005-0000-0000-0000E75A0000}"/>
    <cellStyle name="Normal 2 5 7 4 3 2 3" xfId="39331" xr:uid="{00000000-0005-0000-0000-0000E85A0000}"/>
    <cellStyle name="Normal 2 5 7 4 3 3" xfId="10197" xr:uid="{00000000-0005-0000-0000-0000E95A0000}"/>
    <cellStyle name="Normal 2 5 7 4 3 3 2" xfId="35754" xr:uid="{00000000-0005-0000-0000-0000EA5A0000}"/>
    <cellStyle name="Normal 2 5 7 4 3 4" xfId="19020" xr:uid="{00000000-0005-0000-0000-0000EB5A0000}"/>
    <cellStyle name="Normal 2 5 7 4 3 4 2" xfId="44573" xr:uid="{00000000-0005-0000-0000-0000EC5A0000}"/>
    <cellStyle name="Normal 2 5 7 4 3 5" xfId="30510" xr:uid="{00000000-0005-0000-0000-0000ED5A0000}"/>
    <cellStyle name="Normal 2 5 7 4 4" xfId="2370" xr:uid="{00000000-0005-0000-0000-0000EE5A0000}"/>
    <cellStyle name="Normal 2 5 7 4 4 2" xfId="11735" xr:uid="{00000000-0005-0000-0000-0000EF5A0000}"/>
    <cellStyle name="Normal 2 5 7 4 4 2 2" xfId="37290" xr:uid="{00000000-0005-0000-0000-0000F05A0000}"/>
    <cellStyle name="Normal 2 5 7 4 4 3" xfId="21739" xr:uid="{00000000-0005-0000-0000-0000F15A0000}"/>
    <cellStyle name="Normal 2 5 7 4 4 3 2" xfId="47292" xr:uid="{00000000-0005-0000-0000-0000F25A0000}"/>
    <cellStyle name="Normal 2 5 7 4 4 4" xfId="28222" xr:uid="{00000000-0005-0000-0000-0000F35A0000}"/>
    <cellStyle name="Normal 2 5 7 4 5" xfId="6394" xr:uid="{00000000-0005-0000-0000-0000F45A0000}"/>
    <cellStyle name="Normal 2 5 7 4 5 2" xfId="15221" xr:uid="{00000000-0005-0000-0000-0000F55A0000}"/>
    <cellStyle name="Normal 2 5 7 4 5 2 2" xfId="40776" xr:uid="{00000000-0005-0000-0000-0000F65A0000}"/>
    <cellStyle name="Normal 2 5 7 4 5 3" xfId="25472" xr:uid="{00000000-0005-0000-0000-0000F75A0000}"/>
    <cellStyle name="Normal 2 5 7 4 5 3 2" xfId="51025" xr:uid="{00000000-0005-0000-0000-0000F85A0000}"/>
    <cellStyle name="Normal 2 5 7 4 5 4" xfId="31955" xr:uid="{00000000-0005-0000-0000-0000F95A0000}"/>
    <cellStyle name="Normal 2 5 7 4 6" xfId="7840" xr:uid="{00000000-0005-0000-0000-0000FA5A0000}"/>
    <cellStyle name="Normal 2 5 7 4 6 2" xfId="20221" xr:uid="{00000000-0005-0000-0000-0000FB5A0000}"/>
    <cellStyle name="Normal 2 5 7 4 6 2 2" xfId="45774" xr:uid="{00000000-0005-0000-0000-0000FC5A0000}"/>
    <cellStyle name="Normal 2 5 7 4 6 3" xfId="33397" xr:uid="{00000000-0005-0000-0000-0000FD5A0000}"/>
    <cellStyle name="Normal 2 5 7 4 7" xfId="16732" xr:uid="{00000000-0005-0000-0000-0000FE5A0000}"/>
    <cellStyle name="Normal 2 5 7 4 7 2" xfId="42285" xr:uid="{00000000-0005-0000-0000-0000FF5A0000}"/>
    <cellStyle name="Normal 2 5 7 4 8" xfId="26704" xr:uid="{00000000-0005-0000-0000-0000005B0000}"/>
    <cellStyle name="Normal 2 5 7 5" xfId="1117" xr:uid="{00000000-0005-0000-0000-0000015B0000}"/>
    <cellStyle name="Normal 2 5 7 5 2" xfId="3546" xr:uid="{00000000-0005-0000-0000-0000025B0000}"/>
    <cellStyle name="Normal 2 5 7 5 2 2" xfId="12682" xr:uid="{00000000-0005-0000-0000-0000035B0000}"/>
    <cellStyle name="Normal 2 5 7 5 2 2 2" xfId="22901" xr:uid="{00000000-0005-0000-0000-0000045B0000}"/>
    <cellStyle name="Normal 2 5 7 5 2 2 2 2" xfId="48454" xr:uid="{00000000-0005-0000-0000-0000055B0000}"/>
    <cellStyle name="Normal 2 5 7 5 2 2 3" xfId="38237" xr:uid="{00000000-0005-0000-0000-0000065B0000}"/>
    <cellStyle name="Normal 2 5 7 5 2 3" xfId="9103" xr:uid="{00000000-0005-0000-0000-0000075B0000}"/>
    <cellStyle name="Normal 2 5 7 5 2 3 2" xfId="34660" xr:uid="{00000000-0005-0000-0000-0000085B0000}"/>
    <cellStyle name="Normal 2 5 7 5 2 4" xfId="17894" xr:uid="{00000000-0005-0000-0000-0000095B0000}"/>
    <cellStyle name="Normal 2 5 7 5 2 4 2" xfId="43447" xr:uid="{00000000-0005-0000-0000-00000A5B0000}"/>
    <cellStyle name="Normal 2 5 7 5 2 5" xfId="29384" xr:uid="{00000000-0005-0000-0000-00000B5B0000}"/>
    <cellStyle name="Normal 2 5 7 5 3" xfId="5209" xr:uid="{00000000-0005-0000-0000-00000C5B0000}"/>
    <cellStyle name="Normal 2 5 7 5 3 2" xfId="14046" xr:uid="{00000000-0005-0000-0000-00000D5B0000}"/>
    <cellStyle name="Normal 2 5 7 5 3 2 2" xfId="24297" xr:uid="{00000000-0005-0000-0000-00000E5B0000}"/>
    <cellStyle name="Normal 2 5 7 5 3 2 2 2" xfId="49850" xr:uid="{00000000-0005-0000-0000-00000F5B0000}"/>
    <cellStyle name="Normal 2 5 7 5 3 2 3" xfId="39601" xr:uid="{00000000-0005-0000-0000-0000105B0000}"/>
    <cellStyle name="Normal 2 5 7 5 3 3" xfId="10467" xr:uid="{00000000-0005-0000-0000-0000115B0000}"/>
    <cellStyle name="Normal 2 5 7 5 3 3 2" xfId="36024" xr:uid="{00000000-0005-0000-0000-0000125B0000}"/>
    <cellStyle name="Normal 2 5 7 5 3 4" xfId="19290" xr:uid="{00000000-0005-0000-0000-0000135B0000}"/>
    <cellStyle name="Normal 2 5 7 5 3 4 2" xfId="44843" xr:uid="{00000000-0005-0000-0000-0000145B0000}"/>
    <cellStyle name="Normal 2 5 7 5 3 5" xfId="30780" xr:uid="{00000000-0005-0000-0000-0000155B0000}"/>
    <cellStyle name="Normal 2 5 7 5 4" xfId="1825" xr:uid="{00000000-0005-0000-0000-0000165B0000}"/>
    <cellStyle name="Normal 2 5 7 5 4 2" xfId="11193" xr:uid="{00000000-0005-0000-0000-0000175B0000}"/>
    <cellStyle name="Normal 2 5 7 5 4 2 2" xfId="36748" xr:uid="{00000000-0005-0000-0000-0000185B0000}"/>
    <cellStyle name="Normal 2 5 7 5 4 3" xfId="21197" xr:uid="{00000000-0005-0000-0000-0000195B0000}"/>
    <cellStyle name="Normal 2 5 7 5 4 3 2" xfId="46750" xr:uid="{00000000-0005-0000-0000-00001A5B0000}"/>
    <cellStyle name="Normal 2 5 7 5 4 4" xfId="27680" xr:uid="{00000000-0005-0000-0000-00001B5B0000}"/>
    <cellStyle name="Normal 2 5 7 5 5" xfId="6664" xr:uid="{00000000-0005-0000-0000-00001C5B0000}"/>
    <cellStyle name="Normal 2 5 7 5 5 2" xfId="15491" xr:uid="{00000000-0005-0000-0000-00001D5B0000}"/>
    <cellStyle name="Normal 2 5 7 5 5 2 2" xfId="41046" xr:uid="{00000000-0005-0000-0000-00001E5B0000}"/>
    <cellStyle name="Normal 2 5 7 5 5 3" xfId="25742" xr:uid="{00000000-0005-0000-0000-00001F5B0000}"/>
    <cellStyle name="Normal 2 5 7 5 5 3 2" xfId="51295" xr:uid="{00000000-0005-0000-0000-0000205B0000}"/>
    <cellStyle name="Normal 2 5 7 5 5 4" xfId="32225" xr:uid="{00000000-0005-0000-0000-0000215B0000}"/>
    <cellStyle name="Normal 2 5 7 5 6" xfId="8110" xr:uid="{00000000-0005-0000-0000-0000225B0000}"/>
    <cellStyle name="Normal 2 5 7 5 6 2" xfId="20500" xr:uid="{00000000-0005-0000-0000-0000235B0000}"/>
    <cellStyle name="Normal 2 5 7 5 6 2 2" xfId="46053" xr:uid="{00000000-0005-0000-0000-0000245B0000}"/>
    <cellStyle name="Normal 2 5 7 5 6 3" xfId="33667" xr:uid="{00000000-0005-0000-0000-0000255B0000}"/>
    <cellStyle name="Normal 2 5 7 5 7" xfId="16190" xr:uid="{00000000-0005-0000-0000-0000265B0000}"/>
    <cellStyle name="Normal 2 5 7 5 7 2" xfId="41743" xr:uid="{00000000-0005-0000-0000-0000275B0000}"/>
    <cellStyle name="Normal 2 5 7 5 8" xfId="26983" xr:uid="{00000000-0005-0000-0000-0000285B0000}"/>
    <cellStyle name="Normal 2 5 7 6" xfId="2719" xr:uid="{00000000-0005-0000-0000-0000295B0000}"/>
    <cellStyle name="Normal 2 5 7 6 2" xfId="12036" xr:uid="{00000000-0005-0000-0000-00002A5B0000}"/>
    <cellStyle name="Normal 2 5 7 6 2 2" xfId="22080" xr:uid="{00000000-0005-0000-0000-00002B5B0000}"/>
    <cellStyle name="Normal 2 5 7 6 2 2 2" xfId="47633" xr:uid="{00000000-0005-0000-0000-00002C5B0000}"/>
    <cellStyle name="Normal 2 5 7 6 2 3" xfId="37591" xr:uid="{00000000-0005-0000-0000-00002D5B0000}"/>
    <cellStyle name="Normal 2 5 7 6 3" xfId="8548" xr:uid="{00000000-0005-0000-0000-00002E5B0000}"/>
    <cellStyle name="Normal 2 5 7 6 3 2" xfId="34105" xr:uid="{00000000-0005-0000-0000-00002F5B0000}"/>
    <cellStyle name="Normal 2 5 7 6 4" xfId="17073" xr:uid="{00000000-0005-0000-0000-0000305B0000}"/>
    <cellStyle name="Normal 2 5 7 6 4 2" xfId="42626" xr:uid="{00000000-0005-0000-0000-0000315B0000}"/>
    <cellStyle name="Normal 2 5 7 6 5" xfId="28563" xr:uid="{00000000-0005-0000-0000-0000325B0000}"/>
    <cellStyle name="Normal 2 5 7 7" xfId="4165" xr:uid="{00000000-0005-0000-0000-0000335B0000}"/>
    <cellStyle name="Normal 2 5 7 7 2" xfId="13003" xr:uid="{00000000-0005-0000-0000-0000345B0000}"/>
    <cellStyle name="Normal 2 5 7 7 2 2" xfId="23254" xr:uid="{00000000-0005-0000-0000-0000355B0000}"/>
    <cellStyle name="Normal 2 5 7 7 2 2 2" xfId="48807" xr:uid="{00000000-0005-0000-0000-0000365B0000}"/>
    <cellStyle name="Normal 2 5 7 7 2 3" xfId="38558" xr:uid="{00000000-0005-0000-0000-0000375B0000}"/>
    <cellStyle name="Normal 2 5 7 7 3" xfId="9424" xr:uid="{00000000-0005-0000-0000-0000385B0000}"/>
    <cellStyle name="Normal 2 5 7 7 3 2" xfId="34981" xr:uid="{00000000-0005-0000-0000-0000395B0000}"/>
    <cellStyle name="Normal 2 5 7 7 4" xfId="18247" xr:uid="{00000000-0005-0000-0000-00003A5B0000}"/>
    <cellStyle name="Normal 2 5 7 7 4 2" xfId="43800" xr:uid="{00000000-0005-0000-0000-00003B5B0000}"/>
    <cellStyle name="Normal 2 5 7 7 5" xfId="29737" xr:uid="{00000000-0005-0000-0000-00003C5B0000}"/>
    <cellStyle name="Normal 2 5 7 8" xfId="1437" xr:uid="{00000000-0005-0000-0000-00003D5B0000}"/>
    <cellStyle name="Normal 2 5 7 8 2" xfId="10814" xr:uid="{00000000-0005-0000-0000-00003E5B0000}"/>
    <cellStyle name="Normal 2 5 7 8 2 2" xfId="36369" xr:uid="{00000000-0005-0000-0000-00003F5B0000}"/>
    <cellStyle name="Normal 2 5 7 8 3" xfId="20818" xr:uid="{00000000-0005-0000-0000-0000405B0000}"/>
    <cellStyle name="Normal 2 5 7 8 3 2" xfId="46371" xr:uid="{00000000-0005-0000-0000-0000415B0000}"/>
    <cellStyle name="Normal 2 5 7 8 4" xfId="27301" xr:uid="{00000000-0005-0000-0000-0000425B0000}"/>
    <cellStyle name="Normal 2 5 7 9" xfId="5621" xr:uid="{00000000-0005-0000-0000-0000435B0000}"/>
    <cellStyle name="Normal 2 5 7 9 2" xfId="14448" xr:uid="{00000000-0005-0000-0000-0000445B0000}"/>
    <cellStyle name="Normal 2 5 7 9 2 2" xfId="40003" xr:uid="{00000000-0005-0000-0000-0000455B0000}"/>
    <cellStyle name="Normal 2 5 7 9 3" xfId="24699" xr:uid="{00000000-0005-0000-0000-0000465B0000}"/>
    <cellStyle name="Normal 2 5 7 9 3 2" xfId="50252" xr:uid="{00000000-0005-0000-0000-0000475B0000}"/>
    <cellStyle name="Normal 2 5 7 9 4" xfId="31182" xr:uid="{00000000-0005-0000-0000-0000485B0000}"/>
    <cellStyle name="Normal 2 5 7_Degree data" xfId="3874" xr:uid="{00000000-0005-0000-0000-0000495B0000}"/>
    <cellStyle name="Normal 2 5 8" xfId="284" xr:uid="{00000000-0005-0000-0000-00004A5B0000}"/>
    <cellStyle name="Normal 2 5 8 10" xfId="16072" xr:uid="{00000000-0005-0000-0000-00004B5B0000}"/>
    <cellStyle name="Normal 2 5 8 10 2" xfId="41625" xr:uid="{00000000-0005-0000-0000-00004C5B0000}"/>
    <cellStyle name="Normal 2 5 8 11" xfId="26218" xr:uid="{00000000-0005-0000-0000-00004D5B0000}"/>
    <cellStyle name="Normal 2 5 8 2" xfId="606" xr:uid="{00000000-0005-0000-0000-00004E5B0000}"/>
    <cellStyle name="Normal 2 5 8 2 2" xfId="3092" xr:uid="{00000000-0005-0000-0000-00004F5B0000}"/>
    <cellStyle name="Normal 2 5 8 2 2 2" xfId="12235" xr:uid="{00000000-0005-0000-0000-0000505B0000}"/>
    <cellStyle name="Normal 2 5 8 2 2 2 2" xfId="22453" xr:uid="{00000000-0005-0000-0000-0000515B0000}"/>
    <cellStyle name="Normal 2 5 8 2 2 2 2 2" xfId="48006" xr:uid="{00000000-0005-0000-0000-0000525B0000}"/>
    <cellStyle name="Normal 2 5 8 2 2 2 3" xfId="37790" xr:uid="{00000000-0005-0000-0000-0000535B0000}"/>
    <cellStyle name="Normal 2 5 8 2 2 3" xfId="8657" xr:uid="{00000000-0005-0000-0000-0000545B0000}"/>
    <cellStyle name="Normal 2 5 8 2 2 3 2" xfId="34214" xr:uid="{00000000-0005-0000-0000-0000555B0000}"/>
    <cellStyle name="Normal 2 5 8 2 2 4" xfId="17446" xr:uid="{00000000-0005-0000-0000-0000565B0000}"/>
    <cellStyle name="Normal 2 5 8 2 2 4 2" xfId="42999" xr:uid="{00000000-0005-0000-0000-0000575B0000}"/>
    <cellStyle name="Normal 2 5 8 2 2 5" xfId="28936" xr:uid="{00000000-0005-0000-0000-0000585B0000}"/>
    <cellStyle name="Normal 2 5 8 2 3" xfId="4592" xr:uid="{00000000-0005-0000-0000-0000595B0000}"/>
    <cellStyle name="Normal 2 5 8 2 3 2" xfId="13430" xr:uid="{00000000-0005-0000-0000-00005A5B0000}"/>
    <cellStyle name="Normal 2 5 8 2 3 2 2" xfId="23681" xr:uid="{00000000-0005-0000-0000-00005B5B0000}"/>
    <cellStyle name="Normal 2 5 8 2 3 2 2 2" xfId="49234" xr:uid="{00000000-0005-0000-0000-00005C5B0000}"/>
    <cellStyle name="Normal 2 5 8 2 3 2 3" xfId="38985" xr:uid="{00000000-0005-0000-0000-00005D5B0000}"/>
    <cellStyle name="Normal 2 5 8 2 3 3" xfId="9851" xr:uid="{00000000-0005-0000-0000-00005E5B0000}"/>
    <cellStyle name="Normal 2 5 8 2 3 3 2" xfId="35408" xr:uid="{00000000-0005-0000-0000-00005F5B0000}"/>
    <cellStyle name="Normal 2 5 8 2 3 4" xfId="18674" xr:uid="{00000000-0005-0000-0000-0000605B0000}"/>
    <cellStyle name="Normal 2 5 8 2 3 4 2" xfId="44227" xr:uid="{00000000-0005-0000-0000-0000615B0000}"/>
    <cellStyle name="Normal 2 5 8 2 3 5" xfId="30164" xr:uid="{00000000-0005-0000-0000-0000625B0000}"/>
    <cellStyle name="Normal 2 5 8 2 4" xfId="2201" xr:uid="{00000000-0005-0000-0000-0000635B0000}"/>
    <cellStyle name="Normal 2 5 8 2 4 2" xfId="11566" xr:uid="{00000000-0005-0000-0000-0000645B0000}"/>
    <cellStyle name="Normal 2 5 8 2 4 2 2" xfId="37121" xr:uid="{00000000-0005-0000-0000-0000655B0000}"/>
    <cellStyle name="Normal 2 5 8 2 4 3" xfId="21570" xr:uid="{00000000-0005-0000-0000-0000665B0000}"/>
    <cellStyle name="Normal 2 5 8 2 4 3 2" xfId="47123" xr:uid="{00000000-0005-0000-0000-0000675B0000}"/>
    <cellStyle name="Normal 2 5 8 2 4 4" xfId="28053" xr:uid="{00000000-0005-0000-0000-0000685B0000}"/>
    <cellStyle name="Normal 2 5 8 2 5" xfId="6048" xr:uid="{00000000-0005-0000-0000-0000695B0000}"/>
    <cellStyle name="Normal 2 5 8 2 5 2" xfId="14875" xr:uid="{00000000-0005-0000-0000-00006A5B0000}"/>
    <cellStyle name="Normal 2 5 8 2 5 2 2" xfId="40430" xr:uid="{00000000-0005-0000-0000-00006B5B0000}"/>
    <cellStyle name="Normal 2 5 8 2 5 3" xfId="25126" xr:uid="{00000000-0005-0000-0000-00006C5B0000}"/>
    <cellStyle name="Normal 2 5 8 2 5 3 2" xfId="50679" xr:uid="{00000000-0005-0000-0000-00006D5B0000}"/>
    <cellStyle name="Normal 2 5 8 2 5 4" xfId="31609" xr:uid="{00000000-0005-0000-0000-00006E5B0000}"/>
    <cellStyle name="Normal 2 5 8 2 6" xfId="7492" xr:uid="{00000000-0005-0000-0000-00006F5B0000}"/>
    <cellStyle name="Normal 2 5 8 2 6 2" xfId="20052" xr:uid="{00000000-0005-0000-0000-0000705B0000}"/>
    <cellStyle name="Normal 2 5 8 2 6 2 2" xfId="45605" xr:uid="{00000000-0005-0000-0000-0000715B0000}"/>
    <cellStyle name="Normal 2 5 8 2 6 3" xfId="33049" xr:uid="{00000000-0005-0000-0000-0000725B0000}"/>
    <cellStyle name="Normal 2 5 8 2 7" xfId="16563" xr:uid="{00000000-0005-0000-0000-0000735B0000}"/>
    <cellStyle name="Normal 2 5 8 2 7 2" xfId="42116" xr:uid="{00000000-0005-0000-0000-0000745B0000}"/>
    <cellStyle name="Normal 2 5 8 2 8" xfId="26535" xr:uid="{00000000-0005-0000-0000-0000755B0000}"/>
    <cellStyle name="Normal 2 5 8 3" xfId="777" xr:uid="{00000000-0005-0000-0000-0000765B0000}"/>
    <cellStyle name="Normal 2 5 8 3 2" xfId="3263" xr:uid="{00000000-0005-0000-0000-0000775B0000}"/>
    <cellStyle name="Normal 2 5 8 3 2 2" xfId="12405" xr:uid="{00000000-0005-0000-0000-0000785B0000}"/>
    <cellStyle name="Normal 2 5 8 3 2 2 2" xfId="22624" xr:uid="{00000000-0005-0000-0000-0000795B0000}"/>
    <cellStyle name="Normal 2 5 8 3 2 2 2 2" xfId="48177" xr:uid="{00000000-0005-0000-0000-00007A5B0000}"/>
    <cellStyle name="Normal 2 5 8 3 2 2 3" xfId="37960" xr:uid="{00000000-0005-0000-0000-00007B5B0000}"/>
    <cellStyle name="Normal 2 5 8 3 2 3" xfId="8827" xr:uid="{00000000-0005-0000-0000-00007C5B0000}"/>
    <cellStyle name="Normal 2 5 8 3 2 3 2" xfId="34384" xr:uid="{00000000-0005-0000-0000-00007D5B0000}"/>
    <cellStyle name="Normal 2 5 8 3 2 4" xfId="17617" xr:uid="{00000000-0005-0000-0000-00007E5B0000}"/>
    <cellStyle name="Normal 2 5 8 3 2 4 2" xfId="43170" xr:uid="{00000000-0005-0000-0000-00007F5B0000}"/>
    <cellStyle name="Normal 2 5 8 3 2 5" xfId="29107" xr:uid="{00000000-0005-0000-0000-0000805B0000}"/>
    <cellStyle name="Normal 2 5 8 3 3" xfId="4941" xr:uid="{00000000-0005-0000-0000-0000815B0000}"/>
    <cellStyle name="Normal 2 5 8 3 3 2" xfId="13778" xr:uid="{00000000-0005-0000-0000-0000825B0000}"/>
    <cellStyle name="Normal 2 5 8 3 3 2 2" xfId="24029" xr:uid="{00000000-0005-0000-0000-0000835B0000}"/>
    <cellStyle name="Normal 2 5 8 3 3 2 2 2" xfId="49582" xr:uid="{00000000-0005-0000-0000-0000845B0000}"/>
    <cellStyle name="Normal 2 5 8 3 3 2 3" xfId="39333" xr:uid="{00000000-0005-0000-0000-0000855B0000}"/>
    <cellStyle name="Normal 2 5 8 3 3 3" xfId="10199" xr:uid="{00000000-0005-0000-0000-0000865B0000}"/>
    <cellStyle name="Normal 2 5 8 3 3 3 2" xfId="35756" xr:uid="{00000000-0005-0000-0000-0000875B0000}"/>
    <cellStyle name="Normal 2 5 8 3 3 4" xfId="19022" xr:uid="{00000000-0005-0000-0000-0000885B0000}"/>
    <cellStyle name="Normal 2 5 8 3 3 4 2" xfId="44575" xr:uid="{00000000-0005-0000-0000-0000895B0000}"/>
    <cellStyle name="Normal 2 5 8 3 3 5" xfId="30512" xr:uid="{00000000-0005-0000-0000-00008A5B0000}"/>
    <cellStyle name="Normal 2 5 8 3 4" xfId="2372" xr:uid="{00000000-0005-0000-0000-00008B5B0000}"/>
    <cellStyle name="Normal 2 5 8 3 4 2" xfId="11737" xr:uid="{00000000-0005-0000-0000-00008C5B0000}"/>
    <cellStyle name="Normal 2 5 8 3 4 2 2" xfId="37292" xr:uid="{00000000-0005-0000-0000-00008D5B0000}"/>
    <cellStyle name="Normal 2 5 8 3 4 3" xfId="21741" xr:uid="{00000000-0005-0000-0000-00008E5B0000}"/>
    <cellStyle name="Normal 2 5 8 3 4 3 2" xfId="47294" xr:uid="{00000000-0005-0000-0000-00008F5B0000}"/>
    <cellStyle name="Normal 2 5 8 3 4 4" xfId="28224" xr:uid="{00000000-0005-0000-0000-0000905B0000}"/>
    <cellStyle name="Normal 2 5 8 3 5" xfId="6396" xr:uid="{00000000-0005-0000-0000-0000915B0000}"/>
    <cellStyle name="Normal 2 5 8 3 5 2" xfId="15223" xr:uid="{00000000-0005-0000-0000-0000925B0000}"/>
    <cellStyle name="Normal 2 5 8 3 5 2 2" xfId="40778" xr:uid="{00000000-0005-0000-0000-0000935B0000}"/>
    <cellStyle name="Normal 2 5 8 3 5 3" xfId="25474" xr:uid="{00000000-0005-0000-0000-0000945B0000}"/>
    <cellStyle name="Normal 2 5 8 3 5 3 2" xfId="51027" xr:uid="{00000000-0005-0000-0000-0000955B0000}"/>
    <cellStyle name="Normal 2 5 8 3 5 4" xfId="31957" xr:uid="{00000000-0005-0000-0000-0000965B0000}"/>
    <cellStyle name="Normal 2 5 8 3 6" xfId="7842" xr:uid="{00000000-0005-0000-0000-0000975B0000}"/>
    <cellStyle name="Normal 2 5 8 3 6 2" xfId="20223" xr:uid="{00000000-0005-0000-0000-0000985B0000}"/>
    <cellStyle name="Normal 2 5 8 3 6 2 2" xfId="45776" xr:uid="{00000000-0005-0000-0000-0000995B0000}"/>
    <cellStyle name="Normal 2 5 8 3 6 3" xfId="33399" xr:uid="{00000000-0005-0000-0000-00009A5B0000}"/>
    <cellStyle name="Normal 2 5 8 3 7" xfId="16734" xr:uid="{00000000-0005-0000-0000-00009B5B0000}"/>
    <cellStyle name="Normal 2 5 8 3 7 2" xfId="42287" xr:uid="{00000000-0005-0000-0000-00009C5B0000}"/>
    <cellStyle name="Normal 2 5 8 3 8" xfId="26706" xr:uid="{00000000-0005-0000-0000-00009D5B0000}"/>
    <cellStyle name="Normal 2 5 8 4" xfId="1378" xr:uid="{00000000-0005-0000-0000-00009E5B0000}"/>
    <cellStyle name="Normal 2 5 8 4 2" xfId="3807" xr:uid="{00000000-0005-0000-0000-00009F5B0000}"/>
    <cellStyle name="Normal 2 5 8 4 2 2" xfId="12943" xr:uid="{00000000-0005-0000-0000-0000A05B0000}"/>
    <cellStyle name="Normal 2 5 8 4 2 2 2" xfId="23162" xr:uid="{00000000-0005-0000-0000-0000A15B0000}"/>
    <cellStyle name="Normal 2 5 8 4 2 2 2 2" xfId="48715" xr:uid="{00000000-0005-0000-0000-0000A25B0000}"/>
    <cellStyle name="Normal 2 5 8 4 2 2 3" xfId="38498" xr:uid="{00000000-0005-0000-0000-0000A35B0000}"/>
    <cellStyle name="Normal 2 5 8 4 2 3" xfId="9364" xr:uid="{00000000-0005-0000-0000-0000A45B0000}"/>
    <cellStyle name="Normal 2 5 8 4 2 3 2" xfId="34921" xr:uid="{00000000-0005-0000-0000-0000A55B0000}"/>
    <cellStyle name="Normal 2 5 8 4 2 4" xfId="18155" xr:uid="{00000000-0005-0000-0000-0000A65B0000}"/>
    <cellStyle name="Normal 2 5 8 4 2 4 2" xfId="43708" xr:uid="{00000000-0005-0000-0000-0000A75B0000}"/>
    <cellStyle name="Normal 2 5 8 4 2 5" xfId="29645" xr:uid="{00000000-0005-0000-0000-0000A85B0000}"/>
    <cellStyle name="Normal 2 5 8 4 3" xfId="5470" xr:uid="{00000000-0005-0000-0000-0000A95B0000}"/>
    <cellStyle name="Normal 2 5 8 4 3 2" xfId="14307" xr:uid="{00000000-0005-0000-0000-0000AA5B0000}"/>
    <cellStyle name="Normal 2 5 8 4 3 2 2" xfId="24558" xr:uid="{00000000-0005-0000-0000-0000AB5B0000}"/>
    <cellStyle name="Normal 2 5 8 4 3 2 2 2" xfId="50111" xr:uid="{00000000-0005-0000-0000-0000AC5B0000}"/>
    <cellStyle name="Normal 2 5 8 4 3 2 3" xfId="39862" xr:uid="{00000000-0005-0000-0000-0000AD5B0000}"/>
    <cellStyle name="Normal 2 5 8 4 3 3" xfId="10728" xr:uid="{00000000-0005-0000-0000-0000AE5B0000}"/>
    <cellStyle name="Normal 2 5 8 4 3 3 2" xfId="36285" xr:uid="{00000000-0005-0000-0000-0000AF5B0000}"/>
    <cellStyle name="Normal 2 5 8 4 3 4" xfId="19551" xr:uid="{00000000-0005-0000-0000-0000B05B0000}"/>
    <cellStyle name="Normal 2 5 8 4 3 4 2" xfId="45104" xr:uid="{00000000-0005-0000-0000-0000B15B0000}"/>
    <cellStyle name="Normal 2 5 8 4 3 5" xfId="31041" xr:uid="{00000000-0005-0000-0000-0000B25B0000}"/>
    <cellStyle name="Normal 2 5 8 4 4" xfId="1881" xr:uid="{00000000-0005-0000-0000-0000B35B0000}"/>
    <cellStyle name="Normal 2 5 8 4 4 2" xfId="11249" xr:uid="{00000000-0005-0000-0000-0000B45B0000}"/>
    <cellStyle name="Normal 2 5 8 4 4 2 2" xfId="36804" xr:uid="{00000000-0005-0000-0000-0000B55B0000}"/>
    <cellStyle name="Normal 2 5 8 4 4 3" xfId="21253" xr:uid="{00000000-0005-0000-0000-0000B65B0000}"/>
    <cellStyle name="Normal 2 5 8 4 4 3 2" xfId="46806" xr:uid="{00000000-0005-0000-0000-0000B75B0000}"/>
    <cellStyle name="Normal 2 5 8 4 4 4" xfId="27736" xr:uid="{00000000-0005-0000-0000-0000B85B0000}"/>
    <cellStyle name="Normal 2 5 8 4 5" xfId="6925" xr:uid="{00000000-0005-0000-0000-0000B95B0000}"/>
    <cellStyle name="Normal 2 5 8 4 5 2" xfId="15752" xr:uid="{00000000-0005-0000-0000-0000BA5B0000}"/>
    <cellStyle name="Normal 2 5 8 4 5 2 2" xfId="41307" xr:uid="{00000000-0005-0000-0000-0000BB5B0000}"/>
    <cellStyle name="Normal 2 5 8 4 5 3" xfId="26003" xr:uid="{00000000-0005-0000-0000-0000BC5B0000}"/>
    <cellStyle name="Normal 2 5 8 4 5 3 2" xfId="51556" xr:uid="{00000000-0005-0000-0000-0000BD5B0000}"/>
    <cellStyle name="Normal 2 5 8 4 5 4" xfId="32486" xr:uid="{00000000-0005-0000-0000-0000BE5B0000}"/>
    <cellStyle name="Normal 2 5 8 4 6" xfId="8371" xr:uid="{00000000-0005-0000-0000-0000BF5B0000}"/>
    <cellStyle name="Normal 2 5 8 4 6 2" xfId="20761" xr:uid="{00000000-0005-0000-0000-0000C05B0000}"/>
    <cellStyle name="Normal 2 5 8 4 6 2 2" xfId="46314" xr:uid="{00000000-0005-0000-0000-0000C15B0000}"/>
    <cellStyle name="Normal 2 5 8 4 6 3" xfId="33928" xr:uid="{00000000-0005-0000-0000-0000C25B0000}"/>
    <cellStyle name="Normal 2 5 8 4 7" xfId="16246" xr:uid="{00000000-0005-0000-0000-0000C35B0000}"/>
    <cellStyle name="Normal 2 5 8 4 7 2" xfId="41799" xr:uid="{00000000-0005-0000-0000-0000C45B0000}"/>
    <cellStyle name="Normal 2 5 8 4 8" xfId="27244" xr:uid="{00000000-0005-0000-0000-0000C55B0000}"/>
    <cellStyle name="Normal 2 5 8 5" xfId="2775" xr:uid="{00000000-0005-0000-0000-0000C65B0000}"/>
    <cellStyle name="Normal 2 5 8 5 2" xfId="12092" xr:uid="{00000000-0005-0000-0000-0000C75B0000}"/>
    <cellStyle name="Normal 2 5 8 5 2 2" xfId="22136" xr:uid="{00000000-0005-0000-0000-0000C85B0000}"/>
    <cellStyle name="Normal 2 5 8 5 2 2 2" xfId="47689" xr:uid="{00000000-0005-0000-0000-0000C95B0000}"/>
    <cellStyle name="Normal 2 5 8 5 2 3" xfId="37647" xr:uid="{00000000-0005-0000-0000-0000CA5B0000}"/>
    <cellStyle name="Normal 2 5 8 5 3" xfId="8619" xr:uid="{00000000-0005-0000-0000-0000CB5B0000}"/>
    <cellStyle name="Normal 2 5 8 5 3 2" xfId="34176" xr:uid="{00000000-0005-0000-0000-0000CC5B0000}"/>
    <cellStyle name="Normal 2 5 8 5 4" xfId="17129" xr:uid="{00000000-0005-0000-0000-0000CD5B0000}"/>
    <cellStyle name="Normal 2 5 8 5 4 2" xfId="42682" xr:uid="{00000000-0005-0000-0000-0000CE5B0000}"/>
    <cellStyle name="Normal 2 5 8 5 5" xfId="28619" xr:uid="{00000000-0005-0000-0000-0000CF5B0000}"/>
    <cellStyle name="Normal 2 5 8 6" xfId="4426" xr:uid="{00000000-0005-0000-0000-0000D05B0000}"/>
    <cellStyle name="Normal 2 5 8 6 2" xfId="13264" xr:uid="{00000000-0005-0000-0000-0000D15B0000}"/>
    <cellStyle name="Normal 2 5 8 6 2 2" xfId="23515" xr:uid="{00000000-0005-0000-0000-0000D25B0000}"/>
    <cellStyle name="Normal 2 5 8 6 2 2 2" xfId="49068" xr:uid="{00000000-0005-0000-0000-0000D35B0000}"/>
    <cellStyle name="Normal 2 5 8 6 2 3" xfId="38819" xr:uid="{00000000-0005-0000-0000-0000D45B0000}"/>
    <cellStyle name="Normal 2 5 8 6 3" xfId="9685" xr:uid="{00000000-0005-0000-0000-0000D55B0000}"/>
    <cellStyle name="Normal 2 5 8 6 3 2" xfId="35242" xr:uid="{00000000-0005-0000-0000-0000D65B0000}"/>
    <cellStyle name="Normal 2 5 8 6 4" xfId="18508" xr:uid="{00000000-0005-0000-0000-0000D75B0000}"/>
    <cellStyle name="Normal 2 5 8 6 4 2" xfId="44061" xr:uid="{00000000-0005-0000-0000-0000D85B0000}"/>
    <cellStyle name="Normal 2 5 8 6 5" xfId="29998" xr:uid="{00000000-0005-0000-0000-0000D95B0000}"/>
    <cellStyle name="Normal 2 5 8 7" xfId="1698" xr:uid="{00000000-0005-0000-0000-0000DA5B0000}"/>
    <cellStyle name="Normal 2 5 8 7 2" xfId="11075" xr:uid="{00000000-0005-0000-0000-0000DB5B0000}"/>
    <cellStyle name="Normal 2 5 8 7 2 2" xfId="36630" xr:uid="{00000000-0005-0000-0000-0000DC5B0000}"/>
    <cellStyle name="Normal 2 5 8 7 3" xfId="21079" xr:uid="{00000000-0005-0000-0000-0000DD5B0000}"/>
    <cellStyle name="Normal 2 5 8 7 3 2" xfId="46632" xr:uid="{00000000-0005-0000-0000-0000DE5B0000}"/>
    <cellStyle name="Normal 2 5 8 7 4" xfId="27562" xr:uid="{00000000-0005-0000-0000-0000DF5B0000}"/>
    <cellStyle name="Normal 2 5 8 8" xfId="5882" xr:uid="{00000000-0005-0000-0000-0000E05B0000}"/>
    <cellStyle name="Normal 2 5 8 8 2" xfId="14709" xr:uid="{00000000-0005-0000-0000-0000E15B0000}"/>
    <cellStyle name="Normal 2 5 8 8 2 2" xfId="40264" xr:uid="{00000000-0005-0000-0000-0000E25B0000}"/>
    <cellStyle name="Normal 2 5 8 8 3" xfId="24960" xr:uid="{00000000-0005-0000-0000-0000E35B0000}"/>
    <cellStyle name="Normal 2 5 8 8 3 2" xfId="50513" xr:uid="{00000000-0005-0000-0000-0000E45B0000}"/>
    <cellStyle name="Normal 2 5 8 8 4" xfId="31443" xr:uid="{00000000-0005-0000-0000-0000E55B0000}"/>
    <cellStyle name="Normal 2 5 8 9" xfId="7326" xr:uid="{00000000-0005-0000-0000-0000E65B0000}"/>
    <cellStyle name="Normal 2 5 8 9 2" xfId="19735" xr:uid="{00000000-0005-0000-0000-0000E75B0000}"/>
    <cellStyle name="Normal 2 5 8 9 2 2" xfId="45288" xr:uid="{00000000-0005-0000-0000-0000E85B0000}"/>
    <cellStyle name="Normal 2 5 8 9 3" xfId="32883" xr:uid="{00000000-0005-0000-0000-0000E95B0000}"/>
    <cellStyle name="Normal 2 5 8_Degree data" xfId="3460" xr:uid="{00000000-0005-0000-0000-0000EA5B0000}"/>
    <cellStyle name="Normal 2 5 9" xfId="445" xr:uid="{00000000-0005-0000-0000-0000EB5B0000}"/>
    <cellStyle name="Normal 2 5 9 10" xfId="26374" xr:uid="{00000000-0005-0000-0000-0000EC5B0000}"/>
    <cellStyle name="Normal 2 5 9 2" xfId="778" xr:uid="{00000000-0005-0000-0000-0000ED5B0000}"/>
    <cellStyle name="Normal 2 5 9 2 2" xfId="3264" xr:uid="{00000000-0005-0000-0000-0000EE5B0000}"/>
    <cellStyle name="Normal 2 5 9 2 2 2" xfId="12406" xr:uid="{00000000-0005-0000-0000-0000EF5B0000}"/>
    <cellStyle name="Normal 2 5 9 2 2 2 2" xfId="22625" xr:uid="{00000000-0005-0000-0000-0000F05B0000}"/>
    <cellStyle name="Normal 2 5 9 2 2 2 2 2" xfId="48178" xr:uid="{00000000-0005-0000-0000-0000F15B0000}"/>
    <cellStyle name="Normal 2 5 9 2 2 2 3" xfId="37961" xr:uid="{00000000-0005-0000-0000-0000F25B0000}"/>
    <cellStyle name="Normal 2 5 9 2 2 3" xfId="8828" xr:uid="{00000000-0005-0000-0000-0000F35B0000}"/>
    <cellStyle name="Normal 2 5 9 2 2 3 2" xfId="34385" xr:uid="{00000000-0005-0000-0000-0000F45B0000}"/>
    <cellStyle name="Normal 2 5 9 2 2 4" xfId="17618" xr:uid="{00000000-0005-0000-0000-0000F55B0000}"/>
    <cellStyle name="Normal 2 5 9 2 2 4 2" xfId="43171" xr:uid="{00000000-0005-0000-0000-0000F65B0000}"/>
    <cellStyle name="Normal 2 5 9 2 2 5" xfId="29108" xr:uid="{00000000-0005-0000-0000-0000F75B0000}"/>
    <cellStyle name="Normal 2 5 9 2 3" xfId="4593" xr:uid="{00000000-0005-0000-0000-0000F85B0000}"/>
    <cellStyle name="Normal 2 5 9 2 3 2" xfId="13431" xr:uid="{00000000-0005-0000-0000-0000F95B0000}"/>
    <cellStyle name="Normal 2 5 9 2 3 2 2" xfId="23682" xr:uid="{00000000-0005-0000-0000-0000FA5B0000}"/>
    <cellStyle name="Normal 2 5 9 2 3 2 2 2" xfId="49235" xr:uid="{00000000-0005-0000-0000-0000FB5B0000}"/>
    <cellStyle name="Normal 2 5 9 2 3 2 3" xfId="38986" xr:uid="{00000000-0005-0000-0000-0000FC5B0000}"/>
    <cellStyle name="Normal 2 5 9 2 3 3" xfId="9852" xr:uid="{00000000-0005-0000-0000-0000FD5B0000}"/>
    <cellStyle name="Normal 2 5 9 2 3 3 2" xfId="35409" xr:uid="{00000000-0005-0000-0000-0000FE5B0000}"/>
    <cellStyle name="Normal 2 5 9 2 3 4" xfId="18675" xr:uid="{00000000-0005-0000-0000-0000FF5B0000}"/>
    <cellStyle name="Normal 2 5 9 2 3 4 2" xfId="44228" xr:uid="{00000000-0005-0000-0000-0000005C0000}"/>
    <cellStyle name="Normal 2 5 9 2 3 5" xfId="30165" xr:uid="{00000000-0005-0000-0000-0000015C0000}"/>
    <cellStyle name="Normal 2 5 9 2 4" xfId="2373" xr:uid="{00000000-0005-0000-0000-0000025C0000}"/>
    <cellStyle name="Normal 2 5 9 2 4 2" xfId="11738" xr:uid="{00000000-0005-0000-0000-0000035C0000}"/>
    <cellStyle name="Normal 2 5 9 2 4 2 2" xfId="37293" xr:uid="{00000000-0005-0000-0000-0000045C0000}"/>
    <cellStyle name="Normal 2 5 9 2 4 3" xfId="21742" xr:uid="{00000000-0005-0000-0000-0000055C0000}"/>
    <cellStyle name="Normal 2 5 9 2 4 3 2" xfId="47295" xr:uid="{00000000-0005-0000-0000-0000065C0000}"/>
    <cellStyle name="Normal 2 5 9 2 4 4" xfId="28225" xr:uid="{00000000-0005-0000-0000-0000075C0000}"/>
    <cellStyle name="Normal 2 5 9 2 5" xfId="6049" xr:uid="{00000000-0005-0000-0000-0000085C0000}"/>
    <cellStyle name="Normal 2 5 9 2 5 2" xfId="14876" xr:uid="{00000000-0005-0000-0000-0000095C0000}"/>
    <cellStyle name="Normal 2 5 9 2 5 2 2" xfId="40431" xr:uid="{00000000-0005-0000-0000-00000A5C0000}"/>
    <cellStyle name="Normal 2 5 9 2 5 3" xfId="25127" xr:uid="{00000000-0005-0000-0000-00000B5C0000}"/>
    <cellStyle name="Normal 2 5 9 2 5 3 2" xfId="50680" xr:uid="{00000000-0005-0000-0000-00000C5C0000}"/>
    <cellStyle name="Normal 2 5 9 2 5 4" xfId="31610" xr:uid="{00000000-0005-0000-0000-00000D5C0000}"/>
    <cellStyle name="Normal 2 5 9 2 6" xfId="7493" xr:uid="{00000000-0005-0000-0000-00000E5C0000}"/>
    <cellStyle name="Normal 2 5 9 2 6 2" xfId="20224" xr:uid="{00000000-0005-0000-0000-00000F5C0000}"/>
    <cellStyle name="Normal 2 5 9 2 6 2 2" xfId="45777" xr:uid="{00000000-0005-0000-0000-0000105C0000}"/>
    <cellStyle name="Normal 2 5 9 2 6 3" xfId="33050" xr:uid="{00000000-0005-0000-0000-0000115C0000}"/>
    <cellStyle name="Normal 2 5 9 2 7" xfId="16735" xr:uid="{00000000-0005-0000-0000-0000125C0000}"/>
    <cellStyle name="Normal 2 5 9 2 7 2" xfId="42288" xr:uid="{00000000-0005-0000-0000-0000135C0000}"/>
    <cellStyle name="Normal 2 5 9 2 8" xfId="26707" xr:uid="{00000000-0005-0000-0000-0000145C0000}"/>
    <cellStyle name="Normal 2 5 9 3" xfId="1217" xr:uid="{00000000-0005-0000-0000-0000155C0000}"/>
    <cellStyle name="Normal 2 5 9 3 2" xfId="3646" xr:uid="{00000000-0005-0000-0000-0000165C0000}"/>
    <cellStyle name="Normal 2 5 9 3 2 2" xfId="12782" xr:uid="{00000000-0005-0000-0000-0000175C0000}"/>
    <cellStyle name="Normal 2 5 9 3 2 2 2" xfId="23001" xr:uid="{00000000-0005-0000-0000-0000185C0000}"/>
    <cellStyle name="Normal 2 5 9 3 2 2 2 2" xfId="48554" xr:uid="{00000000-0005-0000-0000-0000195C0000}"/>
    <cellStyle name="Normal 2 5 9 3 2 2 3" xfId="38337" xr:uid="{00000000-0005-0000-0000-00001A5C0000}"/>
    <cellStyle name="Normal 2 5 9 3 2 3" xfId="9203" xr:uid="{00000000-0005-0000-0000-00001B5C0000}"/>
    <cellStyle name="Normal 2 5 9 3 2 3 2" xfId="34760" xr:uid="{00000000-0005-0000-0000-00001C5C0000}"/>
    <cellStyle name="Normal 2 5 9 3 2 4" xfId="17994" xr:uid="{00000000-0005-0000-0000-00001D5C0000}"/>
    <cellStyle name="Normal 2 5 9 3 2 4 2" xfId="43547" xr:uid="{00000000-0005-0000-0000-00001E5C0000}"/>
    <cellStyle name="Normal 2 5 9 3 2 5" xfId="29484" xr:uid="{00000000-0005-0000-0000-00001F5C0000}"/>
    <cellStyle name="Normal 2 5 9 3 3" xfId="4942" xr:uid="{00000000-0005-0000-0000-0000205C0000}"/>
    <cellStyle name="Normal 2 5 9 3 3 2" xfId="13779" xr:uid="{00000000-0005-0000-0000-0000215C0000}"/>
    <cellStyle name="Normal 2 5 9 3 3 2 2" xfId="24030" xr:uid="{00000000-0005-0000-0000-0000225C0000}"/>
    <cellStyle name="Normal 2 5 9 3 3 2 2 2" xfId="49583" xr:uid="{00000000-0005-0000-0000-0000235C0000}"/>
    <cellStyle name="Normal 2 5 9 3 3 2 3" xfId="39334" xr:uid="{00000000-0005-0000-0000-0000245C0000}"/>
    <cellStyle name="Normal 2 5 9 3 3 3" xfId="10200" xr:uid="{00000000-0005-0000-0000-0000255C0000}"/>
    <cellStyle name="Normal 2 5 9 3 3 3 2" xfId="35757" xr:uid="{00000000-0005-0000-0000-0000265C0000}"/>
    <cellStyle name="Normal 2 5 9 3 3 4" xfId="19023" xr:uid="{00000000-0005-0000-0000-0000275C0000}"/>
    <cellStyle name="Normal 2 5 9 3 3 4 2" xfId="44576" xr:uid="{00000000-0005-0000-0000-0000285C0000}"/>
    <cellStyle name="Normal 2 5 9 3 3 5" xfId="30513" xr:uid="{00000000-0005-0000-0000-0000295C0000}"/>
    <cellStyle name="Normal 2 5 9 3 4" xfId="2040" xr:uid="{00000000-0005-0000-0000-00002A5C0000}"/>
    <cellStyle name="Normal 2 5 9 3 4 2" xfId="11405" xr:uid="{00000000-0005-0000-0000-00002B5C0000}"/>
    <cellStyle name="Normal 2 5 9 3 4 2 2" xfId="36960" xr:uid="{00000000-0005-0000-0000-00002C5C0000}"/>
    <cellStyle name="Normal 2 5 9 3 4 3" xfId="21409" xr:uid="{00000000-0005-0000-0000-00002D5C0000}"/>
    <cellStyle name="Normal 2 5 9 3 4 3 2" xfId="46962" xr:uid="{00000000-0005-0000-0000-00002E5C0000}"/>
    <cellStyle name="Normal 2 5 9 3 4 4" xfId="27892" xr:uid="{00000000-0005-0000-0000-00002F5C0000}"/>
    <cellStyle name="Normal 2 5 9 3 5" xfId="6397" xr:uid="{00000000-0005-0000-0000-0000305C0000}"/>
    <cellStyle name="Normal 2 5 9 3 5 2" xfId="15224" xr:uid="{00000000-0005-0000-0000-0000315C0000}"/>
    <cellStyle name="Normal 2 5 9 3 5 2 2" xfId="40779" xr:uid="{00000000-0005-0000-0000-0000325C0000}"/>
    <cellStyle name="Normal 2 5 9 3 5 3" xfId="25475" xr:uid="{00000000-0005-0000-0000-0000335C0000}"/>
    <cellStyle name="Normal 2 5 9 3 5 3 2" xfId="51028" xr:uid="{00000000-0005-0000-0000-0000345C0000}"/>
    <cellStyle name="Normal 2 5 9 3 5 4" xfId="31958" xr:uid="{00000000-0005-0000-0000-0000355C0000}"/>
    <cellStyle name="Normal 2 5 9 3 6" xfId="7843" xr:uid="{00000000-0005-0000-0000-0000365C0000}"/>
    <cellStyle name="Normal 2 5 9 3 6 2" xfId="20600" xr:uid="{00000000-0005-0000-0000-0000375C0000}"/>
    <cellStyle name="Normal 2 5 9 3 6 2 2" xfId="46153" xr:uid="{00000000-0005-0000-0000-0000385C0000}"/>
    <cellStyle name="Normal 2 5 9 3 6 3" xfId="33400" xr:uid="{00000000-0005-0000-0000-0000395C0000}"/>
    <cellStyle name="Normal 2 5 9 3 7" xfId="16402" xr:uid="{00000000-0005-0000-0000-00003A5C0000}"/>
    <cellStyle name="Normal 2 5 9 3 7 2" xfId="41955" xr:uid="{00000000-0005-0000-0000-00003B5C0000}"/>
    <cellStyle name="Normal 2 5 9 3 8" xfId="27083" xr:uid="{00000000-0005-0000-0000-00003C5C0000}"/>
    <cellStyle name="Normal 2 5 9 4" xfId="2931" xr:uid="{00000000-0005-0000-0000-00003D5C0000}"/>
    <cellStyle name="Normal 2 5 9 4 2" xfId="5309" xr:uid="{00000000-0005-0000-0000-00003E5C0000}"/>
    <cellStyle name="Normal 2 5 9 4 2 2" xfId="14146" xr:uid="{00000000-0005-0000-0000-00003F5C0000}"/>
    <cellStyle name="Normal 2 5 9 4 2 2 2" xfId="24397" xr:uid="{00000000-0005-0000-0000-0000405C0000}"/>
    <cellStyle name="Normal 2 5 9 4 2 2 2 2" xfId="49950" xr:uid="{00000000-0005-0000-0000-0000415C0000}"/>
    <cellStyle name="Normal 2 5 9 4 2 2 3" xfId="39701" xr:uid="{00000000-0005-0000-0000-0000425C0000}"/>
    <cellStyle name="Normal 2 5 9 4 2 3" xfId="10567" xr:uid="{00000000-0005-0000-0000-0000435C0000}"/>
    <cellStyle name="Normal 2 5 9 4 2 3 2" xfId="36124" xr:uid="{00000000-0005-0000-0000-0000445C0000}"/>
    <cellStyle name="Normal 2 5 9 4 2 4" xfId="19390" xr:uid="{00000000-0005-0000-0000-0000455C0000}"/>
    <cellStyle name="Normal 2 5 9 4 2 4 2" xfId="44943" xr:uid="{00000000-0005-0000-0000-0000465C0000}"/>
    <cellStyle name="Normal 2 5 9 4 2 5" xfId="30880" xr:uid="{00000000-0005-0000-0000-0000475C0000}"/>
    <cellStyle name="Normal 2 5 9 4 3" xfId="6764" xr:uid="{00000000-0005-0000-0000-0000485C0000}"/>
    <cellStyle name="Normal 2 5 9 4 3 2" xfId="15591" xr:uid="{00000000-0005-0000-0000-0000495C0000}"/>
    <cellStyle name="Normal 2 5 9 4 3 2 2" xfId="41146" xr:uid="{00000000-0005-0000-0000-00004A5C0000}"/>
    <cellStyle name="Normal 2 5 9 4 3 3" xfId="25842" xr:uid="{00000000-0005-0000-0000-00004B5C0000}"/>
    <cellStyle name="Normal 2 5 9 4 3 3 2" xfId="51395" xr:uid="{00000000-0005-0000-0000-00004C5C0000}"/>
    <cellStyle name="Normal 2 5 9 4 3 4" xfId="32325" xr:uid="{00000000-0005-0000-0000-00004D5C0000}"/>
    <cellStyle name="Normal 2 5 9 4 4" xfId="8210" xr:uid="{00000000-0005-0000-0000-00004E5C0000}"/>
    <cellStyle name="Normal 2 5 9 4 4 2" xfId="22292" xr:uid="{00000000-0005-0000-0000-00004F5C0000}"/>
    <cellStyle name="Normal 2 5 9 4 4 2 2" xfId="47845" xr:uid="{00000000-0005-0000-0000-0000505C0000}"/>
    <cellStyle name="Normal 2 5 9 4 4 3" xfId="33767" xr:uid="{00000000-0005-0000-0000-0000515C0000}"/>
    <cellStyle name="Normal 2 5 9 4 5" xfId="17285" xr:uid="{00000000-0005-0000-0000-0000525C0000}"/>
    <cellStyle name="Normal 2 5 9 4 5 2" xfId="42838" xr:uid="{00000000-0005-0000-0000-0000535C0000}"/>
    <cellStyle name="Normal 2 5 9 4 6" xfId="28775" xr:uid="{00000000-0005-0000-0000-0000545C0000}"/>
    <cellStyle name="Normal 2 5 9 5" xfId="4265" xr:uid="{00000000-0005-0000-0000-0000555C0000}"/>
    <cellStyle name="Normal 2 5 9 5 2" xfId="13103" xr:uid="{00000000-0005-0000-0000-0000565C0000}"/>
    <cellStyle name="Normal 2 5 9 5 2 2" xfId="23354" xr:uid="{00000000-0005-0000-0000-0000575C0000}"/>
    <cellStyle name="Normal 2 5 9 5 2 2 2" xfId="48907" xr:uid="{00000000-0005-0000-0000-0000585C0000}"/>
    <cellStyle name="Normal 2 5 9 5 2 3" xfId="38658" xr:uid="{00000000-0005-0000-0000-0000595C0000}"/>
    <cellStyle name="Normal 2 5 9 5 3" xfId="9524" xr:uid="{00000000-0005-0000-0000-00005A5C0000}"/>
    <cellStyle name="Normal 2 5 9 5 3 2" xfId="35081" xr:uid="{00000000-0005-0000-0000-00005B5C0000}"/>
    <cellStyle name="Normal 2 5 9 5 4" xfId="18347" xr:uid="{00000000-0005-0000-0000-00005C5C0000}"/>
    <cellStyle name="Normal 2 5 9 5 4 2" xfId="43900" xr:uid="{00000000-0005-0000-0000-00005D5C0000}"/>
    <cellStyle name="Normal 2 5 9 5 5" xfId="29837" xr:uid="{00000000-0005-0000-0000-00005E5C0000}"/>
    <cellStyle name="Normal 2 5 9 6" xfId="1537" xr:uid="{00000000-0005-0000-0000-00005F5C0000}"/>
    <cellStyle name="Normal 2 5 9 6 2" xfId="10914" xr:uid="{00000000-0005-0000-0000-0000605C0000}"/>
    <cellStyle name="Normal 2 5 9 6 2 2" xfId="36469" xr:uid="{00000000-0005-0000-0000-0000615C0000}"/>
    <cellStyle name="Normal 2 5 9 6 3" xfId="20918" xr:uid="{00000000-0005-0000-0000-0000625C0000}"/>
    <cellStyle name="Normal 2 5 9 6 3 2" xfId="46471" xr:uid="{00000000-0005-0000-0000-0000635C0000}"/>
    <cellStyle name="Normal 2 5 9 6 4" xfId="27401" xr:uid="{00000000-0005-0000-0000-0000645C0000}"/>
    <cellStyle name="Normal 2 5 9 7" xfId="5721" xr:uid="{00000000-0005-0000-0000-0000655C0000}"/>
    <cellStyle name="Normal 2 5 9 7 2" xfId="14548" xr:uid="{00000000-0005-0000-0000-0000665C0000}"/>
    <cellStyle name="Normal 2 5 9 7 2 2" xfId="40103" xr:uid="{00000000-0005-0000-0000-0000675C0000}"/>
    <cellStyle name="Normal 2 5 9 7 3" xfId="24799" xr:uid="{00000000-0005-0000-0000-0000685C0000}"/>
    <cellStyle name="Normal 2 5 9 7 3 2" xfId="50352" xr:uid="{00000000-0005-0000-0000-0000695C0000}"/>
    <cellStyle name="Normal 2 5 9 7 4" xfId="31282" xr:uid="{00000000-0005-0000-0000-00006A5C0000}"/>
    <cellStyle name="Normal 2 5 9 8" xfId="7165" xr:uid="{00000000-0005-0000-0000-00006B5C0000}"/>
    <cellStyle name="Normal 2 5 9 8 2" xfId="19891" xr:uid="{00000000-0005-0000-0000-00006C5C0000}"/>
    <cellStyle name="Normal 2 5 9 8 2 2" xfId="45444" xr:uid="{00000000-0005-0000-0000-00006D5C0000}"/>
    <cellStyle name="Normal 2 5 9 8 3" xfId="32722" xr:uid="{00000000-0005-0000-0000-00006E5C0000}"/>
    <cellStyle name="Normal 2 5 9 9" xfId="15911" xr:uid="{00000000-0005-0000-0000-00006F5C0000}"/>
    <cellStyle name="Normal 2 5 9 9 2" xfId="41464" xr:uid="{00000000-0005-0000-0000-0000705C0000}"/>
    <cellStyle name="Normal 2 5 9_Degree data" xfId="3825" xr:uid="{00000000-0005-0000-0000-0000715C0000}"/>
    <cellStyle name="Normal 2 5_Degree data" xfId="3924" xr:uid="{00000000-0005-0000-0000-0000725C0000}"/>
    <cellStyle name="Normal 2 6" xfId="288" xr:uid="{00000000-0005-0000-0000-0000735C0000}"/>
    <cellStyle name="Normal 2 6 2" xfId="779" xr:uid="{00000000-0005-0000-0000-0000745C0000}"/>
    <cellStyle name="Normal 2 6 3" xfId="1884" xr:uid="{00000000-0005-0000-0000-0000755C0000}"/>
    <cellStyle name="Normal 2 6_Degree data" xfId="3858" xr:uid="{00000000-0005-0000-0000-0000765C0000}"/>
    <cellStyle name="Normal 2 7" xfId="1021" xr:uid="{00000000-0005-0000-0000-0000775C0000}"/>
    <cellStyle name="Normal 20" xfId="98" xr:uid="{00000000-0005-0000-0000-0000785C0000}"/>
    <cellStyle name="Normal 200" xfId="26031" xr:uid="{00000000-0005-0000-0000-0000795C0000}"/>
    <cellStyle name="Normal 200 2" xfId="26037" xr:uid="{00000000-0005-0000-0000-00007A5C0000}"/>
    <cellStyle name="Normal 200 2 2" xfId="51590" xr:uid="{00000000-0005-0000-0000-00007B5C0000}"/>
    <cellStyle name="Normal 200 3" xfId="51584" xr:uid="{00000000-0005-0000-0000-00007C5C0000}"/>
    <cellStyle name="Normal 201" xfId="26032" xr:uid="{00000000-0005-0000-0000-00007D5C0000}"/>
    <cellStyle name="Normal 201 2" xfId="51585" xr:uid="{00000000-0005-0000-0000-00007E5C0000}"/>
    <cellStyle name="Normal 202" xfId="26033" xr:uid="{00000000-0005-0000-0000-00007F5C0000}"/>
    <cellStyle name="Normal 202 2" xfId="26036" xr:uid="{00000000-0005-0000-0000-0000805C0000}"/>
    <cellStyle name="Normal 202 2 2" xfId="51589" xr:uid="{00000000-0005-0000-0000-0000815C0000}"/>
    <cellStyle name="Normal 202 3" xfId="51586" xr:uid="{00000000-0005-0000-0000-0000825C0000}"/>
    <cellStyle name="Normal 203" xfId="26034" xr:uid="{00000000-0005-0000-0000-0000835C0000}"/>
    <cellStyle name="Normal 203 2" xfId="51587" xr:uid="{00000000-0005-0000-0000-0000845C0000}"/>
    <cellStyle name="Normal 21" xfId="99" xr:uid="{00000000-0005-0000-0000-0000855C0000}"/>
    <cellStyle name="Normal 22" xfId="100" xr:uid="{00000000-0005-0000-0000-0000865C0000}"/>
    <cellStyle name="Normal 23" xfId="101" xr:uid="{00000000-0005-0000-0000-0000875C0000}"/>
    <cellStyle name="Normal 24" xfId="12" xr:uid="{00000000-0005-0000-0000-0000885C0000}"/>
    <cellStyle name="Normal 25" xfId="87" xr:uid="{00000000-0005-0000-0000-0000895C0000}"/>
    <cellStyle name="Normal 26" xfId="88" xr:uid="{00000000-0005-0000-0000-00008A5C0000}"/>
    <cellStyle name="Normal 27" xfId="65" xr:uid="{00000000-0005-0000-0000-00008B5C0000}"/>
    <cellStyle name="Normal 28" xfId="66" xr:uid="{00000000-0005-0000-0000-00008C5C0000}"/>
    <cellStyle name="Normal 29" xfId="67" xr:uid="{00000000-0005-0000-0000-00008D5C0000}"/>
    <cellStyle name="Normal 3" xfId="1" xr:uid="{00000000-0005-0000-0000-00008E5C0000}"/>
    <cellStyle name="Normal 3 2" xfId="35" xr:uid="{00000000-0005-0000-0000-00008F5C0000}"/>
    <cellStyle name="Normal 3 2 2" xfId="291" xr:uid="{00000000-0005-0000-0000-0000905C0000}"/>
    <cellStyle name="Normal 3 2 2 10" xfId="16076" xr:uid="{00000000-0005-0000-0000-0000915C0000}"/>
    <cellStyle name="Normal 3 2 2 10 2" xfId="41629" xr:uid="{00000000-0005-0000-0000-0000925C0000}"/>
    <cellStyle name="Normal 3 2 2 11" xfId="26222" xr:uid="{00000000-0005-0000-0000-0000935C0000}"/>
    <cellStyle name="Normal 3 2 2 2" xfId="610" xr:uid="{00000000-0005-0000-0000-0000945C0000}"/>
    <cellStyle name="Normal 3 2 2 2 2" xfId="3096" xr:uid="{00000000-0005-0000-0000-0000955C0000}"/>
    <cellStyle name="Normal 3 2 2 2 2 2" xfId="12239" xr:uid="{00000000-0005-0000-0000-0000965C0000}"/>
    <cellStyle name="Normal 3 2 2 2 2 2 2" xfId="22457" xr:uid="{00000000-0005-0000-0000-0000975C0000}"/>
    <cellStyle name="Normal 3 2 2 2 2 2 2 2" xfId="48010" xr:uid="{00000000-0005-0000-0000-0000985C0000}"/>
    <cellStyle name="Normal 3 2 2 2 2 2 3" xfId="37794" xr:uid="{00000000-0005-0000-0000-0000995C0000}"/>
    <cellStyle name="Normal 3 2 2 2 2 3" xfId="8661" xr:uid="{00000000-0005-0000-0000-00009A5C0000}"/>
    <cellStyle name="Normal 3 2 2 2 2 3 2" xfId="34218" xr:uid="{00000000-0005-0000-0000-00009B5C0000}"/>
    <cellStyle name="Normal 3 2 2 2 2 4" xfId="17450" xr:uid="{00000000-0005-0000-0000-00009C5C0000}"/>
    <cellStyle name="Normal 3 2 2 2 2 4 2" xfId="43003" xr:uid="{00000000-0005-0000-0000-00009D5C0000}"/>
    <cellStyle name="Normal 3 2 2 2 2 5" xfId="28940" xr:uid="{00000000-0005-0000-0000-00009E5C0000}"/>
    <cellStyle name="Normal 3 2 2 2 3" xfId="4594" xr:uid="{00000000-0005-0000-0000-00009F5C0000}"/>
    <cellStyle name="Normal 3 2 2 2 3 2" xfId="13432" xr:uid="{00000000-0005-0000-0000-0000A05C0000}"/>
    <cellStyle name="Normal 3 2 2 2 3 2 2" xfId="23683" xr:uid="{00000000-0005-0000-0000-0000A15C0000}"/>
    <cellStyle name="Normal 3 2 2 2 3 2 2 2" xfId="49236" xr:uid="{00000000-0005-0000-0000-0000A25C0000}"/>
    <cellStyle name="Normal 3 2 2 2 3 2 3" xfId="38987" xr:uid="{00000000-0005-0000-0000-0000A35C0000}"/>
    <cellStyle name="Normal 3 2 2 2 3 3" xfId="9853" xr:uid="{00000000-0005-0000-0000-0000A45C0000}"/>
    <cellStyle name="Normal 3 2 2 2 3 3 2" xfId="35410" xr:uid="{00000000-0005-0000-0000-0000A55C0000}"/>
    <cellStyle name="Normal 3 2 2 2 3 4" xfId="18676" xr:uid="{00000000-0005-0000-0000-0000A65C0000}"/>
    <cellStyle name="Normal 3 2 2 2 3 4 2" xfId="44229" xr:uid="{00000000-0005-0000-0000-0000A75C0000}"/>
    <cellStyle name="Normal 3 2 2 2 3 5" xfId="30166" xr:uid="{00000000-0005-0000-0000-0000A85C0000}"/>
    <cellStyle name="Normal 3 2 2 2 4" xfId="2205" xr:uid="{00000000-0005-0000-0000-0000A95C0000}"/>
    <cellStyle name="Normal 3 2 2 2 4 2" xfId="11570" xr:uid="{00000000-0005-0000-0000-0000AA5C0000}"/>
    <cellStyle name="Normal 3 2 2 2 4 2 2" xfId="37125" xr:uid="{00000000-0005-0000-0000-0000AB5C0000}"/>
    <cellStyle name="Normal 3 2 2 2 4 3" xfId="21574" xr:uid="{00000000-0005-0000-0000-0000AC5C0000}"/>
    <cellStyle name="Normal 3 2 2 2 4 3 2" xfId="47127" xr:uid="{00000000-0005-0000-0000-0000AD5C0000}"/>
    <cellStyle name="Normal 3 2 2 2 4 4" xfId="28057" xr:uid="{00000000-0005-0000-0000-0000AE5C0000}"/>
    <cellStyle name="Normal 3 2 2 2 5" xfId="6050" xr:uid="{00000000-0005-0000-0000-0000AF5C0000}"/>
    <cellStyle name="Normal 3 2 2 2 5 2" xfId="14877" xr:uid="{00000000-0005-0000-0000-0000B05C0000}"/>
    <cellStyle name="Normal 3 2 2 2 5 2 2" xfId="40432" xr:uid="{00000000-0005-0000-0000-0000B15C0000}"/>
    <cellStyle name="Normal 3 2 2 2 5 3" xfId="25128" xr:uid="{00000000-0005-0000-0000-0000B25C0000}"/>
    <cellStyle name="Normal 3 2 2 2 5 3 2" xfId="50681" xr:uid="{00000000-0005-0000-0000-0000B35C0000}"/>
    <cellStyle name="Normal 3 2 2 2 5 4" xfId="31611" xr:uid="{00000000-0005-0000-0000-0000B45C0000}"/>
    <cellStyle name="Normal 3 2 2 2 6" xfId="7495" xr:uid="{00000000-0005-0000-0000-0000B55C0000}"/>
    <cellStyle name="Normal 3 2 2 2 6 2" xfId="20056" xr:uid="{00000000-0005-0000-0000-0000B65C0000}"/>
    <cellStyle name="Normal 3 2 2 2 6 2 2" xfId="45609" xr:uid="{00000000-0005-0000-0000-0000B75C0000}"/>
    <cellStyle name="Normal 3 2 2 2 6 3" xfId="33052" xr:uid="{00000000-0005-0000-0000-0000B85C0000}"/>
    <cellStyle name="Normal 3 2 2 2 7" xfId="16567" xr:uid="{00000000-0005-0000-0000-0000B95C0000}"/>
    <cellStyle name="Normal 3 2 2 2 7 2" xfId="42120" xr:uid="{00000000-0005-0000-0000-0000BA5C0000}"/>
    <cellStyle name="Normal 3 2 2 2 8" xfId="26539" xr:uid="{00000000-0005-0000-0000-0000BB5C0000}"/>
    <cellStyle name="Normal 3 2 2 3" xfId="780" xr:uid="{00000000-0005-0000-0000-0000BC5C0000}"/>
    <cellStyle name="Normal 3 2 2 3 2" xfId="3265" xr:uid="{00000000-0005-0000-0000-0000BD5C0000}"/>
    <cellStyle name="Normal 3 2 2 3 2 2" xfId="12407" xr:uid="{00000000-0005-0000-0000-0000BE5C0000}"/>
    <cellStyle name="Normal 3 2 2 3 2 2 2" xfId="22626" xr:uid="{00000000-0005-0000-0000-0000BF5C0000}"/>
    <cellStyle name="Normal 3 2 2 3 2 2 2 2" xfId="48179" xr:uid="{00000000-0005-0000-0000-0000C05C0000}"/>
    <cellStyle name="Normal 3 2 2 3 2 2 3" xfId="37962" xr:uid="{00000000-0005-0000-0000-0000C15C0000}"/>
    <cellStyle name="Normal 3 2 2 3 2 3" xfId="8829" xr:uid="{00000000-0005-0000-0000-0000C25C0000}"/>
    <cellStyle name="Normal 3 2 2 3 2 3 2" xfId="34386" xr:uid="{00000000-0005-0000-0000-0000C35C0000}"/>
    <cellStyle name="Normal 3 2 2 3 2 4" xfId="17619" xr:uid="{00000000-0005-0000-0000-0000C45C0000}"/>
    <cellStyle name="Normal 3 2 2 3 2 4 2" xfId="43172" xr:uid="{00000000-0005-0000-0000-0000C55C0000}"/>
    <cellStyle name="Normal 3 2 2 3 2 5" xfId="29109" xr:uid="{00000000-0005-0000-0000-0000C65C0000}"/>
    <cellStyle name="Normal 3 2 2 3 3" xfId="4943" xr:uid="{00000000-0005-0000-0000-0000C75C0000}"/>
    <cellStyle name="Normal 3 2 2 3 3 2" xfId="13780" xr:uid="{00000000-0005-0000-0000-0000C85C0000}"/>
    <cellStyle name="Normal 3 2 2 3 3 2 2" xfId="24031" xr:uid="{00000000-0005-0000-0000-0000C95C0000}"/>
    <cellStyle name="Normal 3 2 2 3 3 2 2 2" xfId="49584" xr:uid="{00000000-0005-0000-0000-0000CA5C0000}"/>
    <cellStyle name="Normal 3 2 2 3 3 2 3" xfId="39335" xr:uid="{00000000-0005-0000-0000-0000CB5C0000}"/>
    <cellStyle name="Normal 3 2 2 3 3 3" xfId="10201" xr:uid="{00000000-0005-0000-0000-0000CC5C0000}"/>
    <cellStyle name="Normal 3 2 2 3 3 3 2" xfId="35758" xr:uid="{00000000-0005-0000-0000-0000CD5C0000}"/>
    <cellStyle name="Normal 3 2 2 3 3 4" xfId="19024" xr:uid="{00000000-0005-0000-0000-0000CE5C0000}"/>
    <cellStyle name="Normal 3 2 2 3 3 4 2" xfId="44577" xr:uid="{00000000-0005-0000-0000-0000CF5C0000}"/>
    <cellStyle name="Normal 3 2 2 3 3 5" xfId="30514" xr:uid="{00000000-0005-0000-0000-0000D05C0000}"/>
    <cellStyle name="Normal 3 2 2 3 4" xfId="2374" xr:uid="{00000000-0005-0000-0000-0000D15C0000}"/>
    <cellStyle name="Normal 3 2 2 3 4 2" xfId="11739" xr:uid="{00000000-0005-0000-0000-0000D25C0000}"/>
    <cellStyle name="Normal 3 2 2 3 4 2 2" xfId="37294" xr:uid="{00000000-0005-0000-0000-0000D35C0000}"/>
    <cellStyle name="Normal 3 2 2 3 4 3" xfId="21743" xr:uid="{00000000-0005-0000-0000-0000D45C0000}"/>
    <cellStyle name="Normal 3 2 2 3 4 3 2" xfId="47296" xr:uid="{00000000-0005-0000-0000-0000D55C0000}"/>
    <cellStyle name="Normal 3 2 2 3 4 4" xfId="28226" xr:uid="{00000000-0005-0000-0000-0000D65C0000}"/>
    <cellStyle name="Normal 3 2 2 3 5" xfId="6398" xr:uid="{00000000-0005-0000-0000-0000D75C0000}"/>
    <cellStyle name="Normal 3 2 2 3 5 2" xfId="15225" xr:uid="{00000000-0005-0000-0000-0000D85C0000}"/>
    <cellStyle name="Normal 3 2 2 3 5 2 2" xfId="40780" xr:uid="{00000000-0005-0000-0000-0000D95C0000}"/>
    <cellStyle name="Normal 3 2 2 3 5 3" xfId="25476" xr:uid="{00000000-0005-0000-0000-0000DA5C0000}"/>
    <cellStyle name="Normal 3 2 2 3 5 3 2" xfId="51029" xr:uid="{00000000-0005-0000-0000-0000DB5C0000}"/>
    <cellStyle name="Normal 3 2 2 3 5 4" xfId="31959" xr:uid="{00000000-0005-0000-0000-0000DC5C0000}"/>
    <cellStyle name="Normal 3 2 2 3 6" xfId="7844" xr:uid="{00000000-0005-0000-0000-0000DD5C0000}"/>
    <cellStyle name="Normal 3 2 2 3 6 2" xfId="20225" xr:uid="{00000000-0005-0000-0000-0000DE5C0000}"/>
    <cellStyle name="Normal 3 2 2 3 6 2 2" xfId="45778" xr:uid="{00000000-0005-0000-0000-0000DF5C0000}"/>
    <cellStyle name="Normal 3 2 2 3 6 3" xfId="33401" xr:uid="{00000000-0005-0000-0000-0000E05C0000}"/>
    <cellStyle name="Normal 3 2 2 3 7" xfId="16736" xr:uid="{00000000-0005-0000-0000-0000E15C0000}"/>
    <cellStyle name="Normal 3 2 2 3 7 2" xfId="42289" xr:uid="{00000000-0005-0000-0000-0000E25C0000}"/>
    <cellStyle name="Normal 3 2 2 3 8" xfId="26708" xr:uid="{00000000-0005-0000-0000-0000E35C0000}"/>
    <cellStyle name="Normal 3 2 2 4" xfId="1382" xr:uid="{00000000-0005-0000-0000-0000E45C0000}"/>
    <cellStyle name="Normal 3 2 2 4 2" xfId="3811" xr:uid="{00000000-0005-0000-0000-0000E55C0000}"/>
    <cellStyle name="Normal 3 2 2 4 2 2" xfId="12947" xr:uid="{00000000-0005-0000-0000-0000E65C0000}"/>
    <cellStyle name="Normal 3 2 2 4 2 2 2" xfId="23166" xr:uid="{00000000-0005-0000-0000-0000E75C0000}"/>
    <cellStyle name="Normal 3 2 2 4 2 2 2 2" xfId="48719" xr:uid="{00000000-0005-0000-0000-0000E85C0000}"/>
    <cellStyle name="Normal 3 2 2 4 2 2 3" xfId="38502" xr:uid="{00000000-0005-0000-0000-0000E95C0000}"/>
    <cellStyle name="Normal 3 2 2 4 2 3" xfId="9368" xr:uid="{00000000-0005-0000-0000-0000EA5C0000}"/>
    <cellStyle name="Normal 3 2 2 4 2 3 2" xfId="34925" xr:uid="{00000000-0005-0000-0000-0000EB5C0000}"/>
    <cellStyle name="Normal 3 2 2 4 2 4" xfId="18159" xr:uid="{00000000-0005-0000-0000-0000EC5C0000}"/>
    <cellStyle name="Normal 3 2 2 4 2 4 2" xfId="43712" xr:uid="{00000000-0005-0000-0000-0000ED5C0000}"/>
    <cellStyle name="Normal 3 2 2 4 2 5" xfId="29649" xr:uid="{00000000-0005-0000-0000-0000EE5C0000}"/>
    <cellStyle name="Normal 3 2 2 4 3" xfId="5474" xr:uid="{00000000-0005-0000-0000-0000EF5C0000}"/>
    <cellStyle name="Normal 3 2 2 4 3 2" xfId="14311" xr:uid="{00000000-0005-0000-0000-0000F05C0000}"/>
    <cellStyle name="Normal 3 2 2 4 3 2 2" xfId="24562" xr:uid="{00000000-0005-0000-0000-0000F15C0000}"/>
    <cellStyle name="Normal 3 2 2 4 3 2 2 2" xfId="50115" xr:uid="{00000000-0005-0000-0000-0000F25C0000}"/>
    <cellStyle name="Normal 3 2 2 4 3 2 3" xfId="39866" xr:uid="{00000000-0005-0000-0000-0000F35C0000}"/>
    <cellStyle name="Normal 3 2 2 4 3 3" xfId="10732" xr:uid="{00000000-0005-0000-0000-0000F45C0000}"/>
    <cellStyle name="Normal 3 2 2 4 3 3 2" xfId="36289" xr:uid="{00000000-0005-0000-0000-0000F55C0000}"/>
    <cellStyle name="Normal 3 2 2 4 3 4" xfId="19555" xr:uid="{00000000-0005-0000-0000-0000F65C0000}"/>
    <cellStyle name="Normal 3 2 2 4 3 4 2" xfId="45108" xr:uid="{00000000-0005-0000-0000-0000F75C0000}"/>
    <cellStyle name="Normal 3 2 2 4 3 5" xfId="31045" xr:uid="{00000000-0005-0000-0000-0000F85C0000}"/>
    <cellStyle name="Normal 3 2 2 4 4" xfId="1886" xr:uid="{00000000-0005-0000-0000-0000F95C0000}"/>
    <cellStyle name="Normal 3 2 2 4 4 2" xfId="11253" xr:uid="{00000000-0005-0000-0000-0000FA5C0000}"/>
    <cellStyle name="Normal 3 2 2 4 4 2 2" xfId="36808" xr:uid="{00000000-0005-0000-0000-0000FB5C0000}"/>
    <cellStyle name="Normal 3 2 2 4 4 3" xfId="21257" xr:uid="{00000000-0005-0000-0000-0000FC5C0000}"/>
    <cellStyle name="Normal 3 2 2 4 4 3 2" xfId="46810" xr:uid="{00000000-0005-0000-0000-0000FD5C0000}"/>
    <cellStyle name="Normal 3 2 2 4 4 4" xfId="27740" xr:uid="{00000000-0005-0000-0000-0000FE5C0000}"/>
    <cellStyle name="Normal 3 2 2 4 5" xfId="6929" xr:uid="{00000000-0005-0000-0000-0000FF5C0000}"/>
    <cellStyle name="Normal 3 2 2 4 5 2" xfId="15756" xr:uid="{00000000-0005-0000-0000-0000005D0000}"/>
    <cellStyle name="Normal 3 2 2 4 5 2 2" xfId="41311" xr:uid="{00000000-0005-0000-0000-0000015D0000}"/>
    <cellStyle name="Normal 3 2 2 4 5 3" xfId="26007" xr:uid="{00000000-0005-0000-0000-0000025D0000}"/>
    <cellStyle name="Normal 3 2 2 4 5 3 2" xfId="51560" xr:uid="{00000000-0005-0000-0000-0000035D0000}"/>
    <cellStyle name="Normal 3 2 2 4 5 4" xfId="32490" xr:uid="{00000000-0005-0000-0000-0000045D0000}"/>
    <cellStyle name="Normal 3 2 2 4 6" xfId="8375" xr:uid="{00000000-0005-0000-0000-0000055D0000}"/>
    <cellStyle name="Normal 3 2 2 4 6 2" xfId="20765" xr:uid="{00000000-0005-0000-0000-0000065D0000}"/>
    <cellStyle name="Normal 3 2 2 4 6 2 2" xfId="46318" xr:uid="{00000000-0005-0000-0000-0000075D0000}"/>
    <cellStyle name="Normal 3 2 2 4 6 3" xfId="33932" xr:uid="{00000000-0005-0000-0000-0000085D0000}"/>
    <cellStyle name="Normal 3 2 2 4 7" xfId="16250" xr:uid="{00000000-0005-0000-0000-0000095D0000}"/>
    <cellStyle name="Normal 3 2 2 4 7 2" xfId="41803" xr:uid="{00000000-0005-0000-0000-00000A5D0000}"/>
    <cellStyle name="Normal 3 2 2 4 8" xfId="27248" xr:uid="{00000000-0005-0000-0000-00000B5D0000}"/>
    <cellStyle name="Normal 3 2 2 5" xfId="2779" xr:uid="{00000000-0005-0000-0000-00000C5D0000}"/>
    <cellStyle name="Normal 3 2 2 5 2" xfId="12096" xr:uid="{00000000-0005-0000-0000-00000D5D0000}"/>
    <cellStyle name="Normal 3 2 2 5 2 2" xfId="22140" xr:uid="{00000000-0005-0000-0000-00000E5D0000}"/>
    <cellStyle name="Normal 3 2 2 5 2 2 2" xfId="47693" xr:uid="{00000000-0005-0000-0000-00000F5D0000}"/>
    <cellStyle name="Normal 3 2 2 5 2 3" xfId="37651" xr:uid="{00000000-0005-0000-0000-0000105D0000}"/>
    <cellStyle name="Normal 3 2 2 5 3" xfId="8402" xr:uid="{00000000-0005-0000-0000-0000115D0000}"/>
    <cellStyle name="Normal 3 2 2 5 3 2" xfId="33959" xr:uid="{00000000-0005-0000-0000-0000125D0000}"/>
    <cellStyle name="Normal 3 2 2 5 4" xfId="17133" xr:uid="{00000000-0005-0000-0000-0000135D0000}"/>
    <cellStyle name="Normal 3 2 2 5 4 2" xfId="42686" xr:uid="{00000000-0005-0000-0000-0000145D0000}"/>
    <cellStyle name="Normal 3 2 2 5 5" xfId="28623" xr:uid="{00000000-0005-0000-0000-0000155D0000}"/>
    <cellStyle name="Normal 3 2 2 6" xfId="4430" xr:uid="{00000000-0005-0000-0000-0000165D0000}"/>
    <cellStyle name="Normal 3 2 2 6 2" xfId="13268" xr:uid="{00000000-0005-0000-0000-0000175D0000}"/>
    <cellStyle name="Normal 3 2 2 6 2 2" xfId="23519" xr:uid="{00000000-0005-0000-0000-0000185D0000}"/>
    <cellStyle name="Normal 3 2 2 6 2 2 2" xfId="49072" xr:uid="{00000000-0005-0000-0000-0000195D0000}"/>
    <cellStyle name="Normal 3 2 2 6 2 3" xfId="38823" xr:uid="{00000000-0005-0000-0000-00001A5D0000}"/>
    <cellStyle name="Normal 3 2 2 6 3" xfId="9689" xr:uid="{00000000-0005-0000-0000-00001B5D0000}"/>
    <cellStyle name="Normal 3 2 2 6 3 2" xfId="35246" xr:uid="{00000000-0005-0000-0000-00001C5D0000}"/>
    <cellStyle name="Normal 3 2 2 6 4" xfId="18512" xr:uid="{00000000-0005-0000-0000-00001D5D0000}"/>
    <cellStyle name="Normal 3 2 2 6 4 2" xfId="44065" xr:uid="{00000000-0005-0000-0000-00001E5D0000}"/>
    <cellStyle name="Normal 3 2 2 6 5" xfId="30002" xr:uid="{00000000-0005-0000-0000-00001F5D0000}"/>
    <cellStyle name="Normal 3 2 2 7" xfId="1702" xr:uid="{00000000-0005-0000-0000-0000205D0000}"/>
    <cellStyle name="Normal 3 2 2 7 2" xfId="11079" xr:uid="{00000000-0005-0000-0000-0000215D0000}"/>
    <cellStyle name="Normal 3 2 2 7 2 2" xfId="36634" xr:uid="{00000000-0005-0000-0000-0000225D0000}"/>
    <cellStyle name="Normal 3 2 2 7 3" xfId="21083" xr:uid="{00000000-0005-0000-0000-0000235D0000}"/>
    <cellStyle name="Normal 3 2 2 7 3 2" xfId="46636" xr:uid="{00000000-0005-0000-0000-0000245D0000}"/>
    <cellStyle name="Normal 3 2 2 7 4" xfId="27566" xr:uid="{00000000-0005-0000-0000-0000255D0000}"/>
    <cellStyle name="Normal 3 2 2 8" xfId="5886" xr:uid="{00000000-0005-0000-0000-0000265D0000}"/>
    <cellStyle name="Normal 3 2 2 8 2" xfId="14713" xr:uid="{00000000-0005-0000-0000-0000275D0000}"/>
    <cellStyle name="Normal 3 2 2 8 2 2" xfId="40268" xr:uid="{00000000-0005-0000-0000-0000285D0000}"/>
    <cellStyle name="Normal 3 2 2 8 3" xfId="24964" xr:uid="{00000000-0005-0000-0000-0000295D0000}"/>
    <cellStyle name="Normal 3 2 2 8 3 2" xfId="50517" xr:uid="{00000000-0005-0000-0000-00002A5D0000}"/>
    <cellStyle name="Normal 3 2 2 8 4" xfId="31447" xr:uid="{00000000-0005-0000-0000-00002B5D0000}"/>
    <cellStyle name="Normal 3 2 2 9" xfId="7330" xr:uid="{00000000-0005-0000-0000-00002C5D0000}"/>
    <cellStyle name="Normal 3 2 2 9 2" xfId="19739" xr:uid="{00000000-0005-0000-0000-00002D5D0000}"/>
    <cellStyle name="Normal 3 2 2 9 2 2" xfId="45292" xr:uid="{00000000-0005-0000-0000-00002E5D0000}"/>
    <cellStyle name="Normal 3 2 2 9 3" xfId="32887" xr:uid="{00000000-0005-0000-0000-00002F5D0000}"/>
    <cellStyle name="Normal 3 2 2_Degree data" xfId="2602" xr:uid="{00000000-0005-0000-0000-0000305D0000}"/>
    <cellStyle name="Normal 3 3" xfId="147" xr:uid="{00000000-0005-0000-0000-0000315D0000}"/>
    <cellStyle name="Normal 30" xfId="68" xr:uid="{00000000-0005-0000-0000-0000325D0000}"/>
    <cellStyle name="Normal 31" xfId="69" xr:uid="{00000000-0005-0000-0000-0000335D0000}"/>
    <cellStyle name="Normal 32" xfId="70" xr:uid="{00000000-0005-0000-0000-0000345D0000}"/>
    <cellStyle name="Normal 33" xfId="71" xr:uid="{00000000-0005-0000-0000-0000355D0000}"/>
    <cellStyle name="Normal 34" xfId="72" xr:uid="{00000000-0005-0000-0000-0000365D0000}"/>
    <cellStyle name="Normal 35" xfId="73" xr:uid="{00000000-0005-0000-0000-0000375D0000}"/>
    <cellStyle name="Normal 36" xfId="74" xr:uid="{00000000-0005-0000-0000-0000385D0000}"/>
    <cellStyle name="Normal 37" xfId="75" xr:uid="{00000000-0005-0000-0000-0000395D0000}"/>
    <cellStyle name="Normal 38" xfId="13" xr:uid="{00000000-0005-0000-0000-00003A5D0000}"/>
    <cellStyle name="Normal 39" xfId="76" xr:uid="{00000000-0005-0000-0000-00003B5D0000}"/>
    <cellStyle name="Normal 4" xfId="20" xr:uid="{00000000-0005-0000-0000-00003C5D0000}"/>
    <cellStyle name="Normal 4 2" xfId="107" xr:uid="{00000000-0005-0000-0000-00003D5D0000}"/>
    <cellStyle name="Normal 4 2 2" xfId="290" xr:uid="{00000000-0005-0000-0000-00003E5D0000}"/>
    <cellStyle name="Normal 4 3" xfId="21" xr:uid="{00000000-0005-0000-0000-00003F5D0000}"/>
    <cellStyle name="Normal 4 4" xfId="285" xr:uid="{00000000-0005-0000-0000-0000405D0000}"/>
    <cellStyle name="Normal 4 4 10" xfId="16073" xr:uid="{00000000-0005-0000-0000-0000415D0000}"/>
    <cellStyle name="Normal 4 4 10 2" xfId="41626" xr:uid="{00000000-0005-0000-0000-0000425D0000}"/>
    <cellStyle name="Normal 4 4 11" xfId="26219" xr:uid="{00000000-0005-0000-0000-0000435D0000}"/>
    <cellStyle name="Normal 4 4 2" xfId="607" xr:uid="{00000000-0005-0000-0000-0000445D0000}"/>
    <cellStyle name="Normal 4 4 2 2" xfId="3093" xr:uid="{00000000-0005-0000-0000-0000455D0000}"/>
    <cellStyle name="Normal 4 4 2 2 2" xfId="12236" xr:uid="{00000000-0005-0000-0000-0000465D0000}"/>
    <cellStyle name="Normal 4 4 2 2 2 2" xfId="22454" xr:uid="{00000000-0005-0000-0000-0000475D0000}"/>
    <cellStyle name="Normal 4 4 2 2 2 2 2" xfId="48007" xr:uid="{00000000-0005-0000-0000-0000485D0000}"/>
    <cellStyle name="Normal 4 4 2 2 2 3" xfId="37791" xr:uid="{00000000-0005-0000-0000-0000495D0000}"/>
    <cellStyle name="Normal 4 4 2 2 3" xfId="8658" xr:uid="{00000000-0005-0000-0000-00004A5D0000}"/>
    <cellStyle name="Normal 4 4 2 2 3 2" xfId="34215" xr:uid="{00000000-0005-0000-0000-00004B5D0000}"/>
    <cellStyle name="Normal 4 4 2 2 4" xfId="17447" xr:uid="{00000000-0005-0000-0000-00004C5D0000}"/>
    <cellStyle name="Normal 4 4 2 2 4 2" xfId="43000" xr:uid="{00000000-0005-0000-0000-00004D5D0000}"/>
    <cellStyle name="Normal 4 4 2 2 5" xfId="28937" xr:uid="{00000000-0005-0000-0000-00004E5D0000}"/>
    <cellStyle name="Normal 4 4 2 3" xfId="4595" xr:uid="{00000000-0005-0000-0000-00004F5D0000}"/>
    <cellStyle name="Normal 4 4 2 3 2" xfId="13433" xr:uid="{00000000-0005-0000-0000-0000505D0000}"/>
    <cellStyle name="Normal 4 4 2 3 2 2" xfId="23684" xr:uid="{00000000-0005-0000-0000-0000515D0000}"/>
    <cellStyle name="Normal 4 4 2 3 2 2 2" xfId="49237" xr:uid="{00000000-0005-0000-0000-0000525D0000}"/>
    <cellStyle name="Normal 4 4 2 3 2 3" xfId="38988" xr:uid="{00000000-0005-0000-0000-0000535D0000}"/>
    <cellStyle name="Normal 4 4 2 3 3" xfId="9854" xr:uid="{00000000-0005-0000-0000-0000545D0000}"/>
    <cellStyle name="Normal 4 4 2 3 3 2" xfId="35411" xr:uid="{00000000-0005-0000-0000-0000555D0000}"/>
    <cellStyle name="Normal 4 4 2 3 4" xfId="18677" xr:uid="{00000000-0005-0000-0000-0000565D0000}"/>
    <cellStyle name="Normal 4 4 2 3 4 2" xfId="44230" xr:uid="{00000000-0005-0000-0000-0000575D0000}"/>
    <cellStyle name="Normal 4 4 2 3 5" xfId="30167" xr:uid="{00000000-0005-0000-0000-0000585D0000}"/>
    <cellStyle name="Normal 4 4 2 4" xfId="2202" xr:uid="{00000000-0005-0000-0000-0000595D0000}"/>
    <cellStyle name="Normal 4 4 2 4 2" xfId="11567" xr:uid="{00000000-0005-0000-0000-00005A5D0000}"/>
    <cellStyle name="Normal 4 4 2 4 2 2" xfId="37122" xr:uid="{00000000-0005-0000-0000-00005B5D0000}"/>
    <cellStyle name="Normal 4 4 2 4 3" xfId="21571" xr:uid="{00000000-0005-0000-0000-00005C5D0000}"/>
    <cellStyle name="Normal 4 4 2 4 3 2" xfId="47124" xr:uid="{00000000-0005-0000-0000-00005D5D0000}"/>
    <cellStyle name="Normal 4 4 2 4 4" xfId="28054" xr:uid="{00000000-0005-0000-0000-00005E5D0000}"/>
    <cellStyle name="Normal 4 4 2 5" xfId="6051" xr:uid="{00000000-0005-0000-0000-00005F5D0000}"/>
    <cellStyle name="Normal 4 4 2 5 2" xfId="14878" xr:uid="{00000000-0005-0000-0000-0000605D0000}"/>
    <cellStyle name="Normal 4 4 2 5 2 2" xfId="40433" xr:uid="{00000000-0005-0000-0000-0000615D0000}"/>
    <cellStyle name="Normal 4 4 2 5 3" xfId="25129" xr:uid="{00000000-0005-0000-0000-0000625D0000}"/>
    <cellStyle name="Normal 4 4 2 5 3 2" xfId="50682" xr:uid="{00000000-0005-0000-0000-0000635D0000}"/>
    <cellStyle name="Normal 4 4 2 5 4" xfId="31612" xr:uid="{00000000-0005-0000-0000-0000645D0000}"/>
    <cellStyle name="Normal 4 4 2 6" xfId="7496" xr:uid="{00000000-0005-0000-0000-0000655D0000}"/>
    <cellStyle name="Normal 4 4 2 6 2" xfId="20053" xr:uid="{00000000-0005-0000-0000-0000665D0000}"/>
    <cellStyle name="Normal 4 4 2 6 2 2" xfId="45606" xr:uid="{00000000-0005-0000-0000-0000675D0000}"/>
    <cellStyle name="Normal 4 4 2 6 3" xfId="33053" xr:uid="{00000000-0005-0000-0000-0000685D0000}"/>
    <cellStyle name="Normal 4 4 2 7" xfId="16564" xr:uid="{00000000-0005-0000-0000-0000695D0000}"/>
    <cellStyle name="Normal 4 4 2 7 2" xfId="42117" xr:uid="{00000000-0005-0000-0000-00006A5D0000}"/>
    <cellStyle name="Normal 4 4 2 8" xfId="26536" xr:uid="{00000000-0005-0000-0000-00006B5D0000}"/>
    <cellStyle name="Normal 4 4 3" xfId="781" xr:uid="{00000000-0005-0000-0000-00006C5D0000}"/>
    <cellStyle name="Normal 4 4 3 2" xfId="3266" xr:uid="{00000000-0005-0000-0000-00006D5D0000}"/>
    <cellStyle name="Normal 4 4 3 2 2" xfId="12408" xr:uid="{00000000-0005-0000-0000-00006E5D0000}"/>
    <cellStyle name="Normal 4 4 3 2 2 2" xfId="22627" xr:uid="{00000000-0005-0000-0000-00006F5D0000}"/>
    <cellStyle name="Normal 4 4 3 2 2 2 2" xfId="48180" xr:uid="{00000000-0005-0000-0000-0000705D0000}"/>
    <cellStyle name="Normal 4 4 3 2 2 3" xfId="37963" xr:uid="{00000000-0005-0000-0000-0000715D0000}"/>
    <cellStyle name="Normal 4 4 3 2 3" xfId="8830" xr:uid="{00000000-0005-0000-0000-0000725D0000}"/>
    <cellStyle name="Normal 4 4 3 2 3 2" xfId="34387" xr:uid="{00000000-0005-0000-0000-0000735D0000}"/>
    <cellStyle name="Normal 4 4 3 2 4" xfId="17620" xr:uid="{00000000-0005-0000-0000-0000745D0000}"/>
    <cellStyle name="Normal 4 4 3 2 4 2" xfId="43173" xr:uid="{00000000-0005-0000-0000-0000755D0000}"/>
    <cellStyle name="Normal 4 4 3 2 5" xfId="29110" xr:uid="{00000000-0005-0000-0000-0000765D0000}"/>
    <cellStyle name="Normal 4 4 3 3" xfId="4944" xr:uid="{00000000-0005-0000-0000-0000775D0000}"/>
    <cellStyle name="Normal 4 4 3 3 2" xfId="13781" xr:uid="{00000000-0005-0000-0000-0000785D0000}"/>
    <cellStyle name="Normal 4 4 3 3 2 2" xfId="24032" xr:uid="{00000000-0005-0000-0000-0000795D0000}"/>
    <cellStyle name="Normal 4 4 3 3 2 2 2" xfId="49585" xr:uid="{00000000-0005-0000-0000-00007A5D0000}"/>
    <cellStyle name="Normal 4 4 3 3 2 3" xfId="39336" xr:uid="{00000000-0005-0000-0000-00007B5D0000}"/>
    <cellStyle name="Normal 4 4 3 3 3" xfId="10202" xr:uid="{00000000-0005-0000-0000-00007C5D0000}"/>
    <cellStyle name="Normal 4 4 3 3 3 2" xfId="35759" xr:uid="{00000000-0005-0000-0000-00007D5D0000}"/>
    <cellStyle name="Normal 4 4 3 3 4" xfId="19025" xr:uid="{00000000-0005-0000-0000-00007E5D0000}"/>
    <cellStyle name="Normal 4 4 3 3 4 2" xfId="44578" xr:uid="{00000000-0005-0000-0000-00007F5D0000}"/>
    <cellStyle name="Normal 4 4 3 3 5" xfId="30515" xr:uid="{00000000-0005-0000-0000-0000805D0000}"/>
    <cellStyle name="Normal 4 4 3 4" xfId="2375" xr:uid="{00000000-0005-0000-0000-0000815D0000}"/>
    <cellStyle name="Normal 4 4 3 4 2" xfId="11740" xr:uid="{00000000-0005-0000-0000-0000825D0000}"/>
    <cellStyle name="Normal 4 4 3 4 2 2" xfId="37295" xr:uid="{00000000-0005-0000-0000-0000835D0000}"/>
    <cellStyle name="Normal 4 4 3 4 3" xfId="21744" xr:uid="{00000000-0005-0000-0000-0000845D0000}"/>
    <cellStyle name="Normal 4 4 3 4 3 2" xfId="47297" xr:uid="{00000000-0005-0000-0000-0000855D0000}"/>
    <cellStyle name="Normal 4 4 3 4 4" xfId="28227" xr:uid="{00000000-0005-0000-0000-0000865D0000}"/>
    <cellStyle name="Normal 4 4 3 5" xfId="6399" xr:uid="{00000000-0005-0000-0000-0000875D0000}"/>
    <cellStyle name="Normal 4 4 3 5 2" xfId="15226" xr:uid="{00000000-0005-0000-0000-0000885D0000}"/>
    <cellStyle name="Normal 4 4 3 5 2 2" xfId="40781" xr:uid="{00000000-0005-0000-0000-0000895D0000}"/>
    <cellStyle name="Normal 4 4 3 5 3" xfId="25477" xr:uid="{00000000-0005-0000-0000-00008A5D0000}"/>
    <cellStyle name="Normal 4 4 3 5 3 2" xfId="51030" xr:uid="{00000000-0005-0000-0000-00008B5D0000}"/>
    <cellStyle name="Normal 4 4 3 5 4" xfId="31960" xr:uid="{00000000-0005-0000-0000-00008C5D0000}"/>
    <cellStyle name="Normal 4 4 3 6" xfId="7845" xr:uid="{00000000-0005-0000-0000-00008D5D0000}"/>
    <cellStyle name="Normal 4 4 3 6 2" xfId="20226" xr:uid="{00000000-0005-0000-0000-00008E5D0000}"/>
    <cellStyle name="Normal 4 4 3 6 2 2" xfId="45779" xr:uid="{00000000-0005-0000-0000-00008F5D0000}"/>
    <cellStyle name="Normal 4 4 3 6 3" xfId="33402" xr:uid="{00000000-0005-0000-0000-0000905D0000}"/>
    <cellStyle name="Normal 4 4 3 7" xfId="16737" xr:uid="{00000000-0005-0000-0000-0000915D0000}"/>
    <cellStyle name="Normal 4 4 3 7 2" xfId="42290" xr:uid="{00000000-0005-0000-0000-0000925D0000}"/>
    <cellStyle name="Normal 4 4 3 8" xfId="26709" xr:uid="{00000000-0005-0000-0000-0000935D0000}"/>
    <cellStyle name="Normal 4 4 4" xfId="1379" xr:uid="{00000000-0005-0000-0000-0000945D0000}"/>
    <cellStyle name="Normal 4 4 4 2" xfId="3808" xr:uid="{00000000-0005-0000-0000-0000955D0000}"/>
    <cellStyle name="Normal 4 4 4 2 2" xfId="12944" xr:uid="{00000000-0005-0000-0000-0000965D0000}"/>
    <cellStyle name="Normal 4 4 4 2 2 2" xfId="23163" xr:uid="{00000000-0005-0000-0000-0000975D0000}"/>
    <cellStyle name="Normal 4 4 4 2 2 2 2" xfId="48716" xr:uid="{00000000-0005-0000-0000-0000985D0000}"/>
    <cellStyle name="Normal 4 4 4 2 2 3" xfId="38499" xr:uid="{00000000-0005-0000-0000-0000995D0000}"/>
    <cellStyle name="Normal 4 4 4 2 3" xfId="9365" xr:uid="{00000000-0005-0000-0000-00009A5D0000}"/>
    <cellStyle name="Normal 4 4 4 2 3 2" xfId="34922" xr:uid="{00000000-0005-0000-0000-00009B5D0000}"/>
    <cellStyle name="Normal 4 4 4 2 4" xfId="18156" xr:uid="{00000000-0005-0000-0000-00009C5D0000}"/>
    <cellStyle name="Normal 4 4 4 2 4 2" xfId="43709" xr:uid="{00000000-0005-0000-0000-00009D5D0000}"/>
    <cellStyle name="Normal 4 4 4 2 5" xfId="29646" xr:uid="{00000000-0005-0000-0000-00009E5D0000}"/>
    <cellStyle name="Normal 4 4 4 3" xfId="5471" xr:uid="{00000000-0005-0000-0000-00009F5D0000}"/>
    <cellStyle name="Normal 4 4 4 3 2" xfId="14308" xr:uid="{00000000-0005-0000-0000-0000A05D0000}"/>
    <cellStyle name="Normal 4 4 4 3 2 2" xfId="24559" xr:uid="{00000000-0005-0000-0000-0000A15D0000}"/>
    <cellStyle name="Normal 4 4 4 3 2 2 2" xfId="50112" xr:uid="{00000000-0005-0000-0000-0000A25D0000}"/>
    <cellStyle name="Normal 4 4 4 3 2 3" xfId="39863" xr:uid="{00000000-0005-0000-0000-0000A35D0000}"/>
    <cellStyle name="Normal 4 4 4 3 3" xfId="10729" xr:uid="{00000000-0005-0000-0000-0000A45D0000}"/>
    <cellStyle name="Normal 4 4 4 3 3 2" xfId="36286" xr:uid="{00000000-0005-0000-0000-0000A55D0000}"/>
    <cellStyle name="Normal 4 4 4 3 4" xfId="19552" xr:uid="{00000000-0005-0000-0000-0000A65D0000}"/>
    <cellStyle name="Normal 4 4 4 3 4 2" xfId="45105" xr:uid="{00000000-0005-0000-0000-0000A75D0000}"/>
    <cellStyle name="Normal 4 4 4 3 5" xfId="31042" xr:uid="{00000000-0005-0000-0000-0000A85D0000}"/>
    <cellStyle name="Normal 4 4 4 4" xfId="1882" xr:uid="{00000000-0005-0000-0000-0000A95D0000}"/>
    <cellStyle name="Normal 4 4 4 4 2" xfId="11250" xr:uid="{00000000-0005-0000-0000-0000AA5D0000}"/>
    <cellStyle name="Normal 4 4 4 4 2 2" xfId="36805" xr:uid="{00000000-0005-0000-0000-0000AB5D0000}"/>
    <cellStyle name="Normal 4 4 4 4 3" xfId="21254" xr:uid="{00000000-0005-0000-0000-0000AC5D0000}"/>
    <cellStyle name="Normal 4 4 4 4 3 2" xfId="46807" xr:uid="{00000000-0005-0000-0000-0000AD5D0000}"/>
    <cellStyle name="Normal 4 4 4 4 4" xfId="27737" xr:uid="{00000000-0005-0000-0000-0000AE5D0000}"/>
    <cellStyle name="Normal 4 4 4 5" xfId="6926" xr:uid="{00000000-0005-0000-0000-0000AF5D0000}"/>
    <cellStyle name="Normal 4 4 4 5 2" xfId="15753" xr:uid="{00000000-0005-0000-0000-0000B05D0000}"/>
    <cellStyle name="Normal 4 4 4 5 2 2" xfId="41308" xr:uid="{00000000-0005-0000-0000-0000B15D0000}"/>
    <cellStyle name="Normal 4 4 4 5 3" xfId="26004" xr:uid="{00000000-0005-0000-0000-0000B25D0000}"/>
    <cellStyle name="Normal 4 4 4 5 3 2" xfId="51557" xr:uid="{00000000-0005-0000-0000-0000B35D0000}"/>
    <cellStyle name="Normal 4 4 4 5 4" xfId="32487" xr:uid="{00000000-0005-0000-0000-0000B45D0000}"/>
    <cellStyle name="Normal 4 4 4 6" xfId="8372" xr:uid="{00000000-0005-0000-0000-0000B55D0000}"/>
    <cellStyle name="Normal 4 4 4 6 2" xfId="20762" xr:uid="{00000000-0005-0000-0000-0000B65D0000}"/>
    <cellStyle name="Normal 4 4 4 6 2 2" xfId="46315" xr:uid="{00000000-0005-0000-0000-0000B75D0000}"/>
    <cellStyle name="Normal 4 4 4 6 3" xfId="33929" xr:uid="{00000000-0005-0000-0000-0000B85D0000}"/>
    <cellStyle name="Normal 4 4 4 7" xfId="16247" xr:uid="{00000000-0005-0000-0000-0000B95D0000}"/>
    <cellStyle name="Normal 4 4 4 7 2" xfId="41800" xr:uid="{00000000-0005-0000-0000-0000BA5D0000}"/>
    <cellStyle name="Normal 4 4 4 8" xfId="27245" xr:uid="{00000000-0005-0000-0000-0000BB5D0000}"/>
    <cellStyle name="Normal 4 4 5" xfId="2776" xr:uid="{00000000-0005-0000-0000-0000BC5D0000}"/>
    <cellStyle name="Normal 4 4 5 2" xfId="12093" xr:uid="{00000000-0005-0000-0000-0000BD5D0000}"/>
    <cellStyle name="Normal 4 4 5 2 2" xfId="22137" xr:uid="{00000000-0005-0000-0000-0000BE5D0000}"/>
    <cellStyle name="Normal 4 4 5 2 2 2" xfId="47690" xr:uid="{00000000-0005-0000-0000-0000BF5D0000}"/>
    <cellStyle name="Normal 4 4 5 2 3" xfId="37648" xr:uid="{00000000-0005-0000-0000-0000C05D0000}"/>
    <cellStyle name="Normal 4 4 5 3" xfId="8535" xr:uid="{00000000-0005-0000-0000-0000C15D0000}"/>
    <cellStyle name="Normal 4 4 5 3 2" xfId="34092" xr:uid="{00000000-0005-0000-0000-0000C25D0000}"/>
    <cellStyle name="Normal 4 4 5 4" xfId="17130" xr:uid="{00000000-0005-0000-0000-0000C35D0000}"/>
    <cellStyle name="Normal 4 4 5 4 2" xfId="42683" xr:uid="{00000000-0005-0000-0000-0000C45D0000}"/>
    <cellStyle name="Normal 4 4 5 5" xfId="28620" xr:uid="{00000000-0005-0000-0000-0000C55D0000}"/>
    <cellStyle name="Normal 4 4 6" xfId="4427" xr:uid="{00000000-0005-0000-0000-0000C65D0000}"/>
    <cellStyle name="Normal 4 4 6 2" xfId="13265" xr:uid="{00000000-0005-0000-0000-0000C75D0000}"/>
    <cellStyle name="Normal 4 4 6 2 2" xfId="23516" xr:uid="{00000000-0005-0000-0000-0000C85D0000}"/>
    <cellStyle name="Normal 4 4 6 2 2 2" xfId="49069" xr:uid="{00000000-0005-0000-0000-0000C95D0000}"/>
    <cellStyle name="Normal 4 4 6 2 3" xfId="38820" xr:uid="{00000000-0005-0000-0000-0000CA5D0000}"/>
    <cellStyle name="Normal 4 4 6 3" xfId="9686" xr:uid="{00000000-0005-0000-0000-0000CB5D0000}"/>
    <cellStyle name="Normal 4 4 6 3 2" xfId="35243" xr:uid="{00000000-0005-0000-0000-0000CC5D0000}"/>
    <cellStyle name="Normal 4 4 6 4" xfId="18509" xr:uid="{00000000-0005-0000-0000-0000CD5D0000}"/>
    <cellStyle name="Normal 4 4 6 4 2" xfId="44062" xr:uid="{00000000-0005-0000-0000-0000CE5D0000}"/>
    <cellStyle name="Normal 4 4 6 5" xfId="29999" xr:uid="{00000000-0005-0000-0000-0000CF5D0000}"/>
    <cellStyle name="Normal 4 4 7" xfId="1699" xr:uid="{00000000-0005-0000-0000-0000D05D0000}"/>
    <cellStyle name="Normal 4 4 7 2" xfId="11076" xr:uid="{00000000-0005-0000-0000-0000D15D0000}"/>
    <cellStyle name="Normal 4 4 7 2 2" xfId="36631" xr:uid="{00000000-0005-0000-0000-0000D25D0000}"/>
    <cellStyle name="Normal 4 4 7 3" xfId="21080" xr:uid="{00000000-0005-0000-0000-0000D35D0000}"/>
    <cellStyle name="Normal 4 4 7 3 2" xfId="46633" xr:uid="{00000000-0005-0000-0000-0000D45D0000}"/>
    <cellStyle name="Normal 4 4 7 4" xfId="27563" xr:uid="{00000000-0005-0000-0000-0000D55D0000}"/>
    <cellStyle name="Normal 4 4 8" xfId="5883" xr:uid="{00000000-0005-0000-0000-0000D65D0000}"/>
    <cellStyle name="Normal 4 4 8 2" xfId="14710" xr:uid="{00000000-0005-0000-0000-0000D75D0000}"/>
    <cellStyle name="Normal 4 4 8 2 2" xfId="40265" xr:uid="{00000000-0005-0000-0000-0000D85D0000}"/>
    <cellStyle name="Normal 4 4 8 3" xfId="24961" xr:uid="{00000000-0005-0000-0000-0000D95D0000}"/>
    <cellStyle name="Normal 4 4 8 3 2" xfId="50514" xr:uid="{00000000-0005-0000-0000-0000DA5D0000}"/>
    <cellStyle name="Normal 4 4 8 4" xfId="31444" xr:uid="{00000000-0005-0000-0000-0000DB5D0000}"/>
    <cellStyle name="Normal 4 4 9" xfId="7327" xr:uid="{00000000-0005-0000-0000-0000DC5D0000}"/>
    <cellStyle name="Normal 4 4 9 2" xfId="19736" xr:uid="{00000000-0005-0000-0000-0000DD5D0000}"/>
    <cellStyle name="Normal 4 4 9 2 2" xfId="45289" xr:uid="{00000000-0005-0000-0000-0000DE5D0000}"/>
    <cellStyle name="Normal 4 4 9 3" xfId="32884" xr:uid="{00000000-0005-0000-0000-0000DF5D0000}"/>
    <cellStyle name="Normal 4 4_Degree data" xfId="3916" xr:uid="{00000000-0005-0000-0000-0000E05D0000}"/>
    <cellStyle name="Normal 40" xfId="77" xr:uid="{00000000-0005-0000-0000-0000E15D0000}"/>
    <cellStyle name="Normal 41" xfId="78" xr:uid="{00000000-0005-0000-0000-0000E25D0000}"/>
    <cellStyle name="Normal 42" xfId="79" xr:uid="{00000000-0005-0000-0000-0000E35D0000}"/>
    <cellStyle name="Normal 43" xfId="80" xr:uid="{00000000-0005-0000-0000-0000E45D0000}"/>
    <cellStyle name="Normal 44" xfId="81" xr:uid="{00000000-0005-0000-0000-0000E55D0000}"/>
    <cellStyle name="Normal 45" xfId="82" xr:uid="{00000000-0005-0000-0000-0000E65D0000}"/>
    <cellStyle name="Normal 46" xfId="83" xr:uid="{00000000-0005-0000-0000-0000E75D0000}"/>
    <cellStyle name="Normal 47" xfId="84" xr:uid="{00000000-0005-0000-0000-0000E85D0000}"/>
    <cellStyle name="Normal 48" xfId="85" xr:uid="{00000000-0005-0000-0000-0000E95D0000}"/>
    <cellStyle name="Normal 49" xfId="89" xr:uid="{00000000-0005-0000-0000-0000EA5D0000}"/>
    <cellStyle name="Normal 5" xfId="2" xr:uid="{00000000-0005-0000-0000-0000EB5D0000}"/>
    <cellStyle name="Normal 5 10" xfId="1039" xr:uid="{00000000-0005-0000-0000-0000EC5D0000}"/>
    <cellStyle name="Normal 5 10 2" xfId="3468" xr:uid="{00000000-0005-0000-0000-0000ED5D0000}"/>
    <cellStyle name="Normal 5 10 2 2" xfId="12604" xr:uid="{00000000-0005-0000-0000-0000EE5D0000}"/>
    <cellStyle name="Normal 5 10 2 2 2" xfId="22823" xr:uid="{00000000-0005-0000-0000-0000EF5D0000}"/>
    <cellStyle name="Normal 5 10 2 2 2 2" xfId="48376" xr:uid="{00000000-0005-0000-0000-0000F05D0000}"/>
    <cellStyle name="Normal 5 10 2 2 3" xfId="38159" xr:uid="{00000000-0005-0000-0000-0000F15D0000}"/>
    <cellStyle name="Normal 5 10 2 3" xfId="9026" xr:uid="{00000000-0005-0000-0000-0000F25D0000}"/>
    <cellStyle name="Normal 5 10 2 3 2" xfId="34583" xr:uid="{00000000-0005-0000-0000-0000F35D0000}"/>
    <cellStyle name="Normal 5 10 2 4" xfId="17816" xr:uid="{00000000-0005-0000-0000-0000F45D0000}"/>
    <cellStyle name="Normal 5 10 2 4 2" xfId="43369" xr:uid="{00000000-0005-0000-0000-0000F55D0000}"/>
    <cellStyle name="Normal 5 10 2 5" xfId="29306" xr:uid="{00000000-0005-0000-0000-0000F65D0000}"/>
    <cellStyle name="Normal 5 10 3" xfId="4945" xr:uid="{00000000-0005-0000-0000-0000F75D0000}"/>
    <cellStyle name="Normal 5 10 3 2" xfId="13782" xr:uid="{00000000-0005-0000-0000-0000F85D0000}"/>
    <cellStyle name="Normal 5 10 3 2 2" xfId="24033" xr:uid="{00000000-0005-0000-0000-0000F95D0000}"/>
    <cellStyle name="Normal 5 10 3 2 2 2" xfId="49586" xr:uid="{00000000-0005-0000-0000-0000FA5D0000}"/>
    <cellStyle name="Normal 5 10 3 2 3" xfId="39337" xr:uid="{00000000-0005-0000-0000-0000FB5D0000}"/>
    <cellStyle name="Normal 5 10 3 3" xfId="10203" xr:uid="{00000000-0005-0000-0000-0000FC5D0000}"/>
    <cellStyle name="Normal 5 10 3 3 2" xfId="35760" xr:uid="{00000000-0005-0000-0000-0000FD5D0000}"/>
    <cellStyle name="Normal 5 10 3 4" xfId="19026" xr:uid="{00000000-0005-0000-0000-0000FE5D0000}"/>
    <cellStyle name="Normal 5 10 3 4 2" xfId="44579" xr:uid="{00000000-0005-0000-0000-0000FF5D0000}"/>
    <cellStyle name="Normal 5 10 3 5" xfId="30516" xr:uid="{00000000-0005-0000-0000-0000005E0000}"/>
    <cellStyle name="Normal 5 10 4" xfId="2575" xr:uid="{00000000-0005-0000-0000-0000015E0000}"/>
    <cellStyle name="Normal 5 10 4 2" xfId="11939" xr:uid="{00000000-0005-0000-0000-0000025E0000}"/>
    <cellStyle name="Normal 5 10 4 2 2" xfId="37494" xr:uid="{00000000-0005-0000-0000-0000035E0000}"/>
    <cellStyle name="Normal 5 10 4 3" xfId="21943" xr:uid="{00000000-0005-0000-0000-0000045E0000}"/>
    <cellStyle name="Normal 5 10 4 3 2" xfId="47496" xr:uid="{00000000-0005-0000-0000-0000055E0000}"/>
    <cellStyle name="Normal 5 10 4 4" xfId="28426" xr:uid="{00000000-0005-0000-0000-0000065E0000}"/>
    <cellStyle name="Normal 5 10 5" xfId="6400" xr:uid="{00000000-0005-0000-0000-0000075E0000}"/>
    <cellStyle name="Normal 5 10 5 2" xfId="15227" xr:uid="{00000000-0005-0000-0000-0000085E0000}"/>
    <cellStyle name="Normal 5 10 5 2 2" xfId="40782" xr:uid="{00000000-0005-0000-0000-0000095E0000}"/>
    <cellStyle name="Normal 5 10 5 3" xfId="25478" xr:uid="{00000000-0005-0000-0000-00000A5E0000}"/>
    <cellStyle name="Normal 5 10 5 3 2" xfId="51031" xr:uid="{00000000-0005-0000-0000-00000B5E0000}"/>
    <cellStyle name="Normal 5 10 5 4" xfId="31961" xr:uid="{00000000-0005-0000-0000-00000C5E0000}"/>
    <cellStyle name="Normal 5 10 6" xfId="7846" xr:uid="{00000000-0005-0000-0000-00000D5E0000}"/>
    <cellStyle name="Normal 5 10 6 2" xfId="20422" xr:uid="{00000000-0005-0000-0000-00000E5E0000}"/>
    <cellStyle name="Normal 5 10 6 2 2" xfId="45975" xr:uid="{00000000-0005-0000-0000-00000F5E0000}"/>
    <cellStyle name="Normal 5 10 6 3" xfId="33403" xr:uid="{00000000-0005-0000-0000-0000105E0000}"/>
    <cellStyle name="Normal 5 10 7" xfId="16936" xr:uid="{00000000-0005-0000-0000-0000115E0000}"/>
    <cellStyle name="Normal 5 10 7 2" xfId="42489" xr:uid="{00000000-0005-0000-0000-0000125E0000}"/>
    <cellStyle name="Normal 5 10 8" xfId="26905" xr:uid="{00000000-0005-0000-0000-0000135E0000}"/>
    <cellStyle name="Normal 5 11" xfId="3888" xr:uid="{00000000-0005-0000-0000-0000145E0000}"/>
    <cellStyle name="Normal 5 11 2" xfId="5131" xr:uid="{00000000-0005-0000-0000-0000155E0000}"/>
    <cellStyle name="Normal 5 11 2 2" xfId="13968" xr:uid="{00000000-0005-0000-0000-0000165E0000}"/>
    <cellStyle name="Normal 5 11 2 2 2" xfId="24219" xr:uid="{00000000-0005-0000-0000-0000175E0000}"/>
    <cellStyle name="Normal 5 11 2 2 2 2" xfId="49772" xr:uid="{00000000-0005-0000-0000-0000185E0000}"/>
    <cellStyle name="Normal 5 11 2 2 3" xfId="39523" xr:uid="{00000000-0005-0000-0000-0000195E0000}"/>
    <cellStyle name="Normal 5 11 2 3" xfId="10389" xr:uid="{00000000-0005-0000-0000-00001A5E0000}"/>
    <cellStyle name="Normal 5 11 2 3 2" xfId="35946" xr:uid="{00000000-0005-0000-0000-00001B5E0000}"/>
    <cellStyle name="Normal 5 11 2 4" xfId="19212" xr:uid="{00000000-0005-0000-0000-00001C5E0000}"/>
    <cellStyle name="Normal 5 11 2 4 2" xfId="44765" xr:uid="{00000000-0005-0000-0000-00001D5E0000}"/>
    <cellStyle name="Normal 5 11 2 5" xfId="30702" xr:uid="{00000000-0005-0000-0000-00001E5E0000}"/>
    <cellStyle name="Normal 5 11 3" xfId="6586" xr:uid="{00000000-0005-0000-0000-00001F5E0000}"/>
    <cellStyle name="Normal 5 11 3 2" xfId="15413" xr:uid="{00000000-0005-0000-0000-0000205E0000}"/>
    <cellStyle name="Normal 5 11 3 2 2" xfId="40968" xr:uid="{00000000-0005-0000-0000-0000215E0000}"/>
    <cellStyle name="Normal 5 11 3 3" xfId="25664" xr:uid="{00000000-0005-0000-0000-0000225E0000}"/>
    <cellStyle name="Normal 5 11 3 3 2" xfId="51217" xr:uid="{00000000-0005-0000-0000-0000235E0000}"/>
    <cellStyle name="Normal 5 11 3 4" xfId="32147" xr:uid="{00000000-0005-0000-0000-0000245E0000}"/>
    <cellStyle name="Normal 5 11 4" xfId="8032" xr:uid="{00000000-0005-0000-0000-0000255E0000}"/>
    <cellStyle name="Normal 5 11 4 2" xfId="23169" xr:uid="{00000000-0005-0000-0000-0000265E0000}"/>
    <cellStyle name="Normal 5 11 4 2 2" xfId="48722" xr:uid="{00000000-0005-0000-0000-0000275E0000}"/>
    <cellStyle name="Normal 5 11 4 3" xfId="33589" xr:uid="{00000000-0005-0000-0000-0000285E0000}"/>
    <cellStyle name="Normal 5 11 5" xfId="18162" xr:uid="{00000000-0005-0000-0000-0000295E0000}"/>
    <cellStyle name="Normal 5 11 5 2" xfId="43715" xr:uid="{00000000-0005-0000-0000-00002A5E0000}"/>
    <cellStyle name="Normal 5 11 6" xfId="29652" xr:uid="{00000000-0005-0000-0000-00002B5E0000}"/>
    <cellStyle name="Normal 5 12" xfId="4084" xr:uid="{00000000-0005-0000-0000-00002C5E0000}"/>
    <cellStyle name="Normal 5 12 2" xfId="5543" xr:uid="{00000000-0005-0000-0000-00002D5E0000}"/>
    <cellStyle name="Normal 5 12 2 2" xfId="14370" xr:uid="{00000000-0005-0000-0000-00002E5E0000}"/>
    <cellStyle name="Normal 5 12 2 2 2" xfId="39925" xr:uid="{00000000-0005-0000-0000-00002F5E0000}"/>
    <cellStyle name="Normal 5 12 2 3" xfId="24621" xr:uid="{00000000-0005-0000-0000-0000305E0000}"/>
    <cellStyle name="Normal 5 12 2 3 2" xfId="50174" xr:uid="{00000000-0005-0000-0000-0000315E0000}"/>
    <cellStyle name="Normal 5 12 2 4" xfId="31104" xr:uid="{00000000-0005-0000-0000-0000325E0000}"/>
    <cellStyle name="Normal 5 12 3" xfId="6987" xr:uid="{00000000-0005-0000-0000-0000335E0000}"/>
    <cellStyle name="Normal 5 12 3 2" xfId="23173" xr:uid="{00000000-0005-0000-0000-0000345E0000}"/>
    <cellStyle name="Normal 5 12 3 2 2" xfId="48726" xr:uid="{00000000-0005-0000-0000-0000355E0000}"/>
    <cellStyle name="Normal 5 12 3 3" xfId="32544" xr:uid="{00000000-0005-0000-0000-0000365E0000}"/>
    <cellStyle name="Normal 5 12 4" xfId="18166" xr:uid="{00000000-0005-0000-0000-0000375E0000}"/>
    <cellStyle name="Normal 5 12 4 2" xfId="43719" xr:uid="{00000000-0005-0000-0000-0000385E0000}"/>
    <cellStyle name="Normal 5 12 5" xfId="29656" xr:uid="{00000000-0005-0000-0000-0000395E0000}"/>
    <cellStyle name="Normal 5 13" xfId="1391" xr:uid="{00000000-0005-0000-0000-00003A5E0000}"/>
    <cellStyle name="Normal 5 13 2" xfId="10768" xr:uid="{00000000-0005-0000-0000-00003B5E0000}"/>
    <cellStyle name="Normal 5 13 2 2" xfId="36323" xr:uid="{00000000-0005-0000-0000-00003C5E0000}"/>
    <cellStyle name="Normal 5 13 3" xfId="20772" xr:uid="{00000000-0005-0000-0000-00003D5E0000}"/>
    <cellStyle name="Normal 5 13 3 2" xfId="46325" xr:uid="{00000000-0005-0000-0000-00003E5E0000}"/>
    <cellStyle name="Normal 5 13 4" xfId="27255" xr:uid="{00000000-0005-0000-0000-00003F5E0000}"/>
    <cellStyle name="Normal 5 14" xfId="5499" xr:uid="{00000000-0005-0000-0000-0000405E0000}"/>
    <cellStyle name="Normal 5 14 2" xfId="14326" xr:uid="{00000000-0005-0000-0000-0000415E0000}"/>
    <cellStyle name="Normal 5 14 2 2" xfId="39881" xr:uid="{00000000-0005-0000-0000-0000425E0000}"/>
    <cellStyle name="Normal 5 14 3" xfId="24577" xr:uid="{00000000-0005-0000-0000-0000435E0000}"/>
    <cellStyle name="Normal 5 14 3 2" xfId="50130" xr:uid="{00000000-0005-0000-0000-0000445E0000}"/>
    <cellStyle name="Normal 5 14 4" xfId="31060" xr:uid="{00000000-0005-0000-0000-0000455E0000}"/>
    <cellStyle name="Normal 5 15" xfId="6937" xr:uid="{00000000-0005-0000-0000-0000465E0000}"/>
    <cellStyle name="Normal 5 15 2" xfId="32495" xr:uid="{00000000-0005-0000-0000-0000475E0000}"/>
    <cellStyle name="Normal 5 16" xfId="15765" xr:uid="{00000000-0005-0000-0000-0000485E0000}"/>
    <cellStyle name="Normal 5 16 2" xfId="41318" xr:uid="{00000000-0005-0000-0000-0000495E0000}"/>
    <cellStyle name="Normal 5 2" xfId="105" xr:uid="{00000000-0005-0000-0000-00004A5E0000}"/>
    <cellStyle name="Normal 5 2 10" xfId="5503" xr:uid="{00000000-0005-0000-0000-00004B5E0000}"/>
    <cellStyle name="Normal 5 2 10 2" xfId="14330" xr:uid="{00000000-0005-0000-0000-00004C5E0000}"/>
    <cellStyle name="Normal 5 2 10 2 2" xfId="39885" xr:uid="{00000000-0005-0000-0000-00004D5E0000}"/>
    <cellStyle name="Normal 5 2 10 3" xfId="24581" xr:uid="{00000000-0005-0000-0000-00004E5E0000}"/>
    <cellStyle name="Normal 5 2 10 3 2" xfId="50134" xr:uid="{00000000-0005-0000-0000-00004F5E0000}"/>
    <cellStyle name="Normal 5 2 10 4" xfId="31064" xr:uid="{00000000-0005-0000-0000-0000505E0000}"/>
    <cellStyle name="Normal 5 2 11" xfId="6942" xr:uid="{00000000-0005-0000-0000-0000515E0000}"/>
    <cellStyle name="Normal 5 2 11 2" xfId="19580" xr:uid="{00000000-0005-0000-0000-0000525E0000}"/>
    <cellStyle name="Normal 5 2 11 2 2" xfId="45133" xr:uid="{00000000-0005-0000-0000-0000535E0000}"/>
    <cellStyle name="Normal 5 2 11 3" xfId="32500" xr:uid="{00000000-0005-0000-0000-0000545E0000}"/>
    <cellStyle name="Normal 5 2 12" xfId="26063" xr:uid="{00000000-0005-0000-0000-0000555E0000}"/>
    <cellStyle name="Normal 5 2 2" xfId="118" xr:uid="{00000000-0005-0000-0000-0000565E0000}"/>
    <cellStyle name="Normal 5 2 2 10" xfId="5534" xr:uid="{00000000-0005-0000-0000-0000575E0000}"/>
    <cellStyle name="Normal 5 2 2 10 2" xfId="14361" xr:uid="{00000000-0005-0000-0000-0000585E0000}"/>
    <cellStyle name="Normal 5 2 2 10 2 2" xfId="39916" xr:uid="{00000000-0005-0000-0000-0000595E0000}"/>
    <cellStyle name="Normal 5 2 2 10 3" xfId="24612" xr:uid="{00000000-0005-0000-0000-00005A5E0000}"/>
    <cellStyle name="Normal 5 2 2 10 3 2" xfId="50165" xr:uid="{00000000-0005-0000-0000-00005B5E0000}"/>
    <cellStyle name="Normal 5 2 2 10 4" xfId="31095" xr:uid="{00000000-0005-0000-0000-00005C5E0000}"/>
    <cellStyle name="Normal 5 2 2 11" xfId="6978" xr:uid="{00000000-0005-0000-0000-00005D5E0000}"/>
    <cellStyle name="Normal 5 2 2 11 2" xfId="32535" xr:uid="{00000000-0005-0000-0000-00005E5E0000}"/>
    <cellStyle name="Normal 5 2 2 12" xfId="15799" xr:uid="{00000000-0005-0000-0000-00005F5E0000}"/>
    <cellStyle name="Normal 5 2 2 12 2" xfId="41352" xr:uid="{00000000-0005-0000-0000-0000605E0000}"/>
    <cellStyle name="Normal 5 2 2 2" xfId="160" xr:uid="{00000000-0005-0000-0000-0000615E0000}"/>
    <cellStyle name="Normal 5 2 2 2 10" xfId="5492" xr:uid="{00000000-0005-0000-0000-0000625E0000}"/>
    <cellStyle name="Normal 5 2 2 2 11" xfId="10748" xr:uid="{00000000-0005-0000-0000-0000635E0000}"/>
    <cellStyle name="Normal 5 2 2 2 11 2" xfId="19619" xr:uid="{00000000-0005-0000-0000-0000645E0000}"/>
    <cellStyle name="Normal 5 2 2 2 11 2 2" xfId="45172" xr:uid="{00000000-0005-0000-0000-0000655E0000}"/>
    <cellStyle name="Normal 5 2 2 2 11 3" xfId="36304" xr:uid="{00000000-0005-0000-0000-0000665E0000}"/>
    <cellStyle name="Normal 5 2 2 2 12" xfId="26102" xr:uid="{00000000-0005-0000-0000-0000675E0000}"/>
    <cellStyle name="Normal 5 2 2 2 2" xfId="272" xr:uid="{00000000-0005-0000-0000-0000685E0000}"/>
    <cellStyle name="Normal 5 2 2 2 2 10" xfId="7110" xr:uid="{00000000-0005-0000-0000-0000695E0000}"/>
    <cellStyle name="Normal 5 2 2 2 2 10 2" xfId="19723" xr:uid="{00000000-0005-0000-0000-00006A5E0000}"/>
    <cellStyle name="Normal 5 2 2 2 2 10 2 2" xfId="45276" xr:uid="{00000000-0005-0000-0000-00006B5E0000}"/>
    <cellStyle name="Normal 5 2 2 2 2 10 3" xfId="32667" xr:uid="{00000000-0005-0000-0000-00006C5E0000}"/>
    <cellStyle name="Normal 5 2 2 2 2 11" xfId="15856" xr:uid="{00000000-0005-0000-0000-00006D5E0000}"/>
    <cellStyle name="Normal 5 2 2 2 2 11 2" xfId="41409" xr:uid="{00000000-0005-0000-0000-00006E5E0000}"/>
    <cellStyle name="Normal 5 2 2 2 2 12" xfId="26206" xr:uid="{00000000-0005-0000-0000-00006F5E0000}"/>
    <cellStyle name="Normal 5 2 2 2 2 2" xfId="594" xr:uid="{00000000-0005-0000-0000-0000705E0000}"/>
    <cellStyle name="Normal 5 2 2 2 2 2 10" xfId="26523" xr:uid="{00000000-0005-0000-0000-0000715E0000}"/>
    <cellStyle name="Normal 5 2 2 2 2 2 2" xfId="785" xr:uid="{00000000-0005-0000-0000-0000725E0000}"/>
    <cellStyle name="Normal 5 2 2 2 2 2 2 2" xfId="3270" xr:uid="{00000000-0005-0000-0000-0000735E0000}"/>
    <cellStyle name="Normal 5 2 2 2 2 2 2 2 2" xfId="12412" xr:uid="{00000000-0005-0000-0000-0000745E0000}"/>
    <cellStyle name="Normal 5 2 2 2 2 2 2 2 2 2" xfId="22631" xr:uid="{00000000-0005-0000-0000-0000755E0000}"/>
    <cellStyle name="Normal 5 2 2 2 2 2 2 2 2 2 2" xfId="48184" xr:uid="{00000000-0005-0000-0000-0000765E0000}"/>
    <cellStyle name="Normal 5 2 2 2 2 2 2 2 2 3" xfId="37967" xr:uid="{00000000-0005-0000-0000-0000775E0000}"/>
    <cellStyle name="Normal 5 2 2 2 2 2 2 2 3" xfId="8834" xr:uid="{00000000-0005-0000-0000-0000785E0000}"/>
    <cellStyle name="Normal 5 2 2 2 2 2 2 2 3 2" xfId="34391" xr:uid="{00000000-0005-0000-0000-0000795E0000}"/>
    <cellStyle name="Normal 5 2 2 2 2 2 2 2 4" xfId="17624" xr:uid="{00000000-0005-0000-0000-00007A5E0000}"/>
    <cellStyle name="Normal 5 2 2 2 2 2 2 2 4 2" xfId="43177" xr:uid="{00000000-0005-0000-0000-00007B5E0000}"/>
    <cellStyle name="Normal 5 2 2 2 2 2 2 2 5" xfId="29114" xr:uid="{00000000-0005-0000-0000-00007C5E0000}"/>
    <cellStyle name="Normal 5 2 2 2 2 2 2 3" xfId="4599" xr:uid="{00000000-0005-0000-0000-00007D5E0000}"/>
    <cellStyle name="Normal 5 2 2 2 2 2 2 3 2" xfId="13437" xr:uid="{00000000-0005-0000-0000-00007E5E0000}"/>
    <cellStyle name="Normal 5 2 2 2 2 2 2 3 2 2" xfId="23688" xr:uid="{00000000-0005-0000-0000-00007F5E0000}"/>
    <cellStyle name="Normal 5 2 2 2 2 2 2 3 2 2 2" xfId="49241" xr:uid="{00000000-0005-0000-0000-0000805E0000}"/>
    <cellStyle name="Normal 5 2 2 2 2 2 2 3 2 3" xfId="38992" xr:uid="{00000000-0005-0000-0000-0000815E0000}"/>
    <cellStyle name="Normal 5 2 2 2 2 2 2 3 3" xfId="9858" xr:uid="{00000000-0005-0000-0000-0000825E0000}"/>
    <cellStyle name="Normal 5 2 2 2 2 2 2 3 3 2" xfId="35415" xr:uid="{00000000-0005-0000-0000-0000835E0000}"/>
    <cellStyle name="Normal 5 2 2 2 2 2 2 3 4" xfId="18681" xr:uid="{00000000-0005-0000-0000-0000845E0000}"/>
    <cellStyle name="Normal 5 2 2 2 2 2 2 3 4 2" xfId="44234" xr:uid="{00000000-0005-0000-0000-0000855E0000}"/>
    <cellStyle name="Normal 5 2 2 2 2 2 2 3 5" xfId="30171" xr:uid="{00000000-0005-0000-0000-0000865E0000}"/>
    <cellStyle name="Normal 5 2 2 2 2 2 2 4" xfId="2379" xr:uid="{00000000-0005-0000-0000-0000875E0000}"/>
    <cellStyle name="Normal 5 2 2 2 2 2 2 4 2" xfId="11744" xr:uid="{00000000-0005-0000-0000-0000885E0000}"/>
    <cellStyle name="Normal 5 2 2 2 2 2 2 4 2 2" xfId="37299" xr:uid="{00000000-0005-0000-0000-0000895E0000}"/>
    <cellStyle name="Normal 5 2 2 2 2 2 2 4 3" xfId="21748" xr:uid="{00000000-0005-0000-0000-00008A5E0000}"/>
    <cellStyle name="Normal 5 2 2 2 2 2 2 4 3 2" xfId="47301" xr:uid="{00000000-0005-0000-0000-00008B5E0000}"/>
    <cellStyle name="Normal 5 2 2 2 2 2 2 4 4" xfId="28231" xr:uid="{00000000-0005-0000-0000-00008C5E0000}"/>
    <cellStyle name="Normal 5 2 2 2 2 2 2 5" xfId="6055" xr:uid="{00000000-0005-0000-0000-00008D5E0000}"/>
    <cellStyle name="Normal 5 2 2 2 2 2 2 5 2" xfId="14882" xr:uid="{00000000-0005-0000-0000-00008E5E0000}"/>
    <cellStyle name="Normal 5 2 2 2 2 2 2 5 2 2" xfId="40437" xr:uid="{00000000-0005-0000-0000-00008F5E0000}"/>
    <cellStyle name="Normal 5 2 2 2 2 2 2 5 3" xfId="25133" xr:uid="{00000000-0005-0000-0000-0000905E0000}"/>
    <cellStyle name="Normal 5 2 2 2 2 2 2 5 3 2" xfId="50686" xr:uid="{00000000-0005-0000-0000-0000915E0000}"/>
    <cellStyle name="Normal 5 2 2 2 2 2 2 5 4" xfId="31616" xr:uid="{00000000-0005-0000-0000-0000925E0000}"/>
    <cellStyle name="Normal 5 2 2 2 2 2 2 6" xfId="7500" xr:uid="{00000000-0005-0000-0000-0000935E0000}"/>
    <cellStyle name="Normal 5 2 2 2 2 2 2 6 2" xfId="20230" xr:uid="{00000000-0005-0000-0000-0000945E0000}"/>
    <cellStyle name="Normal 5 2 2 2 2 2 2 6 2 2" xfId="45783" xr:uid="{00000000-0005-0000-0000-0000955E0000}"/>
    <cellStyle name="Normal 5 2 2 2 2 2 2 6 3" xfId="33057" xr:uid="{00000000-0005-0000-0000-0000965E0000}"/>
    <cellStyle name="Normal 5 2 2 2 2 2 2 7" xfId="16741" xr:uid="{00000000-0005-0000-0000-0000975E0000}"/>
    <cellStyle name="Normal 5 2 2 2 2 2 2 7 2" xfId="42294" xr:uid="{00000000-0005-0000-0000-0000985E0000}"/>
    <cellStyle name="Normal 5 2 2 2 2 2 2 8" xfId="26713" xr:uid="{00000000-0005-0000-0000-0000995E0000}"/>
    <cellStyle name="Normal 5 2 2 2 2 2 3" xfId="1366" xr:uid="{00000000-0005-0000-0000-00009A5E0000}"/>
    <cellStyle name="Normal 5 2 2 2 2 2 3 2" xfId="3795" xr:uid="{00000000-0005-0000-0000-00009B5E0000}"/>
    <cellStyle name="Normal 5 2 2 2 2 2 3 2 2" xfId="12931" xr:uid="{00000000-0005-0000-0000-00009C5E0000}"/>
    <cellStyle name="Normal 5 2 2 2 2 2 3 2 2 2" xfId="23150" xr:uid="{00000000-0005-0000-0000-00009D5E0000}"/>
    <cellStyle name="Normal 5 2 2 2 2 2 3 2 2 2 2" xfId="48703" xr:uid="{00000000-0005-0000-0000-00009E5E0000}"/>
    <cellStyle name="Normal 5 2 2 2 2 2 3 2 2 3" xfId="38486" xr:uid="{00000000-0005-0000-0000-00009F5E0000}"/>
    <cellStyle name="Normal 5 2 2 2 2 2 3 2 3" xfId="9352" xr:uid="{00000000-0005-0000-0000-0000A05E0000}"/>
    <cellStyle name="Normal 5 2 2 2 2 2 3 2 3 2" xfId="34909" xr:uid="{00000000-0005-0000-0000-0000A15E0000}"/>
    <cellStyle name="Normal 5 2 2 2 2 2 3 2 4" xfId="18143" xr:uid="{00000000-0005-0000-0000-0000A25E0000}"/>
    <cellStyle name="Normal 5 2 2 2 2 2 3 2 4 2" xfId="43696" xr:uid="{00000000-0005-0000-0000-0000A35E0000}"/>
    <cellStyle name="Normal 5 2 2 2 2 2 3 2 5" xfId="29633" xr:uid="{00000000-0005-0000-0000-0000A45E0000}"/>
    <cellStyle name="Normal 5 2 2 2 2 2 3 3" xfId="4948" xr:uid="{00000000-0005-0000-0000-0000A55E0000}"/>
    <cellStyle name="Normal 5 2 2 2 2 2 3 3 2" xfId="13785" xr:uid="{00000000-0005-0000-0000-0000A65E0000}"/>
    <cellStyle name="Normal 5 2 2 2 2 2 3 3 2 2" xfId="24036" xr:uid="{00000000-0005-0000-0000-0000A75E0000}"/>
    <cellStyle name="Normal 5 2 2 2 2 2 3 3 2 2 2" xfId="49589" xr:uid="{00000000-0005-0000-0000-0000A85E0000}"/>
    <cellStyle name="Normal 5 2 2 2 2 2 3 3 2 3" xfId="39340" xr:uid="{00000000-0005-0000-0000-0000A95E0000}"/>
    <cellStyle name="Normal 5 2 2 2 2 2 3 3 3" xfId="10206" xr:uid="{00000000-0005-0000-0000-0000AA5E0000}"/>
    <cellStyle name="Normal 5 2 2 2 2 2 3 3 3 2" xfId="35763" xr:uid="{00000000-0005-0000-0000-0000AB5E0000}"/>
    <cellStyle name="Normal 5 2 2 2 2 2 3 3 4" xfId="19029" xr:uid="{00000000-0005-0000-0000-0000AC5E0000}"/>
    <cellStyle name="Normal 5 2 2 2 2 2 3 3 4 2" xfId="44582" xr:uid="{00000000-0005-0000-0000-0000AD5E0000}"/>
    <cellStyle name="Normal 5 2 2 2 2 2 3 3 5" xfId="30519" xr:uid="{00000000-0005-0000-0000-0000AE5E0000}"/>
    <cellStyle name="Normal 5 2 2 2 2 2 3 4" xfId="2189" xr:uid="{00000000-0005-0000-0000-0000AF5E0000}"/>
    <cellStyle name="Normal 5 2 2 2 2 2 3 4 2" xfId="11554" xr:uid="{00000000-0005-0000-0000-0000B05E0000}"/>
    <cellStyle name="Normal 5 2 2 2 2 2 3 4 2 2" xfId="37109" xr:uid="{00000000-0005-0000-0000-0000B15E0000}"/>
    <cellStyle name="Normal 5 2 2 2 2 2 3 4 3" xfId="21558" xr:uid="{00000000-0005-0000-0000-0000B25E0000}"/>
    <cellStyle name="Normal 5 2 2 2 2 2 3 4 3 2" xfId="47111" xr:uid="{00000000-0005-0000-0000-0000B35E0000}"/>
    <cellStyle name="Normal 5 2 2 2 2 2 3 4 4" xfId="28041" xr:uid="{00000000-0005-0000-0000-0000B45E0000}"/>
    <cellStyle name="Normal 5 2 2 2 2 2 3 5" xfId="6403" xr:uid="{00000000-0005-0000-0000-0000B55E0000}"/>
    <cellStyle name="Normal 5 2 2 2 2 2 3 5 2" xfId="15230" xr:uid="{00000000-0005-0000-0000-0000B65E0000}"/>
    <cellStyle name="Normal 5 2 2 2 2 2 3 5 2 2" xfId="40785" xr:uid="{00000000-0005-0000-0000-0000B75E0000}"/>
    <cellStyle name="Normal 5 2 2 2 2 2 3 5 3" xfId="25481" xr:uid="{00000000-0005-0000-0000-0000B85E0000}"/>
    <cellStyle name="Normal 5 2 2 2 2 2 3 5 3 2" xfId="51034" xr:uid="{00000000-0005-0000-0000-0000B95E0000}"/>
    <cellStyle name="Normal 5 2 2 2 2 2 3 5 4" xfId="31964" xr:uid="{00000000-0005-0000-0000-0000BA5E0000}"/>
    <cellStyle name="Normal 5 2 2 2 2 2 3 6" xfId="7849" xr:uid="{00000000-0005-0000-0000-0000BB5E0000}"/>
    <cellStyle name="Normal 5 2 2 2 2 2 3 6 2" xfId="20749" xr:uid="{00000000-0005-0000-0000-0000BC5E0000}"/>
    <cellStyle name="Normal 5 2 2 2 2 2 3 6 2 2" xfId="46302" xr:uid="{00000000-0005-0000-0000-0000BD5E0000}"/>
    <cellStyle name="Normal 5 2 2 2 2 2 3 6 3" xfId="33406" xr:uid="{00000000-0005-0000-0000-0000BE5E0000}"/>
    <cellStyle name="Normal 5 2 2 2 2 2 3 7" xfId="16551" xr:uid="{00000000-0005-0000-0000-0000BF5E0000}"/>
    <cellStyle name="Normal 5 2 2 2 2 2 3 7 2" xfId="42104" xr:uid="{00000000-0005-0000-0000-0000C05E0000}"/>
    <cellStyle name="Normal 5 2 2 2 2 2 3 8" xfId="27232" xr:uid="{00000000-0005-0000-0000-0000C15E0000}"/>
    <cellStyle name="Normal 5 2 2 2 2 2 4" xfId="3080" xr:uid="{00000000-0005-0000-0000-0000C25E0000}"/>
    <cellStyle name="Normal 5 2 2 2 2 2 4 2" xfId="5458" xr:uid="{00000000-0005-0000-0000-0000C35E0000}"/>
    <cellStyle name="Normal 5 2 2 2 2 2 4 2 2" xfId="14295" xr:uid="{00000000-0005-0000-0000-0000C45E0000}"/>
    <cellStyle name="Normal 5 2 2 2 2 2 4 2 2 2" xfId="24546" xr:uid="{00000000-0005-0000-0000-0000C55E0000}"/>
    <cellStyle name="Normal 5 2 2 2 2 2 4 2 2 2 2" xfId="50099" xr:uid="{00000000-0005-0000-0000-0000C65E0000}"/>
    <cellStyle name="Normal 5 2 2 2 2 2 4 2 2 3" xfId="39850" xr:uid="{00000000-0005-0000-0000-0000C75E0000}"/>
    <cellStyle name="Normal 5 2 2 2 2 2 4 2 3" xfId="10716" xr:uid="{00000000-0005-0000-0000-0000C85E0000}"/>
    <cellStyle name="Normal 5 2 2 2 2 2 4 2 3 2" xfId="36273" xr:uid="{00000000-0005-0000-0000-0000C95E0000}"/>
    <cellStyle name="Normal 5 2 2 2 2 2 4 2 4" xfId="19539" xr:uid="{00000000-0005-0000-0000-0000CA5E0000}"/>
    <cellStyle name="Normal 5 2 2 2 2 2 4 2 4 2" xfId="45092" xr:uid="{00000000-0005-0000-0000-0000CB5E0000}"/>
    <cellStyle name="Normal 5 2 2 2 2 2 4 2 5" xfId="31029" xr:uid="{00000000-0005-0000-0000-0000CC5E0000}"/>
    <cellStyle name="Normal 5 2 2 2 2 2 4 3" xfId="6913" xr:uid="{00000000-0005-0000-0000-0000CD5E0000}"/>
    <cellStyle name="Normal 5 2 2 2 2 2 4 3 2" xfId="15740" xr:uid="{00000000-0005-0000-0000-0000CE5E0000}"/>
    <cellStyle name="Normal 5 2 2 2 2 2 4 3 2 2" xfId="41295" xr:uid="{00000000-0005-0000-0000-0000CF5E0000}"/>
    <cellStyle name="Normal 5 2 2 2 2 2 4 3 3" xfId="25991" xr:uid="{00000000-0005-0000-0000-0000D05E0000}"/>
    <cellStyle name="Normal 5 2 2 2 2 2 4 3 3 2" xfId="51544" xr:uid="{00000000-0005-0000-0000-0000D15E0000}"/>
    <cellStyle name="Normal 5 2 2 2 2 2 4 3 4" xfId="32474" xr:uid="{00000000-0005-0000-0000-0000D25E0000}"/>
    <cellStyle name="Normal 5 2 2 2 2 2 4 4" xfId="8359" xr:uid="{00000000-0005-0000-0000-0000D35E0000}"/>
    <cellStyle name="Normal 5 2 2 2 2 2 4 4 2" xfId="22441" xr:uid="{00000000-0005-0000-0000-0000D45E0000}"/>
    <cellStyle name="Normal 5 2 2 2 2 2 4 4 2 2" xfId="47994" xr:uid="{00000000-0005-0000-0000-0000D55E0000}"/>
    <cellStyle name="Normal 5 2 2 2 2 2 4 4 3" xfId="33916" xr:uid="{00000000-0005-0000-0000-0000D65E0000}"/>
    <cellStyle name="Normal 5 2 2 2 2 2 4 5" xfId="17434" xr:uid="{00000000-0005-0000-0000-0000D75E0000}"/>
    <cellStyle name="Normal 5 2 2 2 2 2 4 5 2" xfId="42987" xr:uid="{00000000-0005-0000-0000-0000D85E0000}"/>
    <cellStyle name="Normal 5 2 2 2 2 2 4 6" xfId="28924" xr:uid="{00000000-0005-0000-0000-0000D95E0000}"/>
    <cellStyle name="Normal 5 2 2 2 2 2 5" xfId="4414" xr:uid="{00000000-0005-0000-0000-0000DA5E0000}"/>
    <cellStyle name="Normal 5 2 2 2 2 2 5 2" xfId="13252" xr:uid="{00000000-0005-0000-0000-0000DB5E0000}"/>
    <cellStyle name="Normal 5 2 2 2 2 2 5 2 2" xfId="23503" xr:uid="{00000000-0005-0000-0000-0000DC5E0000}"/>
    <cellStyle name="Normal 5 2 2 2 2 2 5 2 2 2" xfId="49056" xr:uid="{00000000-0005-0000-0000-0000DD5E0000}"/>
    <cellStyle name="Normal 5 2 2 2 2 2 5 2 3" xfId="38807" xr:uid="{00000000-0005-0000-0000-0000DE5E0000}"/>
    <cellStyle name="Normal 5 2 2 2 2 2 5 3" xfId="9673" xr:uid="{00000000-0005-0000-0000-0000DF5E0000}"/>
    <cellStyle name="Normal 5 2 2 2 2 2 5 3 2" xfId="35230" xr:uid="{00000000-0005-0000-0000-0000E05E0000}"/>
    <cellStyle name="Normal 5 2 2 2 2 2 5 4" xfId="18496" xr:uid="{00000000-0005-0000-0000-0000E15E0000}"/>
    <cellStyle name="Normal 5 2 2 2 2 2 5 4 2" xfId="44049" xr:uid="{00000000-0005-0000-0000-0000E25E0000}"/>
    <cellStyle name="Normal 5 2 2 2 2 2 5 5" xfId="29986" xr:uid="{00000000-0005-0000-0000-0000E35E0000}"/>
    <cellStyle name="Normal 5 2 2 2 2 2 6" xfId="1686" xr:uid="{00000000-0005-0000-0000-0000E45E0000}"/>
    <cellStyle name="Normal 5 2 2 2 2 2 6 2" xfId="11063" xr:uid="{00000000-0005-0000-0000-0000E55E0000}"/>
    <cellStyle name="Normal 5 2 2 2 2 2 6 2 2" xfId="36618" xr:uid="{00000000-0005-0000-0000-0000E65E0000}"/>
    <cellStyle name="Normal 5 2 2 2 2 2 6 3" xfId="21067" xr:uid="{00000000-0005-0000-0000-0000E75E0000}"/>
    <cellStyle name="Normal 5 2 2 2 2 2 6 3 2" xfId="46620" xr:uid="{00000000-0005-0000-0000-0000E85E0000}"/>
    <cellStyle name="Normal 5 2 2 2 2 2 6 4" xfId="27550" xr:uid="{00000000-0005-0000-0000-0000E95E0000}"/>
    <cellStyle name="Normal 5 2 2 2 2 2 7" xfId="5870" xr:uid="{00000000-0005-0000-0000-0000EA5E0000}"/>
    <cellStyle name="Normal 5 2 2 2 2 2 7 2" xfId="14697" xr:uid="{00000000-0005-0000-0000-0000EB5E0000}"/>
    <cellStyle name="Normal 5 2 2 2 2 2 7 2 2" xfId="40252" xr:uid="{00000000-0005-0000-0000-0000EC5E0000}"/>
    <cellStyle name="Normal 5 2 2 2 2 2 7 3" xfId="24948" xr:uid="{00000000-0005-0000-0000-0000ED5E0000}"/>
    <cellStyle name="Normal 5 2 2 2 2 2 7 3 2" xfId="50501" xr:uid="{00000000-0005-0000-0000-0000EE5E0000}"/>
    <cellStyle name="Normal 5 2 2 2 2 2 7 4" xfId="31431" xr:uid="{00000000-0005-0000-0000-0000EF5E0000}"/>
    <cellStyle name="Normal 5 2 2 2 2 2 8" xfId="7314" xr:uid="{00000000-0005-0000-0000-0000F05E0000}"/>
    <cellStyle name="Normal 5 2 2 2 2 2 8 2" xfId="20040" xr:uid="{00000000-0005-0000-0000-0000F15E0000}"/>
    <cellStyle name="Normal 5 2 2 2 2 2 8 2 2" xfId="45593" xr:uid="{00000000-0005-0000-0000-0000F25E0000}"/>
    <cellStyle name="Normal 5 2 2 2 2 2 8 3" xfId="32871" xr:uid="{00000000-0005-0000-0000-0000F35E0000}"/>
    <cellStyle name="Normal 5 2 2 2 2 2 9" xfId="16060" xr:uid="{00000000-0005-0000-0000-0000F45E0000}"/>
    <cellStyle name="Normal 5 2 2 2 2 2 9 2" xfId="41613" xr:uid="{00000000-0005-0000-0000-0000F55E0000}"/>
    <cellStyle name="Normal 5 2 2 2 2 2_Degree data" xfId="3835" xr:uid="{00000000-0005-0000-0000-0000F65E0000}"/>
    <cellStyle name="Normal 5 2 2 2 2 3" xfId="390" xr:uid="{00000000-0005-0000-0000-0000F75E0000}"/>
    <cellStyle name="Normal 5 2 2 2 2 3 2" xfId="2876" xr:uid="{00000000-0005-0000-0000-0000F85E0000}"/>
    <cellStyle name="Normal 5 2 2 2 2 3 2 2" xfId="12164" xr:uid="{00000000-0005-0000-0000-0000F95E0000}"/>
    <cellStyle name="Normal 5 2 2 2 2 3 2 2 2" xfId="22237" xr:uid="{00000000-0005-0000-0000-0000FA5E0000}"/>
    <cellStyle name="Normal 5 2 2 2 2 3 2 2 2 2" xfId="47790" xr:uid="{00000000-0005-0000-0000-0000FB5E0000}"/>
    <cellStyle name="Normal 5 2 2 2 2 3 2 2 3" xfId="37719" xr:uid="{00000000-0005-0000-0000-0000FC5E0000}"/>
    <cellStyle name="Normal 5 2 2 2 2 3 2 3" xfId="8616" xr:uid="{00000000-0005-0000-0000-0000FD5E0000}"/>
    <cellStyle name="Normal 5 2 2 2 2 3 2 3 2" xfId="34173" xr:uid="{00000000-0005-0000-0000-0000FE5E0000}"/>
    <cellStyle name="Normal 5 2 2 2 2 3 2 4" xfId="17230" xr:uid="{00000000-0005-0000-0000-0000FF5E0000}"/>
    <cellStyle name="Normal 5 2 2 2 2 3 2 4 2" xfId="42783" xr:uid="{00000000-0005-0000-0000-0000005F0000}"/>
    <cellStyle name="Normal 5 2 2 2 2 3 2 5" xfId="28720" xr:uid="{00000000-0005-0000-0000-0000015F0000}"/>
    <cellStyle name="Normal 5 2 2 2 2 3 3" xfId="4598" xr:uid="{00000000-0005-0000-0000-0000025F0000}"/>
    <cellStyle name="Normal 5 2 2 2 2 3 3 2" xfId="13436" xr:uid="{00000000-0005-0000-0000-0000035F0000}"/>
    <cellStyle name="Normal 5 2 2 2 2 3 3 2 2" xfId="23687" xr:uid="{00000000-0005-0000-0000-0000045F0000}"/>
    <cellStyle name="Normal 5 2 2 2 2 3 3 2 2 2" xfId="49240" xr:uid="{00000000-0005-0000-0000-0000055F0000}"/>
    <cellStyle name="Normal 5 2 2 2 2 3 3 2 3" xfId="38991" xr:uid="{00000000-0005-0000-0000-0000065F0000}"/>
    <cellStyle name="Normal 5 2 2 2 2 3 3 3" xfId="9857" xr:uid="{00000000-0005-0000-0000-0000075F0000}"/>
    <cellStyle name="Normal 5 2 2 2 2 3 3 3 2" xfId="35414" xr:uid="{00000000-0005-0000-0000-0000085F0000}"/>
    <cellStyle name="Normal 5 2 2 2 2 3 3 4" xfId="18680" xr:uid="{00000000-0005-0000-0000-0000095F0000}"/>
    <cellStyle name="Normal 5 2 2 2 2 3 3 4 2" xfId="44233" xr:uid="{00000000-0005-0000-0000-00000A5F0000}"/>
    <cellStyle name="Normal 5 2 2 2 2 3 3 5" xfId="30170" xr:uid="{00000000-0005-0000-0000-00000B5F0000}"/>
    <cellStyle name="Normal 5 2 2 2 2 3 4" xfId="1985" xr:uid="{00000000-0005-0000-0000-00000C5F0000}"/>
    <cellStyle name="Normal 5 2 2 2 2 3 4 2" xfId="11350" xr:uid="{00000000-0005-0000-0000-00000D5F0000}"/>
    <cellStyle name="Normal 5 2 2 2 2 3 4 2 2" xfId="36905" xr:uid="{00000000-0005-0000-0000-00000E5F0000}"/>
    <cellStyle name="Normal 5 2 2 2 2 3 4 3" xfId="21354" xr:uid="{00000000-0005-0000-0000-00000F5F0000}"/>
    <cellStyle name="Normal 5 2 2 2 2 3 4 3 2" xfId="46907" xr:uid="{00000000-0005-0000-0000-0000105F0000}"/>
    <cellStyle name="Normal 5 2 2 2 2 3 4 4" xfId="27837" xr:uid="{00000000-0005-0000-0000-0000115F0000}"/>
    <cellStyle name="Normal 5 2 2 2 2 3 5" xfId="6054" xr:uid="{00000000-0005-0000-0000-0000125F0000}"/>
    <cellStyle name="Normal 5 2 2 2 2 3 5 2" xfId="14881" xr:uid="{00000000-0005-0000-0000-0000135F0000}"/>
    <cellStyle name="Normal 5 2 2 2 2 3 5 2 2" xfId="40436" xr:uid="{00000000-0005-0000-0000-0000145F0000}"/>
    <cellStyle name="Normal 5 2 2 2 2 3 5 3" xfId="25132" xr:uid="{00000000-0005-0000-0000-0000155F0000}"/>
    <cellStyle name="Normal 5 2 2 2 2 3 5 3 2" xfId="50685" xr:uid="{00000000-0005-0000-0000-0000165F0000}"/>
    <cellStyle name="Normal 5 2 2 2 2 3 5 4" xfId="31615" xr:uid="{00000000-0005-0000-0000-0000175F0000}"/>
    <cellStyle name="Normal 5 2 2 2 2 3 6" xfId="7499" xr:uid="{00000000-0005-0000-0000-0000185F0000}"/>
    <cellStyle name="Normal 5 2 2 2 2 3 6 2" xfId="19836" xr:uid="{00000000-0005-0000-0000-0000195F0000}"/>
    <cellStyle name="Normal 5 2 2 2 2 3 6 2 2" xfId="45389" xr:uid="{00000000-0005-0000-0000-00001A5F0000}"/>
    <cellStyle name="Normal 5 2 2 2 2 3 6 3" xfId="33056" xr:uid="{00000000-0005-0000-0000-00001B5F0000}"/>
    <cellStyle name="Normal 5 2 2 2 2 3 7" xfId="16347" xr:uid="{00000000-0005-0000-0000-00001C5F0000}"/>
    <cellStyle name="Normal 5 2 2 2 2 3 7 2" xfId="41900" xr:uid="{00000000-0005-0000-0000-00001D5F0000}"/>
    <cellStyle name="Normal 5 2 2 2 2 3 8" xfId="26319" xr:uid="{00000000-0005-0000-0000-00001E5F0000}"/>
    <cellStyle name="Normal 5 2 2 2 2 4" xfId="784" xr:uid="{00000000-0005-0000-0000-00001F5F0000}"/>
    <cellStyle name="Normal 5 2 2 2 2 4 2" xfId="3269" xr:uid="{00000000-0005-0000-0000-0000205F0000}"/>
    <cellStyle name="Normal 5 2 2 2 2 4 2 2" xfId="12411" xr:uid="{00000000-0005-0000-0000-0000215F0000}"/>
    <cellStyle name="Normal 5 2 2 2 2 4 2 2 2" xfId="22630" xr:uid="{00000000-0005-0000-0000-0000225F0000}"/>
    <cellStyle name="Normal 5 2 2 2 2 4 2 2 2 2" xfId="48183" xr:uid="{00000000-0005-0000-0000-0000235F0000}"/>
    <cellStyle name="Normal 5 2 2 2 2 4 2 2 3" xfId="37966" xr:uid="{00000000-0005-0000-0000-0000245F0000}"/>
    <cellStyle name="Normal 5 2 2 2 2 4 2 3" xfId="8833" xr:uid="{00000000-0005-0000-0000-0000255F0000}"/>
    <cellStyle name="Normal 5 2 2 2 2 4 2 3 2" xfId="34390" xr:uid="{00000000-0005-0000-0000-0000265F0000}"/>
    <cellStyle name="Normal 5 2 2 2 2 4 2 4" xfId="17623" xr:uid="{00000000-0005-0000-0000-0000275F0000}"/>
    <cellStyle name="Normal 5 2 2 2 2 4 2 4 2" xfId="43176" xr:uid="{00000000-0005-0000-0000-0000285F0000}"/>
    <cellStyle name="Normal 5 2 2 2 2 4 2 5" xfId="29113" xr:uid="{00000000-0005-0000-0000-0000295F0000}"/>
    <cellStyle name="Normal 5 2 2 2 2 4 3" xfId="4947" xr:uid="{00000000-0005-0000-0000-00002A5F0000}"/>
    <cellStyle name="Normal 5 2 2 2 2 4 3 2" xfId="13784" xr:uid="{00000000-0005-0000-0000-00002B5F0000}"/>
    <cellStyle name="Normal 5 2 2 2 2 4 3 2 2" xfId="24035" xr:uid="{00000000-0005-0000-0000-00002C5F0000}"/>
    <cellStyle name="Normal 5 2 2 2 2 4 3 2 2 2" xfId="49588" xr:uid="{00000000-0005-0000-0000-00002D5F0000}"/>
    <cellStyle name="Normal 5 2 2 2 2 4 3 2 3" xfId="39339" xr:uid="{00000000-0005-0000-0000-00002E5F0000}"/>
    <cellStyle name="Normal 5 2 2 2 2 4 3 3" xfId="10205" xr:uid="{00000000-0005-0000-0000-00002F5F0000}"/>
    <cellStyle name="Normal 5 2 2 2 2 4 3 3 2" xfId="35762" xr:uid="{00000000-0005-0000-0000-0000305F0000}"/>
    <cellStyle name="Normal 5 2 2 2 2 4 3 4" xfId="19028" xr:uid="{00000000-0005-0000-0000-0000315F0000}"/>
    <cellStyle name="Normal 5 2 2 2 2 4 3 4 2" xfId="44581" xr:uid="{00000000-0005-0000-0000-0000325F0000}"/>
    <cellStyle name="Normal 5 2 2 2 2 4 3 5" xfId="30518" xr:uid="{00000000-0005-0000-0000-0000335F0000}"/>
    <cellStyle name="Normal 5 2 2 2 2 4 4" xfId="2378" xr:uid="{00000000-0005-0000-0000-0000345F0000}"/>
    <cellStyle name="Normal 5 2 2 2 2 4 4 2" xfId="11743" xr:uid="{00000000-0005-0000-0000-0000355F0000}"/>
    <cellStyle name="Normal 5 2 2 2 2 4 4 2 2" xfId="37298" xr:uid="{00000000-0005-0000-0000-0000365F0000}"/>
    <cellStyle name="Normal 5 2 2 2 2 4 4 3" xfId="21747" xr:uid="{00000000-0005-0000-0000-0000375F0000}"/>
    <cellStyle name="Normal 5 2 2 2 2 4 4 3 2" xfId="47300" xr:uid="{00000000-0005-0000-0000-0000385F0000}"/>
    <cellStyle name="Normal 5 2 2 2 2 4 4 4" xfId="28230" xr:uid="{00000000-0005-0000-0000-0000395F0000}"/>
    <cellStyle name="Normal 5 2 2 2 2 4 5" xfId="6402" xr:uid="{00000000-0005-0000-0000-00003A5F0000}"/>
    <cellStyle name="Normal 5 2 2 2 2 4 5 2" xfId="15229" xr:uid="{00000000-0005-0000-0000-00003B5F0000}"/>
    <cellStyle name="Normal 5 2 2 2 2 4 5 2 2" xfId="40784" xr:uid="{00000000-0005-0000-0000-00003C5F0000}"/>
    <cellStyle name="Normal 5 2 2 2 2 4 5 3" xfId="25480" xr:uid="{00000000-0005-0000-0000-00003D5F0000}"/>
    <cellStyle name="Normal 5 2 2 2 2 4 5 3 2" xfId="51033" xr:uid="{00000000-0005-0000-0000-00003E5F0000}"/>
    <cellStyle name="Normal 5 2 2 2 2 4 5 4" xfId="31963" xr:uid="{00000000-0005-0000-0000-00003F5F0000}"/>
    <cellStyle name="Normal 5 2 2 2 2 4 6" xfId="7848" xr:uid="{00000000-0005-0000-0000-0000405F0000}"/>
    <cellStyle name="Normal 5 2 2 2 2 4 6 2" xfId="20229" xr:uid="{00000000-0005-0000-0000-0000415F0000}"/>
    <cellStyle name="Normal 5 2 2 2 2 4 6 2 2" xfId="45782" xr:uid="{00000000-0005-0000-0000-0000425F0000}"/>
    <cellStyle name="Normal 5 2 2 2 2 4 6 3" xfId="33405" xr:uid="{00000000-0005-0000-0000-0000435F0000}"/>
    <cellStyle name="Normal 5 2 2 2 2 4 7" xfId="16740" xr:uid="{00000000-0005-0000-0000-0000445F0000}"/>
    <cellStyle name="Normal 5 2 2 2 2 4 7 2" xfId="42293" xr:uid="{00000000-0005-0000-0000-0000455F0000}"/>
    <cellStyle name="Normal 5 2 2 2 2 4 8" xfId="26712" xr:uid="{00000000-0005-0000-0000-0000465F0000}"/>
    <cellStyle name="Normal 5 2 2 2 2 5" xfId="1162" xr:uid="{00000000-0005-0000-0000-0000475F0000}"/>
    <cellStyle name="Normal 5 2 2 2 2 5 2" xfId="3591" xr:uid="{00000000-0005-0000-0000-0000485F0000}"/>
    <cellStyle name="Normal 5 2 2 2 2 5 2 2" xfId="12727" xr:uid="{00000000-0005-0000-0000-0000495F0000}"/>
    <cellStyle name="Normal 5 2 2 2 2 5 2 2 2" xfId="22946" xr:uid="{00000000-0005-0000-0000-00004A5F0000}"/>
    <cellStyle name="Normal 5 2 2 2 2 5 2 2 2 2" xfId="48499" xr:uid="{00000000-0005-0000-0000-00004B5F0000}"/>
    <cellStyle name="Normal 5 2 2 2 2 5 2 2 3" xfId="38282" xr:uid="{00000000-0005-0000-0000-00004C5F0000}"/>
    <cellStyle name="Normal 5 2 2 2 2 5 2 3" xfId="9148" xr:uid="{00000000-0005-0000-0000-00004D5F0000}"/>
    <cellStyle name="Normal 5 2 2 2 2 5 2 3 2" xfId="34705" xr:uid="{00000000-0005-0000-0000-00004E5F0000}"/>
    <cellStyle name="Normal 5 2 2 2 2 5 2 4" xfId="17939" xr:uid="{00000000-0005-0000-0000-00004F5F0000}"/>
    <cellStyle name="Normal 5 2 2 2 2 5 2 4 2" xfId="43492" xr:uid="{00000000-0005-0000-0000-0000505F0000}"/>
    <cellStyle name="Normal 5 2 2 2 2 5 2 5" xfId="29429" xr:uid="{00000000-0005-0000-0000-0000515F0000}"/>
    <cellStyle name="Normal 5 2 2 2 2 5 3" xfId="5254" xr:uid="{00000000-0005-0000-0000-0000525F0000}"/>
    <cellStyle name="Normal 5 2 2 2 2 5 3 2" xfId="14091" xr:uid="{00000000-0005-0000-0000-0000535F0000}"/>
    <cellStyle name="Normal 5 2 2 2 2 5 3 2 2" xfId="24342" xr:uid="{00000000-0005-0000-0000-0000545F0000}"/>
    <cellStyle name="Normal 5 2 2 2 2 5 3 2 2 2" xfId="49895" xr:uid="{00000000-0005-0000-0000-0000555F0000}"/>
    <cellStyle name="Normal 5 2 2 2 2 5 3 2 3" xfId="39646" xr:uid="{00000000-0005-0000-0000-0000565F0000}"/>
    <cellStyle name="Normal 5 2 2 2 2 5 3 3" xfId="10512" xr:uid="{00000000-0005-0000-0000-0000575F0000}"/>
    <cellStyle name="Normal 5 2 2 2 2 5 3 3 2" xfId="36069" xr:uid="{00000000-0005-0000-0000-0000585F0000}"/>
    <cellStyle name="Normal 5 2 2 2 2 5 3 4" xfId="19335" xr:uid="{00000000-0005-0000-0000-0000595F0000}"/>
    <cellStyle name="Normal 5 2 2 2 2 5 3 4 2" xfId="44888" xr:uid="{00000000-0005-0000-0000-00005A5F0000}"/>
    <cellStyle name="Normal 5 2 2 2 2 5 3 5" xfId="30825" xr:uid="{00000000-0005-0000-0000-00005B5F0000}"/>
    <cellStyle name="Normal 5 2 2 2 2 5 4" xfId="1869" xr:uid="{00000000-0005-0000-0000-00005C5F0000}"/>
    <cellStyle name="Normal 5 2 2 2 2 5 4 2" xfId="11237" xr:uid="{00000000-0005-0000-0000-00005D5F0000}"/>
    <cellStyle name="Normal 5 2 2 2 2 5 4 2 2" xfId="36792" xr:uid="{00000000-0005-0000-0000-00005E5F0000}"/>
    <cellStyle name="Normal 5 2 2 2 2 5 4 3" xfId="21241" xr:uid="{00000000-0005-0000-0000-00005F5F0000}"/>
    <cellStyle name="Normal 5 2 2 2 2 5 4 3 2" xfId="46794" xr:uid="{00000000-0005-0000-0000-0000605F0000}"/>
    <cellStyle name="Normal 5 2 2 2 2 5 4 4" xfId="27724" xr:uid="{00000000-0005-0000-0000-0000615F0000}"/>
    <cellStyle name="Normal 5 2 2 2 2 5 5" xfId="6709" xr:uid="{00000000-0005-0000-0000-0000625F0000}"/>
    <cellStyle name="Normal 5 2 2 2 2 5 5 2" xfId="15536" xr:uid="{00000000-0005-0000-0000-0000635F0000}"/>
    <cellStyle name="Normal 5 2 2 2 2 5 5 2 2" xfId="41091" xr:uid="{00000000-0005-0000-0000-0000645F0000}"/>
    <cellStyle name="Normal 5 2 2 2 2 5 5 3" xfId="25787" xr:uid="{00000000-0005-0000-0000-0000655F0000}"/>
    <cellStyle name="Normal 5 2 2 2 2 5 5 3 2" xfId="51340" xr:uid="{00000000-0005-0000-0000-0000665F0000}"/>
    <cellStyle name="Normal 5 2 2 2 2 5 5 4" xfId="32270" xr:uid="{00000000-0005-0000-0000-0000675F0000}"/>
    <cellStyle name="Normal 5 2 2 2 2 5 6" xfId="8155" xr:uid="{00000000-0005-0000-0000-0000685F0000}"/>
    <cellStyle name="Normal 5 2 2 2 2 5 6 2" xfId="20545" xr:uid="{00000000-0005-0000-0000-0000695F0000}"/>
    <cellStyle name="Normal 5 2 2 2 2 5 6 2 2" xfId="46098" xr:uid="{00000000-0005-0000-0000-00006A5F0000}"/>
    <cellStyle name="Normal 5 2 2 2 2 5 6 3" xfId="33712" xr:uid="{00000000-0005-0000-0000-00006B5F0000}"/>
    <cellStyle name="Normal 5 2 2 2 2 5 7" xfId="16234" xr:uid="{00000000-0005-0000-0000-00006C5F0000}"/>
    <cellStyle name="Normal 5 2 2 2 2 5 7 2" xfId="41787" xr:uid="{00000000-0005-0000-0000-00006D5F0000}"/>
    <cellStyle name="Normal 5 2 2 2 2 5 8" xfId="27028" xr:uid="{00000000-0005-0000-0000-00006E5F0000}"/>
    <cellStyle name="Normal 5 2 2 2 2 6" xfId="2763" xr:uid="{00000000-0005-0000-0000-00006F5F0000}"/>
    <cellStyle name="Normal 5 2 2 2 2 6 2" xfId="12080" xr:uid="{00000000-0005-0000-0000-0000705F0000}"/>
    <cellStyle name="Normal 5 2 2 2 2 6 2 2" xfId="22124" xr:uid="{00000000-0005-0000-0000-0000715F0000}"/>
    <cellStyle name="Normal 5 2 2 2 2 6 2 2 2" xfId="47677" xr:uid="{00000000-0005-0000-0000-0000725F0000}"/>
    <cellStyle name="Normal 5 2 2 2 2 6 2 3" xfId="37635" xr:uid="{00000000-0005-0000-0000-0000735F0000}"/>
    <cellStyle name="Normal 5 2 2 2 2 6 3" xfId="8441" xr:uid="{00000000-0005-0000-0000-0000745F0000}"/>
    <cellStyle name="Normal 5 2 2 2 2 6 3 2" xfId="33998" xr:uid="{00000000-0005-0000-0000-0000755F0000}"/>
    <cellStyle name="Normal 5 2 2 2 2 6 4" xfId="17117" xr:uid="{00000000-0005-0000-0000-0000765F0000}"/>
    <cellStyle name="Normal 5 2 2 2 2 6 4 2" xfId="42670" xr:uid="{00000000-0005-0000-0000-0000775F0000}"/>
    <cellStyle name="Normal 5 2 2 2 2 6 5" xfId="28607" xr:uid="{00000000-0005-0000-0000-0000785F0000}"/>
    <cellStyle name="Normal 5 2 2 2 2 7" xfId="4210" xr:uid="{00000000-0005-0000-0000-0000795F0000}"/>
    <cellStyle name="Normal 5 2 2 2 2 7 2" xfId="13048" xr:uid="{00000000-0005-0000-0000-00007A5F0000}"/>
    <cellStyle name="Normal 5 2 2 2 2 7 2 2" xfId="23299" xr:uid="{00000000-0005-0000-0000-00007B5F0000}"/>
    <cellStyle name="Normal 5 2 2 2 2 7 2 2 2" xfId="48852" xr:uid="{00000000-0005-0000-0000-00007C5F0000}"/>
    <cellStyle name="Normal 5 2 2 2 2 7 2 3" xfId="38603" xr:uid="{00000000-0005-0000-0000-00007D5F0000}"/>
    <cellStyle name="Normal 5 2 2 2 2 7 3" xfId="9469" xr:uid="{00000000-0005-0000-0000-00007E5F0000}"/>
    <cellStyle name="Normal 5 2 2 2 2 7 3 2" xfId="35026" xr:uid="{00000000-0005-0000-0000-00007F5F0000}"/>
    <cellStyle name="Normal 5 2 2 2 2 7 4" xfId="18292" xr:uid="{00000000-0005-0000-0000-0000805F0000}"/>
    <cellStyle name="Normal 5 2 2 2 2 7 4 2" xfId="43845" xr:uid="{00000000-0005-0000-0000-0000815F0000}"/>
    <cellStyle name="Normal 5 2 2 2 2 7 5" xfId="29782" xr:uid="{00000000-0005-0000-0000-0000825F0000}"/>
    <cellStyle name="Normal 5 2 2 2 2 8" xfId="1482" xr:uid="{00000000-0005-0000-0000-0000835F0000}"/>
    <cellStyle name="Normal 5 2 2 2 2 8 2" xfId="10859" xr:uid="{00000000-0005-0000-0000-0000845F0000}"/>
    <cellStyle name="Normal 5 2 2 2 2 8 2 2" xfId="36414" xr:uid="{00000000-0005-0000-0000-0000855F0000}"/>
    <cellStyle name="Normal 5 2 2 2 2 8 3" xfId="20863" xr:uid="{00000000-0005-0000-0000-0000865F0000}"/>
    <cellStyle name="Normal 5 2 2 2 2 8 3 2" xfId="46416" xr:uid="{00000000-0005-0000-0000-0000875F0000}"/>
    <cellStyle name="Normal 5 2 2 2 2 8 4" xfId="27346" xr:uid="{00000000-0005-0000-0000-0000885F0000}"/>
    <cellStyle name="Normal 5 2 2 2 2 9" xfId="5666" xr:uid="{00000000-0005-0000-0000-0000895F0000}"/>
    <cellStyle name="Normal 5 2 2 2 2 9 2" xfId="14493" xr:uid="{00000000-0005-0000-0000-00008A5F0000}"/>
    <cellStyle name="Normal 5 2 2 2 2 9 2 2" xfId="40048" xr:uid="{00000000-0005-0000-0000-00008B5F0000}"/>
    <cellStyle name="Normal 5 2 2 2 2 9 3" xfId="24744" xr:uid="{00000000-0005-0000-0000-00008C5F0000}"/>
    <cellStyle name="Normal 5 2 2 2 2 9 3 2" xfId="50297" xr:uid="{00000000-0005-0000-0000-00008D5F0000}"/>
    <cellStyle name="Normal 5 2 2 2 2 9 4" xfId="31227" xr:uid="{00000000-0005-0000-0000-00008E5F0000}"/>
    <cellStyle name="Normal 5 2 2 2 2_Degree data" xfId="3822" xr:uid="{00000000-0005-0000-0000-00008F5F0000}"/>
    <cellStyle name="Normal 5 2 2 2 3" xfId="215" xr:uid="{00000000-0005-0000-0000-0000905F0000}"/>
    <cellStyle name="Normal 5 2 2 2 4" xfId="490" xr:uid="{00000000-0005-0000-0000-0000915F0000}"/>
    <cellStyle name="Normal 5 2 2 2 4 10" xfId="26419" xr:uid="{00000000-0005-0000-0000-0000925F0000}"/>
    <cellStyle name="Normal 5 2 2 2 4 2" xfId="786" xr:uid="{00000000-0005-0000-0000-0000935F0000}"/>
    <cellStyle name="Normal 5 2 2 2 4 2 2" xfId="3271" xr:uid="{00000000-0005-0000-0000-0000945F0000}"/>
    <cellStyle name="Normal 5 2 2 2 4 2 2 2" xfId="12413" xr:uid="{00000000-0005-0000-0000-0000955F0000}"/>
    <cellStyle name="Normal 5 2 2 2 4 2 2 2 2" xfId="22632" xr:uid="{00000000-0005-0000-0000-0000965F0000}"/>
    <cellStyle name="Normal 5 2 2 2 4 2 2 2 2 2" xfId="48185" xr:uid="{00000000-0005-0000-0000-0000975F0000}"/>
    <cellStyle name="Normal 5 2 2 2 4 2 2 2 3" xfId="37968" xr:uid="{00000000-0005-0000-0000-0000985F0000}"/>
    <cellStyle name="Normal 5 2 2 2 4 2 2 3" xfId="8835" xr:uid="{00000000-0005-0000-0000-0000995F0000}"/>
    <cellStyle name="Normal 5 2 2 2 4 2 2 3 2" xfId="34392" xr:uid="{00000000-0005-0000-0000-00009A5F0000}"/>
    <cellStyle name="Normal 5 2 2 2 4 2 2 4" xfId="17625" xr:uid="{00000000-0005-0000-0000-00009B5F0000}"/>
    <cellStyle name="Normal 5 2 2 2 4 2 2 4 2" xfId="43178" xr:uid="{00000000-0005-0000-0000-00009C5F0000}"/>
    <cellStyle name="Normal 5 2 2 2 4 2 2 5" xfId="29115" xr:uid="{00000000-0005-0000-0000-00009D5F0000}"/>
    <cellStyle name="Normal 5 2 2 2 4 2 3" xfId="4600" xr:uid="{00000000-0005-0000-0000-00009E5F0000}"/>
    <cellStyle name="Normal 5 2 2 2 4 2 3 2" xfId="13438" xr:uid="{00000000-0005-0000-0000-00009F5F0000}"/>
    <cellStyle name="Normal 5 2 2 2 4 2 3 2 2" xfId="23689" xr:uid="{00000000-0005-0000-0000-0000A05F0000}"/>
    <cellStyle name="Normal 5 2 2 2 4 2 3 2 2 2" xfId="49242" xr:uid="{00000000-0005-0000-0000-0000A15F0000}"/>
    <cellStyle name="Normal 5 2 2 2 4 2 3 2 3" xfId="38993" xr:uid="{00000000-0005-0000-0000-0000A25F0000}"/>
    <cellStyle name="Normal 5 2 2 2 4 2 3 3" xfId="9859" xr:uid="{00000000-0005-0000-0000-0000A35F0000}"/>
    <cellStyle name="Normal 5 2 2 2 4 2 3 3 2" xfId="35416" xr:uid="{00000000-0005-0000-0000-0000A45F0000}"/>
    <cellStyle name="Normal 5 2 2 2 4 2 3 4" xfId="18682" xr:uid="{00000000-0005-0000-0000-0000A55F0000}"/>
    <cellStyle name="Normal 5 2 2 2 4 2 3 4 2" xfId="44235" xr:uid="{00000000-0005-0000-0000-0000A65F0000}"/>
    <cellStyle name="Normal 5 2 2 2 4 2 3 5" xfId="30172" xr:uid="{00000000-0005-0000-0000-0000A75F0000}"/>
    <cellStyle name="Normal 5 2 2 2 4 2 4" xfId="2380" xr:uid="{00000000-0005-0000-0000-0000A85F0000}"/>
    <cellStyle name="Normal 5 2 2 2 4 2 4 2" xfId="11745" xr:uid="{00000000-0005-0000-0000-0000A95F0000}"/>
    <cellStyle name="Normal 5 2 2 2 4 2 4 2 2" xfId="37300" xr:uid="{00000000-0005-0000-0000-0000AA5F0000}"/>
    <cellStyle name="Normal 5 2 2 2 4 2 4 3" xfId="21749" xr:uid="{00000000-0005-0000-0000-0000AB5F0000}"/>
    <cellStyle name="Normal 5 2 2 2 4 2 4 3 2" xfId="47302" xr:uid="{00000000-0005-0000-0000-0000AC5F0000}"/>
    <cellStyle name="Normal 5 2 2 2 4 2 4 4" xfId="28232" xr:uid="{00000000-0005-0000-0000-0000AD5F0000}"/>
    <cellStyle name="Normal 5 2 2 2 4 2 5" xfId="6056" xr:uid="{00000000-0005-0000-0000-0000AE5F0000}"/>
    <cellStyle name="Normal 5 2 2 2 4 2 5 2" xfId="14883" xr:uid="{00000000-0005-0000-0000-0000AF5F0000}"/>
    <cellStyle name="Normal 5 2 2 2 4 2 5 2 2" xfId="40438" xr:uid="{00000000-0005-0000-0000-0000B05F0000}"/>
    <cellStyle name="Normal 5 2 2 2 4 2 5 3" xfId="25134" xr:uid="{00000000-0005-0000-0000-0000B15F0000}"/>
    <cellStyle name="Normal 5 2 2 2 4 2 5 3 2" xfId="50687" xr:uid="{00000000-0005-0000-0000-0000B25F0000}"/>
    <cellStyle name="Normal 5 2 2 2 4 2 5 4" xfId="31617" xr:uid="{00000000-0005-0000-0000-0000B35F0000}"/>
    <cellStyle name="Normal 5 2 2 2 4 2 6" xfId="7501" xr:uid="{00000000-0005-0000-0000-0000B45F0000}"/>
    <cellStyle name="Normal 5 2 2 2 4 2 6 2" xfId="20231" xr:uid="{00000000-0005-0000-0000-0000B55F0000}"/>
    <cellStyle name="Normal 5 2 2 2 4 2 6 2 2" xfId="45784" xr:uid="{00000000-0005-0000-0000-0000B65F0000}"/>
    <cellStyle name="Normal 5 2 2 2 4 2 6 3" xfId="33058" xr:uid="{00000000-0005-0000-0000-0000B75F0000}"/>
    <cellStyle name="Normal 5 2 2 2 4 2 7" xfId="16742" xr:uid="{00000000-0005-0000-0000-0000B85F0000}"/>
    <cellStyle name="Normal 5 2 2 2 4 2 7 2" xfId="42295" xr:uid="{00000000-0005-0000-0000-0000B95F0000}"/>
    <cellStyle name="Normal 5 2 2 2 4 2 8" xfId="26714" xr:uid="{00000000-0005-0000-0000-0000BA5F0000}"/>
    <cellStyle name="Normal 5 2 2 2 4 3" xfId="1262" xr:uid="{00000000-0005-0000-0000-0000BB5F0000}"/>
    <cellStyle name="Normal 5 2 2 2 4 3 2" xfId="3691" xr:uid="{00000000-0005-0000-0000-0000BC5F0000}"/>
    <cellStyle name="Normal 5 2 2 2 4 3 2 2" xfId="12827" xr:uid="{00000000-0005-0000-0000-0000BD5F0000}"/>
    <cellStyle name="Normal 5 2 2 2 4 3 2 2 2" xfId="23046" xr:uid="{00000000-0005-0000-0000-0000BE5F0000}"/>
    <cellStyle name="Normal 5 2 2 2 4 3 2 2 2 2" xfId="48599" xr:uid="{00000000-0005-0000-0000-0000BF5F0000}"/>
    <cellStyle name="Normal 5 2 2 2 4 3 2 2 3" xfId="38382" xr:uid="{00000000-0005-0000-0000-0000C05F0000}"/>
    <cellStyle name="Normal 5 2 2 2 4 3 2 3" xfId="9248" xr:uid="{00000000-0005-0000-0000-0000C15F0000}"/>
    <cellStyle name="Normal 5 2 2 2 4 3 2 3 2" xfId="34805" xr:uid="{00000000-0005-0000-0000-0000C25F0000}"/>
    <cellStyle name="Normal 5 2 2 2 4 3 2 4" xfId="18039" xr:uid="{00000000-0005-0000-0000-0000C35F0000}"/>
    <cellStyle name="Normal 5 2 2 2 4 3 2 4 2" xfId="43592" xr:uid="{00000000-0005-0000-0000-0000C45F0000}"/>
    <cellStyle name="Normal 5 2 2 2 4 3 2 5" xfId="29529" xr:uid="{00000000-0005-0000-0000-0000C55F0000}"/>
    <cellStyle name="Normal 5 2 2 2 4 3 3" xfId="4949" xr:uid="{00000000-0005-0000-0000-0000C65F0000}"/>
    <cellStyle name="Normal 5 2 2 2 4 3 3 2" xfId="13786" xr:uid="{00000000-0005-0000-0000-0000C75F0000}"/>
    <cellStyle name="Normal 5 2 2 2 4 3 3 2 2" xfId="24037" xr:uid="{00000000-0005-0000-0000-0000C85F0000}"/>
    <cellStyle name="Normal 5 2 2 2 4 3 3 2 2 2" xfId="49590" xr:uid="{00000000-0005-0000-0000-0000C95F0000}"/>
    <cellStyle name="Normal 5 2 2 2 4 3 3 2 3" xfId="39341" xr:uid="{00000000-0005-0000-0000-0000CA5F0000}"/>
    <cellStyle name="Normal 5 2 2 2 4 3 3 3" xfId="10207" xr:uid="{00000000-0005-0000-0000-0000CB5F0000}"/>
    <cellStyle name="Normal 5 2 2 2 4 3 3 3 2" xfId="35764" xr:uid="{00000000-0005-0000-0000-0000CC5F0000}"/>
    <cellStyle name="Normal 5 2 2 2 4 3 3 4" xfId="19030" xr:uid="{00000000-0005-0000-0000-0000CD5F0000}"/>
    <cellStyle name="Normal 5 2 2 2 4 3 3 4 2" xfId="44583" xr:uid="{00000000-0005-0000-0000-0000CE5F0000}"/>
    <cellStyle name="Normal 5 2 2 2 4 3 3 5" xfId="30520" xr:uid="{00000000-0005-0000-0000-0000CF5F0000}"/>
    <cellStyle name="Normal 5 2 2 2 4 3 4" xfId="2085" xr:uid="{00000000-0005-0000-0000-0000D05F0000}"/>
    <cellStyle name="Normal 5 2 2 2 4 3 4 2" xfId="11450" xr:uid="{00000000-0005-0000-0000-0000D15F0000}"/>
    <cellStyle name="Normal 5 2 2 2 4 3 4 2 2" xfId="37005" xr:uid="{00000000-0005-0000-0000-0000D25F0000}"/>
    <cellStyle name="Normal 5 2 2 2 4 3 4 3" xfId="21454" xr:uid="{00000000-0005-0000-0000-0000D35F0000}"/>
    <cellStyle name="Normal 5 2 2 2 4 3 4 3 2" xfId="47007" xr:uid="{00000000-0005-0000-0000-0000D45F0000}"/>
    <cellStyle name="Normal 5 2 2 2 4 3 4 4" xfId="27937" xr:uid="{00000000-0005-0000-0000-0000D55F0000}"/>
    <cellStyle name="Normal 5 2 2 2 4 3 5" xfId="6404" xr:uid="{00000000-0005-0000-0000-0000D65F0000}"/>
    <cellStyle name="Normal 5 2 2 2 4 3 5 2" xfId="15231" xr:uid="{00000000-0005-0000-0000-0000D75F0000}"/>
    <cellStyle name="Normal 5 2 2 2 4 3 5 2 2" xfId="40786" xr:uid="{00000000-0005-0000-0000-0000D85F0000}"/>
    <cellStyle name="Normal 5 2 2 2 4 3 5 3" xfId="25482" xr:uid="{00000000-0005-0000-0000-0000D95F0000}"/>
    <cellStyle name="Normal 5 2 2 2 4 3 5 3 2" xfId="51035" xr:uid="{00000000-0005-0000-0000-0000DA5F0000}"/>
    <cellStyle name="Normal 5 2 2 2 4 3 5 4" xfId="31965" xr:uid="{00000000-0005-0000-0000-0000DB5F0000}"/>
    <cellStyle name="Normal 5 2 2 2 4 3 6" xfId="7850" xr:uid="{00000000-0005-0000-0000-0000DC5F0000}"/>
    <cellStyle name="Normal 5 2 2 2 4 3 6 2" xfId="20645" xr:uid="{00000000-0005-0000-0000-0000DD5F0000}"/>
    <cellStyle name="Normal 5 2 2 2 4 3 6 2 2" xfId="46198" xr:uid="{00000000-0005-0000-0000-0000DE5F0000}"/>
    <cellStyle name="Normal 5 2 2 2 4 3 6 3" xfId="33407" xr:uid="{00000000-0005-0000-0000-0000DF5F0000}"/>
    <cellStyle name="Normal 5 2 2 2 4 3 7" xfId="16447" xr:uid="{00000000-0005-0000-0000-0000E05F0000}"/>
    <cellStyle name="Normal 5 2 2 2 4 3 7 2" xfId="42000" xr:uid="{00000000-0005-0000-0000-0000E15F0000}"/>
    <cellStyle name="Normal 5 2 2 2 4 3 8" xfId="27128" xr:uid="{00000000-0005-0000-0000-0000E25F0000}"/>
    <cellStyle name="Normal 5 2 2 2 4 4" xfId="2976" xr:uid="{00000000-0005-0000-0000-0000E35F0000}"/>
    <cellStyle name="Normal 5 2 2 2 4 4 2" xfId="5354" xr:uid="{00000000-0005-0000-0000-0000E45F0000}"/>
    <cellStyle name="Normal 5 2 2 2 4 4 2 2" xfId="14191" xr:uid="{00000000-0005-0000-0000-0000E55F0000}"/>
    <cellStyle name="Normal 5 2 2 2 4 4 2 2 2" xfId="24442" xr:uid="{00000000-0005-0000-0000-0000E65F0000}"/>
    <cellStyle name="Normal 5 2 2 2 4 4 2 2 2 2" xfId="49995" xr:uid="{00000000-0005-0000-0000-0000E75F0000}"/>
    <cellStyle name="Normal 5 2 2 2 4 4 2 2 3" xfId="39746" xr:uid="{00000000-0005-0000-0000-0000E85F0000}"/>
    <cellStyle name="Normal 5 2 2 2 4 4 2 3" xfId="10612" xr:uid="{00000000-0005-0000-0000-0000E95F0000}"/>
    <cellStyle name="Normal 5 2 2 2 4 4 2 3 2" xfId="36169" xr:uid="{00000000-0005-0000-0000-0000EA5F0000}"/>
    <cellStyle name="Normal 5 2 2 2 4 4 2 4" xfId="19435" xr:uid="{00000000-0005-0000-0000-0000EB5F0000}"/>
    <cellStyle name="Normal 5 2 2 2 4 4 2 4 2" xfId="44988" xr:uid="{00000000-0005-0000-0000-0000EC5F0000}"/>
    <cellStyle name="Normal 5 2 2 2 4 4 2 5" xfId="30925" xr:uid="{00000000-0005-0000-0000-0000ED5F0000}"/>
    <cellStyle name="Normal 5 2 2 2 4 4 3" xfId="6809" xr:uid="{00000000-0005-0000-0000-0000EE5F0000}"/>
    <cellStyle name="Normal 5 2 2 2 4 4 3 2" xfId="15636" xr:uid="{00000000-0005-0000-0000-0000EF5F0000}"/>
    <cellStyle name="Normal 5 2 2 2 4 4 3 2 2" xfId="41191" xr:uid="{00000000-0005-0000-0000-0000F05F0000}"/>
    <cellStyle name="Normal 5 2 2 2 4 4 3 3" xfId="25887" xr:uid="{00000000-0005-0000-0000-0000F15F0000}"/>
    <cellStyle name="Normal 5 2 2 2 4 4 3 3 2" xfId="51440" xr:uid="{00000000-0005-0000-0000-0000F25F0000}"/>
    <cellStyle name="Normal 5 2 2 2 4 4 3 4" xfId="32370" xr:uid="{00000000-0005-0000-0000-0000F35F0000}"/>
    <cellStyle name="Normal 5 2 2 2 4 4 4" xfId="8255" xr:uid="{00000000-0005-0000-0000-0000F45F0000}"/>
    <cellStyle name="Normal 5 2 2 2 4 4 4 2" xfId="22337" xr:uid="{00000000-0005-0000-0000-0000F55F0000}"/>
    <cellStyle name="Normal 5 2 2 2 4 4 4 2 2" xfId="47890" xr:uid="{00000000-0005-0000-0000-0000F65F0000}"/>
    <cellStyle name="Normal 5 2 2 2 4 4 4 3" xfId="33812" xr:uid="{00000000-0005-0000-0000-0000F75F0000}"/>
    <cellStyle name="Normal 5 2 2 2 4 4 5" xfId="17330" xr:uid="{00000000-0005-0000-0000-0000F85F0000}"/>
    <cellStyle name="Normal 5 2 2 2 4 4 5 2" xfId="42883" xr:uid="{00000000-0005-0000-0000-0000F95F0000}"/>
    <cellStyle name="Normal 5 2 2 2 4 4 6" xfId="28820" xr:uid="{00000000-0005-0000-0000-0000FA5F0000}"/>
    <cellStyle name="Normal 5 2 2 2 4 5" xfId="4310" xr:uid="{00000000-0005-0000-0000-0000FB5F0000}"/>
    <cellStyle name="Normal 5 2 2 2 4 5 2" xfId="13148" xr:uid="{00000000-0005-0000-0000-0000FC5F0000}"/>
    <cellStyle name="Normal 5 2 2 2 4 5 2 2" xfId="23399" xr:uid="{00000000-0005-0000-0000-0000FD5F0000}"/>
    <cellStyle name="Normal 5 2 2 2 4 5 2 2 2" xfId="48952" xr:uid="{00000000-0005-0000-0000-0000FE5F0000}"/>
    <cellStyle name="Normal 5 2 2 2 4 5 2 3" xfId="38703" xr:uid="{00000000-0005-0000-0000-0000FF5F0000}"/>
    <cellStyle name="Normal 5 2 2 2 4 5 3" xfId="9569" xr:uid="{00000000-0005-0000-0000-000000600000}"/>
    <cellStyle name="Normal 5 2 2 2 4 5 3 2" xfId="35126" xr:uid="{00000000-0005-0000-0000-000001600000}"/>
    <cellStyle name="Normal 5 2 2 2 4 5 4" xfId="18392" xr:uid="{00000000-0005-0000-0000-000002600000}"/>
    <cellStyle name="Normal 5 2 2 2 4 5 4 2" xfId="43945" xr:uid="{00000000-0005-0000-0000-000003600000}"/>
    <cellStyle name="Normal 5 2 2 2 4 5 5" xfId="29882" xr:uid="{00000000-0005-0000-0000-000004600000}"/>
    <cellStyle name="Normal 5 2 2 2 4 6" xfId="1582" xr:uid="{00000000-0005-0000-0000-000005600000}"/>
    <cellStyle name="Normal 5 2 2 2 4 6 2" xfId="10959" xr:uid="{00000000-0005-0000-0000-000006600000}"/>
    <cellStyle name="Normal 5 2 2 2 4 6 2 2" xfId="36514" xr:uid="{00000000-0005-0000-0000-000007600000}"/>
    <cellStyle name="Normal 5 2 2 2 4 6 3" xfId="20963" xr:uid="{00000000-0005-0000-0000-000008600000}"/>
    <cellStyle name="Normal 5 2 2 2 4 6 3 2" xfId="46516" xr:uid="{00000000-0005-0000-0000-000009600000}"/>
    <cellStyle name="Normal 5 2 2 2 4 6 4" xfId="27446" xr:uid="{00000000-0005-0000-0000-00000A600000}"/>
    <cellStyle name="Normal 5 2 2 2 4 7" xfId="5766" xr:uid="{00000000-0005-0000-0000-00000B600000}"/>
    <cellStyle name="Normal 5 2 2 2 4 7 2" xfId="14593" xr:uid="{00000000-0005-0000-0000-00000C600000}"/>
    <cellStyle name="Normal 5 2 2 2 4 7 2 2" xfId="40148" xr:uid="{00000000-0005-0000-0000-00000D600000}"/>
    <cellStyle name="Normal 5 2 2 2 4 7 3" xfId="24844" xr:uid="{00000000-0005-0000-0000-00000E600000}"/>
    <cellStyle name="Normal 5 2 2 2 4 7 3 2" xfId="50397" xr:uid="{00000000-0005-0000-0000-00000F600000}"/>
    <cellStyle name="Normal 5 2 2 2 4 7 4" xfId="31327" xr:uid="{00000000-0005-0000-0000-000010600000}"/>
    <cellStyle name="Normal 5 2 2 2 4 8" xfId="7210" xr:uid="{00000000-0005-0000-0000-000011600000}"/>
    <cellStyle name="Normal 5 2 2 2 4 8 2" xfId="19936" xr:uid="{00000000-0005-0000-0000-000012600000}"/>
    <cellStyle name="Normal 5 2 2 2 4 8 2 2" xfId="45489" xr:uid="{00000000-0005-0000-0000-000013600000}"/>
    <cellStyle name="Normal 5 2 2 2 4 8 3" xfId="32767" xr:uid="{00000000-0005-0000-0000-000014600000}"/>
    <cellStyle name="Normal 5 2 2 2 4 9" xfId="15956" xr:uid="{00000000-0005-0000-0000-000015600000}"/>
    <cellStyle name="Normal 5 2 2 2 4 9 2" xfId="41509" xr:uid="{00000000-0005-0000-0000-000016600000}"/>
    <cellStyle name="Normal 5 2 2 2 4_Degree data" xfId="3850" xr:uid="{00000000-0005-0000-0000-000017600000}"/>
    <cellStyle name="Normal 5 2 2 2 5" xfId="1762" xr:uid="{00000000-0005-0000-0000-000018600000}"/>
    <cellStyle name="Normal 5 2 2 2 5 2" xfId="11133" xr:uid="{00000000-0005-0000-0000-000019600000}"/>
    <cellStyle name="Normal 5 2 2 2 5 2 2" xfId="21137" xr:uid="{00000000-0005-0000-0000-00001A600000}"/>
    <cellStyle name="Normal 5 2 2 2 5 2 2 2" xfId="46690" xr:uid="{00000000-0005-0000-0000-00001B600000}"/>
    <cellStyle name="Normal 5 2 2 2 5 2 3" xfId="36688" xr:uid="{00000000-0005-0000-0000-00001C600000}"/>
    <cellStyle name="Normal 5 2 2 2 5 3" xfId="8595" xr:uid="{00000000-0005-0000-0000-00001D600000}"/>
    <cellStyle name="Normal 5 2 2 2 5 3 2" xfId="34152" xr:uid="{00000000-0005-0000-0000-00001E600000}"/>
    <cellStyle name="Normal 5 2 2 2 5 4" xfId="16130" xr:uid="{00000000-0005-0000-0000-00001F600000}"/>
    <cellStyle name="Normal 5 2 2 2 5 4 2" xfId="41683" xr:uid="{00000000-0005-0000-0000-000020600000}"/>
    <cellStyle name="Normal 5 2 2 2 5 5" xfId="27620" xr:uid="{00000000-0005-0000-0000-000021600000}"/>
    <cellStyle name="Normal 5 2 2 2 6" xfId="2659" xr:uid="{00000000-0005-0000-0000-000022600000}"/>
    <cellStyle name="Normal 5 2 2 2 6 2" xfId="11977" xr:uid="{00000000-0005-0000-0000-000023600000}"/>
    <cellStyle name="Normal 5 2 2 2 6 2 2" xfId="22020" xr:uid="{00000000-0005-0000-0000-000024600000}"/>
    <cellStyle name="Normal 5 2 2 2 6 2 2 2" xfId="47573" xr:uid="{00000000-0005-0000-0000-000025600000}"/>
    <cellStyle name="Normal 5 2 2 2 6 2 3" xfId="37532" xr:uid="{00000000-0005-0000-0000-000026600000}"/>
    <cellStyle name="Normal 5 2 2 2 6 3" xfId="8500" xr:uid="{00000000-0005-0000-0000-000027600000}"/>
    <cellStyle name="Normal 5 2 2 2 6 3 2" xfId="34057" xr:uid="{00000000-0005-0000-0000-000028600000}"/>
    <cellStyle name="Normal 5 2 2 2 6 4" xfId="17013" xr:uid="{00000000-0005-0000-0000-000029600000}"/>
    <cellStyle name="Normal 5 2 2 2 6 4 2" xfId="42566" xr:uid="{00000000-0005-0000-0000-00002A600000}"/>
    <cellStyle name="Normal 5 2 2 2 6 5" xfId="28503" xr:uid="{00000000-0005-0000-0000-00002B600000}"/>
    <cellStyle name="Normal 5 2 2 2 7" xfId="1386" xr:uid="{00000000-0005-0000-0000-00002C600000}"/>
    <cellStyle name="Normal 5 2 2 2 8" xfId="5493" xr:uid="{00000000-0005-0000-0000-00002D600000}"/>
    <cellStyle name="Normal 5 2 2 2 9" xfId="5491" xr:uid="{00000000-0005-0000-0000-00002E600000}"/>
    <cellStyle name="Normal 5 2 2 3" xfId="207" xr:uid="{00000000-0005-0000-0000-00002F600000}"/>
    <cellStyle name="Normal 5 2 2 3 10" xfId="7153" xr:uid="{00000000-0005-0000-0000-000030600000}"/>
    <cellStyle name="Normal 5 2 2 3 10 2" xfId="19662" xr:uid="{00000000-0005-0000-0000-000031600000}"/>
    <cellStyle name="Normal 5 2 2 3 10 2 2" xfId="45215" xr:uid="{00000000-0005-0000-0000-000032600000}"/>
    <cellStyle name="Normal 5 2 2 3 10 3" xfId="32710" xr:uid="{00000000-0005-0000-0000-000033600000}"/>
    <cellStyle name="Normal 5 2 2 3 11" xfId="15899" xr:uid="{00000000-0005-0000-0000-000034600000}"/>
    <cellStyle name="Normal 5 2 2 3 11 2" xfId="41452" xr:uid="{00000000-0005-0000-0000-000035600000}"/>
    <cellStyle name="Normal 5 2 2 3 12" xfId="26145" xr:uid="{00000000-0005-0000-0000-000036600000}"/>
    <cellStyle name="Normal 5 2 2 3 2" xfId="533" xr:uid="{00000000-0005-0000-0000-000037600000}"/>
    <cellStyle name="Normal 5 2 2 3 2 10" xfId="26462" xr:uid="{00000000-0005-0000-0000-000038600000}"/>
    <cellStyle name="Normal 5 2 2 3 2 2" xfId="788" xr:uid="{00000000-0005-0000-0000-000039600000}"/>
    <cellStyle name="Normal 5 2 2 3 2 2 2" xfId="3273" xr:uid="{00000000-0005-0000-0000-00003A600000}"/>
    <cellStyle name="Normal 5 2 2 3 2 2 2 2" xfId="12415" xr:uid="{00000000-0005-0000-0000-00003B600000}"/>
    <cellStyle name="Normal 5 2 2 3 2 2 2 2 2" xfId="22634" xr:uid="{00000000-0005-0000-0000-00003C600000}"/>
    <cellStyle name="Normal 5 2 2 3 2 2 2 2 2 2" xfId="48187" xr:uid="{00000000-0005-0000-0000-00003D600000}"/>
    <cellStyle name="Normal 5 2 2 3 2 2 2 2 3" xfId="37970" xr:uid="{00000000-0005-0000-0000-00003E600000}"/>
    <cellStyle name="Normal 5 2 2 3 2 2 2 3" xfId="8837" xr:uid="{00000000-0005-0000-0000-00003F600000}"/>
    <cellStyle name="Normal 5 2 2 3 2 2 2 3 2" xfId="34394" xr:uid="{00000000-0005-0000-0000-000040600000}"/>
    <cellStyle name="Normal 5 2 2 3 2 2 2 4" xfId="17627" xr:uid="{00000000-0005-0000-0000-000041600000}"/>
    <cellStyle name="Normal 5 2 2 3 2 2 2 4 2" xfId="43180" xr:uid="{00000000-0005-0000-0000-000042600000}"/>
    <cellStyle name="Normal 5 2 2 3 2 2 2 5" xfId="29117" xr:uid="{00000000-0005-0000-0000-000043600000}"/>
    <cellStyle name="Normal 5 2 2 3 2 2 3" xfId="4602" xr:uid="{00000000-0005-0000-0000-000044600000}"/>
    <cellStyle name="Normal 5 2 2 3 2 2 3 2" xfId="13440" xr:uid="{00000000-0005-0000-0000-000045600000}"/>
    <cellStyle name="Normal 5 2 2 3 2 2 3 2 2" xfId="23691" xr:uid="{00000000-0005-0000-0000-000046600000}"/>
    <cellStyle name="Normal 5 2 2 3 2 2 3 2 2 2" xfId="49244" xr:uid="{00000000-0005-0000-0000-000047600000}"/>
    <cellStyle name="Normal 5 2 2 3 2 2 3 2 3" xfId="38995" xr:uid="{00000000-0005-0000-0000-000048600000}"/>
    <cellStyle name="Normal 5 2 2 3 2 2 3 3" xfId="9861" xr:uid="{00000000-0005-0000-0000-000049600000}"/>
    <cellStyle name="Normal 5 2 2 3 2 2 3 3 2" xfId="35418" xr:uid="{00000000-0005-0000-0000-00004A600000}"/>
    <cellStyle name="Normal 5 2 2 3 2 2 3 4" xfId="18684" xr:uid="{00000000-0005-0000-0000-00004B600000}"/>
    <cellStyle name="Normal 5 2 2 3 2 2 3 4 2" xfId="44237" xr:uid="{00000000-0005-0000-0000-00004C600000}"/>
    <cellStyle name="Normal 5 2 2 3 2 2 3 5" xfId="30174" xr:uid="{00000000-0005-0000-0000-00004D600000}"/>
    <cellStyle name="Normal 5 2 2 3 2 2 4" xfId="2382" xr:uid="{00000000-0005-0000-0000-00004E600000}"/>
    <cellStyle name="Normal 5 2 2 3 2 2 4 2" xfId="11747" xr:uid="{00000000-0005-0000-0000-00004F600000}"/>
    <cellStyle name="Normal 5 2 2 3 2 2 4 2 2" xfId="37302" xr:uid="{00000000-0005-0000-0000-000050600000}"/>
    <cellStyle name="Normal 5 2 2 3 2 2 4 3" xfId="21751" xr:uid="{00000000-0005-0000-0000-000051600000}"/>
    <cellStyle name="Normal 5 2 2 3 2 2 4 3 2" xfId="47304" xr:uid="{00000000-0005-0000-0000-000052600000}"/>
    <cellStyle name="Normal 5 2 2 3 2 2 4 4" xfId="28234" xr:uid="{00000000-0005-0000-0000-000053600000}"/>
    <cellStyle name="Normal 5 2 2 3 2 2 5" xfId="6058" xr:uid="{00000000-0005-0000-0000-000054600000}"/>
    <cellStyle name="Normal 5 2 2 3 2 2 5 2" xfId="14885" xr:uid="{00000000-0005-0000-0000-000055600000}"/>
    <cellStyle name="Normal 5 2 2 3 2 2 5 2 2" xfId="40440" xr:uid="{00000000-0005-0000-0000-000056600000}"/>
    <cellStyle name="Normal 5 2 2 3 2 2 5 3" xfId="25136" xr:uid="{00000000-0005-0000-0000-000057600000}"/>
    <cellStyle name="Normal 5 2 2 3 2 2 5 3 2" xfId="50689" xr:uid="{00000000-0005-0000-0000-000058600000}"/>
    <cellStyle name="Normal 5 2 2 3 2 2 5 4" xfId="31619" xr:uid="{00000000-0005-0000-0000-000059600000}"/>
    <cellStyle name="Normal 5 2 2 3 2 2 6" xfId="7503" xr:uid="{00000000-0005-0000-0000-00005A600000}"/>
    <cellStyle name="Normal 5 2 2 3 2 2 6 2" xfId="20233" xr:uid="{00000000-0005-0000-0000-00005B600000}"/>
    <cellStyle name="Normal 5 2 2 3 2 2 6 2 2" xfId="45786" xr:uid="{00000000-0005-0000-0000-00005C600000}"/>
    <cellStyle name="Normal 5 2 2 3 2 2 6 3" xfId="33060" xr:uid="{00000000-0005-0000-0000-00005D600000}"/>
    <cellStyle name="Normal 5 2 2 3 2 2 7" xfId="16744" xr:uid="{00000000-0005-0000-0000-00005E600000}"/>
    <cellStyle name="Normal 5 2 2 3 2 2 7 2" xfId="42297" xr:uid="{00000000-0005-0000-0000-00005F600000}"/>
    <cellStyle name="Normal 5 2 2 3 2 2 8" xfId="26716" xr:uid="{00000000-0005-0000-0000-000060600000}"/>
    <cellStyle name="Normal 5 2 2 3 2 3" xfId="1305" xr:uid="{00000000-0005-0000-0000-000061600000}"/>
    <cellStyle name="Normal 5 2 2 3 2 3 2" xfId="3734" xr:uid="{00000000-0005-0000-0000-000062600000}"/>
    <cellStyle name="Normal 5 2 2 3 2 3 2 2" xfId="12870" xr:uid="{00000000-0005-0000-0000-000063600000}"/>
    <cellStyle name="Normal 5 2 2 3 2 3 2 2 2" xfId="23089" xr:uid="{00000000-0005-0000-0000-000064600000}"/>
    <cellStyle name="Normal 5 2 2 3 2 3 2 2 2 2" xfId="48642" xr:uid="{00000000-0005-0000-0000-000065600000}"/>
    <cellStyle name="Normal 5 2 2 3 2 3 2 2 3" xfId="38425" xr:uid="{00000000-0005-0000-0000-000066600000}"/>
    <cellStyle name="Normal 5 2 2 3 2 3 2 3" xfId="9291" xr:uid="{00000000-0005-0000-0000-000067600000}"/>
    <cellStyle name="Normal 5 2 2 3 2 3 2 3 2" xfId="34848" xr:uid="{00000000-0005-0000-0000-000068600000}"/>
    <cellStyle name="Normal 5 2 2 3 2 3 2 4" xfId="18082" xr:uid="{00000000-0005-0000-0000-000069600000}"/>
    <cellStyle name="Normal 5 2 2 3 2 3 2 4 2" xfId="43635" xr:uid="{00000000-0005-0000-0000-00006A600000}"/>
    <cellStyle name="Normal 5 2 2 3 2 3 2 5" xfId="29572" xr:uid="{00000000-0005-0000-0000-00006B600000}"/>
    <cellStyle name="Normal 5 2 2 3 2 3 3" xfId="4951" xr:uid="{00000000-0005-0000-0000-00006C600000}"/>
    <cellStyle name="Normal 5 2 2 3 2 3 3 2" xfId="13788" xr:uid="{00000000-0005-0000-0000-00006D600000}"/>
    <cellStyle name="Normal 5 2 2 3 2 3 3 2 2" xfId="24039" xr:uid="{00000000-0005-0000-0000-00006E600000}"/>
    <cellStyle name="Normal 5 2 2 3 2 3 3 2 2 2" xfId="49592" xr:uid="{00000000-0005-0000-0000-00006F600000}"/>
    <cellStyle name="Normal 5 2 2 3 2 3 3 2 3" xfId="39343" xr:uid="{00000000-0005-0000-0000-000070600000}"/>
    <cellStyle name="Normal 5 2 2 3 2 3 3 3" xfId="10209" xr:uid="{00000000-0005-0000-0000-000071600000}"/>
    <cellStyle name="Normal 5 2 2 3 2 3 3 3 2" xfId="35766" xr:uid="{00000000-0005-0000-0000-000072600000}"/>
    <cellStyle name="Normal 5 2 2 3 2 3 3 4" xfId="19032" xr:uid="{00000000-0005-0000-0000-000073600000}"/>
    <cellStyle name="Normal 5 2 2 3 2 3 3 4 2" xfId="44585" xr:uid="{00000000-0005-0000-0000-000074600000}"/>
    <cellStyle name="Normal 5 2 2 3 2 3 3 5" xfId="30522" xr:uid="{00000000-0005-0000-0000-000075600000}"/>
    <cellStyle name="Normal 5 2 2 3 2 3 4" xfId="2128" xr:uid="{00000000-0005-0000-0000-000076600000}"/>
    <cellStyle name="Normal 5 2 2 3 2 3 4 2" xfId="11493" xr:uid="{00000000-0005-0000-0000-000077600000}"/>
    <cellStyle name="Normal 5 2 2 3 2 3 4 2 2" xfId="37048" xr:uid="{00000000-0005-0000-0000-000078600000}"/>
    <cellStyle name="Normal 5 2 2 3 2 3 4 3" xfId="21497" xr:uid="{00000000-0005-0000-0000-000079600000}"/>
    <cellStyle name="Normal 5 2 2 3 2 3 4 3 2" xfId="47050" xr:uid="{00000000-0005-0000-0000-00007A600000}"/>
    <cellStyle name="Normal 5 2 2 3 2 3 4 4" xfId="27980" xr:uid="{00000000-0005-0000-0000-00007B600000}"/>
    <cellStyle name="Normal 5 2 2 3 2 3 5" xfId="6406" xr:uid="{00000000-0005-0000-0000-00007C600000}"/>
    <cellStyle name="Normal 5 2 2 3 2 3 5 2" xfId="15233" xr:uid="{00000000-0005-0000-0000-00007D600000}"/>
    <cellStyle name="Normal 5 2 2 3 2 3 5 2 2" xfId="40788" xr:uid="{00000000-0005-0000-0000-00007E600000}"/>
    <cellStyle name="Normal 5 2 2 3 2 3 5 3" xfId="25484" xr:uid="{00000000-0005-0000-0000-00007F600000}"/>
    <cellStyle name="Normal 5 2 2 3 2 3 5 3 2" xfId="51037" xr:uid="{00000000-0005-0000-0000-000080600000}"/>
    <cellStyle name="Normal 5 2 2 3 2 3 5 4" xfId="31967" xr:uid="{00000000-0005-0000-0000-000081600000}"/>
    <cellStyle name="Normal 5 2 2 3 2 3 6" xfId="7852" xr:uid="{00000000-0005-0000-0000-000082600000}"/>
    <cellStyle name="Normal 5 2 2 3 2 3 6 2" xfId="20688" xr:uid="{00000000-0005-0000-0000-000083600000}"/>
    <cellStyle name="Normal 5 2 2 3 2 3 6 2 2" xfId="46241" xr:uid="{00000000-0005-0000-0000-000084600000}"/>
    <cellStyle name="Normal 5 2 2 3 2 3 6 3" xfId="33409" xr:uid="{00000000-0005-0000-0000-000085600000}"/>
    <cellStyle name="Normal 5 2 2 3 2 3 7" xfId="16490" xr:uid="{00000000-0005-0000-0000-000086600000}"/>
    <cellStyle name="Normal 5 2 2 3 2 3 7 2" xfId="42043" xr:uid="{00000000-0005-0000-0000-000087600000}"/>
    <cellStyle name="Normal 5 2 2 3 2 3 8" xfId="27171" xr:uid="{00000000-0005-0000-0000-000088600000}"/>
    <cellStyle name="Normal 5 2 2 3 2 4" xfId="3019" xr:uid="{00000000-0005-0000-0000-000089600000}"/>
    <cellStyle name="Normal 5 2 2 3 2 4 2" xfId="5397" xr:uid="{00000000-0005-0000-0000-00008A600000}"/>
    <cellStyle name="Normal 5 2 2 3 2 4 2 2" xfId="14234" xr:uid="{00000000-0005-0000-0000-00008B600000}"/>
    <cellStyle name="Normal 5 2 2 3 2 4 2 2 2" xfId="24485" xr:uid="{00000000-0005-0000-0000-00008C600000}"/>
    <cellStyle name="Normal 5 2 2 3 2 4 2 2 2 2" xfId="50038" xr:uid="{00000000-0005-0000-0000-00008D600000}"/>
    <cellStyle name="Normal 5 2 2 3 2 4 2 2 3" xfId="39789" xr:uid="{00000000-0005-0000-0000-00008E600000}"/>
    <cellStyle name="Normal 5 2 2 3 2 4 2 3" xfId="10655" xr:uid="{00000000-0005-0000-0000-00008F600000}"/>
    <cellStyle name="Normal 5 2 2 3 2 4 2 3 2" xfId="36212" xr:uid="{00000000-0005-0000-0000-000090600000}"/>
    <cellStyle name="Normal 5 2 2 3 2 4 2 4" xfId="19478" xr:uid="{00000000-0005-0000-0000-000091600000}"/>
    <cellStyle name="Normal 5 2 2 3 2 4 2 4 2" xfId="45031" xr:uid="{00000000-0005-0000-0000-000092600000}"/>
    <cellStyle name="Normal 5 2 2 3 2 4 2 5" xfId="30968" xr:uid="{00000000-0005-0000-0000-000093600000}"/>
    <cellStyle name="Normal 5 2 2 3 2 4 3" xfId="6852" xr:uid="{00000000-0005-0000-0000-000094600000}"/>
    <cellStyle name="Normal 5 2 2 3 2 4 3 2" xfId="15679" xr:uid="{00000000-0005-0000-0000-000095600000}"/>
    <cellStyle name="Normal 5 2 2 3 2 4 3 2 2" xfId="41234" xr:uid="{00000000-0005-0000-0000-000096600000}"/>
    <cellStyle name="Normal 5 2 2 3 2 4 3 3" xfId="25930" xr:uid="{00000000-0005-0000-0000-000097600000}"/>
    <cellStyle name="Normal 5 2 2 3 2 4 3 3 2" xfId="51483" xr:uid="{00000000-0005-0000-0000-000098600000}"/>
    <cellStyle name="Normal 5 2 2 3 2 4 3 4" xfId="32413" xr:uid="{00000000-0005-0000-0000-000099600000}"/>
    <cellStyle name="Normal 5 2 2 3 2 4 4" xfId="8298" xr:uid="{00000000-0005-0000-0000-00009A600000}"/>
    <cellStyle name="Normal 5 2 2 3 2 4 4 2" xfId="22380" xr:uid="{00000000-0005-0000-0000-00009B600000}"/>
    <cellStyle name="Normal 5 2 2 3 2 4 4 2 2" xfId="47933" xr:uid="{00000000-0005-0000-0000-00009C600000}"/>
    <cellStyle name="Normal 5 2 2 3 2 4 4 3" xfId="33855" xr:uid="{00000000-0005-0000-0000-00009D600000}"/>
    <cellStyle name="Normal 5 2 2 3 2 4 5" xfId="17373" xr:uid="{00000000-0005-0000-0000-00009E600000}"/>
    <cellStyle name="Normal 5 2 2 3 2 4 5 2" xfId="42926" xr:uid="{00000000-0005-0000-0000-00009F600000}"/>
    <cellStyle name="Normal 5 2 2 3 2 4 6" xfId="28863" xr:uid="{00000000-0005-0000-0000-0000A0600000}"/>
    <cellStyle name="Normal 5 2 2 3 2 5" xfId="4353" xr:uid="{00000000-0005-0000-0000-0000A1600000}"/>
    <cellStyle name="Normal 5 2 2 3 2 5 2" xfId="13191" xr:uid="{00000000-0005-0000-0000-0000A2600000}"/>
    <cellStyle name="Normal 5 2 2 3 2 5 2 2" xfId="23442" xr:uid="{00000000-0005-0000-0000-0000A3600000}"/>
    <cellStyle name="Normal 5 2 2 3 2 5 2 2 2" xfId="48995" xr:uid="{00000000-0005-0000-0000-0000A4600000}"/>
    <cellStyle name="Normal 5 2 2 3 2 5 2 3" xfId="38746" xr:uid="{00000000-0005-0000-0000-0000A5600000}"/>
    <cellStyle name="Normal 5 2 2 3 2 5 3" xfId="9612" xr:uid="{00000000-0005-0000-0000-0000A6600000}"/>
    <cellStyle name="Normal 5 2 2 3 2 5 3 2" xfId="35169" xr:uid="{00000000-0005-0000-0000-0000A7600000}"/>
    <cellStyle name="Normal 5 2 2 3 2 5 4" xfId="18435" xr:uid="{00000000-0005-0000-0000-0000A8600000}"/>
    <cellStyle name="Normal 5 2 2 3 2 5 4 2" xfId="43988" xr:uid="{00000000-0005-0000-0000-0000A9600000}"/>
    <cellStyle name="Normal 5 2 2 3 2 5 5" xfId="29925" xr:uid="{00000000-0005-0000-0000-0000AA600000}"/>
    <cellStyle name="Normal 5 2 2 3 2 6" xfId="1625" xr:uid="{00000000-0005-0000-0000-0000AB600000}"/>
    <cellStyle name="Normal 5 2 2 3 2 6 2" xfId="11002" xr:uid="{00000000-0005-0000-0000-0000AC600000}"/>
    <cellStyle name="Normal 5 2 2 3 2 6 2 2" xfId="36557" xr:uid="{00000000-0005-0000-0000-0000AD600000}"/>
    <cellStyle name="Normal 5 2 2 3 2 6 3" xfId="21006" xr:uid="{00000000-0005-0000-0000-0000AE600000}"/>
    <cellStyle name="Normal 5 2 2 3 2 6 3 2" xfId="46559" xr:uid="{00000000-0005-0000-0000-0000AF600000}"/>
    <cellStyle name="Normal 5 2 2 3 2 6 4" xfId="27489" xr:uid="{00000000-0005-0000-0000-0000B0600000}"/>
    <cellStyle name="Normal 5 2 2 3 2 7" xfId="5809" xr:uid="{00000000-0005-0000-0000-0000B1600000}"/>
    <cellStyle name="Normal 5 2 2 3 2 7 2" xfId="14636" xr:uid="{00000000-0005-0000-0000-0000B2600000}"/>
    <cellStyle name="Normal 5 2 2 3 2 7 2 2" xfId="40191" xr:uid="{00000000-0005-0000-0000-0000B3600000}"/>
    <cellStyle name="Normal 5 2 2 3 2 7 3" xfId="24887" xr:uid="{00000000-0005-0000-0000-0000B4600000}"/>
    <cellStyle name="Normal 5 2 2 3 2 7 3 2" xfId="50440" xr:uid="{00000000-0005-0000-0000-0000B5600000}"/>
    <cellStyle name="Normal 5 2 2 3 2 7 4" xfId="31370" xr:uid="{00000000-0005-0000-0000-0000B6600000}"/>
    <cellStyle name="Normal 5 2 2 3 2 8" xfId="7253" xr:uid="{00000000-0005-0000-0000-0000B7600000}"/>
    <cellStyle name="Normal 5 2 2 3 2 8 2" xfId="19979" xr:uid="{00000000-0005-0000-0000-0000B8600000}"/>
    <cellStyle name="Normal 5 2 2 3 2 8 2 2" xfId="45532" xr:uid="{00000000-0005-0000-0000-0000B9600000}"/>
    <cellStyle name="Normal 5 2 2 3 2 8 3" xfId="32810" xr:uid="{00000000-0005-0000-0000-0000BA600000}"/>
    <cellStyle name="Normal 5 2 2 3 2 9" xfId="15999" xr:uid="{00000000-0005-0000-0000-0000BB600000}"/>
    <cellStyle name="Normal 5 2 2 3 2 9 2" xfId="41552" xr:uid="{00000000-0005-0000-0000-0000BC600000}"/>
    <cellStyle name="Normal 5 2 2 3 2_Degree data" xfId="3927" xr:uid="{00000000-0005-0000-0000-0000BD600000}"/>
    <cellStyle name="Normal 5 2 2 3 3" xfId="433" xr:uid="{00000000-0005-0000-0000-0000BE600000}"/>
    <cellStyle name="Normal 5 2 2 3 3 2" xfId="2919" xr:uid="{00000000-0005-0000-0000-0000BF600000}"/>
    <cellStyle name="Normal 5 2 2 3 3 2 2" xfId="12207" xr:uid="{00000000-0005-0000-0000-0000C0600000}"/>
    <cellStyle name="Normal 5 2 2 3 3 2 2 2" xfId="22280" xr:uid="{00000000-0005-0000-0000-0000C1600000}"/>
    <cellStyle name="Normal 5 2 2 3 3 2 2 2 2" xfId="47833" xr:uid="{00000000-0005-0000-0000-0000C2600000}"/>
    <cellStyle name="Normal 5 2 2 3 3 2 2 3" xfId="37762" xr:uid="{00000000-0005-0000-0000-0000C3600000}"/>
    <cellStyle name="Normal 5 2 2 3 3 2 3" xfId="8614" xr:uid="{00000000-0005-0000-0000-0000C4600000}"/>
    <cellStyle name="Normal 5 2 2 3 3 2 3 2" xfId="34171" xr:uid="{00000000-0005-0000-0000-0000C5600000}"/>
    <cellStyle name="Normal 5 2 2 3 3 2 4" xfId="17273" xr:uid="{00000000-0005-0000-0000-0000C6600000}"/>
    <cellStyle name="Normal 5 2 2 3 3 2 4 2" xfId="42826" xr:uid="{00000000-0005-0000-0000-0000C7600000}"/>
    <cellStyle name="Normal 5 2 2 3 3 2 5" xfId="28763" xr:uid="{00000000-0005-0000-0000-0000C8600000}"/>
    <cellStyle name="Normal 5 2 2 3 3 3" xfId="4601" xr:uid="{00000000-0005-0000-0000-0000C9600000}"/>
    <cellStyle name="Normal 5 2 2 3 3 3 2" xfId="13439" xr:uid="{00000000-0005-0000-0000-0000CA600000}"/>
    <cellStyle name="Normal 5 2 2 3 3 3 2 2" xfId="23690" xr:uid="{00000000-0005-0000-0000-0000CB600000}"/>
    <cellStyle name="Normal 5 2 2 3 3 3 2 2 2" xfId="49243" xr:uid="{00000000-0005-0000-0000-0000CC600000}"/>
    <cellStyle name="Normal 5 2 2 3 3 3 2 3" xfId="38994" xr:uid="{00000000-0005-0000-0000-0000CD600000}"/>
    <cellStyle name="Normal 5 2 2 3 3 3 3" xfId="9860" xr:uid="{00000000-0005-0000-0000-0000CE600000}"/>
    <cellStyle name="Normal 5 2 2 3 3 3 3 2" xfId="35417" xr:uid="{00000000-0005-0000-0000-0000CF600000}"/>
    <cellStyle name="Normal 5 2 2 3 3 3 4" xfId="18683" xr:uid="{00000000-0005-0000-0000-0000D0600000}"/>
    <cellStyle name="Normal 5 2 2 3 3 3 4 2" xfId="44236" xr:uid="{00000000-0005-0000-0000-0000D1600000}"/>
    <cellStyle name="Normal 5 2 2 3 3 3 5" xfId="30173" xr:uid="{00000000-0005-0000-0000-0000D2600000}"/>
    <cellStyle name="Normal 5 2 2 3 3 4" xfId="2028" xr:uid="{00000000-0005-0000-0000-0000D3600000}"/>
    <cellStyle name="Normal 5 2 2 3 3 4 2" xfId="11393" xr:uid="{00000000-0005-0000-0000-0000D4600000}"/>
    <cellStyle name="Normal 5 2 2 3 3 4 2 2" xfId="36948" xr:uid="{00000000-0005-0000-0000-0000D5600000}"/>
    <cellStyle name="Normal 5 2 2 3 3 4 3" xfId="21397" xr:uid="{00000000-0005-0000-0000-0000D6600000}"/>
    <cellStyle name="Normal 5 2 2 3 3 4 3 2" xfId="46950" xr:uid="{00000000-0005-0000-0000-0000D7600000}"/>
    <cellStyle name="Normal 5 2 2 3 3 4 4" xfId="27880" xr:uid="{00000000-0005-0000-0000-0000D8600000}"/>
    <cellStyle name="Normal 5 2 2 3 3 5" xfId="6057" xr:uid="{00000000-0005-0000-0000-0000D9600000}"/>
    <cellStyle name="Normal 5 2 2 3 3 5 2" xfId="14884" xr:uid="{00000000-0005-0000-0000-0000DA600000}"/>
    <cellStyle name="Normal 5 2 2 3 3 5 2 2" xfId="40439" xr:uid="{00000000-0005-0000-0000-0000DB600000}"/>
    <cellStyle name="Normal 5 2 2 3 3 5 3" xfId="25135" xr:uid="{00000000-0005-0000-0000-0000DC600000}"/>
    <cellStyle name="Normal 5 2 2 3 3 5 3 2" xfId="50688" xr:uid="{00000000-0005-0000-0000-0000DD600000}"/>
    <cellStyle name="Normal 5 2 2 3 3 5 4" xfId="31618" xr:uid="{00000000-0005-0000-0000-0000DE600000}"/>
    <cellStyle name="Normal 5 2 2 3 3 6" xfId="7502" xr:uid="{00000000-0005-0000-0000-0000DF600000}"/>
    <cellStyle name="Normal 5 2 2 3 3 6 2" xfId="19879" xr:uid="{00000000-0005-0000-0000-0000E0600000}"/>
    <cellStyle name="Normal 5 2 2 3 3 6 2 2" xfId="45432" xr:uid="{00000000-0005-0000-0000-0000E1600000}"/>
    <cellStyle name="Normal 5 2 2 3 3 6 3" xfId="33059" xr:uid="{00000000-0005-0000-0000-0000E2600000}"/>
    <cellStyle name="Normal 5 2 2 3 3 7" xfId="16390" xr:uid="{00000000-0005-0000-0000-0000E3600000}"/>
    <cellStyle name="Normal 5 2 2 3 3 7 2" xfId="41943" xr:uid="{00000000-0005-0000-0000-0000E4600000}"/>
    <cellStyle name="Normal 5 2 2 3 3 8" xfId="26362" xr:uid="{00000000-0005-0000-0000-0000E5600000}"/>
    <cellStyle name="Normal 5 2 2 3 4" xfId="787" xr:uid="{00000000-0005-0000-0000-0000E6600000}"/>
    <cellStyle name="Normal 5 2 2 3 4 2" xfId="3272" xr:uid="{00000000-0005-0000-0000-0000E7600000}"/>
    <cellStyle name="Normal 5 2 2 3 4 2 2" xfId="12414" xr:uid="{00000000-0005-0000-0000-0000E8600000}"/>
    <cellStyle name="Normal 5 2 2 3 4 2 2 2" xfId="22633" xr:uid="{00000000-0005-0000-0000-0000E9600000}"/>
    <cellStyle name="Normal 5 2 2 3 4 2 2 2 2" xfId="48186" xr:uid="{00000000-0005-0000-0000-0000EA600000}"/>
    <cellStyle name="Normal 5 2 2 3 4 2 2 3" xfId="37969" xr:uid="{00000000-0005-0000-0000-0000EB600000}"/>
    <cellStyle name="Normal 5 2 2 3 4 2 3" xfId="8836" xr:uid="{00000000-0005-0000-0000-0000EC600000}"/>
    <cellStyle name="Normal 5 2 2 3 4 2 3 2" xfId="34393" xr:uid="{00000000-0005-0000-0000-0000ED600000}"/>
    <cellStyle name="Normal 5 2 2 3 4 2 4" xfId="17626" xr:uid="{00000000-0005-0000-0000-0000EE600000}"/>
    <cellStyle name="Normal 5 2 2 3 4 2 4 2" xfId="43179" xr:uid="{00000000-0005-0000-0000-0000EF600000}"/>
    <cellStyle name="Normal 5 2 2 3 4 2 5" xfId="29116" xr:uid="{00000000-0005-0000-0000-0000F0600000}"/>
    <cellStyle name="Normal 5 2 2 3 4 3" xfId="4950" xr:uid="{00000000-0005-0000-0000-0000F1600000}"/>
    <cellStyle name="Normal 5 2 2 3 4 3 2" xfId="13787" xr:uid="{00000000-0005-0000-0000-0000F2600000}"/>
    <cellStyle name="Normal 5 2 2 3 4 3 2 2" xfId="24038" xr:uid="{00000000-0005-0000-0000-0000F3600000}"/>
    <cellStyle name="Normal 5 2 2 3 4 3 2 2 2" xfId="49591" xr:uid="{00000000-0005-0000-0000-0000F4600000}"/>
    <cellStyle name="Normal 5 2 2 3 4 3 2 3" xfId="39342" xr:uid="{00000000-0005-0000-0000-0000F5600000}"/>
    <cellStyle name="Normal 5 2 2 3 4 3 3" xfId="10208" xr:uid="{00000000-0005-0000-0000-0000F6600000}"/>
    <cellStyle name="Normal 5 2 2 3 4 3 3 2" xfId="35765" xr:uid="{00000000-0005-0000-0000-0000F7600000}"/>
    <cellStyle name="Normal 5 2 2 3 4 3 4" xfId="19031" xr:uid="{00000000-0005-0000-0000-0000F8600000}"/>
    <cellStyle name="Normal 5 2 2 3 4 3 4 2" xfId="44584" xr:uid="{00000000-0005-0000-0000-0000F9600000}"/>
    <cellStyle name="Normal 5 2 2 3 4 3 5" xfId="30521" xr:uid="{00000000-0005-0000-0000-0000FA600000}"/>
    <cellStyle name="Normal 5 2 2 3 4 4" xfId="2381" xr:uid="{00000000-0005-0000-0000-0000FB600000}"/>
    <cellStyle name="Normal 5 2 2 3 4 4 2" xfId="11746" xr:uid="{00000000-0005-0000-0000-0000FC600000}"/>
    <cellStyle name="Normal 5 2 2 3 4 4 2 2" xfId="37301" xr:uid="{00000000-0005-0000-0000-0000FD600000}"/>
    <cellStyle name="Normal 5 2 2 3 4 4 3" xfId="21750" xr:uid="{00000000-0005-0000-0000-0000FE600000}"/>
    <cellStyle name="Normal 5 2 2 3 4 4 3 2" xfId="47303" xr:uid="{00000000-0005-0000-0000-0000FF600000}"/>
    <cellStyle name="Normal 5 2 2 3 4 4 4" xfId="28233" xr:uid="{00000000-0005-0000-0000-000000610000}"/>
    <cellStyle name="Normal 5 2 2 3 4 5" xfId="6405" xr:uid="{00000000-0005-0000-0000-000001610000}"/>
    <cellStyle name="Normal 5 2 2 3 4 5 2" xfId="15232" xr:uid="{00000000-0005-0000-0000-000002610000}"/>
    <cellStyle name="Normal 5 2 2 3 4 5 2 2" xfId="40787" xr:uid="{00000000-0005-0000-0000-000003610000}"/>
    <cellStyle name="Normal 5 2 2 3 4 5 3" xfId="25483" xr:uid="{00000000-0005-0000-0000-000004610000}"/>
    <cellStyle name="Normal 5 2 2 3 4 5 3 2" xfId="51036" xr:uid="{00000000-0005-0000-0000-000005610000}"/>
    <cellStyle name="Normal 5 2 2 3 4 5 4" xfId="31966" xr:uid="{00000000-0005-0000-0000-000006610000}"/>
    <cellStyle name="Normal 5 2 2 3 4 6" xfId="7851" xr:uid="{00000000-0005-0000-0000-000007610000}"/>
    <cellStyle name="Normal 5 2 2 3 4 6 2" xfId="20232" xr:uid="{00000000-0005-0000-0000-000008610000}"/>
    <cellStyle name="Normal 5 2 2 3 4 6 2 2" xfId="45785" xr:uid="{00000000-0005-0000-0000-000009610000}"/>
    <cellStyle name="Normal 5 2 2 3 4 6 3" xfId="33408" xr:uid="{00000000-0005-0000-0000-00000A610000}"/>
    <cellStyle name="Normal 5 2 2 3 4 7" xfId="16743" xr:uid="{00000000-0005-0000-0000-00000B610000}"/>
    <cellStyle name="Normal 5 2 2 3 4 7 2" xfId="42296" xr:uid="{00000000-0005-0000-0000-00000C610000}"/>
    <cellStyle name="Normal 5 2 2 3 4 8" xfId="26715" xr:uid="{00000000-0005-0000-0000-00000D610000}"/>
    <cellStyle name="Normal 5 2 2 3 5" xfId="1205" xr:uid="{00000000-0005-0000-0000-00000E610000}"/>
    <cellStyle name="Normal 5 2 2 3 5 2" xfId="3634" xr:uid="{00000000-0005-0000-0000-00000F610000}"/>
    <cellStyle name="Normal 5 2 2 3 5 2 2" xfId="12770" xr:uid="{00000000-0005-0000-0000-000010610000}"/>
    <cellStyle name="Normal 5 2 2 3 5 2 2 2" xfId="22989" xr:uid="{00000000-0005-0000-0000-000011610000}"/>
    <cellStyle name="Normal 5 2 2 3 5 2 2 2 2" xfId="48542" xr:uid="{00000000-0005-0000-0000-000012610000}"/>
    <cellStyle name="Normal 5 2 2 3 5 2 2 3" xfId="38325" xr:uid="{00000000-0005-0000-0000-000013610000}"/>
    <cellStyle name="Normal 5 2 2 3 5 2 3" xfId="9191" xr:uid="{00000000-0005-0000-0000-000014610000}"/>
    <cellStyle name="Normal 5 2 2 3 5 2 3 2" xfId="34748" xr:uid="{00000000-0005-0000-0000-000015610000}"/>
    <cellStyle name="Normal 5 2 2 3 5 2 4" xfId="17982" xr:uid="{00000000-0005-0000-0000-000016610000}"/>
    <cellStyle name="Normal 5 2 2 3 5 2 4 2" xfId="43535" xr:uid="{00000000-0005-0000-0000-000017610000}"/>
    <cellStyle name="Normal 5 2 2 3 5 2 5" xfId="29472" xr:uid="{00000000-0005-0000-0000-000018610000}"/>
    <cellStyle name="Normal 5 2 2 3 5 3" xfId="5297" xr:uid="{00000000-0005-0000-0000-000019610000}"/>
    <cellStyle name="Normal 5 2 2 3 5 3 2" xfId="14134" xr:uid="{00000000-0005-0000-0000-00001A610000}"/>
    <cellStyle name="Normal 5 2 2 3 5 3 2 2" xfId="24385" xr:uid="{00000000-0005-0000-0000-00001B610000}"/>
    <cellStyle name="Normal 5 2 2 3 5 3 2 2 2" xfId="49938" xr:uid="{00000000-0005-0000-0000-00001C610000}"/>
    <cellStyle name="Normal 5 2 2 3 5 3 2 3" xfId="39689" xr:uid="{00000000-0005-0000-0000-00001D610000}"/>
    <cellStyle name="Normal 5 2 2 3 5 3 3" xfId="10555" xr:uid="{00000000-0005-0000-0000-00001E610000}"/>
    <cellStyle name="Normal 5 2 2 3 5 3 3 2" xfId="36112" xr:uid="{00000000-0005-0000-0000-00001F610000}"/>
    <cellStyle name="Normal 5 2 2 3 5 3 4" xfId="19378" xr:uid="{00000000-0005-0000-0000-000020610000}"/>
    <cellStyle name="Normal 5 2 2 3 5 3 4 2" xfId="44931" xr:uid="{00000000-0005-0000-0000-000021610000}"/>
    <cellStyle name="Normal 5 2 2 3 5 3 5" xfId="30868" xr:uid="{00000000-0005-0000-0000-000022610000}"/>
    <cellStyle name="Normal 5 2 2 3 5 4" xfId="1808" xr:uid="{00000000-0005-0000-0000-000023610000}"/>
    <cellStyle name="Normal 5 2 2 3 5 4 2" xfId="11176" xr:uid="{00000000-0005-0000-0000-000024610000}"/>
    <cellStyle name="Normal 5 2 2 3 5 4 2 2" xfId="36731" xr:uid="{00000000-0005-0000-0000-000025610000}"/>
    <cellStyle name="Normal 5 2 2 3 5 4 3" xfId="21180" xr:uid="{00000000-0005-0000-0000-000026610000}"/>
    <cellStyle name="Normal 5 2 2 3 5 4 3 2" xfId="46733" xr:uid="{00000000-0005-0000-0000-000027610000}"/>
    <cellStyle name="Normal 5 2 2 3 5 4 4" xfId="27663" xr:uid="{00000000-0005-0000-0000-000028610000}"/>
    <cellStyle name="Normal 5 2 2 3 5 5" xfId="6752" xr:uid="{00000000-0005-0000-0000-000029610000}"/>
    <cellStyle name="Normal 5 2 2 3 5 5 2" xfId="15579" xr:uid="{00000000-0005-0000-0000-00002A610000}"/>
    <cellStyle name="Normal 5 2 2 3 5 5 2 2" xfId="41134" xr:uid="{00000000-0005-0000-0000-00002B610000}"/>
    <cellStyle name="Normal 5 2 2 3 5 5 3" xfId="25830" xr:uid="{00000000-0005-0000-0000-00002C610000}"/>
    <cellStyle name="Normal 5 2 2 3 5 5 3 2" xfId="51383" xr:uid="{00000000-0005-0000-0000-00002D610000}"/>
    <cellStyle name="Normal 5 2 2 3 5 5 4" xfId="32313" xr:uid="{00000000-0005-0000-0000-00002E610000}"/>
    <cellStyle name="Normal 5 2 2 3 5 6" xfId="8198" xr:uid="{00000000-0005-0000-0000-00002F610000}"/>
    <cellStyle name="Normal 5 2 2 3 5 6 2" xfId="20588" xr:uid="{00000000-0005-0000-0000-000030610000}"/>
    <cellStyle name="Normal 5 2 2 3 5 6 2 2" xfId="46141" xr:uid="{00000000-0005-0000-0000-000031610000}"/>
    <cellStyle name="Normal 5 2 2 3 5 6 3" xfId="33755" xr:uid="{00000000-0005-0000-0000-000032610000}"/>
    <cellStyle name="Normal 5 2 2 3 5 7" xfId="16173" xr:uid="{00000000-0005-0000-0000-000033610000}"/>
    <cellStyle name="Normal 5 2 2 3 5 7 2" xfId="41726" xr:uid="{00000000-0005-0000-0000-000034610000}"/>
    <cellStyle name="Normal 5 2 2 3 5 8" xfId="27071" xr:uid="{00000000-0005-0000-0000-000035610000}"/>
    <cellStyle name="Normal 5 2 2 3 6" xfId="2702" xr:uid="{00000000-0005-0000-0000-000036610000}"/>
    <cellStyle name="Normal 5 2 2 3 6 2" xfId="12019" xr:uid="{00000000-0005-0000-0000-000037610000}"/>
    <cellStyle name="Normal 5 2 2 3 6 2 2" xfId="22063" xr:uid="{00000000-0005-0000-0000-000038610000}"/>
    <cellStyle name="Normal 5 2 2 3 6 2 2 2" xfId="47616" xr:uid="{00000000-0005-0000-0000-000039610000}"/>
    <cellStyle name="Normal 5 2 2 3 6 2 3" xfId="37574" xr:uid="{00000000-0005-0000-0000-00003A610000}"/>
    <cellStyle name="Normal 5 2 2 3 6 3" xfId="6967" xr:uid="{00000000-0005-0000-0000-00003B610000}"/>
    <cellStyle name="Normal 5 2 2 3 6 3 2" xfId="32525" xr:uid="{00000000-0005-0000-0000-00003C610000}"/>
    <cellStyle name="Normal 5 2 2 3 6 4" xfId="17056" xr:uid="{00000000-0005-0000-0000-00003D610000}"/>
    <cellStyle name="Normal 5 2 2 3 6 4 2" xfId="42609" xr:uid="{00000000-0005-0000-0000-00003E610000}"/>
    <cellStyle name="Normal 5 2 2 3 6 5" xfId="28546" xr:uid="{00000000-0005-0000-0000-00003F610000}"/>
    <cellStyle name="Normal 5 2 2 3 7" xfId="4253" xr:uid="{00000000-0005-0000-0000-000040610000}"/>
    <cellStyle name="Normal 5 2 2 3 7 2" xfId="13091" xr:uid="{00000000-0005-0000-0000-000041610000}"/>
    <cellStyle name="Normal 5 2 2 3 7 2 2" xfId="23342" xr:uid="{00000000-0005-0000-0000-000042610000}"/>
    <cellStyle name="Normal 5 2 2 3 7 2 2 2" xfId="48895" xr:uid="{00000000-0005-0000-0000-000043610000}"/>
    <cellStyle name="Normal 5 2 2 3 7 2 3" xfId="38646" xr:uid="{00000000-0005-0000-0000-000044610000}"/>
    <cellStyle name="Normal 5 2 2 3 7 3" xfId="9512" xr:uid="{00000000-0005-0000-0000-000045610000}"/>
    <cellStyle name="Normal 5 2 2 3 7 3 2" xfId="35069" xr:uid="{00000000-0005-0000-0000-000046610000}"/>
    <cellStyle name="Normal 5 2 2 3 7 4" xfId="18335" xr:uid="{00000000-0005-0000-0000-000047610000}"/>
    <cellStyle name="Normal 5 2 2 3 7 4 2" xfId="43888" xr:uid="{00000000-0005-0000-0000-000048610000}"/>
    <cellStyle name="Normal 5 2 2 3 7 5" xfId="29825" xr:uid="{00000000-0005-0000-0000-000049610000}"/>
    <cellStyle name="Normal 5 2 2 3 8" xfId="1525" xr:uid="{00000000-0005-0000-0000-00004A610000}"/>
    <cellStyle name="Normal 5 2 2 3 8 2" xfId="10902" xr:uid="{00000000-0005-0000-0000-00004B610000}"/>
    <cellStyle name="Normal 5 2 2 3 8 2 2" xfId="36457" xr:uid="{00000000-0005-0000-0000-00004C610000}"/>
    <cellStyle name="Normal 5 2 2 3 8 3" xfId="20906" xr:uid="{00000000-0005-0000-0000-00004D610000}"/>
    <cellStyle name="Normal 5 2 2 3 8 3 2" xfId="46459" xr:uid="{00000000-0005-0000-0000-00004E610000}"/>
    <cellStyle name="Normal 5 2 2 3 8 4" xfId="27389" xr:uid="{00000000-0005-0000-0000-00004F610000}"/>
    <cellStyle name="Normal 5 2 2 3 9" xfId="5709" xr:uid="{00000000-0005-0000-0000-000050610000}"/>
    <cellStyle name="Normal 5 2 2 3 9 2" xfId="14536" xr:uid="{00000000-0005-0000-0000-000051610000}"/>
    <cellStyle name="Normal 5 2 2 3 9 2 2" xfId="40091" xr:uid="{00000000-0005-0000-0000-000052610000}"/>
    <cellStyle name="Normal 5 2 2 3 9 3" xfId="24787" xr:uid="{00000000-0005-0000-0000-000053610000}"/>
    <cellStyle name="Normal 5 2 2 3 9 3 2" xfId="50340" xr:uid="{00000000-0005-0000-0000-000054610000}"/>
    <cellStyle name="Normal 5 2 2 3 9 4" xfId="31270" xr:uid="{00000000-0005-0000-0000-000055610000}"/>
    <cellStyle name="Normal 5 2 2 3_Degree data" xfId="3928" xr:uid="{00000000-0005-0000-0000-000056610000}"/>
    <cellStyle name="Normal 5 2 2 4" xfId="333" xr:uid="{00000000-0005-0000-0000-000057610000}"/>
    <cellStyle name="Normal 5 2 2 4 10" xfId="26262" xr:uid="{00000000-0005-0000-0000-000058610000}"/>
    <cellStyle name="Normal 5 2 2 4 2" xfId="789" xr:uid="{00000000-0005-0000-0000-000059610000}"/>
    <cellStyle name="Normal 5 2 2 4 2 2" xfId="3274" xr:uid="{00000000-0005-0000-0000-00005A610000}"/>
    <cellStyle name="Normal 5 2 2 4 2 2 2" xfId="12416" xr:uid="{00000000-0005-0000-0000-00005B610000}"/>
    <cellStyle name="Normal 5 2 2 4 2 2 2 2" xfId="22635" xr:uid="{00000000-0005-0000-0000-00005C610000}"/>
    <cellStyle name="Normal 5 2 2 4 2 2 2 2 2" xfId="48188" xr:uid="{00000000-0005-0000-0000-00005D610000}"/>
    <cellStyle name="Normal 5 2 2 4 2 2 2 3" xfId="37971" xr:uid="{00000000-0005-0000-0000-00005E610000}"/>
    <cellStyle name="Normal 5 2 2 4 2 2 3" xfId="8838" xr:uid="{00000000-0005-0000-0000-00005F610000}"/>
    <cellStyle name="Normal 5 2 2 4 2 2 3 2" xfId="34395" xr:uid="{00000000-0005-0000-0000-000060610000}"/>
    <cellStyle name="Normal 5 2 2 4 2 2 4" xfId="17628" xr:uid="{00000000-0005-0000-0000-000061610000}"/>
    <cellStyle name="Normal 5 2 2 4 2 2 4 2" xfId="43181" xr:uid="{00000000-0005-0000-0000-000062610000}"/>
    <cellStyle name="Normal 5 2 2 4 2 2 5" xfId="29118" xr:uid="{00000000-0005-0000-0000-000063610000}"/>
    <cellStyle name="Normal 5 2 2 4 2 3" xfId="4603" xr:uid="{00000000-0005-0000-0000-000064610000}"/>
    <cellStyle name="Normal 5 2 2 4 2 3 2" xfId="13441" xr:uid="{00000000-0005-0000-0000-000065610000}"/>
    <cellStyle name="Normal 5 2 2 4 2 3 2 2" xfId="23692" xr:uid="{00000000-0005-0000-0000-000066610000}"/>
    <cellStyle name="Normal 5 2 2 4 2 3 2 2 2" xfId="49245" xr:uid="{00000000-0005-0000-0000-000067610000}"/>
    <cellStyle name="Normal 5 2 2 4 2 3 2 3" xfId="38996" xr:uid="{00000000-0005-0000-0000-000068610000}"/>
    <cellStyle name="Normal 5 2 2 4 2 3 3" xfId="9862" xr:uid="{00000000-0005-0000-0000-000069610000}"/>
    <cellStyle name="Normal 5 2 2 4 2 3 3 2" xfId="35419" xr:uid="{00000000-0005-0000-0000-00006A610000}"/>
    <cellStyle name="Normal 5 2 2 4 2 3 4" xfId="18685" xr:uid="{00000000-0005-0000-0000-00006B610000}"/>
    <cellStyle name="Normal 5 2 2 4 2 3 4 2" xfId="44238" xr:uid="{00000000-0005-0000-0000-00006C610000}"/>
    <cellStyle name="Normal 5 2 2 4 2 3 5" xfId="30175" xr:uid="{00000000-0005-0000-0000-00006D610000}"/>
    <cellStyle name="Normal 5 2 2 4 2 4" xfId="2383" xr:uid="{00000000-0005-0000-0000-00006E610000}"/>
    <cellStyle name="Normal 5 2 2 4 2 4 2" xfId="11748" xr:uid="{00000000-0005-0000-0000-00006F610000}"/>
    <cellStyle name="Normal 5 2 2 4 2 4 2 2" xfId="37303" xr:uid="{00000000-0005-0000-0000-000070610000}"/>
    <cellStyle name="Normal 5 2 2 4 2 4 3" xfId="21752" xr:uid="{00000000-0005-0000-0000-000071610000}"/>
    <cellStyle name="Normal 5 2 2 4 2 4 3 2" xfId="47305" xr:uid="{00000000-0005-0000-0000-000072610000}"/>
    <cellStyle name="Normal 5 2 2 4 2 4 4" xfId="28235" xr:uid="{00000000-0005-0000-0000-000073610000}"/>
    <cellStyle name="Normal 5 2 2 4 2 5" xfId="6059" xr:uid="{00000000-0005-0000-0000-000074610000}"/>
    <cellStyle name="Normal 5 2 2 4 2 5 2" xfId="14886" xr:uid="{00000000-0005-0000-0000-000075610000}"/>
    <cellStyle name="Normal 5 2 2 4 2 5 2 2" xfId="40441" xr:uid="{00000000-0005-0000-0000-000076610000}"/>
    <cellStyle name="Normal 5 2 2 4 2 5 3" xfId="25137" xr:uid="{00000000-0005-0000-0000-000077610000}"/>
    <cellStyle name="Normal 5 2 2 4 2 5 3 2" xfId="50690" xr:uid="{00000000-0005-0000-0000-000078610000}"/>
    <cellStyle name="Normal 5 2 2 4 2 5 4" xfId="31620" xr:uid="{00000000-0005-0000-0000-000079610000}"/>
    <cellStyle name="Normal 5 2 2 4 2 6" xfId="7504" xr:uid="{00000000-0005-0000-0000-00007A610000}"/>
    <cellStyle name="Normal 5 2 2 4 2 6 2" xfId="20234" xr:uid="{00000000-0005-0000-0000-00007B610000}"/>
    <cellStyle name="Normal 5 2 2 4 2 6 2 2" xfId="45787" xr:uid="{00000000-0005-0000-0000-00007C610000}"/>
    <cellStyle name="Normal 5 2 2 4 2 6 3" xfId="33061" xr:uid="{00000000-0005-0000-0000-00007D610000}"/>
    <cellStyle name="Normal 5 2 2 4 2 7" xfId="16745" xr:uid="{00000000-0005-0000-0000-00007E610000}"/>
    <cellStyle name="Normal 5 2 2 4 2 7 2" xfId="42298" xr:uid="{00000000-0005-0000-0000-00007F610000}"/>
    <cellStyle name="Normal 5 2 2 4 2 8" xfId="26717" xr:uid="{00000000-0005-0000-0000-000080610000}"/>
    <cellStyle name="Normal 5 2 2 4 3" xfId="1105" xr:uid="{00000000-0005-0000-0000-000081610000}"/>
    <cellStyle name="Normal 5 2 2 4 3 2" xfId="3534" xr:uid="{00000000-0005-0000-0000-000082610000}"/>
    <cellStyle name="Normal 5 2 2 4 3 2 2" xfId="12670" xr:uid="{00000000-0005-0000-0000-000083610000}"/>
    <cellStyle name="Normal 5 2 2 4 3 2 2 2" xfId="22889" xr:uid="{00000000-0005-0000-0000-000084610000}"/>
    <cellStyle name="Normal 5 2 2 4 3 2 2 2 2" xfId="48442" xr:uid="{00000000-0005-0000-0000-000085610000}"/>
    <cellStyle name="Normal 5 2 2 4 3 2 2 3" xfId="38225" xr:uid="{00000000-0005-0000-0000-000086610000}"/>
    <cellStyle name="Normal 5 2 2 4 3 2 3" xfId="9091" xr:uid="{00000000-0005-0000-0000-000087610000}"/>
    <cellStyle name="Normal 5 2 2 4 3 2 3 2" xfId="34648" xr:uid="{00000000-0005-0000-0000-000088610000}"/>
    <cellStyle name="Normal 5 2 2 4 3 2 4" xfId="17882" xr:uid="{00000000-0005-0000-0000-000089610000}"/>
    <cellStyle name="Normal 5 2 2 4 3 2 4 2" xfId="43435" xr:uid="{00000000-0005-0000-0000-00008A610000}"/>
    <cellStyle name="Normal 5 2 2 4 3 2 5" xfId="29372" xr:uid="{00000000-0005-0000-0000-00008B610000}"/>
    <cellStyle name="Normal 5 2 2 4 3 3" xfId="4952" xr:uid="{00000000-0005-0000-0000-00008C610000}"/>
    <cellStyle name="Normal 5 2 2 4 3 3 2" xfId="13789" xr:uid="{00000000-0005-0000-0000-00008D610000}"/>
    <cellStyle name="Normal 5 2 2 4 3 3 2 2" xfId="24040" xr:uid="{00000000-0005-0000-0000-00008E610000}"/>
    <cellStyle name="Normal 5 2 2 4 3 3 2 2 2" xfId="49593" xr:uid="{00000000-0005-0000-0000-00008F610000}"/>
    <cellStyle name="Normal 5 2 2 4 3 3 2 3" xfId="39344" xr:uid="{00000000-0005-0000-0000-000090610000}"/>
    <cellStyle name="Normal 5 2 2 4 3 3 3" xfId="10210" xr:uid="{00000000-0005-0000-0000-000091610000}"/>
    <cellStyle name="Normal 5 2 2 4 3 3 3 2" xfId="35767" xr:uid="{00000000-0005-0000-0000-000092610000}"/>
    <cellStyle name="Normal 5 2 2 4 3 3 4" xfId="19033" xr:uid="{00000000-0005-0000-0000-000093610000}"/>
    <cellStyle name="Normal 5 2 2 4 3 3 4 2" xfId="44586" xr:uid="{00000000-0005-0000-0000-000094610000}"/>
    <cellStyle name="Normal 5 2 2 4 3 3 5" xfId="30523" xr:uid="{00000000-0005-0000-0000-000095610000}"/>
    <cellStyle name="Normal 5 2 2 4 3 4" xfId="2577" xr:uid="{00000000-0005-0000-0000-000096610000}"/>
    <cellStyle name="Normal 5 2 2 4 3 4 2" xfId="11941" xr:uid="{00000000-0005-0000-0000-000097610000}"/>
    <cellStyle name="Normal 5 2 2 4 3 4 2 2" xfId="37496" xr:uid="{00000000-0005-0000-0000-000098610000}"/>
    <cellStyle name="Normal 5 2 2 4 3 4 3" xfId="21945" xr:uid="{00000000-0005-0000-0000-000099610000}"/>
    <cellStyle name="Normal 5 2 2 4 3 4 3 2" xfId="47498" xr:uid="{00000000-0005-0000-0000-00009A610000}"/>
    <cellStyle name="Normal 5 2 2 4 3 4 4" xfId="28428" xr:uid="{00000000-0005-0000-0000-00009B610000}"/>
    <cellStyle name="Normal 5 2 2 4 3 5" xfId="6407" xr:uid="{00000000-0005-0000-0000-00009C610000}"/>
    <cellStyle name="Normal 5 2 2 4 3 5 2" xfId="15234" xr:uid="{00000000-0005-0000-0000-00009D610000}"/>
    <cellStyle name="Normal 5 2 2 4 3 5 2 2" xfId="40789" xr:uid="{00000000-0005-0000-0000-00009E610000}"/>
    <cellStyle name="Normal 5 2 2 4 3 5 3" xfId="25485" xr:uid="{00000000-0005-0000-0000-00009F610000}"/>
    <cellStyle name="Normal 5 2 2 4 3 5 3 2" xfId="51038" xr:uid="{00000000-0005-0000-0000-0000A0610000}"/>
    <cellStyle name="Normal 5 2 2 4 3 5 4" xfId="31968" xr:uid="{00000000-0005-0000-0000-0000A1610000}"/>
    <cellStyle name="Normal 5 2 2 4 3 6" xfId="7853" xr:uid="{00000000-0005-0000-0000-0000A2610000}"/>
    <cellStyle name="Normal 5 2 2 4 3 6 2" xfId="20488" xr:uid="{00000000-0005-0000-0000-0000A3610000}"/>
    <cellStyle name="Normal 5 2 2 4 3 6 2 2" xfId="46041" xr:uid="{00000000-0005-0000-0000-0000A4610000}"/>
    <cellStyle name="Normal 5 2 2 4 3 6 3" xfId="33410" xr:uid="{00000000-0005-0000-0000-0000A5610000}"/>
    <cellStyle name="Normal 5 2 2 4 3 7" xfId="16938" xr:uid="{00000000-0005-0000-0000-0000A6610000}"/>
    <cellStyle name="Normal 5 2 2 4 3 7 2" xfId="42491" xr:uid="{00000000-0005-0000-0000-0000A7610000}"/>
    <cellStyle name="Normal 5 2 2 4 3 8" xfId="26971" xr:uid="{00000000-0005-0000-0000-0000A8610000}"/>
    <cellStyle name="Normal 5 2 2 4 4" xfId="2819" xr:uid="{00000000-0005-0000-0000-0000A9610000}"/>
    <cellStyle name="Normal 5 2 2 4 4 2" xfId="5197" xr:uid="{00000000-0005-0000-0000-0000AA610000}"/>
    <cellStyle name="Normal 5 2 2 4 4 2 2" xfId="14034" xr:uid="{00000000-0005-0000-0000-0000AB610000}"/>
    <cellStyle name="Normal 5 2 2 4 4 2 2 2" xfId="24285" xr:uid="{00000000-0005-0000-0000-0000AC610000}"/>
    <cellStyle name="Normal 5 2 2 4 4 2 2 2 2" xfId="49838" xr:uid="{00000000-0005-0000-0000-0000AD610000}"/>
    <cellStyle name="Normal 5 2 2 4 4 2 2 3" xfId="39589" xr:uid="{00000000-0005-0000-0000-0000AE610000}"/>
    <cellStyle name="Normal 5 2 2 4 4 2 3" xfId="10455" xr:uid="{00000000-0005-0000-0000-0000AF610000}"/>
    <cellStyle name="Normal 5 2 2 4 4 2 3 2" xfId="36012" xr:uid="{00000000-0005-0000-0000-0000B0610000}"/>
    <cellStyle name="Normal 5 2 2 4 4 2 4" xfId="19278" xr:uid="{00000000-0005-0000-0000-0000B1610000}"/>
    <cellStyle name="Normal 5 2 2 4 4 2 4 2" xfId="44831" xr:uid="{00000000-0005-0000-0000-0000B2610000}"/>
    <cellStyle name="Normal 5 2 2 4 4 2 5" xfId="30768" xr:uid="{00000000-0005-0000-0000-0000B3610000}"/>
    <cellStyle name="Normal 5 2 2 4 4 3" xfId="6652" xr:uid="{00000000-0005-0000-0000-0000B4610000}"/>
    <cellStyle name="Normal 5 2 2 4 4 3 2" xfId="15479" xr:uid="{00000000-0005-0000-0000-0000B5610000}"/>
    <cellStyle name="Normal 5 2 2 4 4 3 2 2" xfId="41034" xr:uid="{00000000-0005-0000-0000-0000B6610000}"/>
    <cellStyle name="Normal 5 2 2 4 4 3 3" xfId="25730" xr:uid="{00000000-0005-0000-0000-0000B7610000}"/>
    <cellStyle name="Normal 5 2 2 4 4 3 3 2" xfId="51283" xr:uid="{00000000-0005-0000-0000-0000B8610000}"/>
    <cellStyle name="Normal 5 2 2 4 4 3 4" xfId="32213" xr:uid="{00000000-0005-0000-0000-0000B9610000}"/>
    <cellStyle name="Normal 5 2 2 4 4 4" xfId="8098" xr:uid="{00000000-0005-0000-0000-0000BA610000}"/>
    <cellStyle name="Normal 5 2 2 4 4 4 2" xfId="22180" xr:uid="{00000000-0005-0000-0000-0000BB610000}"/>
    <cellStyle name="Normal 5 2 2 4 4 4 2 2" xfId="47733" xr:uid="{00000000-0005-0000-0000-0000BC610000}"/>
    <cellStyle name="Normal 5 2 2 4 4 4 3" xfId="33655" xr:uid="{00000000-0005-0000-0000-0000BD610000}"/>
    <cellStyle name="Normal 5 2 2 4 4 5" xfId="17173" xr:uid="{00000000-0005-0000-0000-0000BE610000}"/>
    <cellStyle name="Normal 5 2 2 4 4 5 2" xfId="42726" xr:uid="{00000000-0005-0000-0000-0000BF610000}"/>
    <cellStyle name="Normal 5 2 2 4 4 6" xfId="28663" xr:uid="{00000000-0005-0000-0000-0000C0610000}"/>
    <cellStyle name="Normal 5 2 2 4 5" xfId="4151" xr:uid="{00000000-0005-0000-0000-0000C1610000}"/>
    <cellStyle name="Normal 5 2 2 4 5 2" xfId="12989" xr:uid="{00000000-0005-0000-0000-0000C2610000}"/>
    <cellStyle name="Normal 5 2 2 4 5 2 2" xfId="23240" xr:uid="{00000000-0005-0000-0000-0000C3610000}"/>
    <cellStyle name="Normal 5 2 2 4 5 2 2 2" xfId="48793" xr:uid="{00000000-0005-0000-0000-0000C4610000}"/>
    <cellStyle name="Normal 5 2 2 4 5 2 3" xfId="38544" xr:uid="{00000000-0005-0000-0000-0000C5610000}"/>
    <cellStyle name="Normal 5 2 2 4 5 3" xfId="9410" xr:uid="{00000000-0005-0000-0000-0000C6610000}"/>
    <cellStyle name="Normal 5 2 2 4 5 3 2" xfId="34967" xr:uid="{00000000-0005-0000-0000-0000C7610000}"/>
    <cellStyle name="Normal 5 2 2 4 5 4" xfId="18233" xr:uid="{00000000-0005-0000-0000-0000C8610000}"/>
    <cellStyle name="Normal 5 2 2 4 5 4 2" xfId="43786" xr:uid="{00000000-0005-0000-0000-0000C9610000}"/>
    <cellStyle name="Normal 5 2 2 4 5 5" xfId="29723" xr:uid="{00000000-0005-0000-0000-0000CA610000}"/>
    <cellStyle name="Normal 5 2 2 4 6" xfId="1928" xr:uid="{00000000-0005-0000-0000-0000CB610000}"/>
    <cellStyle name="Normal 5 2 2 4 6 2" xfId="11293" xr:uid="{00000000-0005-0000-0000-0000CC610000}"/>
    <cellStyle name="Normal 5 2 2 4 6 2 2" xfId="36848" xr:uid="{00000000-0005-0000-0000-0000CD610000}"/>
    <cellStyle name="Normal 5 2 2 4 6 3" xfId="21297" xr:uid="{00000000-0005-0000-0000-0000CE610000}"/>
    <cellStyle name="Normal 5 2 2 4 6 3 2" xfId="46850" xr:uid="{00000000-0005-0000-0000-0000CF610000}"/>
    <cellStyle name="Normal 5 2 2 4 6 4" xfId="27780" xr:uid="{00000000-0005-0000-0000-0000D0610000}"/>
    <cellStyle name="Normal 5 2 2 4 7" xfId="5609" xr:uid="{00000000-0005-0000-0000-0000D1610000}"/>
    <cellStyle name="Normal 5 2 2 4 7 2" xfId="14436" xr:uid="{00000000-0005-0000-0000-0000D2610000}"/>
    <cellStyle name="Normal 5 2 2 4 7 2 2" xfId="39991" xr:uid="{00000000-0005-0000-0000-0000D3610000}"/>
    <cellStyle name="Normal 5 2 2 4 7 3" xfId="24687" xr:uid="{00000000-0005-0000-0000-0000D4610000}"/>
    <cellStyle name="Normal 5 2 2 4 7 3 2" xfId="50240" xr:uid="{00000000-0005-0000-0000-0000D5610000}"/>
    <cellStyle name="Normal 5 2 2 4 7 4" xfId="31170" xr:uid="{00000000-0005-0000-0000-0000D6610000}"/>
    <cellStyle name="Normal 5 2 2 4 8" xfId="7053" xr:uid="{00000000-0005-0000-0000-0000D7610000}"/>
    <cellStyle name="Normal 5 2 2 4 8 2" xfId="19779" xr:uid="{00000000-0005-0000-0000-0000D8610000}"/>
    <cellStyle name="Normal 5 2 2 4 8 2 2" xfId="45332" xr:uid="{00000000-0005-0000-0000-0000D9610000}"/>
    <cellStyle name="Normal 5 2 2 4 8 3" xfId="32610" xr:uid="{00000000-0005-0000-0000-0000DA610000}"/>
    <cellStyle name="Normal 5 2 2 4 9" xfId="16290" xr:uid="{00000000-0005-0000-0000-0000DB610000}"/>
    <cellStyle name="Normal 5 2 2 4 9 2" xfId="41843" xr:uid="{00000000-0005-0000-0000-0000DC610000}"/>
    <cellStyle name="Normal 5 2 2 4_Degree data" xfId="3881" xr:uid="{00000000-0005-0000-0000-0000DD610000}"/>
    <cellStyle name="Normal 5 2 2 5" xfId="783" xr:uid="{00000000-0005-0000-0000-0000DE610000}"/>
    <cellStyle name="Normal 5 2 2 5 2" xfId="3268" xr:uid="{00000000-0005-0000-0000-0000DF610000}"/>
    <cellStyle name="Normal 5 2 2 5 2 2" xfId="12410" xr:uid="{00000000-0005-0000-0000-0000E0610000}"/>
    <cellStyle name="Normal 5 2 2 5 2 2 2" xfId="22629" xr:uid="{00000000-0005-0000-0000-0000E1610000}"/>
    <cellStyle name="Normal 5 2 2 5 2 2 2 2" xfId="48182" xr:uid="{00000000-0005-0000-0000-0000E2610000}"/>
    <cellStyle name="Normal 5 2 2 5 2 2 3" xfId="37965" xr:uid="{00000000-0005-0000-0000-0000E3610000}"/>
    <cellStyle name="Normal 5 2 2 5 2 3" xfId="8832" xr:uid="{00000000-0005-0000-0000-0000E4610000}"/>
    <cellStyle name="Normal 5 2 2 5 2 3 2" xfId="34389" xr:uid="{00000000-0005-0000-0000-0000E5610000}"/>
    <cellStyle name="Normal 5 2 2 5 2 4" xfId="17622" xr:uid="{00000000-0005-0000-0000-0000E6610000}"/>
    <cellStyle name="Normal 5 2 2 5 2 4 2" xfId="43175" xr:uid="{00000000-0005-0000-0000-0000E7610000}"/>
    <cellStyle name="Normal 5 2 2 5 2 5" xfId="29112" xr:uid="{00000000-0005-0000-0000-0000E8610000}"/>
    <cellStyle name="Normal 5 2 2 5 3" xfId="4597" xr:uid="{00000000-0005-0000-0000-0000E9610000}"/>
    <cellStyle name="Normal 5 2 2 5 3 2" xfId="13435" xr:uid="{00000000-0005-0000-0000-0000EA610000}"/>
    <cellStyle name="Normal 5 2 2 5 3 2 2" xfId="23686" xr:uid="{00000000-0005-0000-0000-0000EB610000}"/>
    <cellStyle name="Normal 5 2 2 5 3 2 2 2" xfId="49239" xr:uid="{00000000-0005-0000-0000-0000EC610000}"/>
    <cellStyle name="Normal 5 2 2 5 3 2 3" xfId="38990" xr:uid="{00000000-0005-0000-0000-0000ED610000}"/>
    <cellStyle name="Normal 5 2 2 5 3 3" xfId="9856" xr:uid="{00000000-0005-0000-0000-0000EE610000}"/>
    <cellStyle name="Normal 5 2 2 5 3 3 2" xfId="35413" xr:uid="{00000000-0005-0000-0000-0000EF610000}"/>
    <cellStyle name="Normal 5 2 2 5 3 4" xfId="18679" xr:uid="{00000000-0005-0000-0000-0000F0610000}"/>
    <cellStyle name="Normal 5 2 2 5 3 4 2" xfId="44232" xr:uid="{00000000-0005-0000-0000-0000F1610000}"/>
    <cellStyle name="Normal 5 2 2 5 3 5" xfId="30169" xr:uid="{00000000-0005-0000-0000-0000F2610000}"/>
    <cellStyle name="Normal 5 2 2 5 4" xfId="2377" xr:uid="{00000000-0005-0000-0000-0000F3610000}"/>
    <cellStyle name="Normal 5 2 2 5 4 2" xfId="11742" xr:uid="{00000000-0005-0000-0000-0000F4610000}"/>
    <cellStyle name="Normal 5 2 2 5 4 2 2" xfId="37297" xr:uid="{00000000-0005-0000-0000-0000F5610000}"/>
    <cellStyle name="Normal 5 2 2 5 4 3" xfId="21746" xr:uid="{00000000-0005-0000-0000-0000F6610000}"/>
    <cellStyle name="Normal 5 2 2 5 4 3 2" xfId="47299" xr:uid="{00000000-0005-0000-0000-0000F7610000}"/>
    <cellStyle name="Normal 5 2 2 5 4 4" xfId="28229" xr:uid="{00000000-0005-0000-0000-0000F8610000}"/>
    <cellStyle name="Normal 5 2 2 5 5" xfId="6053" xr:uid="{00000000-0005-0000-0000-0000F9610000}"/>
    <cellStyle name="Normal 5 2 2 5 5 2" xfId="14880" xr:uid="{00000000-0005-0000-0000-0000FA610000}"/>
    <cellStyle name="Normal 5 2 2 5 5 2 2" xfId="40435" xr:uid="{00000000-0005-0000-0000-0000FB610000}"/>
    <cellStyle name="Normal 5 2 2 5 5 3" xfId="25131" xr:uid="{00000000-0005-0000-0000-0000FC610000}"/>
    <cellStyle name="Normal 5 2 2 5 5 3 2" xfId="50684" xr:uid="{00000000-0005-0000-0000-0000FD610000}"/>
    <cellStyle name="Normal 5 2 2 5 5 4" xfId="31614" xr:uid="{00000000-0005-0000-0000-0000FE610000}"/>
    <cellStyle name="Normal 5 2 2 5 6" xfId="7498" xr:uid="{00000000-0005-0000-0000-0000FF610000}"/>
    <cellStyle name="Normal 5 2 2 5 6 2" xfId="20228" xr:uid="{00000000-0005-0000-0000-000000620000}"/>
    <cellStyle name="Normal 5 2 2 5 6 2 2" xfId="45781" xr:uid="{00000000-0005-0000-0000-000001620000}"/>
    <cellStyle name="Normal 5 2 2 5 6 3" xfId="33055" xr:uid="{00000000-0005-0000-0000-000002620000}"/>
    <cellStyle name="Normal 5 2 2 5 7" xfId="16739" xr:uid="{00000000-0005-0000-0000-000003620000}"/>
    <cellStyle name="Normal 5 2 2 5 7 2" xfId="42292" xr:uid="{00000000-0005-0000-0000-000004620000}"/>
    <cellStyle name="Normal 5 2 2 5 8" xfId="26711" xr:uid="{00000000-0005-0000-0000-000005620000}"/>
    <cellStyle name="Normal 5 2 2 6" xfId="1060" xr:uid="{00000000-0005-0000-0000-000006620000}"/>
    <cellStyle name="Normal 5 2 2 6 2" xfId="3489" xr:uid="{00000000-0005-0000-0000-000007620000}"/>
    <cellStyle name="Normal 5 2 2 6 2 2" xfId="12625" xr:uid="{00000000-0005-0000-0000-000008620000}"/>
    <cellStyle name="Normal 5 2 2 6 2 2 2" xfId="22844" xr:uid="{00000000-0005-0000-0000-000009620000}"/>
    <cellStyle name="Normal 5 2 2 6 2 2 2 2" xfId="48397" xr:uid="{00000000-0005-0000-0000-00000A620000}"/>
    <cellStyle name="Normal 5 2 2 6 2 2 3" xfId="38180" xr:uid="{00000000-0005-0000-0000-00000B620000}"/>
    <cellStyle name="Normal 5 2 2 6 2 3" xfId="9047" xr:uid="{00000000-0005-0000-0000-00000C620000}"/>
    <cellStyle name="Normal 5 2 2 6 2 3 2" xfId="34604" xr:uid="{00000000-0005-0000-0000-00000D620000}"/>
    <cellStyle name="Normal 5 2 2 6 2 4" xfId="17837" xr:uid="{00000000-0005-0000-0000-00000E620000}"/>
    <cellStyle name="Normal 5 2 2 6 2 4 2" xfId="43390" xr:uid="{00000000-0005-0000-0000-00000F620000}"/>
    <cellStyle name="Normal 5 2 2 6 2 5" xfId="29327" xr:uid="{00000000-0005-0000-0000-000010620000}"/>
    <cellStyle name="Normal 5 2 2 6 3" xfId="4946" xr:uid="{00000000-0005-0000-0000-000011620000}"/>
    <cellStyle name="Normal 5 2 2 6 3 2" xfId="13783" xr:uid="{00000000-0005-0000-0000-000012620000}"/>
    <cellStyle name="Normal 5 2 2 6 3 2 2" xfId="24034" xr:uid="{00000000-0005-0000-0000-000013620000}"/>
    <cellStyle name="Normal 5 2 2 6 3 2 2 2" xfId="49587" xr:uid="{00000000-0005-0000-0000-000014620000}"/>
    <cellStyle name="Normal 5 2 2 6 3 2 3" xfId="39338" xr:uid="{00000000-0005-0000-0000-000015620000}"/>
    <cellStyle name="Normal 5 2 2 6 3 3" xfId="10204" xr:uid="{00000000-0005-0000-0000-000016620000}"/>
    <cellStyle name="Normal 5 2 2 6 3 3 2" xfId="35761" xr:uid="{00000000-0005-0000-0000-000017620000}"/>
    <cellStyle name="Normal 5 2 2 6 3 4" xfId="19027" xr:uid="{00000000-0005-0000-0000-000018620000}"/>
    <cellStyle name="Normal 5 2 2 6 3 4 2" xfId="44580" xr:uid="{00000000-0005-0000-0000-000019620000}"/>
    <cellStyle name="Normal 5 2 2 6 3 5" xfId="30517" xr:uid="{00000000-0005-0000-0000-00001A620000}"/>
    <cellStyle name="Normal 5 2 2 6 4" xfId="2585" xr:uid="{00000000-0005-0000-0000-00001B620000}"/>
    <cellStyle name="Normal 5 2 2 6 4 2" xfId="11949" xr:uid="{00000000-0005-0000-0000-00001C620000}"/>
    <cellStyle name="Normal 5 2 2 6 4 2 2" xfId="37504" xr:uid="{00000000-0005-0000-0000-00001D620000}"/>
    <cellStyle name="Normal 5 2 2 6 4 3" xfId="21953" xr:uid="{00000000-0005-0000-0000-00001E620000}"/>
    <cellStyle name="Normal 5 2 2 6 4 3 2" xfId="47506" xr:uid="{00000000-0005-0000-0000-00001F620000}"/>
    <cellStyle name="Normal 5 2 2 6 4 4" xfId="28436" xr:uid="{00000000-0005-0000-0000-000020620000}"/>
    <cellStyle name="Normal 5 2 2 6 5" xfId="6401" xr:uid="{00000000-0005-0000-0000-000021620000}"/>
    <cellStyle name="Normal 5 2 2 6 5 2" xfId="15228" xr:uid="{00000000-0005-0000-0000-000022620000}"/>
    <cellStyle name="Normal 5 2 2 6 5 2 2" xfId="40783" xr:uid="{00000000-0005-0000-0000-000023620000}"/>
    <cellStyle name="Normal 5 2 2 6 5 3" xfId="25479" xr:uid="{00000000-0005-0000-0000-000024620000}"/>
    <cellStyle name="Normal 5 2 2 6 5 3 2" xfId="51032" xr:uid="{00000000-0005-0000-0000-000025620000}"/>
    <cellStyle name="Normal 5 2 2 6 5 4" xfId="31962" xr:uid="{00000000-0005-0000-0000-000026620000}"/>
    <cellStyle name="Normal 5 2 2 6 6" xfId="7847" xr:uid="{00000000-0005-0000-0000-000027620000}"/>
    <cellStyle name="Normal 5 2 2 6 6 2" xfId="20443" xr:uid="{00000000-0005-0000-0000-000028620000}"/>
    <cellStyle name="Normal 5 2 2 6 6 2 2" xfId="45996" xr:uid="{00000000-0005-0000-0000-000029620000}"/>
    <cellStyle name="Normal 5 2 2 6 6 3" xfId="33404" xr:uid="{00000000-0005-0000-0000-00002A620000}"/>
    <cellStyle name="Normal 5 2 2 6 7" xfId="16946" xr:uid="{00000000-0005-0000-0000-00002B620000}"/>
    <cellStyle name="Normal 5 2 2 6 7 2" xfId="42499" xr:uid="{00000000-0005-0000-0000-00002C620000}"/>
    <cellStyle name="Normal 5 2 2 6 8" xfId="26926" xr:uid="{00000000-0005-0000-0000-00002D620000}"/>
    <cellStyle name="Normal 5 2 2 7" xfId="2627" xr:uid="{00000000-0005-0000-0000-00002E620000}"/>
    <cellStyle name="Normal 5 2 2 7 2" xfId="5152" xr:uid="{00000000-0005-0000-0000-00002F620000}"/>
    <cellStyle name="Normal 5 2 2 7 2 2" xfId="13989" xr:uid="{00000000-0005-0000-0000-000030620000}"/>
    <cellStyle name="Normal 5 2 2 7 2 2 2" xfId="24240" xr:uid="{00000000-0005-0000-0000-000031620000}"/>
    <cellStyle name="Normal 5 2 2 7 2 2 2 2" xfId="49793" xr:uid="{00000000-0005-0000-0000-000032620000}"/>
    <cellStyle name="Normal 5 2 2 7 2 2 3" xfId="39544" xr:uid="{00000000-0005-0000-0000-000033620000}"/>
    <cellStyle name="Normal 5 2 2 7 2 3" xfId="10410" xr:uid="{00000000-0005-0000-0000-000034620000}"/>
    <cellStyle name="Normal 5 2 2 7 2 3 2" xfId="35967" xr:uid="{00000000-0005-0000-0000-000035620000}"/>
    <cellStyle name="Normal 5 2 2 7 2 4" xfId="19233" xr:uid="{00000000-0005-0000-0000-000036620000}"/>
    <cellStyle name="Normal 5 2 2 7 2 4 2" xfId="44786" xr:uid="{00000000-0005-0000-0000-000037620000}"/>
    <cellStyle name="Normal 5 2 2 7 2 5" xfId="30723" xr:uid="{00000000-0005-0000-0000-000038620000}"/>
    <cellStyle name="Normal 5 2 2 7 3" xfId="6607" xr:uid="{00000000-0005-0000-0000-000039620000}"/>
    <cellStyle name="Normal 5 2 2 7 3 2" xfId="15434" xr:uid="{00000000-0005-0000-0000-00003A620000}"/>
    <cellStyle name="Normal 5 2 2 7 3 2 2" xfId="40989" xr:uid="{00000000-0005-0000-0000-00003B620000}"/>
    <cellStyle name="Normal 5 2 2 7 3 3" xfId="25685" xr:uid="{00000000-0005-0000-0000-00003C620000}"/>
    <cellStyle name="Normal 5 2 2 7 3 3 2" xfId="51238" xr:uid="{00000000-0005-0000-0000-00003D620000}"/>
    <cellStyle name="Normal 5 2 2 7 3 4" xfId="32168" xr:uid="{00000000-0005-0000-0000-00003E620000}"/>
    <cellStyle name="Normal 5 2 2 7 4" xfId="8053" xr:uid="{00000000-0005-0000-0000-00003F620000}"/>
    <cellStyle name="Normal 5 2 2 7 4 2" xfId="21989" xr:uid="{00000000-0005-0000-0000-000040620000}"/>
    <cellStyle name="Normal 5 2 2 7 4 2 2" xfId="47542" xr:uid="{00000000-0005-0000-0000-000041620000}"/>
    <cellStyle name="Normal 5 2 2 7 4 3" xfId="33610" xr:uid="{00000000-0005-0000-0000-000042620000}"/>
    <cellStyle name="Normal 5 2 2 7 5" xfId="16982" xr:uid="{00000000-0005-0000-0000-000043620000}"/>
    <cellStyle name="Normal 5 2 2 7 5 2" xfId="42535" xr:uid="{00000000-0005-0000-0000-000044620000}"/>
    <cellStyle name="Normal 5 2 2 7 6" xfId="28472" xr:uid="{00000000-0005-0000-0000-000045620000}"/>
    <cellStyle name="Normal 5 2 2 8" xfId="4106" xr:uid="{00000000-0005-0000-0000-000046620000}"/>
    <cellStyle name="Normal 5 2 2 8 2" xfId="5564" xr:uid="{00000000-0005-0000-0000-000047620000}"/>
    <cellStyle name="Normal 5 2 2 8 2 2" xfId="14391" xr:uid="{00000000-0005-0000-0000-000048620000}"/>
    <cellStyle name="Normal 5 2 2 8 2 2 2" xfId="39946" xr:uid="{00000000-0005-0000-0000-000049620000}"/>
    <cellStyle name="Normal 5 2 2 8 2 3" xfId="24642" xr:uid="{00000000-0005-0000-0000-00004A620000}"/>
    <cellStyle name="Normal 5 2 2 8 2 3 2" xfId="50195" xr:uid="{00000000-0005-0000-0000-00004B620000}"/>
    <cellStyle name="Normal 5 2 2 8 2 4" xfId="31125" xr:uid="{00000000-0005-0000-0000-00004C620000}"/>
    <cellStyle name="Normal 5 2 2 8 3" xfId="7008" xr:uid="{00000000-0005-0000-0000-00004D620000}"/>
    <cellStyle name="Normal 5 2 2 8 3 2" xfId="23195" xr:uid="{00000000-0005-0000-0000-00004E620000}"/>
    <cellStyle name="Normal 5 2 2 8 3 2 2" xfId="48748" xr:uid="{00000000-0005-0000-0000-00004F620000}"/>
    <cellStyle name="Normal 5 2 2 8 3 3" xfId="32565" xr:uid="{00000000-0005-0000-0000-000050620000}"/>
    <cellStyle name="Normal 5 2 2 8 4" xfId="18188" xr:uid="{00000000-0005-0000-0000-000051620000}"/>
    <cellStyle name="Normal 5 2 2 8 4 2" xfId="43741" xr:uid="{00000000-0005-0000-0000-000052620000}"/>
    <cellStyle name="Normal 5 2 2 8 5" xfId="29678" xr:uid="{00000000-0005-0000-0000-000053620000}"/>
    <cellStyle name="Normal 5 2 2 9" xfId="1425" xr:uid="{00000000-0005-0000-0000-000054620000}"/>
    <cellStyle name="Normal 5 2 2 9 2" xfId="10802" xr:uid="{00000000-0005-0000-0000-000055620000}"/>
    <cellStyle name="Normal 5 2 2 9 2 2" xfId="36357" xr:uid="{00000000-0005-0000-0000-000056620000}"/>
    <cellStyle name="Normal 5 2 2 9 3" xfId="20806" xr:uid="{00000000-0005-0000-0000-000057620000}"/>
    <cellStyle name="Normal 5 2 2 9 3 2" xfId="46359" xr:uid="{00000000-0005-0000-0000-000058620000}"/>
    <cellStyle name="Normal 5 2 2 9 4" xfId="27289" xr:uid="{00000000-0005-0000-0000-000059620000}"/>
    <cellStyle name="Normal 5 2 2_Degree data" xfId="3840" xr:uid="{00000000-0005-0000-0000-00005A620000}"/>
    <cellStyle name="Normal 5 2 3" xfId="197" xr:uid="{00000000-0005-0000-0000-00005B620000}"/>
    <cellStyle name="Normal 5 2 4" xfId="178" xr:uid="{00000000-0005-0000-0000-00005C620000}"/>
    <cellStyle name="Normal 5 2 4 10" xfId="7126" xr:uid="{00000000-0005-0000-0000-00005D620000}"/>
    <cellStyle name="Normal 5 2 4 10 2" xfId="19635" xr:uid="{00000000-0005-0000-0000-00005E620000}"/>
    <cellStyle name="Normal 5 2 4 10 2 2" xfId="45188" xr:uid="{00000000-0005-0000-0000-00005F620000}"/>
    <cellStyle name="Normal 5 2 4 10 3" xfId="32683" xr:uid="{00000000-0005-0000-0000-000060620000}"/>
    <cellStyle name="Normal 5 2 4 11" xfId="15872" xr:uid="{00000000-0005-0000-0000-000061620000}"/>
    <cellStyle name="Normal 5 2 4 11 2" xfId="41425" xr:uid="{00000000-0005-0000-0000-000062620000}"/>
    <cellStyle name="Normal 5 2 4 12" xfId="26118" xr:uid="{00000000-0005-0000-0000-000063620000}"/>
    <cellStyle name="Normal 5 2 4 2" xfId="506" xr:uid="{00000000-0005-0000-0000-000064620000}"/>
    <cellStyle name="Normal 5 2 4 2 10" xfId="26435" xr:uid="{00000000-0005-0000-0000-000065620000}"/>
    <cellStyle name="Normal 5 2 4 2 2" xfId="791" xr:uid="{00000000-0005-0000-0000-000066620000}"/>
    <cellStyle name="Normal 5 2 4 2 2 2" xfId="3276" xr:uid="{00000000-0005-0000-0000-000067620000}"/>
    <cellStyle name="Normal 5 2 4 2 2 2 2" xfId="12418" xr:uid="{00000000-0005-0000-0000-000068620000}"/>
    <cellStyle name="Normal 5 2 4 2 2 2 2 2" xfId="22637" xr:uid="{00000000-0005-0000-0000-000069620000}"/>
    <cellStyle name="Normal 5 2 4 2 2 2 2 2 2" xfId="48190" xr:uid="{00000000-0005-0000-0000-00006A620000}"/>
    <cellStyle name="Normal 5 2 4 2 2 2 2 3" xfId="37973" xr:uid="{00000000-0005-0000-0000-00006B620000}"/>
    <cellStyle name="Normal 5 2 4 2 2 2 3" xfId="8840" xr:uid="{00000000-0005-0000-0000-00006C620000}"/>
    <cellStyle name="Normal 5 2 4 2 2 2 3 2" xfId="34397" xr:uid="{00000000-0005-0000-0000-00006D620000}"/>
    <cellStyle name="Normal 5 2 4 2 2 2 4" xfId="17630" xr:uid="{00000000-0005-0000-0000-00006E620000}"/>
    <cellStyle name="Normal 5 2 4 2 2 2 4 2" xfId="43183" xr:uid="{00000000-0005-0000-0000-00006F620000}"/>
    <cellStyle name="Normal 5 2 4 2 2 2 5" xfId="29120" xr:uid="{00000000-0005-0000-0000-000070620000}"/>
    <cellStyle name="Normal 5 2 4 2 2 3" xfId="4605" xr:uid="{00000000-0005-0000-0000-000071620000}"/>
    <cellStyle name="Normal 5 2 4 2 2 3 2" xfId="13443" xr:uid="{00000000-0005-0000-0000-000072620000}"/>
    <cellStyle name="Normal 5 2 4 2 2 3 2 2" xfId="23694" xr:uid="{00000000-0005-0000-0000-000073620000}"/>
    <cellStyle name="Normal 5 2 4 2 2 3 2 2 2" xfId="49247" xr:uid="{00000000-0005-0000-0000-000074620000}"/>
    <cellStyle name="Normal 5 2 4 2 2 3 2 3" xfId="38998" xr:uid="{00000000-0005-0000-0000-000075620000}"/>
    <cellStyle name="Normal 5 2 4 2 2 3 3" xfId="9864" xr:uid="{00000000-0005-0000-0000-000076620000}"/>
    <cellStyle name="Normal 5 2 4 2 2 3 3 2" xfId="35421" xr:uid="{00000000-0005-0000-0000-000077620000}"/>
    <cellStyle name="Normal 5 2 4 2 2 3 4" xfId="18687" xr:uid="{00000000-0005-0000-0000-000078620000}"/>
    <cellStyle name="Normal 5 2 4 2 2 3 4 2" xfId="44240" xr:uid="{00000000-0005-0000-0000-000079620000}"/>
    <cellStyle name="Normal 5 2 4 2 2 3 5" xfId="30177" xr:uid="{00000000-0005-0000-0000-00007A620000}"/>
    <cellStyle name="Normal 5 2 4 2 2 4" xfId="2385" xr:uid="{00000000-0005-0000-0000-00007B620000}"/>
    <cellStyle name="Normal 5 2 4 2 2 4 2" xfId="11750" xr:uid="{00000000-0005-0000-0000-00007C620000}"/>
    <cellStyle name="Normal 5 2 4 2 2 4 2 2" xfId="37305" xr:uid="{00000000-0005-0000-0000-00007D620000}"/>
    <cellStyle name="Normal 5 2 4 2 2 4 3" xfId="21754" xr:uid="{00000000-0005-0000-0000-00007E620000}"/>
    <cellStyle name="Normal 5 2 4 2 2 4 3 2" xfId="47307" xr:uid="{00000000-0005-0000-0000-00007F620000}"/>
    <cellStyle name="Normal 5 2 4 2 2 4 4" xfId="28237" xr:uid="{00000000-0005-0000-0000-000080620000}"/>
    <cellStyle name="Normal 5 2 4 2 2 5" xfId="6061" xr:uid="{00000000-0005-0000-0000-000081620000}"/>
    <cellStyle name="Normal 5 2 4 2 2 5 2" xfId="14888" xr:uid="{00000000-0005-0000-0000-000082620000}"/>
    <cellStyle name="Normal 5 2 4 2 2 5 2 2" xfId="40443" xr:uid="{00000000-0005-0000-0000-000083620000}"/>
    <cellStyle name="Normal 5 2 4 2 2 5 3" xfId="25139" xr:uid="{00000000-0005-0000-0000-000084620000}"/>
    <cellStyle name="Normal 5 2 4 2 2 5 3 2" xfId="50692" xr:uid="{00000000-0005-0000-0000-000085620000}"/>
    <cellStyle name="Normal 5 2 4 2 2 5 4" xfId="31622" xr:uid="{00000000-0005-0000-0000-000086620000}"/>
    <cellStyle name="Normal 5 2 4 2 2 6" xfId="7506" xr:uid="{00000000-0005-0000-0000-000087620000}"/>
    <cellStyle name="Normal 5 2 4 2 2 6 2" xfId="20236" xr:uid="{00000000-0005-0000-0000-000088620000}"/>
    <cellStyle name="Normal 5 2 4 2 2 6 2 2" xfId="45789" xr:uid="{00000000-0005-0000-0000-000089620000}"/>
    <cellStyle name="Normal 5 2 4 2 2 6 3" xfId="33063" xr:uid="{00000000-0005-0000-0000-00008A620000}"/>
    <cellStyle name="Normal 5 2 4 2 2 7" xfId="16747" xr:uid="{00000000-0005-0000-0000-00008B620000}"/>
    <cellStyle name="Normal 5 2 4 2 2 7 2" xfId="42300" xr:uid="{00000000-0005-0000-0000-00008C620000}"/>
    <cellStyle name="Normal 5 2 4 2 2 8" xfId="26719" xr:uid="{00000000-0005-0000-0000-00008D620000}"/>
    <cellStyle name="Normal 5 2 4 2 3" xfId="1278" xr:uid="{00000000-0005-0000-0000-00008E620000}"/>
    <cellStyle name="Normal 5 2 4 2 3 2" xfId="3707" xr:uid="{00000000-0005-0000-0000-00008F620000}"/>
    <cellStyle name="Normal 5 2 4 2 3 2 2" xfId="12843" xr:uid="{00000000-0005-0000-0000-000090620000}"/>
    <cellStyle name="Normal 5 2 4 2 3 2 2 2" xfId="23062" xr:uid="{00000000-0005-0000-0000-000091620000}"/>
    <cellStyle name="Normal 5 2 4 2 3 2 2 2 2" xfId="48615" xr:uid="{00000000-0005-0000-0000-000092620000}"/>
    <cellStyle name="Normal 5 2 4 2 3 2 2 3" xfId="38398" xr:uid="{00000000-0005-0000-0000-000093620000}"/>
    <cellStyle name="Normal 5 2 4 2 3 2 3" xfId="9264" xr:uid="{00000000-0005-0000-0000-000094620000}"/>
    <cellStyle name="Normal 5 2 4 2 3 2 3 2" xfId="34821" xr:uid="{00000000-0005-0000-0000-000095620000}"/>
    <cellStyle name="Normal 5 2 4 2 3 2 4" xfId="18055" xr:uid="{00000000-0005-0000-0000-000096620000}"/>
    <cellStyle name="Normal 5 2 4 2 3 2 4 2" xfId="43608" xr:uid="{00000000-0005-0000-0000-000097620000}"/>
    <cellStyle name="Normal 5 2 4 2 3 2 5" xfId="29545" xr:uid="{00000000-0005-0000-0000-000098620000}"/>
    <cellStyle name="Normal 5 2 4 2 3 3" xfId="4954" xr:uid="{00000000-0005-0000-0000-000099620000}"/>
    <cellStyle name="Normal 5 2 4 2 3 3 2" xfId="13791" xr:uid="{00000000-0005-0000-0000-00009A620000}"/>
    <cellStyle name="Normal 5 2 4 2 3 3 2 2" xfId="24042" xr:uid="{00000000-0005-0000-0000-00009B620000}"/>
    <cellStyle name="Normal 5 2 4 2 3 3 2 2 2" xfId="49595" xr:uid="{00000000-0005-0000-0000-00009C620000}"/>
    <cellStyle name="Normal 5 2 4 2 3 3 2 3" xfId="39346" xr:uid="{00000000-0005-0000-0000-00009D620000}"/>
    <cellStyle name="Normal 5 2 4 2 3 3 3" xfId="10212" xr:uid="{00000000-0005-0000-0000-00009E620000}"/>
    <cellStyle name="Normal 5 2 4 2 3 3 3 2" xfId="35769" xr:uid="{00000000-0005-0000-0000-00009F620000}"/>
    <cellStyle name="Normal 5 2 4 2 3 3 4" xfId="19035" xr:uid="{00000000-0005-0000-0000-0000A0620000}"/>
    <cellStyle name="Normal 5 2 4 2 3 3 4 2" xfId="44588" xr:uid="{00000000-0005-0000-0000-0000A1620000}"/>
    <cellStyle name="Normal 5 2 4 2 3 3 5" xfId="30525" xr:uid="{00000000-0005-0000-0000-0000A2620000}"/>
    <cellStyle name="Normal 5 2 4 2 3 4" xfId="2101" xr:uid="{00000000-0005-0000-0000-0000A3620000}"/>
    <cellStyle name="Normal 5 2 4 2 3 4 2" xfId="11466" xr:uid="{00000000-0005-0000-0000-0000A4620000}"/>
    <cellStyle name="Normal 5 2 4 2 3 4 2 2" xfId="37021" xr:uid="{00000000-0005-0000-0000-0000A5620000}"/>
    <cellStyle name="Normal 5 2 4 2 3 4 3" xfId="21470" xr:uid="{00000000-0005-0000-0000-0000A6620000}"/>
    <cellStyle name="Normal 5 2 4 2 3 4 3 2" xfId="47023" xr:uid="{00000000-0005-0000-0000-0000A7620000}"/>
    <cellStyle name="Normal 5 2 4 2 3 4 4" xfId="27953" xr:uid="{00000000-0005-0000-0000-0000A8620000}"/>
    <cellStyle name="Normal 5 2 4 2 3 5" xfId="6409" xr:uid="{00000000-0005-0000-0000-0000A9620000}"/>
    <cellStyle name="Normal 5 2 4 2 3 5 2" xfId="15236" xr:uid="{00000000-0005-0000-0000-0000AA620000}"/>
    <cellStyle name="Normal 5 2 4 2 3 5 2 2" xfId="40791" xr:uid="{00000000-0005-0000-0000-0000AB620000}"/>
    <cellStyle name="Normal 5 2 4 2 3 5 3" xfId="25487" xr:uid="{00000000-0005-0000-0000-0000AC620000}"/>
    <cellStyle name="Normal 5 2 4 2 3 5 3 2" xfId="51040" xr:uid="{00000000-0005-0000-0000-0000AD620000}"/>
    <cellStyle name="Normal 5 2 4 2 3 5 4" xfId="31970" xr:uid="{00000000-0005-0000-0000-0000AE620000}"/>
    <cellStyle name="Normal 5 2 4 2 3 6" xfId="7855" xr:uid="{00000000-0005-0000-0000-0000AF620000}"/>
    <cellStyle name="Normal 5 2 4 2 3 6 2" xfId="20661" xr:uid="{00000000-0005-0000-0000-0000B0620000}"/>
    <cellStyle name="Normal 5 2 4 2 3 6 2 2" xfId="46214" xr:uid="{00000000-0005-0000-0000-0000B1620000}"/>
    <cellStyle name="Normal 5 2 4 2 3 6 3" xfId="33412" xr:uid="{00000000-0005-0000-0000-0000B2620000}"/>
    <cellStyle name="Normal 5 2 4 2 3 7" xfId="16463" xr:uid="{00000000-0005-0000-0000-0000B3620000}"/>
    <cellStyle name="Normal 5 2 4 2 3 7 2" xfId="42016" xr:uid="{00000000-0005-0000-0000-0000B4620000}"/>
    <cellStyle name="Normal 5 2 4 2 3 8" xfId="27144" xr:uid="{00000000-0005-0000-0000-0000B5620000}"/>
    <cellStyle name="Normal 5 2 4 2 4" xfId="2992" xr:uid="{00000000-0005-0000-0000-0000B6620000}"/>
    <cellStyle name="Normal 5 2 4 2 4 2" xfId="5370" xr:uid="{00000000-0005-0000-0000-0000B7620000}"/>
    <cellStyle name="Normal 5 2 4 2 4 2 2" xfId="14207" xr:uid="{00000000-0005-0000-0000-0000B8620000}"/>
    <cellStyle name="Normal 5 2 4 2 4 2 2 2" xfId="24458" xr:uid="{00000000-0005-0000-0000-0000B9620000}"/>
    <cellStyle name="Normal 5 2 4 2 4 2 2 2 2" xfId="50011" xr:uid="{00000000-0005-0000-0000-0000BA620000}"/>
    <cellStyle name="Normal 5 2 4 2 4 2 2 3" xfId="39762" xr:uid="{00000000-0005-0000-0000-0000BB620000}"/>
    <cellStyle name="Normal 5 2 4 2 4 2 3" xfId="10628" xr:uid="{00000000-0005-0000-0000-0000BC620000}"/>
    <cellStyle name="Normal 5 2 4 2 4 2 3 2" xfId="36185" xr:uid="{00000000-0005-0000-0000-0000BD620000}"/>
    <cellStyle name="Normal 5 2 4 2 4 2 4" xfId="19451" xr:uid="{00000000-0005-0000-0000-0000BE620000}"/>
    <cellStyle name="Normal 5 2 4 2 4 2 4 2" xfId="45004" xr:uid="{00000000-0005-0000-0000-0000BF620000}"/>
    <cellStyle name="Normal 5 2 4 2 4 2 5" xfId="30941" xr:uid="{00000000-0005-0000-0000-0000C0620000}"/>
    <cellStyle name="Normal 5 2 4 2 4 3" xfId="6825" xr:uid="{00000000-0005-0000-0000-0000C1620000}"/>
    <cellStyle name="Normal 5 2 4 2 4 3 2" xfId="15652" xr:uid="{00000000-0005-0000-0000-0000C2620000}"/>
    <cellStyle name="Normal 5 2 4 2 4 3 2 2" xfId="41207" xr:uid="{00000000-0005-0000-0000-0000C3620000}"/>
    <cellStyle name="Normal 5 2 4 2 4 3 3" xfId="25903" xr:uid="{00000000-0005-0000-0000-0000C4620000}"/>
    <cellStyle name="Normal 5 2 4 2 4 3 3 2" xfId="51456" xr:uid="{00000000-0005-0000-0000-0000C5620000}"/>
    <cellStyle name="Normal 5 2 4 2 4 3 4" xfId="32386" xr:uid="{00000000-0005-0000-0000-0000C6620000}"/>
    <cellStyle name="Normal 5 2 4 2 4 4" xfId="8271" xr:uid="{00000000-0005-0000-0000-0000C7620000}"/>
    <cellStyle name="Normal 5 2 4 2 4 4 2" xfId="22353" xr:uid="{00000000-0005-0000-0000-0000C8620000}"/>
    <cellStyle name="Normal 5 2 4 2 4 4 2 2" xfId="47906" xr:uid="{00000000-0005-0000-0000-0000C9620000}"/>
    <cellStyle name="Normal 5 2 4 2 4 4 3" xfId="33828" xr:uid="{00000000-0005-0000-0000-0000CA620000}"/>
    <cellStyle name="Normal 5 2 4 2 4 5" xfId="17346" xr:uid="{00000000-0005-0000-0000-0000CB620000}"/>
    <cellStyle name="Normal 5 2 4 2 4 5 2" xfId="42899" xr:uid="{00000000-0005-0000-0000-0000CC620000}"/>
    <cellStyle name="Normal 5 2 4 2 4 6" xfId="28836" xr:uid="{00000000-0005-0000-0000-0000CD620000}"/>
    <cellStyle name="Normal 5 2 4 2 5" xfId="4326" xr:uid="{00000000-0005-0000-0000-0000CE620000}"/>
    <cellStyle name="Normal 5 2 4 2 5 2" xfId="13164" xr:uid="{00000000-0005-0000-0000-0000CF620000}"/>
    <cellStyle name="Normal 5 2 4 2 5 2 2" xfId="23415" xr:uid="{00000000-0005-0000-0000-0000D0620000}"/>
    <cellStyle name="Normal 5 2 4 2 5 2 2 2" xfId="48968" xr:uid="{00000000-0005-0000-0000-0000D1620000}"/>
    <cellStyle name="Normal 5 2 4 2 5 2 3" xfId="38719" xr:uid="{00000000-0005-0000-0000-0000D2620000}"/>
    <cellStyle name="Normal 5 2 4 2 5 3" xfId="9585" xr:uid="{00000000-0005-0000-0000-0000D3620000}"/>
    <cellStyle name="Normal 5 2 4 2 5 3 2" xfId="35142" xr:uid="{00000000-0005-0000-0000-0000D4620000}"/>
    <cellStyle name="Normal 5 2 4 2 5 4" xfId="18408" xr:uid="{00000000-0005-0000-0000-0000D5620000}"/>
    <cellStyle name="Normal 5 2 4 2 5 4 2" xfId="43961" xr:uid="{00000000-0005-0000-0000-0000D6620000}"/>
    <cellStyle name="Normal 5 2 4 2 5 5" xfId="29898" xr:uid="{00000000-0005-0000-0000-0000D7620000}"/>
    <cellStyle name="Normal 5 2 4 2 6" xfId="1598" xr:uid="{00000000-0005-0000-0000-0000D8620000}"/>
    <cellStyle name="Normal 5 2 4 2 6 2" xfId="10975" xr:uid="{00000000-0005-0000-0000-0000D9620000}"/>
    <cellStyle name="Normal 5 2 4 2 6 2 2" xfId="36530" xr:uid="{00000000-0005-0000-0000-0000DA620000}"/>
    <cellStyle name="Normal 5 2 4 2 6 3" xfId="20979" xr:uid="{00000000-0005-0000-0000-0000DB620000}"/>
    <cellStyle name="Normal 5 2 4 2 6 3 2" xfId="46532" xr:uid="{00000000-0005-0000-0000-0000DC620000}"/>
    <cellStyle name="Normal 5 2 4 2 6 4" xfId="27462" xr:uid="{00000000-0005-0000-0000-0000DD620000}"/>
    <cellStyle name="Normal 5 2 4 2 7" xfId="5782" xr:uid="{00000000-0005-0000-0000-0000DE620000}"/>
    <cellStyle name="Normal 5 2 4 2 7 2" xfId="14609" xr:uid="{00000000-0005-0000-0000-0000DF620000}"/>
    <cellStyle name="Normal 5 2 4 2 7 2 2" xfId="40164" xr:uid="{00000000-0005-0000-0000-0000E0620000}"/>
    <cellStyle name="Normal 5 2 4 2 7 3" xfId="24860" xr:uid="{00000000-0005-0000-0000-0000E1620000}"/>
    <cellStyle name="Normal 5 2 4 2 7 3 2" xfId="50413" xr:uid="{00000000-0005-0000-0000-0000E2620000}"/>
    <cellStyle name="Normal 5 2 4 2 7 4" xfId="31343" xr:uid="{00000000-0005-0000-0000-0000E3620000}"/>
    <cellStyle name="Normal 5 2 4 2 8" xfId="7226" xr:uid="{00000000-0005-0000-0000-0000E4620000}"/>
    <cellStyle name="Normal 5 2 4 2 8 2" xfId="19952" xr:uid="{00000000-0005-0000-0000-0000E5620000}"/>
    <cellStyle name="Normal 5 2 4 2 8 2 2" xfId="45505" xr:uid="{00000000-0005-0000-0000-0000E6620000}"/>
    <cellStyle name="Normal 5 2 4 2 8 3" xfId="32783" xr:uid="{00000000-0005-0000-0000-0000E7620000}"/>
    <cellStyle name="Normal 5 2 4 2 9" xfId="15972" xr:uid="{00000000-0005-0000-0000-0000E8620000}"/>
    <cellStyle name="Normal 5 2 4 2 9 2" xfId="41525" xr:uid="{00000000-0005-0000-0000-0000E9620000}"/>
    <cellStyle name="Normal 5 2 4 2_Degree data" xfId="3832" xr:uid="{00000000-0005-0000-0000-0000EA620000}"/>
    <cellStyle name="Normal 5 2 4 3" xfId="406" xr:uid="{00000000-0005-0000-0000-0000EB620000}"/>
    <cellStyle name="Normal 5 2 4 3 2" xfId="2892" xr:uid="{00000000-0005-0000-0000-0000EC620000}"/>
    <cellStyle name="Normal 5 2 4 3 2 2" xfId="12180" xr:uid="{00000000-0005-0000-0000-0000ED620000}"/>
    <cellStyle name="Normal 5 2 4 3 2 2 2" xfId="22253" xr:uid="{00000000-0005-0000-0000-0000EE620000}"/>
    <cellStyle name="Normal 5 2 4 3 2 2 2 2" xfId="47806" xr:uid="{00000000-0005-0000-0000-0000EF620000}"/>
    <cellStyle name="Normal 5 2 4 3 2 2 3" xfId="37735" xr:uid="{00000000-0005-0000-0000-0000F0620000}"/>
    <cellStyle name="Normal 5 2 4 3 2 3" xfId="8514" xr:uid="{00000000-0005-0000-0000-0000F1620000}"/>
    <cellStyle name="Normal 5 2 4 3 2 3 2" xfId="34071" xr:uid="{00000000-0005-0000-0000-0000F2620000}"/>
    <cellStyle name="Normal 5 2 4 3 2 4" xfId="17246" xr:uid="{00000000-0005-0000-0000-0000F3620000}"/>
    <cellStyle name="Normal 5 2 4 3 2 4 2" xfId="42799" xr:uid="{00000000-0005-0000-0000-0000F4620000}"/>
    <cellStyle name="Normal 5 2 4 3 2 5" xfId="28736" xr:uid="{00000000-0005-0000-0000-0000F5620000}"/>
    <cellStyle name="Normal 5 2 4 3 3" xfId="4604" xr:uid="{00000000-0005-0000-0000-0000F6620000}"/>
    <cellStyle name="Normal 5 2 4 3 3 2" xfId="13442" xr:uid="{00000000-0005-0000-0000-0000F7620000}"/>
    <cellStyle name="Normal 5 2 4 3 3 2 2" xfId="23693" xr:uid="{00000000-0005-0000-0000-0000F8620000}"/>
    <cellStyle name="Normal 5 2 4 3 3 2 2 2" xfId="49246" xr:uid="{00000000-0005-0000-0000-0000F9620000}"/>
    <cellStyle name="Normal 5 2 4 3 3 2 3" xfId="38997" xr:uid="{00000000-0005-0000-0000-0000FA620000}"/>
    <cellStyle name="Normal 5 2 4 3 3 3" xfId="9863" xr:uid="{00000000-0005-0000-0000-0000FB620000}"/>
    <cellStyle name="Normal 5 2 4 3 3 3 2" xfId="35420" xr:uid="{00000000-0005-0000-0000-0000FC620000}"/>
    <cellStyle name="Normal 5 2 4 3 3 4" xfId="18686" xr:uid="{00000000-0005-0000-0000-0000FD620000}"/>
    <cellStyle name="Normal 5 2 4 3 3 4 2" xfId="44239" xr:uid="{00000000-0005-0000-0000-0000FE620000}"/>
    <cellStyle name="Normal 5 2 4 3 3 5" xfId="30176" xr:uid="{00000000-0005-0000-0000-0000FF620000}"/>
    <cellStyle name="Normal 5 2 4 3 4" xfId="2001" xr:uid="{00000000-0005-0000-0000-000000630000}"/>
    <cellStyle name="Normal 5 2 4 3 4 2" xfId="11366" xr:uid="{00000000-0005-0000-0000-000001630000}"/>
    <cellStyle name="Normal 5 2 4 3 4 2 2" xfId="36921" xr:uid="{00000000-0005-0000-0000-000002630000}"/>
    <cellStyle name="Normal 5 2 4 3 4 3" xfId="21370" xr:uid="{00000000-0005-0000-0000-000003630000}"/>
    <cellStyle name="Normal 5 2 4 3 4 3 2" xfId="46923" xr:uid="{00000000-0005-0000-0000-000004630000}"/>
    <cellStyle name="Normal 5 2 4 3 4 4" xfId="27853" xr:uid="{00000000-0005-0000-0000-000005630000}"/>
    <cellStyle name="Normal 5 2 4 3 5" xfId="6060" xr:uid="{00000000-0005-0000-0000-000006630000}"/>
    <cellStyle name="Normal 5 2 4 3 5 2" xfId="14887" xr:uid="{00000000-0005-0000-0000-000007630000}"/>
    <cellStyle name="Normal 5 2 4 3 5 2 2" xfId="40442" xr:uid="{00000000-0005-0000-0000-000008630000}"/>
    <cellStyle name="Normal 5 2 4 3 5 3" xfId="25138" xr:uid="{00000000-0005-0000-0000-000009630000}"/>
    <cellStyle name="Normal 5 2 4 3 5 3 2" xfId="50691" xr:uid="{00000000-0005-0000-0000-00000A630000}"/>
    <cellStyle name="Normal 5 2 4 3 5 4" xfId="31621" xr:uid="{00000000-0005-0000-0000-00000B630000}"/>
    <cellStyle name="Normal 5 2 4 3 6" xfId="7505" xr:uid="{00000000-0005-0000-0000-00000C630000}"/>
    <cellStyle name="Normal 5 2 4 3 6 2" xfId="19852" xr:uid="{00000000-0005-0000-0000-00000D630000}"/>
    <cellStyle name="Normal 5 2 4 3 6 2 2" xfId="45405" xr:uid="{00000000-0005-0000-0000-00000E630000}"/>
    <cellStyle name="Normal 5 2 4 3 6 3" xfId="33062" xr:uid="{00000000-0005-0000-0000-00000F630000}"/>
    <cellStyle name="Normal 5 2 4 3 7" xfId="16363" xr:uid="{00000000-0005-0000-0000-000010630000}"/>
    <cellStyle name="Normal 5 2 4 3 7 2" xfId="41916" xr:uid="{00000000-0005-0000-0000-000011630000}"/>
    <cellStyle name="Normal 5 2 4 3 8" xfId="26335" xr:uid="{00000000-0005-0000-0000-000012630000}"/>
    <cellStyle name="Normal 5 2 4 4" xfId="790" xr:uid="{00000000-0005-0000-0000-000013630000}"/>
    <cellStyle name="Normal 5 2 4 4 2" xfId="3275" xr:uid="{00000000-0005-0000-0000-000014630000}"/>
    <cellStyle name="Normal 5 2 4 4 2 2" xfId="12417" xr:uid="{00000000-0005-0000-0000-000015630000}"/>
    <cellStyle name="Normal 5 2 4 4 2 2 2" xfId="22636" xr:uid="{00000000-0005-0000-0000-000016630000}"/>
    <cellStyle name="Normal 5 2 4 4 2 2 2 2" xfId="48189" xr:uid="{00000000-0005-0000-0000-000017630000}"/>
    <cellStyle name="Normal 5 2 4 4 2 2 3" xfId="37972" xr:uid="{00000000-0005-0000-0000-000018630000}"/>
    <cellStyle name="Normal 5 2 4 4 2 3" xfId="8839" xr:uid="{00000000-0005-0000-0000-000019630000}"/>
    <cellStyle name="Normal 5 2 4 4 2 3 2" xfId="34396" xr:uid="{00000000-0005-0000-0000-00001A630000}"/>
    <cellStyle name="Normal 5 2 4 4 2 4" xfId="17629" xr:uid="{00000000-0005-0000-0000-00001B630000}"/>
    <cellStyle name="Normal 5 2 4 4 2 4 2" xfId="43182" xr:uid="{00000000-0005-0000-0000-00001C630000}"/>
    <cellStyle name="Normal 5 2 4 4 2 5" xfId="29119" xr:uid="{00000000-0005-0000-0000-00001D630000}"/>
    <cellStyle name="Normal 5 2 4 4 3" xfId="4953" xr:uid="{00000000-0005-0000-0000-00001E630000}"/>
    <cellStyle name="Normal 5 2 4 4 3 2" xfId="13790" xr:uid="{00000000-0005-0000-0000-00001F630000}"/>
    <cellStyle name="Normal 5 2 4 4 3 2 2" xfId="24041" xr:uid="{00000000-0005-0000-0000-000020630000}"/>
    <cellStyle name="Normal 5 2 4 4 3 2 2 2" xfId="49594" xr:uid="{00000000-0005-0000-0000-000021630000}"/>
    <cellStyle name="Normal 5 2 4 4 3 2 3" xfId="39345" xr:uid="{00000000-0005-0000-0000-000022630000}"/>
    <cellStyle name="Normal 5 2 4 4 3 3" xfId="10211" xr:uid="{00000000-0005-0000-0000-000023630000}"/>
    <cellStyle name="Normal 5 2 4 4 3 3 2" xfId="35768" xr:uid="{00000000-0005-0000-0000-000024630000}"/>
    <cellStyle name="Normal 5 2 4 4 3 4" xfId="19034" xr:uid="{00000000-0005-0000-0000-000025630000}"/>
    <cellStyle name="Normal 5 2 4 4 3 4 2" xfId="44587" xr:uid="{00000000-0005-0000-0000-000026630000}"/>
    <cellStyle name="Normal 5 2 4 4 3 5" xfId="30524" xr:uid="{00000000-0005-0000-0000-000027630000}"/>
    <cellStyle name="Normal 5 2 4 4 4" xfId="2384" xr:uid="{00000000-0005-0000-0000-000028630000}"/>
    <cellStyle name="Normal 5 2 4 4 4 2" xfId="11749" xr:uid="{00000000-0005-0000-0000-000029630000}"/>
    <cellStyle name="Normal 5 2 4 4 4 2 2" xfId="37304" xr:uid="{00000000-0005-0000-0000-00002A630000}"/>
    <cellStyle name="Normal 5 2 4 4 4 3" xfId="21753" xr:uid="{00000000-0005-0000-0000-00002B630000}"/>
    <cellStyle name="Normal 5 2 4 4 4 3 2" xfId="47306" xr:uid="{00000000-0005-0000-0000-00002C630000}"/>
    <cellStyle name="Normal 5 2 4 4 4 4" xfId="28236" xr:uid="{00000000-0005-0000-0000-00002D630000}"/>
    <cellStyle name="Normal 5 2 4 4 5" xfId="6408" xr:uid="{00000000-0005-0000-0000-00002E630000}"/>
    <cellStyle name="Normal 5 2 4 4 5 2" xfId="15235" xr:uid="{00000000-0005-0000-0000-00002F630000}"/>
    <cellStyle name="Normal 5 2 4 4 5 2 2" xfId="40790" xr:uid="{00000000-0005-0000-0000-000030630000}"/>
    <cellStyle name="Normal 5 2 4 4 5 3" xfId="25486" xr:uid="{00000000-0005-0000-0000-000031630000}"/>
    <cellStyle name="Normal 5 2 4 4 5 3 2" xfId="51039" xr:uid="{00000000-0005-0000-0000-000032630000}"/>
    <cellStyle name="Normal 5 2 4 4 5 4" xfId="31969" xr:uid="{00000000-0005-0000-0000-000033630000}"/>
    <cellStyle name="Normal 5 2 4 4 6" xfId="7854" xr:uid="{00000000-0005-0000-0000-000034630000}"/>
    <cellStyle name="Normal 5 2 4 4 6 2" xfId="20235" xr:uid="{00000000-0005-0000-0000-000035630000}"/>
    <cellStyle name="Normal 5 2 4 4 6 2 2" xfId="45788" xr:uid="{00000000-0005-0000-0000-000036630000}"/>
    <cellStyle name="Normal 5 2 4 4 6 3" xfId="33411" xr:uid="{00000000-0005-0000-0000-000037630000}"/>
    <cellStyle name="Normal 5 2 4 4 7" xfId="16746" xr:uid="{00000000-0005-0000-0000-000038630000}"/>
    <cellStyle name="Normal 5 2 4 4 7 2" xfId="42299" xr:uid="{00000000-0005-0000-0000-000039630000}"/>
    <cellStyle name="Normal 5 2 4 4 8" xfId="26718" xr:uid="{00000000-0005-0000-0000-00003A630000}"/>
    <cellStyle name="Normal 5 2 4 5" xfId="1178" xr:uid="{00000000-0005-0000-0000-00003B630000}"/>
    <cellStyle name="Normal 5 2 4 5 2" xfId="3607" xr:uid="{00000000-0005-0000-0000-00003C630000}"/>
    <cellStyle name="Normal 5 2 4 5 2 2" xfId="12743" xr:uid="{00000000-0005-0000-0000-00003D630000}"/>
    <cellStyle name="Normal 5 2 4 5 2 2 2" xfId="22962" xr:uid="{00000000-0005-0000-0000-00003E630000}"/>
    <cellStyle name="Normal 5 2 4 5 2 2 2 2" xfId="48515" xr:uid="{00000000-0005-0000-0000-00003F630000}"/>
    <cellStyle name="Normal 5 2 4 5 2 2 3" xfId="38298" xr:uid="{00000000-0005-0000-0000-000040630000}"/>
    <cellStyle name="Normal 5 2 4 5 2 3" xfId="9164" xr:uid="{00000000-0005-0000-0000-000041630000}"/>
    <cellStyle name="Normal 5 2 4 5 2 3 2" xfId="34721" xr:uid="{00000000-0005-0000-0000-000042630000}"/>
    <cellStyle name="Normal 5 2 4 5 2 4" xfId="17955" xr:uid="{00000000-0005-0000-0000-000043630000}"/>
    <cellStyle name="Normal 5 2 4 5 2 4 2" xfId="43508" xr:uid="{00000000-0005-0000-0000-000044630000}"/>
    <cellStyle name="Normal 5 2 4 5 2 5" xfId="29445" xr:uid="{00000000-0005-0000-0000-000045630000}"/>
    <cellStyle name="Normal 5 2 4 5 3" xfId="5270" xr:uid="{00000000-0005-0000-0000-000046630000}"/>
    <cellStyle name="Normal 5 2 4 5 3 2" xfId="14107" xr:uid="{00000000-0005-0000-0000-000047630000}"/>
    <cellStyle name="Normal 5 2 4 5 3 2 2" xfId="24358" xr:uid="{00000000-0005-0000-0000-000048630000}"/>
    <cellStyle name="Normal 5 2 4 5 3 2 2 2" xfId="49911" xr:uid="{00000000-0005-0000-0000-000049630000}"/>
    <cellStyle name="Normal 5 2 4 5 3 2 3" xfId="39662" xr:uid="{00000000-0005-0000-0000-00004A630000}"/>
    <cellStyle name="Normal 5 2 4 5 3 3" xfId="10528" xr:uid="{00000000-0005-0000-0000-00004B630000}"/>
    <cellStyle name="Normal 5 2 4 5 3 3 2" xfId="36085" xr:uid="{00000000-0005-0000-0000-00004C630000}"/>
    <cellStyle name="Normal 5 2 4 5 3 4" xfId="19351" xr:uid="{00000000-0005-0000-0000-00004D630000}"/>
    <cellStyle name="Normal 5 2 4 5 3 4 2" xfId="44904" xr:uid="{00000000-0005-0000-0000-00004E630000}"/>
    <cellStyle name="Normal 5 2 4 5 3 5" xfId="30841" xr:uid="{00000000-0005-0000-0000-00004F630000}"/>
    <cellStyle name="Normal 5 2 4 5 4" xfId="1780" xr:uid="{00000000-0005-0000-0000-000050630000}"/>
    <cellStyle name="Normal 5 2 4 5 4 2" xfId="11149" xr:uid="{00000000-0005-0000-0000-000051630000}"/>
    <cellStyle name="Normal 5 2 4 5 4 2 2" xfId="36704" xr:uid="{00000000-0005-0000-0000-000052630000}"/>
    <cellStyle name="Normal 5 2 4 5 4 3" xfId="21153" xr:uid="{00000000-0005-0000-0000-000053630000}"/>
    <cellStyle name="Normal 5 2 4 5 4 3 2" xfId="46706" xr:uid="{00000000-0005-0000-0000-000054630000}"/>
    <cellStyle name="Normal 5 2 4 5 4 4" xfId="27636" xr:uid="{00000000-0005-0000-0000-000055630000}"/>
    <cellStyle name="Normal 5 2 4 5 5" xfId="6725" xr:uid="{00000000-0005-0000-0000-000056630000}"/>
    <cellStyle name="Normal 5 2 4 5 5 2" xfId="15552" xr:uid="{00000000-0005-0000-0000-000057630000}"/>
    <cellStyle name="Normal 5 2 4 5 5 2 2" xfId="41107" xr:uid="{00000000-0005-0000-0000-000058630000}"/>
    <cellStyle name="Normal 5 2 4 5 5 3" xfId="25803" xr:uid="{00000000-0005-0000-0000-000059630000}"/>
    <cellStyle name="Normal 5 2 4 5 5 3 2" xfId="51356" xr:uid="{00000000-0005-0000-0000-00005A630000}"/>
    <cellStyle name="Normal 5 2 4 5 5 4" xfId="32286" xr:uid="{00000000-0005-0000-0000-00005B630000}"/>
    <cellStyle name="Normal 5 2 4 5 6" xfId="8171" xr:uid="{00000000-0005-0000-0000-00005C630000}"/>
    <cellStyle name="Normal 5 2 4 5 6 2" xfId="20561" xr:uid="{00000000-0005-0000-0000-00005D630000}"/>
    <cellStyle name="Normal 5 2 4 5 6 2 2" xfId="46114" xr:uid="{00000000-0005-0000-0000-00005E630000}"/>
    <cellStyle name="Normal 5 2 4 5 6 3" xfId="33728" xr:uid="{00000000-0005-0000-0000-00005F630000}"/>
    <cellStyle name="Normal 5 2 4 5 7" xfId="16146" xr:uid="{00000000-0005-0000-0000-000060630000}"/>
    <cellStyle name="Normal 5 2 4 5 7 2" xfId="41699" xr:uid="{00000000-0005-0000-0000-000061630000}"/>
    <cellStyle name="Normal 5 2 4 5 8" xfId="27044" xr:uid="{00000000-0005-0000-0000-000062630000}"/>
    <cellStyle name="Normal 5 2 4 6" xfId="2675" xr:uid="{00000000-0005-0000-0000-000063630000}"/>
    <cellStyle name="Normal 5 2 4 6 2" xfId="11992" xr:uid="{00000000-0005-0000-0000-000064630000}"/>
    <cellStyle name="Normal 5 2 4 6 2 2" xfId="22036" xr:uid="{00000000-0005-0000-0000-000065630000}"/>
    <cellStyle name="Normal 5 2 4 6 2 2 2" xfId="47589" xr:uid="{00000000-0005-0000-0000-000066630000}"/>
    <cellStyle name="Normal 5 2 4 6 2 3" xfId="37547" xr:uid="{00000000-0005-0000-0000-000067630000}"/>
    <cellStyle name="Normal 5 2 4 6 3" xfId="8552" xr:uid="{00000000-0005-0000-0000-000068630000}"/>
    <cellStyle name="Normal 5 2 4 6 3 2" xfId="34109" xr:uid="{00000000-0005-0000-0000-000069630000}"/>
    <cellStyle name="Normal 5 2 4 6 4" xfId="17029" xr:uid="{00000000-0005-0000-0000-00006A630000}"/>
    <cellStyle name="Normal 5 2 4 6 4 2" xfId="42582" xr:uid="{00000000-0005-0000-0000-00006B630000}"/>
    <cellStyle name="Normal 5 2 4 6 5" xfId="28519" xr:uid="{00000000-0005-0000-0000-00006C630000}"/>
    <cellStyle name="Normal 5 2 4 7" xfId="4226" xr:uid="{00000000-0005-0000-0000-00006D630000}"/>
    <cellStyle name="Normal 5 2 4 7 2" xfId="13064" xr:uid="{00000000-0005-0000-0000-00006E630000}"/>
    <cellStyle name="Normal 5 2 4 7 2 2" xfId="23315" xr:uid="{00000000-0005-0000-0000-00006F630000}"/>
    <cellStyle name="Normal 5 2 4 7 2 2 2" xfId="48868" xr:uid="{00000000-0005-0000-0000-000070630000}"/>
    <cellStyle name="Normal 5 2 4 7 2 3" xfId="38619" xr:uid="{00000000-0005-0000-0000-000071630000}"/>
    <cellStyle name="Normal 5 2 4 7 3" xfId="9485" xr:uid="{00000000-0005-0000-0000-000072630000}"/>
    <cellStyle name="Normal 5 2 4 7 3 2" xfId="35042" xr:uid="{00000000-0005-0000-0000-000073630000}"/>
    <cellStyle name="Normal 5 2 4 7 4" xfId="18308" xr:uid="{00000000-0005-0000-0000-000074630000}"/>
    <cellStyle name="Normal 5 2 4 7 4 2" xfId="43861" xr:uid="{00000000-0005-0000-0000-000075630000}"/>
    <cellStyle name="Normal 5 2 4 7 5" xfId="29798" xr:uid="{00000000-0005-0000-0000-000076630000}"/>
    <cellStyle name="Normal 5 2 4 8" xfId="1498" xr:uid="{00000000-0005-0000-0000-000077630000}"/>
    <cellStyle name="Normal 5 2 4 8 2" xfId="10875" xr:uid="{00000000-0005-0000-0000-000078630000}"/>
    <cellStyle name="Normal 5 2 4 8 2 2" xfId="36430" xr:uid="{00000000-0005-0000-0000-000079630000}"/>
    <cellStyle name="Normal 5 2 4 8 3" xfId="20879" xr:uid="{00000000-0005-0000-0000-00007A630000}"/>
    <cellStyle name="Normal 5 2 4 8 3 2" xfId="46432" xr:uid="{00000000-0005-0000-0000-00007B630000}"/>
    <cellStyle name="Normal 5 2 4 8 4" xfId="27362" xr:uid="{00000000-0005-0000-0000-00007C630000}"/>
    <cellStyle name="Normal 5 2 4 9" xfId="5682" xr:uid="{00000000-0005-0000-0000-00007D630000}"/>
    <cellStyle name="Normal 5 2 4 9 2" xfId="14509" xr:uid="{00000000-0005-0000-0000-00007E630000}"/>
    <cellStyle name="Normal 5 2 4 9 2 2" xfId="40064" xr:uid="{00000000-0005-0000-0000-00007F630000}"/>
    <cellStyle name="Normal 5 2 4 9 3" xfId="24760" xr:uid="{00000000-0005-0000-0000-000080630000}"/>
    <cellStyle name="Normal 5 2 4 9 3 2" xfId="50313" xr:uid="{00000000-0005-0000-0000-000081630000}"/>
    <cellStyle name="Normal 5 2 4 9 4" xfId="31243" xr:uid="{00000000-0005-0000-0000-000082630000}"/>
    <cellStyle name="Normal 5 2 4_Degree data" xfId="3872" xr:uid="{00000000-0005-0000-0000-000083630000}"/>
    <cellStyle name="Normal 5 2 5" xfId="233" xr:uid="{00000000-0005-0000-0000-000084630000}"/>
    <cellStyle name="Normal 5 2 5 10" xfId="7071" xr:uid="{00000000-0005-0000-0000-000085630000}"/>
    <cellStyle name="Normal 5 2 5 10 2" xfId="19685" xr:uid="{00000000-0005-0000-0000-000086630000}"/>
    <cellStyle name="Normal 5 2 5 10 2 2" xfId="45238" xr:uid="{00000000-0005-0000-0000-000087630000}"/>
    <cellStyle name="Normal 5 2 5 10 3" xfId="32628" xr:uid="{00000000-0005-0000-0000-000088630000}"/>
    <cellStyle name="Normal 5 2 5 11" xfId="15817" xr:uid="{00000000-0005-0000-0000-000089630000}"/>
    <cellStyle name="Normal 5 2 5 11 2" xfId="41370" xr:uid="{00000000-0005-0000-0000-00008A630000}"/>
    <cellStyle name="Normal 5 2 5 12" xfId="26168" xr:uid="{00000000-0005-0000-0000-00008B630000}"/>
    <cellStyle name="Normal 5 2 5 2" xfId="556" xr:uid="{00000000-0005-0000-0000-00008C630000}"/>
    <cellStyle name="Normal 5 2 5 2 10" xfId="26485" xr:uid="{00000000-0005-0000-0000-00008D630000}"/>
    <cellStyle name="Normal 5 2 5 2 2" xfId="793" xr:uid="{00000000-0005-0000-0000-00008E630000}"/>
    <cellStyle name="Normal 5 2 5 2 2 2" xfId="3278" xr:uid="{00000000-0005-0000-0000-00008F630000}"/>
    <cellStyle name="Normal 5 2 5 2 2 2 2" xfId="12420" xr:uid="{00000000-0005-0000-0000-000090630000}"/>
    <cellStyle name="Normal 5 2 5 2 2 2 2 2" xfId="22639" xr:uid="{00000000-0005-0000-0000-000091630000}"/>
    <cellStyle name="Normal 5 2 5 2 2 2 2 2 2" xfId="48192" xr:uid="{00000000-0005-0000-0000-000092630000}"/>
    <cellStyle name="Normal 5 2 5 2 2 2 2 3" xfId="37975" xr:uid="{00000000-0005-0000-0000-000093630000}"/>
    <cellStyle name="Normal 5 2 5 2 2 2 3" xfId="8842" xr:uid="{00000000-0005-0000-0000-000094630000}"/>
    <cellStyle name="Normal 5 2 5 2 2 2 3 2" xfId="34399" xr:uid="{00000000-0005-0000-0000-000095630000}"/>
    <cellStyle name="Normal 5 2 5 2 2 2 4" xfId="17632" xr:uid="{00000000-0005-0000-0000-000096630000}"/>
    <cellStyle name="Normal 5 2 5 2 2 2 4 2" xfId="43185" xr:uid="{00000000-0005-0000-0000-000097630000}"/>
    <cellStyle name="Normal 5 2 5 2 2 2 5" xfId="29122" xr:uid="{00000000-0005-0000-0000-000098630000}"/>
    <cellStyle name="Normal 5 2 5 2 2 3" xfId="4607" xr:uid="{00000000-0005-0000-0000-000099630000}"/>
    <cellStyle name="Normal 5 2 5 2 2 3 2" xfId="13445" xr:uid="{00000000-0005-0000-0000-00009A630000}"/>
    <cellStyle name="Normal 5 2 5 2 2 3 2 2" xfId="23696" xr:uid="{00000000-0005-0000-0000-00009B630000}"/>
    <cellStyle name="Normal 5 2 5 2 2 3 2 2 2" xfId="49249" xr:uid="{00000000-0005-0000-0000-00009C630000}"/>
    <cellStyle name="Normal 5 2 5 2 2 3 2 3" xfId="39000" xr:uid="{00000000-0005-0000-0000-00009D630000}"/>
    <cellStyle name="Normal 5 2 5 2 2 3 3" xfId="9866" xr:uid="{00000000-0005-0000-0000-00009E630000}"/>
    <cellStyle name="Normal 5 2 5 2 2 3 3 2" xfId="35423" xr:uid="{00000000-0005-0000-0000-00009F630000}"/>
    <cellStyle name="Normal 5 2 5 2 2 3 4" xfId="18689" xr:uid="{00000000-0005-0000-0000-0000A0630000}"/>
    <cellStyle name="Normal 5 2 5 2 2 3 4 2" xfId="44242" xr:uid="{00000000-0005-0000-0000-0000A1630000}"/>
    <cellStyle name="Normal 5 2 5 2 2 3 5" xfId="30179" xr:uid="{00000000-0005-0000-0000-0000A2630000}"/>
    <cellStyle name="Normal 5 2 5 2 2 4" xfId="2387" xr:uid="{00000000-0005-0000-0000-0000A3630000}"/>
    <cellStyle name="Normal 5 2 5 2 2 4 2" xfId="11752" xr:uid="{00000000-0005-0000-0000-0000A4630000}"/>
    <cellStyle name="Normal 5 2 5 2 2 4 2 2" xfId="37307" xr:uid="{00000000-0005-0000-0000-0000A5630000}"/>
    <cellStyle name="Normal 5 2 5 2 2 4 3" xfId="21756" xr:uid="{00000000-0005-0000-0000-0000A6630000}"/>
    <cellStyle name="Normal 5 2 5 2 2 4 3 2" xfId="47309" xr:uid="{00000000-0005-0000-0000-0000A7630000}"/>
    <cellStyle name="Normal 5 2 5 2 2 4 4" xfId="28239" xr:uid="{00000000-0005-0000-0000-0000A8630000}"/>
    <cellStyle name="Normal 5 2 5 2 2 5" xfId="6063" xr:uid="{00000000-0005-0000-0000-0000A9630000}"/>
    <cellStyle name="Normal 5 2 5 2 2 5 2" xfId="14890" xr:uid="{00000000-0005-0000-0000-0000AA630000}"/>
    <cellStyle name="Normal 5 2 5 2 2 5 2 2" xfId="40445" xr:uid="{00000000-0005-0000-0000-0000AB630000}"/>
    <cellStyle name="Normal 5 2 5 2 2 5 3" xfId="25141" xr:uid="{00000000-0005-0000-0000-0000AC630000}"/>
    <cellStyle name="Normal 5 2 5 2 2 5 3 2" xfId="50694" xr:uid="{00000000-0005-0000-0000-0000AD630000}"/>
    <cellStyle name="Normal 5 2 5 2 2 5 4" xfId="31624" xr:uid="{00000000-0005-0000-0000-0000AE630000}"/>
    <cellStyle name="Normal 5 2 5 2 2 6" xfId="7508" xr:uid="{00000000-0005-0000-0000-0000AF630000}"/>
    <cellStyle name="Normal 5 2 5 2 2 6 2" xfId="20238" xr:uid="{00000000-0005-0000-0000-0000B0630000}"/>
    <cellStyle name="Normal 5 2 5 2 2 6 2 2" xfId="45791" xr:uid="{00000000-0005-0000-0000-0000B1630000}"/>
    <cellStyle name="Normal 5 2 5 2 2 6 3" xfId="33065" xr:uid="{00000000-0005-0000-0000-0000B2630000}"/>
    <cellStyle name="Normal 5 2 5 2 2 7" xfId="16749" xr:uid="{00000000-0005-0000-0000-0000B3630000}"/>
    <cellStyle name="Normal 5 2 5 2 2 7 2" xfId="42302" xr:uid="{00000000-0005-0000-0000-0000B4630000}"/>
    <cellStyle name="Normal 5 2 5 2 2 8" xfId="26721" xr:uid="{00000000-0005-0000-0000-0000B5630000}"/>
    <cellStyle name="Normal 5 2 5 2 3" xfId="1328" xr:uid="{00000000-0005-0000-0000-0000B6630000}"/>
    <cellStyle name="Normal 5 2 5 2 3 2" xfId="3757" xr:uid="{00000000-0005-0000-0000-0000B7630000}"/>
    <cellStyle name="Normal 5 2 5 2 3 2 2" xfId="12893" xr:uid="{00000000-0005-0000-0000-0000B8630000}"/>
    <cellStyle name="Normal 5 2 5 2 3 2 2 2" xfId="23112" xr:uid="{00000000-0005-0000-0000-0000B9630000}"/>
    <cellStyle name="Normal 5 2 5 2 3 2 2 2 2" xfId="48665" xr:uid="{00000000-0005-0000-0000-0000BA630000}"/>
    <cellStyle name="Normal 5 2 5 2 3 2 2 3" xfId="38448" xr:uid="{00000000-0005-0000-0000-0000BB630000}"/>
    <cellStyle name="Normal 5 2 5 2 3 2 3" xfId="9314" xr:uid="{00000000-0005-0000-0000-0000BC630000}"/>
    <cellStyle name="Normal 5 2 5 2 3 2 3 2" xfId="34871" xr:uid="{00000000-0005-0000-0000-0000BD630000}"/>
    <cellStyle name="Normal 5 2 5 2 3 2 4" xfId="18105" xr:uid="{00000000-0005-0000-0000-0000BE630000}"/>
    <cellStyle name="Normal 5 2 5 2 3 2 4 2" xfId="43658" xr:uid="{00000000-0005-0000-0000-0000BF630000}"/>
    <cellStyle name="Normal 5 2 5 2 3 2 5" xfId="29595" xr:uid="{00000000-0005-0000-0000-0000C0630000}"/>
    <cellStyle name="Normal 5 2 5 2 3 3" xfId="4956" xr:uid="{00000000-0005-0000-0000-0000C1630000}"/>
    <cellStyle name="Normal 5 2 5 2 3 3 2" xfId="13793" xr:uid="{00000000-0005-0000-0000-0000C2630000}"/>
    <cellStyle name="Normal 5 2 5 2 3 3 2 2" xfId="24044" xr:uid="{00000000-0005-0000-0000-0000C3630000}"/>
    <cellStyle name="Normal 5 2 5 2 3 3 2 2 2" xfId="49597" xr:uid="{00000000-0005-0000-0000-0000C4630000}"/>
    <cellStyle name="Normal 5 2 5 2 3 3 2 3" xfId="39348" xr:uid="{00000000-0005-0000-0000-0000C5630000}"/>
    <cellStyle name="Normal 5 2 5 2 3 3 3" xfId="10214" xr:uid="{00000000-0005-0000-0000-0000C6630000}"/>
    <cellStyle name="Normal 5 2 5 2 3 3 3 2" xfId="35771" xr:uid="{00000000-0005-0000-0000-0000C7630000}"/>
    <cellStyle name="Normal 5 2 5 2 3 3 4" xfId="19037" xr:uid="{00000000-0005-0000-0000-0000C8630000}"/>
    <cellStyle name="Normal 5 2 5 2 3 3 4 2" xfId="44590" xr:uid="{00000000-0005-0000-0000-0000C9630000}"/>
    <cellStyle name="Normal 5 2 5 2 3 3 5" xfId="30527" xr:uid="{00000000-0005-0000-0000-0000CA630000}"/>
    <cellStyle name="Normal 5 2 5 2 3 4" xfId="2151" xr:uid="{00000000-0005-0000-0000-0000CB630000}"/>
    <cellStyle name="Normal 5 2 5 2 3 4 2" xfId="11516" xr:uid="{00000000-0005-0000-0000-0000CC630000}"/>
    <cellStyle name="Normal 5 2 5 2 3 4 2 2" xfId="37071" xr:uid="{00000000-0005-0000-0000-0000CD630000}"/>
    <cellStyle name="Normal 5 2 5 2 3 4 3" xfId="21520" xr:uid="{00000000-0005-0000-0000-0000CE630000}"/>
    <cellStyle name="Normal 5 2 5 2 3 4 3 2" xfId="47073" xr:uid="{00000000-0005-0000-0000-0000CF630000}"/>
    <cellStyle name="Normal 5 2 5 2 3 4 4" xfId="28003" xr:uid="{00000000-0005-0000-0000-0000D0630000}"/>
    <cellStyle name="Normal 5 2 5 2 3 5" xfId="6411" xr:uid="{00000000-0005-0000-0000-0000D1630000}"/>
    <cellStyle name="Normal 5 2 5 2 3 5 2" xfId="15238" xr:uid="{00000000-0005-0000-0000-0000D2630000}"/>
    <cellStyle name="Normal 5 2 5 2 3 5 2 2" xfId="40793" xr:uid="{00000000-0005-0000-0000-0000D3630000}"/>
    <cellStyle name="Normal 5 2 5 2 3 5 3" xfId="25489" xr:uid="{00000000-0005-0000-0000-0000D4630000}"/>
    <cellStyle name="Normal 5 2 5 2 3 5 3 2" xfId="51042" xr:uid="{00000000-0005-0000-0000-0000D5630000}"/>
    <cellStyle name="Normal 5 2 5 2 3 5 4" xfId="31972" xr:uid="{00000000-0005-0000-0000-0000D6630000}"/>
    <cellStyle name="Normal 5 2 5 2 3 6" xfId="7857" xr:uid="{00000000-0005-0000-0000-0000D7630000}"/>
    <cellStyle name="Normal 5 2 5 2 3 6 2" xfId="20711" xr:uid="{00000000-0005-0000-0000-0000D8630000}"/>
    <cellStyle name="Normal 5 2 5 2 3 6 2 2" xfId="46264" xr:uid="{00000000-0005-0000-0000-0000D9630000}"/>
    <cellStyle name="Normal 5 2 5 2 3 6 3" xfId="33414" xr:uid="{00000000-0005-0000-0000-0000DA630000}"/>
    <cellStyle name="Normal 5 2 5 2 3 7" xfId="16513" xr:uid="{00000000-0005-0000-0000-0000DB630000}"/>
    <cellStyle name="Normal 5 2 5 2 3 7 2" xfId="42066" xr:uid="{00000000-0005-0000-0000-0000DC630000}"/>
    <cellStyle name="Normal 5 2 5 2 3 8" xfId="27194" xr:uid="{00000000-0005-0000-0000-0000DD630000}"/>
    <cellStyle name="Normal 5 2 5 2 4" xfId="3042" xr:uid="{00000000-0005-0000-0000-0000DE630000}"/>
    <cellStyle name="Normal 5 2 5 2 4 2" xfId="5420" xr:uid="{00000000-0005-0000-0000-0000DF630000}"/>
    <cellStyle name="Normal 5 2 5 2 4 2 2" xfId="14257" xr:uid="{00000000-0005-0000-0000-0000E0630000}"/>
    <cellStyle name="Normal 5 2 5 2 4 2 2 2" xfId="24508" xr:uid="{00000000-0005-0000-0000-0000E1630000}"/>
    <cellStyle name="Normal 5 2 5 2 4 2 2 2 2" xfId="50061" xr:uid="{00000000-0005-0000-0000-0000E2630000}"/>
    <cellStyle name="Normal 5 2 5 2 4 2 2 3" xfId="39812" xr:uid="{00000000-0005-0000-0000-0000E3630000}"/>
    <cellStyle name="Normal 5 2 5 2 4 2 3" xfId="10678" xr:uid="{00000000-0005-0000-0000-0000E4630000}"/>
    <cellStyle name="Normal 5 2 5 2 4 2 3 2" xfId="36235" xr:uid="{00000000-0005-0000-0000-0000E5630000}"/>
    <cellStyle name="Normal 5 2 5 2 4 2 4" xfId="19501" xr:uid="{00000000-0005-0000-0000-0000E6630000}"/>
    <cellStyle name="Normal 5 2 5 2 4 2 4 2" xfId="45054" xr:uid="{00000000-0005-0000-0000-0000E7630000}"/>
    <cellStyle name="Normal 5 2 5 2 4 2 5" xfId="30991" xr:uid="{00000000-0005-0000-0000-0000E8630000}"/>
    <cellStyle name="Normal 5 2 5 2 4 3" xfId="6875" xr:uid="{00000000-0005-0000-0000-0000E9630000}"/>
    <cellStyle name="Normal 5 2 5 2 4 3 2" xfId="15702" xr:uid="{00000000-0005-0000-0000-0000EA630000}"/>
    <cellStyle name="Normal 5 2 5 2 4 3 2 2" xfId="41257" xr:uid="{00000000-0005-0000-0000-0000EB630000}"/>
    <cellStyle name="Normal 5 2 5 2 4 3 3" xfId="25953" xr:uid="{00000000-0005-0000-0000-0000EC630000}"/>
    <cellStyle name="Normal 5 2 5 2 4 3 3 2" xfId="51506" xr:uid="{00000000-0005-0000-0000-0000ED630000}"/>
    <cellStyle name="Normal 5 2 5 2 4 3 4" xfId="32436" xr:uid="{00000000-0005-0000-0000-0000EE630000}"/>
    <cellStyle name="Normal 5 2 5 2 4 4" xfId="8321" xr:uid="{00000000-0005-0000-0000-0000EF630000}"/>
    <cellStyle name="Normal 5 2 5 2 4 4 2" xfId="22403" xr:uid="{00000000-0005-0000-0000-0000F0630000}"/>
    <cellStyle name="Normal 5 2 5 2 4 4 2 2" xfId="47956" xr:uid="{00000000-0005-0000-0000-0000F1630000}"/>
    <cellStyle name="Normal 5 2 5 2 4 4 3" xfId="33878" xr:uid="{00000000-0005-0000-0000-0000F2630000}"/>
    <cellStyle name="Normal 5 2 5 2 4 5" xfId="17396" xr:uid="{00000000-0005-0000-0000-0000F3630000}"/>
    <cellStyle name="Normal 5 2 5 2 4 5 2" xfId="42949" xr:uid="{00000000-0005-0000-0000-0000F4630000}"/>
    <cellStyle name="Normal 5 2 5 2 4 6" xfId="28886" xr:uid="{00000000-0005-0000-0000-0000F5630000}"/>
    <cellStyle name="Normal 5 2 5 2 5" xfId="4376" xr:uid="{00000000-0005-0000-0000-0000F6630000}"/>
    <cellStyle name="Normal 5 2 5 2 5 2" xfId="13214" xr:uid="{00000000-0005-0000-0000-0000F7630000}"/>
    <cellStyle name="Normal 5 2 5 2 5 2 2" xfId="23465" xr:uid="{00000000-0005-0000-0000-0000F8630000}"/>
    <cellStyle name="Normal 5 2 5 2 5 2 2 2" xfId="49018" xr:uid="{00000000-0005-0000-0000-0000F9630000}"/>
    <cellStyle name="Normal 5 2 5 2 5 2 3" xfId="38769" xr:uid="{00000000-0005-0000-0000-0000FA630000}"/>
    <cellStyle name="Normal 5 2 5 2 5 3" xfId="9635" xr:uid="{00000000-0005-0000-0000-0000FB630000}"/>
    <cellStyle name="Normal 5 2 5 2 5 3 2" xfId="35192" xr:uid="{00000000-0005-0000-0000-0000FC630000}"/>
    <cellStyle name="Normal 5 2 5 2 5 4" xfId="18458" xr:uid="{00000000-0005-0000-0000-0000FD630000}"/>
    <cellStyle name="Normal 5 2 5 2 5 4 2" xfId="44011" xr:uid="{00000000-0005-0000-0000-0000FE630000}"/>
    <cellStyle name="Normal 5 2 5 2 5 5" xfId="29948" xr:uid="{00000000-0005-0000-0000-0000FF630000}"/>
    <cellStyle name="Normal 5 2 5 2 6" xfId="1648" xr:uid="{00000000-0005-0000-0000-000000640000}"/>
    <cellStyle name="Normal 5 2 5 2 6 2" xfId="11025" xr:uid="{00000000-0005-0000-0000-000001640000}"/>
    <cellStyle name="Normal 5 2 5 2 6 2 2" xfId="36580" xr:uid="{00000000-0005-0000-0000-000002640000}"/>
    <cellStyle name="Normal 5 2 5 2 6 3" xfId="21029" xr:uid="{00000000-0005-0000-0000-000003640000}"/>
    <cellStyle name="Normal 5 2 5 2 6 3 2" xfId="46582" xr:uid="{00000000-0005-0000-0000-000004640000}"/>
    <cellStyle name="Normal 5 2 5 2 6 4" xfId="27512" xr:uid="{00000000-0005-0000-0000-000005640000}"/>
    <cellStyle name="Normal 5 2 5 2 7" xfId="5832" xr:uid="{00000000-0005-0000-0000-000006640000}"/>
    <cellStyle name="Normal 5 2 5 2 7 2" xfId="14659" xr:uid="{00000000-0005-0000-0000-000007640000}"/>
    <cellStyle name="Normal 5 2 5 2 7 2 2" xfId="40214" xr:uid="{00000000-0005-0000-0000-000008640000}"/>
    <cellStyle name="Normal 5 2 5 2 7 3" xfId="24910" xr:uid="{00000000-0005-0000-0000-000009640000}"/>
    <cellStyle name="Normal 5 2 5 2 7 3 2" xfId="50463" xr:uid="{00000000-0005-0000-0000-00000A640000}"/>
    <cellStyle name="Normal 5 2 5 2 7 4" xfId="31393" xr:uid="{00000000-0005-0000-0000-00000B640000}"/>
    <cellStyle name="Normal 5 2 5 2 8" xfId="7276" xr:uid="{00000000-0005-0000-0000-00000C640000}"/>
    <cellStyle name="Normal 5 2 5 2 8 2" xfId="20002" xr:uid="{00000000-0005-0000-0000-00000D640000}"/>
    <cellStyle name="Normal 5 2 5 2 8 2 2" xfId="45555" xr:uid="{00000000-0005-0000-0000-00000E640000}"/>
    <cellStyle name="Normal 5 2 5 2 8 3" xfId="32833" xr:uid="{00000000-0005-0000-0000-00000F640000}"/>
    <cellStyle name="Normal 5 2 5 2 9" xfId="16022" xr:uid="{00000000-0005-0000-0000-000010640000}"/>
    <cellStyle name="Normal 5 2 5 2 9 2" xfId="41575" xr:uid="{00000000-0005-0000-0000-000011640000}"/>
    <cellStyle name="Normal 5 2 5 2_Degree data" xfId="3844" xr:uid="{00000000-0005-0000-0000-000012640000}"/>
    <cellStyle name="Normal 5 2 5 3" xfId="351" xr:uid="{00000000-0005-0000-0000-000013640000}"/>
    <cellStyle name="Normal 5 2 5 3 2" xfId="2837" xr:uid="{00000000-0005-0000-0000-000014640000}"/>
    <cellStyle name="Normal 5 2 5 3 2 2" xfId="12125" xr:uid="{00000000-0005-0000-0000-000015640000}"/>
    <cellStyle name="Normal 5 2 5 3 2 2 2" xfId="22198" xr:uid="{00000000-0005-0000-0000-000016640000}"/>
    <cellStyle name="Normal 5 2 5 3 2 2 2 2" xfId="47751" xr:uid="{00000000-0005-0000-0000-000017640000}"/>
    <cellStyle name="Normal 5 2 5 3 2 2 3" xfId="37680" xr:uid="{00000000-0005-0000-0000-000018640000}"/>
    <cellStyle name="Normal 5 2 5 3 2 3" xfId="8466" xr:uid="{00000000-0005-0000-0000-000019640000}"/>
    <cellStyle name="Normal 5 2 5 3 2 3 2" xfId="34023" xr:uid="{00000000-0005-0000-0000-00001A640000}"/>
    <cellStyle name="Normal 5 2 5 3 2 4" xfId="17191" xr:uid="{00000000-0005-0000-0000-00001B640000}"/>
    <cellStyle name="Normal 5 2 5 3 2 4 2" xfId="42744" xr:uid="{00000000-0005-0000-0000-00001C640000}"/>
    <cellStyle name="Normal 5 2 5 3 2 5" xfId="28681" xr:uid="{00000000-0005-0000-0000-00001D640000}"/>
    <cellStyle name="Normal 5 2 5 3 3" xfId="4606" xr:uid="{00000000-0005-0000-0000-00001E640000}"/>
    <cellStyle name="Normal 5 2 5 3 3 2" xfId="13444" xr:uid="{00000000-0005-0000-0000-00001F640000}"/>
    <cellStyle name="Normal 5 2 5 3 3 2 2" xfId="23695" xr:uid="{00000000-0005-0000-0000-000020640000}"/>
    <cellStyle name="Normal 5 2 5 3 3 2 2 2" xfId="49248" xr:uid="{00000000-0005-0000-0000-000021640000}"/>
    <cellStyle name="Normal 5 2 5 3 3 2 3" xfId="38999" xr:uid="{00000000-0005-0000-0000-000022640000}"/>
    <cellStyle name="Normal 5 2 5 3 3 3" xfId="9865" xr:uid="{00000000-0005-0000-0000-000023640000}"/>
    <cellStyle name="Normal 5 2 5 3 3 3 2" xfId="35422" xr:uid="{00000000-0005-0000-0000-000024640000}"/>
    <cellStyle name="Normal 5 2 5 3 3 4" xfId="18688" xr:uid="{00000000-0005-0000-0000-000025640000}"/>
    <cellStyle name="Normal 5 2 5 3 3 4 2" xfId="44241" xr:uid="{00000000-0005-0000-0000-000026640000}"/>
    <cellStyle name="Normal 5 2 5 3 3 5" xfId="30178" xr:uid="{00000000-0005-0000-0000-000027640000}"/>
    <cellStyle name="Normal 5 2 5 3 4" xfId="1946" xr:uid="{00000000-0005-0000-0000-000028640000}"/>
    <cellStyle name="Normal 5 2 5 3 4 2" xfId="11311" xr:uid="{00000000-0005-0000-0000-000029640000}"/>
    <cellStyle name="Normal 5 2 5 3 4 2 2" xfId="36866" xr:uid="{00000000-0005-0000-0000-00002A640000}"/>
    <cellStyle name="Normal 5 2 5 3 4 3" xfId="21315" xr:uid="{00000000-0005-0000-0000-00002B640000}"/>
    <cellStyle name="Normal 5 2 5 3 4 3 2" xfId="46868" xr:uid="{00000000-0005-0000-0000-00002C640000}"/>
    <cellStyle name="Normal 5 2 5 3 4 4" xfId="27798" xr:uid="{00000000-0005-0000-0000-00002D640000}"/>
    <cellStyle name="Normal 5 2 5 3 5" xfId="6062" xr:uid="{00000000-0005-0000-0000-00002E640000}"/>
    <cellStyle name="Normal 5 2 5 3 5 2" xfId="14889" xr:uid="{00000000-0005-0000-0000-00002F640000}"/>
    <cellStyle name="Normal 5 2 5 3 5 2 2" xfId="40444" xr:uid="{00000000-0005-0000-0000-000030640000}"/>
    <cellStyle name="Normal 5 2 5 3 5 3" xfId="25140" xr:uid="{00000000-0005-0000-0000-000031640000}"/>
    <cellStyle name="Normal 5 2 5 3 5 3 2" xfId="50693" xr:uid="{00000000-0005-0000-0000-000032640000}"/>
    <cellStyle name="Normal 5 2 5 3 5 4" xfId="31623" xr:uid="{00000000-0005-0000-0000-000033640000}"/>
    <cellStyle name="Normal 5 2 5 3 6" xfId="7507" xr:uid="{00000000-0005-0000-0000-000034640000}"/>
    <cellStyle name="Normal 5 2 5 3 6 2" xfId="19797" xr:uid="{00000000-0005-0000-0000-000035640000}"/>
    <cellStyle name="Normal 5 2 5 3 6 2 2" xfId="45350" xr:uid="{00000000-0005-0000-0000-000036640000}"/>
    <cellStyle name="Normal 5 2 5 3 6 3" xfId="33064" xr:uid="{00000000-0005-0000-0000-000037640000}"/>
    <cellStyle name="Normal 5 2 5 3 7" xfId="16308" xr:uid="{00000000-0005-0000-0000-000038640000}"/>
    <cellStyle name="Normal 5 2 5 3 7 2" xfId="41861" xr:uid="{00000000-0005-0000-0000-000039640000}"/>
    <cellStyle name="Normal 5 2 5 3 8" xfId="26280" xr:uid="{00000000-0005-0000-0000-00003A640000}"/>
    <cellStyle name="Normal 5 2 5 4" xfId="792" xr:uid="{00000000-0005-0000-0000-00003B640000}"/>
    <cellStyle name="Normal 5 2 5 4 2" xfId="3277" xr:uid="{00000000-0005-0000-0000-00003C640000}"/>
    <cellStyle name="Normal 5 2 5 4 2 2" xfId="12419" xr:uid="{00000000-0005-0000-0000-00003D640000}"/>
    <cellStyle name="Normal 5 2 5 4 2 2 2" xfId="22638" xr:uid="{00000000-0005-0000-0000-00003E640000}"/>
    <cellStyle name="Normal 5 2 5 4 2 2 2 2" xfId="48191" xr:uid="{00000000-0005-0000-0000-00003F640000}"/>
    <cellStyle name="Normal 5 2 5 4 2 2 3" xfId="37974" xr:uid="{00000000-0005-0000-0000-000040640000}"/>
    <cellStyle name="Normal 5 2 5 4 2 3" xfId="8841" xr:uid="{00000000-0005-0000-0000-000041640000}"/>
    <cellStyle name="Normal 5 2 5 4 2 3 2" xfId="34398" xr:uid="{00000000-0005-0000-0000-000042640000}"/>
    <cellStyle name="Normal 5 2 5 4 2 4" xfId="17631" xr:uid="{00000000-0005-0000-0000-000043640000}"/>
    <cellStyle name="Normal 5 2 5 4 2 4 2" xfId="43184" xr:uid="{00000000-0005-0000-0000-000044640000}"/>
    <cellStyle name="Normal 5 2 5 4 2 5" xfId="29121" xr:uid="{00000000-0005-0000-0000-000045640000}"/>
    <cellStyle name="Normal 5 2 5 4 3" xfId="4955" xr:uid="{00000000-0005-0000-0000-000046640000}"/>
    <cellStyle name="Normal 5 2 5 4 3 2" xfId="13792" xr:uid="{00000000-0005-0000-0000-000047640000}"/>
    <cellStyle name="Normal 5 2 5 4 3 2 2" xfId="24043" xr:uid="{00000000-0005-0000-0000-000048640000}"/>
    <cellStyle name="Normal 5 2 5 4 3 2 2 2" xfId="49596" xr:uid="{00000000-0005-0000-0000-000049640000}"/>
    <cellStyle name="Normal 5 2 5 4 3 2 3" xfId="39347" xr:uid="{00000000-0005-0000-0000-00004A640000}"/>
    <cellStyle name="Normal 5 2 5 4 3 3" xfId="10213" xr:uid="{00000000-0005-0000-0000-00004B640000}"/>
    <cellStyle name="Normal 5 2 5 4 3 3 2" xfId="35770" xr:uid="{00000000-0005-0000-0000-00004C640000}"/>
    <cellStyle name="Normal 5 2 5 4 3 4" xfId="19036" xr:uid="{00000000-0005-0000-0000-00004D640000}"/>
    <cellStyle name="Normal 5 2 5 4 3 4 2" xfId="44589" xr:uid="{00000000-0005-0000-0000-00004E640000}"/>
    <cellStyle name="Normal 5 2 5 4 3 5" xfId="30526" xr:uid="{00000000-0005-0000-0000-00004F640000}"/>
    <cellStyle name="Normal 5 2 5 4 4" xfId="2386" xr:uid="{00000000-0005-0000-0000-000050640000}"/>
    <cellStyle name="Normal 5 2 5 4 4 2" xfId="11751" xr:uid="{00000000-0005-0000-0000-000051640000}"/>
    <cellStyle name="Normal 5 2 5 4 4 2 2" xfId="37306" xr:uid="{00000000-0005-0000-0000-000052640000}"/>
    <cellStyle name="Normal 5 2 5 4 4 3" xfId="21755" xr:uid="{00000000-0005-0000-0000-000053640000}"/>
    <cellStyle name="Normal 5 2 5 4 4 3 2" xfId="47308" xr:uid="{00000000-0005-0000-0000-000054640000}"/>
    <cellStyle name="Normal 5 2 5 4 4 4" xfId="28238" xr:uid="{00000000-0005-0000-0000-000055640000}"/>
    <cellStyle name="Normal 5 2 5 4 5" xfId="6410" xr:uid="{00000000-0005-0000-0000-000056640000}"/>
    <cellStyle name="Normal 5 2 5 4 5 2" xfId="15237" xr:uid="{00000000-0005-0000-0000-000057640000}"/>
    <cellStyle name="Normal 5 2 5 4 5 2 2" xfId="40792" xr:uid="{00000000-0005-0000-0000-000058640000}"/>
    <cellStyle name="Normal 5 2 5 4 5 3" xfId="25488" xr:uid="{00000000-0005-0000-0000-000059640000}"/>
    <cellStyle name="Normal 5 2 5 4 5 3 2" xfId="51041" xr:uid="{00000000-0005-0000-0000-00005A640000}"/>
    <cellStyle name="Normal 5 2 5 4 5 4" xfId="31971" xr:uid="{00000000-0005-0000-0000-00005B640000}"/>
    <cellStyle name="Normal 5 2 5 4 6" xfId="7856" xr:uid="{00000000-0005-0000-0000-00005C640000}"/>
    <cellStyle name="Normal 5 2 5 4 6 2" xfId="20237" xr:uid="{00000000-0005-0000-0000-00005D640000}"/>
    <cellStyle name="Normal 5 2 5 4 6 2 2" xfId="45790" xr:uid="{00000000-0005-0000-0000-00005E640000}"/>
    <cellStyle name="Normal 5 2 5 4 6 3" xfId="33413" xr:uid="{00000000-0005-0000-0000-00005F640000}"/>
    <cellStyle name="Normal 5 2 5 4 7" xfId="16748" xr:uid="{00000000-0005-0000-0000-000060640000}"/>
    <cellStyle name="Normal 5 2 5 4 7 2" xfId="42301" xr:uid="{00000000-0005-0000-0000-000061640000}"/>
    <cellStyle name="Normal 5 2 5 4 8" xfId="26720" xr:uid="{00000000-0005-0000-0000-000062640000}"/>
    <cellStyle name="Normal 5 2 5 5" xfId="1123" xr:uid="{00000000-0005-0000-0000-000063640000}"/>
    <cellStyle name="Normal 5 2 5 5 2" xfId="3552" xr:uid="{00000000-0005-0000-0000-000064640000}"/>
    <cellStyle name="Normal 5 2 5 5 2 2" xfId="12688" xr:uid="{00000000-0005-0000-0000-000065640000}"/>
    <cellStyle name="Normal 5 2 5 5 2 2 2" xfId="22907" xr:uid="{00000000-0005-0000-0000-000066640000}"/>
    <cellStyle name="Normal 5 2 5 5 2 2 2 2" xfId="48460" xr:uid="{00000000-0005-0000-0000-000067640000}"/>
    <cellStyle name="Normal 5 2 5 5 2 2 3" xfId="38243" xr:uid="{00000000-0005-0000-0000-000068640000}"/>
    <cellStyle name="Normal 5 2 5 5 2 3" xfId="9109" xr:uid="{00000000-0005-0000-0000-000069640000}"/>
    <cellStyle name="Normal 5 2 5 5 2 3 2" xfId="34666" xr:uid="{00000000-0005-0000-0000-00006A640000}"/>
    <cellStyle name="Normal 5 2 5 5 2 4" xfId="17900" xr:uid="{00000000-0005-0000-0000-00006B640000}"/>
    <cellStyle name="Normal 5 2 5 5 2 4 2" xfId="43453" xr:uid="{00000000-0005-0000-0000-00006C640000}"/>
    <cellStyle name="Normal 5 2 5 5 2 5" xfId="29390" xr:uid="{00000000-0005-0000-0000-00006D640000}"/>
    <cellStyle name="Normal 5 2 5 5 3" xfId="5215" xr:uid="{00000000-0005-0000-0000-00006E640000}"/>
    <cellStyle name="Normal 5 2 5 5 3 2" xfId="14052" xr:uid="{00000000-0005-0000-0000-00006F640000}"/>
    <cellStyle name="Normal 5 2 5 5 3 2 2" xfId="24303" xr:uid="{00000000-0005-0000-0000-000070640000}"/>
    <cellStyle name="Normal 5 2 5 5 3 2 2 2" xfId="49856" xr:uid="{00000000-0005-0000-0000-000071640000}"/>
    <cellStyle name="Normal 5 2 5 5 3 2 3" xfId="39607" xr:uid="{00000000-0005-0000-0000-000072640000}"/>
    <cellStyle name="Normal 5 2 5 5 3 3" xfId="10473" xr:uid="{00000000-0005-0000-0000-000073640000}"/>
    <cellStyle name="Normal 5 2 5 5 3 3 2" xfId="36030" xr:uid="{00000000-0005-0000-0000-000074640000}"/>
    <cellStyle name="Normal 5 2 5 5 3 4" xfId="19296" xr:uid="{00000000-0005-0000-0000-000075640000}"/>
    <cellStyle name="Normal 5 2 5 5 3 4 2" xfId="44849" xr:uid="{00000000-0005-0000-0000-000076640000}"/>
    <cellStyle name="Normal 5 2 5 5 3 5" xfId="30786" xr:uid="{00000000-0005-0000-0000-000077640000}"/>
    <cellStyle name="Normal 5 2 5 5 4" xfId="1831" xr:uid="{00000000-0005-0000-0000-000078640000}"/>
    <cellStyle name="Normal 5 2 5 5 4 2" xfId="11199" xr:uid="{00000000-0005-0000-0000-000079640000}"/>
    <cellStyle name="Normal 5 2 5 5 4 2 2" xfId="36754" xr:uid="{00000000-0005-0000-0000-00007A640000}"/>
    <cellStyle name="Normal 5 2 5 5 4 3" xfId="21203" xr:uid="{00000000-0005-0000-0000-00007B640000}"/>
    <cellStyle name="Normal 5 2 5 5 4 3 2" xfId="46756" xr:uid="{00000000-0005-0000-0000-00007C640000}"/>
    <cellStyle name="Normal 5 2 5 5 4 4" xfId="27686" xr:uid="{00000000-0005-0000-0000-00007D640000}"/>
    <cellStyle name="Normal 5 2 5 5 5" xfId="6670" xr:uid="{00000000-0005-0000-0000-00007E640000}"/>
    <cellStyle name="Normal 5 2 5 5 5 2" xfId="15497" xr:uid="{00000000-0005-0000-0000-00007F640000}"/>
    <cellStyle name="Normal 5 2 5 5 5 2 2" xfId="41052" xr:uid="{00000000-0005-0000-0000-000080640000}"/>
    <cellStyle name="Normal 5 2 5 5 5 3" xfId="25748" xr:uid="{00000000-0005-0000-0000-000081640000}"/>
    <cellStyle name="Normal 5 2 5 5 5 3 2" xfId="51301" xr:uid="{00000000-0005-0000-0000-000082640000}"/>
    <cellStyle name="Normal 5 2 5 5 5 4" xfId="32231" xr:uid="{00000000-0005-0000-0000-000083640000}"/>
    <cellStyle name="Normal 5 2 5 5 6" xfId="8116" xr:uid="{00000000-0005-0000-0000-000084640000}"/>
    <cellStyle name="Normal 5 2 5 5 6 2" xfId="20506" xr:uid="{00000000-0005-0000-0000-000085640000}"/>
    <cellStyle name="Normal 5 2 5 5 6 2 2" xfId="46059" xr:uid="{00000000-0005-0000-0000-000086640000}"/>
    <cellStyle name="Normal 5 2 5 5 6 3" xfId="33673" xr:uid="{00000000-0005-0000-0000-000087640000}"/>
    <cellStyle name="Normal 5 2 5 5 7" xfId="16196" xr:uid="{00000000-0005-0000-0000-000088640000}"/>
    <cellStyle name="Normal 5 2 5 5 7 2" xfId="41749" xr:uid="{00000000-0005-0000-0000-000089640000}"/>
    <cellStyle name="Normal 5 2 5 5 8" xfId="26989" xr:uid="{00000000-0005-0000-0000-00008A640000}"/>
    <cellStyle name="Normal 5 2 5 6" xfId="2725" xr:uid="{00000000-0005-0000-0000-00008B640000}"/>
    <cellStyle name="Normal 5 2 5 6 2" xfId="12042" xr:uid="{00000000-0005-0000-0000-00008C640000}"/>
    <cellStyle name="Normal 5 2 5 6 2 2" xfId="22086" xr:uid="{00000000-0005-0000-0000-00008D640000}"/>
    <cellStyle name="Normal 5 2 5 6 2 2 2" xfId="47639" xr:uid="{00000000-0005-0000-0000-00008E640000}"/>
    <cellStyle name="Normal 5 2 5 6 2 3" xfId="37597" xr:uid="{00000000-0005-0000-0000-00008F640000}"/>
    <cellStyle name="Normal 5 2 5 6 3" xfId="8395" xr:uid="{00000000-0005-0000-0000-000090640000}"/>
    <cellStyle name="Normal 5 2 5 6 3 2" xfId="33952" xr:uid="{00000000-0005-0000-0000-000091640000}"/>
    <cellStyle name="Normal 5 2 5 6 4" xfId="17079" xr:uid="{00000000-0005-0000-0000-000092640000}"/>
    <cellStyle name="Normal 5 2 5 6 4 2" xfId="42632" xr:uid="{00000000-0005-0000-0000-000093640000}"/>
    <cellStyle name="Normal 5 2 5 6 5" xfId="28569" xr:uid="{00000000-0005-0000-0000-000094640000}"/>
    <cellStyle name="Normal 5 2 5 7" xfId="4171" xr:uid="{00000000-0005-0000-0000-000095640000}"/>
    <cellStyle name="Normal 5 2 5 7 2" xfId="13009" xr:uid="{00000000-0005-0000-0000-000096640000}"/>
    <cellStyle name="Normal 5 2 5 7 2 2" xfId="23260" xr:uid="{00000000-0005-0000-0000-000097640000}"/>
    <cellStyle name="Normal 5 2 5 7 2 2 2" xfId="48813" xr:uid="{00000000-0005-0000-0000-000098640000}"/>
    <cellStyle name="Normal 5 2 5 7 2 3" xfId="38564" xr:uid="{00000000-0005-0000-0000-000099640000}"/>
    <cellStyle name="Normal 5 2 5 7 3" xfId="9430" xr:uid="{00000000-0005-0000-0000-00009A640000}"/>
    <cellStyle name="Normal 5 2 5 7 3 2" xfId="34987" xr:uid="{00000000-0005-0000-0000-00009B640000}"/>
    <cellStyle name="Normal 5 2 5 7 4" xfId="18253" xr:uid="{00000000-0005-0000-0000-00009C640000}"/>
    <cellStyle name="Normal 5 2 5 7 4 2" xfId="43806" xr:uid="{00000000-0005-0000-0000-00009D640000}"/>
    <cellStyle name="Normal 5 2 5 7 5" xfId="29743" xr:uid="{00000000-0005-0000-0000-00009E640000}"/>
    <cellStyle name="Normal 5 2 5 8" xfId="1443" xr:uid="{00000000-0005-0000-0000-00009F640000}"/>
    <cellStyle name="Normal 5 2 5 8 2" xfId="10820" xr:uid="{00000000-0005-0000-0000-0000A0640000}"/>
    <cellStyle name="Normal 5 2 5 8 2 2" xfId="36375" xr:uid="{00000000-0005-0000-0000-0000A1640000}"/>
    <cellStyle name="Normal 5 2 5 8 3" xfId="20824" xr:uid="{00000000-0005-0000-0000-0000A2640000}"/>
    <cellStyle name="Normal 5 2 5 8 3 2" xfId="46377" xr:uid="{00000000-0005-0000-0000-0000A3640000}"/>
    <cellStyle name="Normal 5 2 5 8 4" xfId="27307" xr:uid="{00000000-0005-0000-0000-0000A4640000}"/>
    <cellStyle name="Normal 5 2 5 9" xfId="5627" xr:uid="{00000000-0005-0000-0000-0000A5640000}"/>
    <cellStyle name="Normal 5 2 5 9 2" xfId="14454" xr:uid="{00000000-0005-0000-0000-0000A6640000}"/>
    <cellStyle name="Normal 5 2 5 9 2 2" xfId="40009" xr:uid="{00000000-0005-0000-0000-0000A7640000}"/>
    <cellStyle name="Normal 5 2 5 9 3" xfId="24705" xr:uid="{00000000-0005-0000-0000-0000A8640000}"/>
    <cellStyle name="Normal 5 2 5 9 3 2" xfId="50258" xr:uid="{00000000-0005-0000-0000-0000A9640000}"/>
    <cellStyle name="Normal 5 2 5 9 4" xfId="31188" xr:uid="{00000000-0005-0000-0000-0000AA640000}"/>
    <cellStyle name="Normal 5 2 5_Degree data" xfId="3869" xr:uid="{00000000-0005-0000-0000-0000AB640000}"/>
    <cellStyle name="Normal 5 2 6" xfId="292" xr:uid="{00000000-0005-0000-0000-0000AC640000}"/>
    <cellStyle name="Normal 5 2 6 10" xfId="16077" xr:uid="{00000000-0005-0000-0000-0000AD640000}"/>
    <cellStyle name="Normal 5 2 6 10 2" xfId="41630" xr:uid="{00000000-0005-0000-0000-0000AE640000}"/>
    <cellStyle name="Normal 5 2 6 11" xfId="26223" xr:uid="{00000000-0005-0000-0000-0000AF640000}"/>
    <cellStyle name="Normal 5 2 6 2" xfId="611" xr:uid="{00000000-0005-0000-0000-0000B0640000}"/>
    <cellStyle name="Normal 5 2 6 2 2" xfId="3097" xr:uid="{00000000-0005-0000-0000-0000B1640000}"/>
    <cellStyle name="Normal 5 2 6 2 2 2" xfId="12240" xr:uid="{00000000-0005-0000-0000-0000B2640000}"/>
    <cellStyle name="Normal 5 2 6 2 2 2 2" xfId="22458" xr:uid="{00000000-0005-0000-0000-0000B3640000}"/>
    <cellStyle name="Normal 5 2 6 2 2 2 2 2" xfId="48011" xr:uid="{00000000-0005-0000-0000-0000B4640000}"/>
    <cellStyle name="Normal 5 2 6 2 2 2 3" xfId="37795" xr:uid="{00000000-0005-0000-0000-0000B5640000}"/>
    <cellStyle name="Normal 5 2 6 2 2 3" xfId="8662" xr:uid="{00000000-0005-0000-0000-0000B6640000}"/>
    <cellStyle name="Normal 5 2 6 2 2 3 2" xfId="34219" xr:uid="{00000000-0005-0000-0000-0000B7640000}"/>
    <cellStyle name="Normal 5 2 6 2 2 4" xfId="17451" xr:uid="{00000000-0005-0000-0000-0000B8640000}"/>
    <cellStyle name="Normal 5 2 6 2 2 4 2" xfId="43004" xr:uid="{00000000-0005-0000-0000-0000B9640000}"/>
    <cellStyle name="Normal 5 2 6 2 2 5" xfId="28941" xr:uid="{00000000-0005-0000-0000-0000BA640000}"/>
    <cellStyle name="Normal 5 2 6 2 3" xfId="4608" xr:uid="{00000000-0005-0000-0000-0000BB640000}"/>
    <cellStyle name="Normal 5 2 6 2 3 2" xfId="13446" xr:uid="{00000000-0005-0000-0000-0000BC640000}"/>
    <cellStyle name="Normal 5 2 6 2 3 2 2" xfId="23697" xr:uid="{00000000-0005-0000-0000-0000BD640000}"/>
    <cellStyle name="Normal 5 2 6 2 3 2 2 2" xfId="49250" xr:uid="{00000000-0005-0000-0000-0000BE640000}"/>
    <cellStyle name="Normal 5 2 6 2 3 2 3" xfId="39001" xr:uid="{00000000-0005-0000-0000-0000BF640000}"/>
    <cellStyle name="Normal 5 2 6 2 3 3" xfId="9867" xr:uid="{00000000-0005-0000-0000-0000C0640000}"/>
    <cellStyle name="Normal 5 2 6 2 3 3 2" xfId="35424" xr:uid="{00000000-0005-0000-0000-0000C1640000}"/>
    <cellStyle name="Normal 5 2 6 2 3 4" xfId="18690" xr:uid="{00000000-0005-0000-0000-0000C2640000}"/>
    <cellStyle name="Normal 5 2 6 2 3 4 2" xfId="44243" xr:uid="{00000000-0005-0000-0000-0000C3640000}"/>
    <cellStyle name="Normal 5 2 6 2 3 5" xfId="30180" xr:uid="{00000000-0005-0000-0000-0000C4640000}"/>
    <cellStyle name="Normal 5 2 6 2 4" xfId="2206" xr:uid="{00000000-0005-0000-0000-0000C5640000}"/>
    <cellStyle name="Normal 5 2 6 2 4 2" xfId="11571" xr:uid="{00000000-0005-0000-0000-0000C6640000}"/>
    <cellStyle name="Normal 5 2 6 2 4 2 2" xfId="37126" xr:uid="{00000000-0005-0000-0000-0000C7640000}"/>
    <cellStyle name="Normal 5 2 6 2 4 3" xfId="21575" xr:uid="{00000000-0005-0000-0000-0000C8640000}"/>
    <cellStyle name="Normal 5 2 6 2 4 3 2" xfId="47128" xr:uid="{00000000-0005-0000-0000-0000C9640000}"/>
    <cellStyle name="Normal 5 2 6 2 4 4" xfId="28058" xr:uid="{00000000-0005-0000-0000-0000CA640000}"/>
    <cellStyle name="Normal 5 2 6 2 5" xfId="6064" xr:uid="{00000000-0005-0000-0000-0000CB640000}"/>
    <cellStyle name="Normal 5 2 6 2 5 2" xfId="14891" xr:uid="{00000000-0005-0000-0000-0000CC640000}"/>
    <cellStyle name="Normal 5 2 6 2 5 2 2" xfId="40446" xr:uid="{00000000-0005-0000-0000-0000CD640000}"/>
    <cellStyle name="Normal 5 2 6 2 5 3" xfId="25142" xr:uid="{00000000-0005-0000-0000-0000CE640000}"/>
    <cellStyle name="Normal 5 2 6 2 5 3 2" xfId="50695" xr:uid="{00000000-0005-0000-0000-0000CF640000}"/>
    <cellStyle name="Normal 5 2 6 2 5 4" xfId="31625" xr:uid="{00000000-0005-0000-0000-0000D0640000}"/>
    <cellStyle name="Normal 5 2 6 2 6" xfId="7509" xr:uid="{00000000-0005-0000-0000-0000D1640000}"/>
    <cellStyle name="Normal 5 2 6 2 6 2" xfId="20057" xr:uid="{00000000-0005-0000-0000-0000D2640000}"/>
    <cellStyle name="Normal 5 2 6 2 6 2 2" xfId="45610" xr:uid="{00000000-0005-0000-0000-0000D3640000}"/>
    <cellStyle name="Normal 5 2 6 2 6 3" xfId="33066" xr:uid="{00000000-0005-0000-0000-0000D4640000}"/>
    <cellStyle name="Normal 5 2 6 2 7" xfId="16568" xr:uid="{00000000-0005-0000-0000-0000D5640000}"/>
    <cellStyle name="Normal 5 2 6 2 7 2" xfId="42121" xr:uid="{00000000-0005-0000-0000-0000D6640000}"/>
    <cellStyle name="Normal 5 2 6 2 8" xfId="26540" xr:uid="{00000000-0005-0000-0000-0000D7640000}"/>
    <cellStyle name="Normal 5 2 6 3" xfId="794" xr:uid="{00000000-0005-0000-0000-0000D8640000}"/>
    <cellStyle name="Normal 5 2 6 3 2" xfId="3279" xr:uid="{00000000-0005-0000-0000-0000D9640000}"/>
    <cellStyle name="Normal 5 2 6 3 2 2" xfId="12421" xr:uid="{00000000-0005-0000-0000-0000DA640000}"/>
    <cellStyle name="Normal 5 2 6 3 2 2 2" xfId="22640" xr:uid="{00000000-0005-0000-0000-0000DB640000}"/>
    <cellStyle name="Normal 5 2 6 3 2 2 2 2" xfId="48193" xr:uid="{00000000-0005-0000-0000-0000DC640000}"/>
    <cellStyle name="Normal 5 2 6 3 2 2 3" xfId="37976" xr:uid="{00000000-0005-0000-0000-0000DD640000}"/>
    <cellStyle name="Normal 5 2 6 3 2 3" xfId="8843" xr:uid="{00000000-0005-0000-0000-0000DE640000}"/>
    <cellStyle name="Normal 5 2 6 3 2 3 2" xfId="34400" xr:uid="{00000000-0005-0000-0000-0000DF640000}"/>
    <cellStyle name="Normal 5 2 6 3 2 4" xfId="17633" xr:uid="{00000000-0005-0000-0000-0000E0640000}"/>
    <cellStyle name="Normal 5 2 6 3 2 4 2" xfId="43186" xr:uid="{00000000-0005-0000-0000-0000E1640000}"/>
    <cellStyle name="Normal 5 2 6 3 2 5" xfId="29123" xr:uid="{00000000-0005-0000-0000-0000E2640000}"/>
    <cellStyle name="Normal 5 2 6 3 3" xfId="4957" xr:uid="{00000000-0005-0000-0000-0000E3640000}"/>
    <cellStyle name="Normal 5 2 6 3 3 2" xfId="13794" xr:uid="{00000000-0005-0000-0000-0000E4640000}"/>
    <cellStyle name="Normal 5 2 6 3 3 2 2" xfId="24045" xr:uid="{00000000-0005-0000-0000-0000E5640000}"/>
    <cellStyle name="Normal 5 2 6 3 3 2 2 2" xfId="49598" xr:uid="{00000000-0005-0000-0000-0000E6640000}"/>
    <cellStyle name="Normal 5 2 6 3 3 2 3" xfId="39349" xr:uid="{00000000-0005-0000-0000-0000E7640000}"/>
    <cellStyle name="Normal 5 2 6 3 3 3" xfId="10215" xr:uid="{00000000-0005-0000-0000-0000E8640000}"/>
    <cellStyle name="Normal 5 2 6 3 3 3 2" xfId="35772" xr:uid="{00000000-0005-0000-0000-0000E9640000}"/>
    <cellStyle name="Normal 5 2 6 3 3 4" xfId="19038" xr:uid="{00000000-0005-0000-0000-0000EA640000}"/>
    <cellStyle name="Normal 5 2 6 3 3 4 2" xfId="44591" xr:uid="{00000000-0005-0000-0000-0000EB640000}"/>
    <cellStyle name="Normal 5 2 6 3 3 5" xfId="30528" xr:uid="{00000000-0005-0000-0000-0000EC640000}"/>
    <cellStyle name="Normal 5 2 6 3 4" xfId="2388" xr:uid="{00000000-0005-0000-0000-0000ED640000}"/>
    <cellStyle name="Normal 5 2 6 3 4 2" xfId="11753" xr:uid="{00000000-0005-0000-0000-0000EE640000}"/>
    <cellStyle name="Normal 5 2 6 3 4 2 2" xfId="37308" xr:uid="{00000000-0005-0000-0000-0000EF640000}"/>
    <cellStyle name="Normal 5 2 6 3 4 3" xfId="21757" xr:uid="{00000000-0005-0000-0000-0000F0640000}"/>
    <cellStyle name="Normal 5 2 6 3 4 3 2" xfId="47310" xr:uid="{00000000-0005-0000-0000-0000F1640000}"/>
    <cellStyle name="Normal 5 2 6 3 4 4" xfId="28240" xr:uid="{00000000-0005-0000-0000-0000F2640000}"/>
    <cellStyle name="Normal 5 2 6 3 5" xfId="6412" xr:uid="{00000000-0005-0000-0000-0000F3640000}"/>
    <cellStyle name="Normal 5 2 6 3 5 2" xfId="15239" xr:uid="{00000000-0005-0000-0000-0000F4640000}"/>
    <cellStyle name="Normal 5 2 6 3 5 2 2" xfId="40794" xr:uid="{00000000-0005-0000-0000-0000F5640000}"/>
    <cellStyle name="Normal 5 2 6 3 5 3" xfId="25490" xr:uid="{00000000-0005-0000-0000-0000F6640000}"/>
    <cellStyle name="Normal 5 2 6 3 5 3 2" xfId="51043" xr:uid="{00000000-0005-0000-0000-0000F7640000}"/>
    <cellStyle name="Normal 5 2 6 3 5 4" xfId="31973" xr:uid="{00000000-0005-0000-0000-0000F8640000}"/>
    <cellStyle name="Normal 5 2 6 3 6" xfId="7858" xr:uid="{00000000-0005-0000-0000-0000F9640000}"/>
    <cellStyle name="Normal 5 2 6 3 6 2" xfId="20239" xr:uid="{00000000-0005-0000-0000-0000FA640000}"/>
    <cellStyle name="Normal 5 2 6 3 6 2 2" xfId="45792" xr:uid="{00000000-0005-0000-0000-0000FB640000}"/>
    <cellStyle name="Normal 5 2 6 3 6 3" xfId="33415" xr:uid="{00000000-0005-0000-0000-0000FC640000}"/>
    <cellStyle name="Normal 5 2 6 3 7" xfId="16750" xr:uid="{00000000-0005-0000-0000-0000FD640000}"/>
    <cellStyle name="Normal 5 2 6 3 7 2" xfId="42303" xr:uid="{00000000-0005-0000-0000-0000FE640000}"/>
    <cellStyle name="Normal 5 2 6 3 8" xfId="26722" xr:uid="{00000000-0005-0000-0000-0000FF640000}"/>
    <cellStyle name="Normal 5 2 6 4" xfId="1383" xr:uid="{00000000-0005-0000-0000-000000650000}"/>
    <cellStyle name="Normal 5 2 6 4 2" xfId="3812" xr:uid="{00000000-0005-0000-0000-000001650000}"/>
    <cellStyle name="Normal 5 2 6 4 2 2" xfId="12948" xr:uid="{00000000-0005-0000-0000-000002650000}"/>
    <cellStyle name="Normal 5 2 6 4 2 2 2" xfId="23167" xr:uid="{00000000-0005-0000-0000-000003650000}"/>
    <cellStyle name="Normal 5 2 6 4 2 2 2 2" xfId="48720" xr:uid="{00000000-0005-0000-0000-000004650000}"/>
    <cellStyle name="Normal 5 2 6 4 2 2 3" xfId="38503" xr:uid="{00000000-0005-0000-0000-000005650000}"/>
    <cellStyle name="Normal 5 2 6 4 2 3" xfId="9369" xr:uid="{00000000-0005-0000-0000-000006650000}"/>
    <cellStyle name="Normal 5 2 6 4 2 3 2" xfId="34926" xr:uid="{00000000-0005-0000-0000-000007650000}"/>
    <cellStyle name="Normal 5 2 6 4 2 4" xfId="18160" xr:uid="{00000000-0005-0000-0000-000008650000}"/>
    <cellStyle name="Normal 5 2 6 4 2 4 2" xfId="43713" xr:uid="{00000000-0005-0000-0000-000009650000}"/>
    <cellStyle name="Normal 5 2 6 4 2 5" xfId="29650" xr:uid="{00000000-0005-0000-0000-00000A650000}"/>
    <cellStyle name="Normal 5 2 6 4 3" xfId="5475" xr:uid="{00000000-0005-0000-0000-00000B650000}"/>
    <cellStyle name="Normal 5 2 6 4 3 2" xfId="14312" xr:uid="{00000000-0005-0000-0000-00000C650000}"/>
    <cellStyle name="Normal 5 2 6 4 3 2 2" xfId="24563" xr:uid="{00000000-0005-0000-0000-00000D650000}"/>
    <cellStyle name="Normal 5 2 6 4 3 2 2 2" xfId="50116" xr:uid="{00000000-0005-0000-0000-00000E650000}"/>
    <cellStyle name="Normal 5 2 6 4 3 2 3" xfId="39867" xr:uid="{00000000-0005-0000-0000-00000F650000}"/>
    <cellStyle name="Normal 5 2 6 4 3 3" xfId="10733" xr:uid="{00000000-0005-0000-0000-000010650000}"/>
    <cellStyle name="Normal 5 2 6 4 3 3 2" xfId="36290" xr:uid="{00000000-0005-0000-0000-000011650000}"/>
    <cellStyle name="Normal 5 2 6 4 3 4" xfId="19556" xr:uid="{00000000-0005-0000-0000-000012650000}"/>
    <cellStyle name="Normal 5 2 6 4 3 4 2" xfId="45109" xr:uid="{00000000-0005-0000-0000-000013650000}"/>
    <cellStyle name="Normal 5 2 6 4 3 5" xfId="31046" xr:uid="{00000000-0005-0000-0000-000014650000}"/>
    <cellStyle name="Normal 5 2 6 4 4" xfId="1887" xr:uid="{00000000-0005-0000-0000-000015650000}"/>
    <cellStyle name="Normal 5 2 6 4 4 2" xfId="11254" xr:uid="{00000000-0005-0000-0000-000016650000}"/>
    <cellStyle name="Normal 5 2 6 4 4 2 2" xfId="36809" xr:uid="{00000000-0005-0000-0000-000017650000}"/>
    <cellStyle name="Normal 5 2 6 4 4 3" xfId="21258" xr:uid="{00000000-0005-0000-0000-000018650000}"/>
    <cellStyle name="Normal 5 2 6 4 4 3 2" xfId="46811" xr:uid="{00000000-0005-0000-0000-000019650000}"/>
    <cellStyle name="Normal 5 2 6 4 4 4" xfId="27741" xr:uid="{00000000-0005-0000-0000-00001A650000}"/>
    <cellStyle name="Normal 5 2 6 4 5" xfId="6930" xr:uid="{00000000-0005-0000-0000-00001B650000}"/>
    <cellStyle name="Normal 5 2 6 4 5 2" xfId="15757" xr:uid="{00000000-0005-0000-0000-00001C650000}"/>
    <cellStyle name="Normal 5 2 6 4 5 2 2" xfId="41312" xr:uid="{00000000-0005-0000-0000-00001D650000}"/>
    <cellStyle name="Normal 5 2 6 4 5 3" xfId="26008" xr:uid="{00000000-0005-0000-0000-00001E650000}"/>
    <cellStyle name="Normal 5 2 6 4 5 3 2" xfId="51561" xr:uid="{00000000-0005-0000-0000-00001F650000}"/>
    <cellStyle name="Normal 5 2 6 4 5 4" xfId="32491" xr:uid="{00000000-0005-0000-0000-000020650000}"/>
    <cellStyle name="Normal 5 2 6 4 6" xfId="8376" xr:uid="{00000000-0005-0000-0000-000021650000}"/>
    <cellStyle name="Normal 5 2 6 4 6 2" xfId="20766" xr:uid="{00000000-0005-0000-0000-000022650000}"/>
    <cellStyle name="Normal 5 2 6 4 6 2 2" xfId="46319" xr:uid="{00000000-0005-0000-0000-000023650000}"/>
    <cellStyle name="Normal 5 2 6 4 6 3" xfId="33933" xr:uid="{00000000-0005-0000-0000-000024650000}"/>
    <cellStyle name="Normal 5 2 6 4 7" xfId="16251" xr:uid="{00000000-0005-0000-0000-000025650000}"/>
    <cellStyle name="Normal 5 2 6 4 7 2" xfId="41804" xr:uid="{00000000-0005-0000-0000-000026650000}"/>
    <cellStyle name="Normal 5 2 6 4 8" xfId="27249" xr:uid="{00000000-0005-0000-0000-000027650000}"/>
    <cellStyle name="Normal 5 2 6 5" xfId="2780" xr:uid="{00000000-0005-0000-0000-000028650000}"/>
    <cellStyle name="Normal 5 2 6 5 2" xfId="12097" xr:uid="{00000000-0005-0000-0000-000029650000}"/>
    <cellStyle name="Normal 5 2 6 5 2 2" xfId="22141" xr:uid="{00000000-0005-0000-0000-00002A650000}"/>
    <cellStyle name="Normal 5 2 6 5 2 2 2" xfId="47694" xr:uid="{00000000-0005-0000-0000-00002B650000}"/>
    <cellStyle name="Normal 5 2 6 5 2 3" xfId="37652" xr:uid="{00000000-0005-0000-0000-00002C650000}"/>
    <cellStyle name="Normal 5 2 6 5 3" xfId="8385" xr:uid="{00000000-0005-0000-0000-00002D650000}"/>
    <cellStyle name="Normal 5 2 6 5 3 2" xfId="33942" xr:uid="{00000000-0005-0000-0000-00002E650000}"/>
    <cellStyle name="Normal 5 2 6 5 4" xfId="17134" xr:uid="{00000000-0005-0000-0000-00002F650000}"/>
    <cellStyle name="Normal 5 2 6 5 4 2" xfId="42687" xr:uid="{00000000-0005-0000-0000-000030650000}"/>
    <cellStyle name="Normal 5 2 6 5 5" xfId="28624" xr:uid="{00000000-0005-0000-0000-000031650000}"/>
    <cellStyle name="Normal 5 2 6 6" xfId="4431" xr:uid="{00000000-0005-0000-0000-000032650000}"/>
    <cellStyle name="Normal 5 2 6 6 2" xfId="13269" xr:uid="{00000000-0005-0000-0000-000033650000}"/>
    <cellStyle name="Normal 5 2 6 6 2 2" xfId="23520" xr:uid="{00000000-0005-0000-0000-000034650000}"/>
    <cellStyle name="Normal 5 2 6 6 2 2 2" xfId="49073" xr:uid="{00000000-0005-0000-0000-000035650000}"/>
    <cellStyle name="Normal 5 2 6 6 2 3" xfId="38824" xr:uid="{00000000-0005-0000-0000-000036650000}"/>
    <cellStyle name="Normal 5 2 6 6 3" xfId="9690" xr:uid="{00000000-0005-0000-0000-000037650000}"/>
    <cellStyle name="Normal 5 2 6 6 3 2" xfId="35247" xr:uid="{00000000-0005-0000-0000-000038650000}"/>
    <cellStyle name="Normal 5 2 6 6 4" xfId="18513" xr:uid="{00000000-0005-0000-0000-000039650000}"/>
    <cellStyle name="Normal 5 2 6 6 4 2" xfId="44066" xr:uid="{00000000-0005-0000-0000-00003A650000}"/>
    <cellStyle name="Normal 5 2 6 6 5" xfId="30003" xr:uid="{00000000-0005-0000-0000-00003B650000}"/>
    <cellStyle name="Normal 5 2 6 7" xfId="1703" xr:uid="{00000000-0005-0000-0000-00003C650000}"/>
    <cellStyle name="Normal 5 2 6 7 2" xfId="11080" xr:uid="{00000000-0005-0000-0000-00003D650000}"/>
    <cellStyle name="Normal 5 2 6 7 2 2" xfId="36635" xr:uid="{00000000-0005-0000-0000-00003E650000}"/>
    <cellStyle name="Normal 5 2 6 7 3" xfId="21084" xr:uid="{00000000-0005-0000-0000-00003F650000}"/>
    <cellStyle name="Normal 5 2 6 7 3 2" xfId="46637" xr:uid="{00000000-0005-0000-0000-000040650000}"/>
    <cellStyle name="Normal 5 2 6 7 4" xfId="27567" xr:uid="{00000000-0005-0000-0000-000041650000}"/>
    <cellStyle name="Normal 5 2 6 8" xfId="5887" xr:uid="{00000000-0005-0000-0000-000042650000}"/>
    <cellStyle name="Normal 5 2 6 8 2" xfId="14714" xr:uid="{00000000-0005-0000-0000-000043650000}"/>
    <cellStyle name="Normal 5 2 6 8 2 2" xfId="40269" xr:uid="{00000000-0005-0000-0000-000044650000}"/>
    <cellStyle name="Normal 5 2 6 8 3" xfId="24965" xr:uid="{00000000-0005-0000-0000-000045650000}"/>
    <cellStyle name="Normal 5 2 6 8 3 2" xfId="50518" xr:uid="{00000000-0005-0000-0000-000046650000}"/>
    <cellStyle name="Normal 5 2 6 8 4" xfId="31448" xr:uid="{00000000-0005-0000-0000-000047650000}"/>
    <cellStyle name="Normal 5 2 6 9" xfId="7331" xr:uid="{00000000-0005-0000-0000-000048650000}"/>
    <cellStyle name="Normal 5 2 6 9 2" xfId="19740" xr:uid="{00000000-0005-0000-0000-000049650000}"/>
    <cellStyle name="Normal 5 2 6 9 2 2" xfId="45293" xr:uid="{00000000-0005-0000-0000-00004A650000}"/>
    <cellStyle name="Normal 5 2 6 9 3" xfId="32888" xr:uid="{00000000-0005-0000-0000-00004B650000}"/>
    <cellStyle name="Normal 5 2 6_Degree data" xfId="3915" xr:uid="{00000000-0005-0000-0000-00004C650000}"/>
    <cellStyle name="Normal 5 2 7" xfId="451" xr:uid="{00000000-0005-0000-0000-00004D650000}"/>
    <cellStyle name="Normal 5 2 7 10" xfId="26380" xr:uid="{00000000-0005-0000-0000-00004E650000}"/>
    <cellStyle name="Normal 5 2 7 2" xfId="795" xr:uid="{00000000-0005-0000-0000-00004F650000}"/>
    <cellStyle name="Normal 5 2 7 2 2" xfId="3280" xr:uid="{00000000-0005-0000-0000-000050650000}"/>
    <cellStyle name="Normal 5 2 7 2 2 2" xfId="12422" xr:uid="{00000000-0005-0000-0000-000051650000}"/>
    <cellStyle name="Normal 5 2 7 2 2 2 2" xfId="22641" xr:uid="{00000000-0005-0000-0000-000052650000}"/>
    <cellStyle name="Normal 5 2 7 2 2 2 2 2" xfId="48194" xr:uid="{00000000-0005-0000-0000-000053650000}"/>
    <cellStyle name="Normal 5 2 7 2 2 2 3" xfId="37977" xr:uid="{00000000-0005-0000-0000-000054650000}"/>
    <cellStyle name="Normal 5 2 7 2 2 3" xfId="8844" xr:uid="{00000000-0005-0000-0000-000055650000}"/>
    <cellStyle name="Normal 5 2 7 2 2 3 2" xfId="34401" xr:uid="{00000000-0005-0000-0000-000056650000}"/>
    <cellStyle name="Normal 5 2 7 2 2 4" xfId="17634" xr:uid="{00000000-0005-0000-0000-000057650000}"/>
    <cellStyle name="Normal 5 2 7 2 2 4 2" xfId="43187" xr:uid="{00000000-0005-0000-0000-000058650000}"/>
    <cellStyle name="Normal 5 2 7 2 2 5" xfId="29124" xr:uid="{00000000-0005-0000-0000-000059650000}"/>
    <cellStyle name="Normal 5 2 7 2 3" xfId="4609" xr:uid="{00000000-0005-0000-0000-00005A650000}"/>
    <cellStyle name="Normal 5 2 7 2 3 2" xfId="13447" xr:uid="{00000000-0005-0000-0000-00005B650000}"/>
    <cellStyle name="Normal 5 2 7 2 3 2 2" xfId="23698" xr:uid="{00000000-0005-0000-0000-00005C650000}"/>
    <cellStyle name="Normal 5 2 7 2 3 2 2 2" xfId="49251" xr:uid="{00000000-0005-0000-0000-00005D650000}"/>
    <cellStyle name="Normal 5 2 7 2 3 2 3" xfId="39002" xr:uid="{00000000-0005-0000-0000-00005E650000}"/>
    <cellStyle name="Normal 5 2 7 2 3 3" xfId="9868" xr:uid="{00000000-0005-0000-0000-00005F650000}"/>
    <cellStyle name="Normal 5 2 7 2 3 3 2" xfId="35425" xr:uid="{00000000-0005-0000-0000-000060650000}"/>
    <cellStyle name="Normal 5 2 7 2 3 4" xfId="18691" xr:uid="{00000000-0005-0000-0000-000061650000}"/>
    <cellStyle name="Normal 5 2 7 2 3 4 2" xfId="44244" xr:uid="{00000000-0005-0000-0000-000062650000}"/>
    <cellStyle name="Normal 5 2 7 2 3 5" xfId="30181" xr:uid="{00000000-0005-0000-0000-000063650000}"/>
    <cellStyle name="Normal 5 2 7 2 4" xfId="2389" xr:uid="{00000000-0005-0000-0000-000064650000}"/>
    <cellStyle name="Normal 5 2 7 2 4 2" xfId="11754" xr:uid="{00000000-0005-0000-0000-000065650000}"/>
    <cellStyle name="Normal 5 2 7 2 4 2 2" xfId="37309" xr:uid="{00000000-0005-0000-0000-000066650000}"/>
    <cellStyle name="Normal 5 2 7 2 4 3" xfId="21758" xr:uid="{00000000-0005-0000-0000-000067650000}"/>
    <cellStyle name="Normal 5 2 7 2 4 3 2" xfId="47311" xr:uid="{00000000-0005-0000-0000-000068650000}"/>
    <cellStyle name="Normal 5 2 7 2 4 4" xfId="28241" xr:uid="{00000000-0005-0000-0000-000069650000}"/>
    <cellStyle name="Normal 5 2 7 2 5" xfId="6065" xr:uid="{00000000-0005-0000-0000-00006A650000}"/>
    <cellStyle name="Normal 5 2 7 2 5 2" xfId="14892" xr:uid="{00000000-0005-0000-0000-00006B650000}"/>
    <cellStyle name="Normal 5 2 7 2 5 2 2" xfId="40447" xr:uid="{00000000-0005-0000-0000-00006C650000}"/>
    <cellStyle name="Normal 5 2 7 2 5 3" xfId="25143" xr:uid="{00000000-0005-0000-0000-00006D650000}"/>
    <cellStyle name="Normal 5 2 7 2 5 3 2" xfId="50696" xr:uid="{00000000-0005-0000-0000-00006E650000}"/>
    <cellStyle name="Normal 5 2 7 2 5 4" xfId="31626" xr:uid="{00000000-0005-0000-0000-00006F650000}"/>
    <cellStyle name="Normal 5 2 7 2 6" xfId="7510" xr:uid="{00000000-0005-0000-0000-000070650000}"/>
    <cellStyle name="Normal 5 2 7 2 6 2" xfId="20240" xr:uid="{00000000-0005-0000-0000-000071650000}"/>
    <cellStyle name="Normal 5 2 7 2 6 2 2" xfId="45793" xr:uid="{00000000-0005-0000-0000-000072650000}"/>
    <cellStyle name="Normal 5 2 7 2 6 3" xfId="33067" xr:uid="{00000000-0005-0000-0000-000073650000}"/>
    <cellStyle name="Normal 5 2 7 2 7" xfId="16751" xr:uid="{00000000-0005-0000-0000-000074650000}"/>
    <cellStyle name="Normal 5 2 7 2 7 2" xfId="42304" xr:uid="{00000000-0005-0000-0000-000075650000}"/>
    <cellStyle name="Normal 5 2 7 2 8" xfId="26723" xr:uid="{00000000-0005-0000-0000-000076650000}"/>
    <cellStyle name="Normal 5 2 7 3" xfId="1223" xr:uid="{00000000-0005-0000-0000-000077650000}"/>
    <cellStyle name="Normal 5 2 7 3 2" xfId="3652" xr:uid="{00000000-0005-0000-0000-000078650000}"/>
    <cellStyle name="Normal 5 2 7 3 2 2" xfId="12788" xr:uid="{00000000-0005-0000-0000-000079650000}"/>
    <cellStyle name="Normal 5 2 7 3 2 2 2" xfId="23007" xr:uid="{00000000-0005-0000-0000-00007A650000}"/>
    <cellStyle name="Normal 5 2 7 3 2 2 2 2" xfId="48560" xr:uid="{00000000-0005-0000-0000-00007B650000}"/>
    <cellStyle name="Normal 5 2 7 3 2 2 3" xfId="38343" xr:uid="{00000000-0005-0000-0000-00007C650000}"/>
    <cellStyle name="Normal 5 2 7 3 2 3" xfId="9209" xr:uid="{00000000-0005-0000-0000-00007D650000}"/>
    <cellStyle name="Normal 5 2 7 3 2 3 2" xfId="34766" xr:uid="{00000000-0005-0000-0000-00007E650000}"/>
    <cellStyle name="Normal 5 2 7 3 2 4" xfId="18000" xr:uid="{00000000-0005-0000-0000-00007F650000}"/>
    <cellStyle name="Normal 5 2 7 3 2 4 2" xfId="43553" xr:uid="{00000000-0005-0000-0000-000080650000}"/>
    <cellStyle name="Normal 5 2 7 3 2 5" xfId="29490" xr:uid="{00000000-0005-0000-0000-000081650000}"/>
    <cellStyle name="Normal 5 2 7 3 3" xfId="4958" xr:uid="{00000000-0005-0000-0000-000082650000}"/>
    <cellStyle name="Normal 5 2 7 3 3 2" xfId="13795" xr:uid="{00000000-0005-0000-0000-000083650000}"/>
    <cellStyle name="Normal 5 2 7 3 3 2 2" xfId="24046" xr:uid="{00000000-0005-0000-0000-000084650000}"/>
    <cellStyle name="Normal 5 2 7 3 3 2 2 2" xfId="49599" xr:uid="{00000000-0005-0000-0000-000085650000}"/>
    <cellStyle name="Normal 5 2 7 3 3 2 3" xfId="39350" xr:uid="{00000000-0005-0000-0000-000086650000}"/>
    <cellStyle name="Normal 5 2 7 3 3 3" xfId="10216" xr:uid="{00000000-0005-0000-0000-000087650000}"/>
    <cellStyle name="Normal 5 2 7 3 3 3 2" xfId="35773" xr:uid="{00000000-0005-0000-0000-000088650000}"/>
    <cellStyle name="Normal 5 2 7 3 3 4" xfId="19039" xr:uid="{00000000-0005-0000-0000-000089650000}"/>
    <cellStyle name="Normal 5 2 7 3 3 4 2" xfId="44592" xr:uid="{00000000-0005-0000-0000-00008A650000}"/>
    <cellStyle name="Normal 5 2 7 3 3 5" xfId="30529" xr:uid="{00000000-0005-0000-0000-00008B650000}"/>
    <cellStyle name="Normal 5 2 7 3 4" xfId="2046" xr:uid="{00000000-0005-0000-0000-00008C650000}"/>
    <cellStyle name="Normal 5 2 7 3 4 2" xfId="11411" xr:uid="{00000000-0005-0000-0000-00008D650000}"/>
    <cellStyle name="Normal 5 2 7 3 4 2 2" xfId="36966" xr:uid="{00000000-0005-0000-0000-00008E650000}"/>
    <cellStyle name="Normal 5 2 7 3 4 3" xfId="21415" xr:uid="{00000000-0005-0000-0000-00008F650000}"/>
    <cellStyle name="Normal 5 2 7 3 4 3 2" xfId="46968" xr:uid="{00000000-0005-0000-0000-000090650000}"/>
    <cellStyle name="Normal 5 2 7 3 4 4" xfId="27898" xr:uid="{00000000-0005-0000-0000-000091650000}"/>
    <cellStyle name="Normal 5 2 7 3 5" xfId="6413" xr:uid="{00000000-0005-0000-0000-000092650000}"/>
    <cellStyle name="Normal 5 2 7 3 5 2" xfId="15240" xr:uid="{00000000-0005-0000-0000-000093650000}"/>
    <cellStyle name="Normal 5 2 7 3 5 2 2" xfId="40795" xr:uid="{00000000-0005-0000-0000-000094650000}"/>
    <cellStyle name="Normal 5 2 7 3 5 3" xfId="25491" xr:uid="{00000000-0005-0000-0000-000095650000}"/>
    <cellStyle name="Normal 5 2 7 3 5 3 2" xfId="51044" xr:uid="{00000000-0005-0000-0000-000096650000}"/>
    <cellStyle name="Normal 5 2 7 3 5 4" xfId="31974" xr:uid="{00000000-0005-0000-0000-000097650000}"/>
    <cellStyle name="Normal 5 2 7 3 6" xfId="7859" xr:uid="{00000000-0005-0000-0000-000098650000}"/>
    <cellStyle name="Normal 5 2 7 3 6 2" xfId="20606" xr:uid="{00000000-0005-0000-0000-000099650000}"/>
    <cellStyle name="Normal 5 2 7 3 6 2 2" xfId="46159" xr:uid="{00000000-0005-0000-0000-00009A650000}"/>
    <cellStyle name="Normal 5 2 7 3 6 3" xfId="33416" xr:uid="{00000000-0005-0000-0000-00009B650000}"/>
    <cellStyle name="Normal 5 2 7 3 7" xfId="16408" xr:uid="{00000000-0005-0000-0000-00009C650000}"/>
    <cellStyle name="Normal 5 2 7 3 7 2" xfId="41961" xr:uid="{00000000-0005-0000-0000-00009D650000}"/>
    <cellStyle name="Normal 5 2 7 3 8" xfId="27089" xr:uid="{00000000-0005-0000-0000-00009E650000}"/>
    <cellStyle name="Normal 5 2 7 4" xfId="2937" xr:uid="{00000000-0005-0000-0000-00009F650000}"/>
    <cellStyle name="Normal 5 2 7 4 2" xfId="5315" xr:uid="{00000000-0005-0000-0000-0000A0650000}"/>
    <cellStyle name="Normal 5 2 7 4 2 2" xfId="14152" xr:uid="{00000000-0005-0000-0000-0000A1650000}"/>
    <cellStyle name="Normal 5 2 7 4 2 2 2" xfId="24403" xr:uid="{00000000-0005-0000-0000-0000A2650000}"/>
    <cellStyle name="Normal 5 2 7 4 2 2 2 2" xfId="49956" xr:uid="{00000000-0005-0000-0000-0000A3650000}"/>
    <cellStyle name="Normal 5 2 7 4 2 2 3" xfId="39707" xr:uid="{00000000-0005-0000-0000-0000A4650000}"/>
    <cellStyle name="Normal 5 2 7 4 2 3" xfId="10573" xr:uid="{00000000-0005-0000-0000-0000A5650000}"/>
    <cellStyle name="Normal 5 2 7 4 2 3 2" xfId="36130" xr:uid="{00000000-0005-0000-0000-0000A6650000}"/>
    <cellStyle name="Normal 5 2 7 4 2 4" xfId="19396" xr:uid="{00000000-0005-0000-0000-0000A7650000}"/>
    <cellStyle name="Normal 5 2 7 4 2 4 2" xfId="44949" xr:uid="{00000000-0005-0000-0000-0000A8650000}"/>
    <cellStyle name="Normal 5 2 7 4 2 5" xfId="30886" xr:uid="{00000000-0005-0000-0000-0000A9650000}"/>
    <cellStyle name="Normal 5 2 7 4 3" xfId="6770" xr:uid="{00000000-0005-0000-0000-0000AA650000}"/>
    <cellStyle name="Normal 5 2 7 4 3 2" xfId="15597" xr:uid="{00000000-0005-0000-0000-0000AB650000}"/>
    <cellStyle name="Normal 5 2 7 4 3 2 2" xfId="41152" xr:uid="{00000000-0005-0000-0000-0000AC650000}"/>
    <cellStyle name="Normal 5 2 7 4 3 3" xfId="25848" xr:uid="{00000000-0005-0000-0000-0000AD650000}"/>
    <cellStyle name="Normal 5 2 7 4 3 3 2" xfId="51401" xr:uid="{00000000-0005-0000-0000-0000AE650000}"/>
    <cellStyle name="Normal 5 2 7 4 3 4" xfId="32331" xr:uid="{00000000-0005-0000-0000-0000AF650000}"/>
    <cellStyle name="Normal 5 2 7 4 4" xfId="8216" xr:uid="{00000000-0005-0000-0000-0000B0650000}"/>
    <cellStyle name="Normal 5 2 7 4 4 2" xfId="22298" xr:uid="{00000000-0005-0000-0000-0000B1650000}"/>
    <cellStyle name="Normal 5 2 7 4 4 2 2" xfId="47851" xr:uid="{00000000-0005-0000-0000-0000B2650000}"/>
    <cellStyle name="Normal 5 2 7 4 4 3" xfId="33773" xr:uid="{00000000-0005-0000-0000-0000B3650000}"/>
    <cellStyle name="Normal 5 2 7 4 5" xfId="17291" xr:uid="{00000000-0005-0000-0000-0000B4650000}"/>
    <cellStyle name="Normal 5 2 7 4 5 2" xfId="42844" xr:uid="{00000000-0005-0000-0000-0000B5650000}"/>
    <cellStyle name="Normal 5 2 7 4 6" xfId="28781" xr:uid="{00000000-0005-0000-0000-0000B6650000}"/>
    <cellStyle name="Normal 5 2 7 5" xfId="4271" xr:uid="{00000000-0005-0000-0000-0000B7650000}"/>
    <cellStyle name="Normal 5 2 7 5 2" xfId="13109" xr:uid="{00000000-0005-0000-0000-0000B8650000}"/>
    <cellStyle name="Normal 5 2 7 5 2 2" xfId="23360" xr:uid="{00000000-0005-0000-0000-0000B9650000}"/>
    <cellStyle name="Normal 5 2 7 5 2 2 2" xfId="48913" xr:uid="{00000000-0005-0000-0000-0000BA650000}"/>
    <cellStyle name="Normal 5 2 7 5 2 3" xfId="38664" xr:uid="{00000000-0005-0000-0000-0000BB650000}"/>
    <cellStyle name="Normal 5 2 7 5 3" xfId="9530" xr:uid="{00000000-0005-0000-0000-0000BC650000}"/>
    <cellStyle name="Normal 5 2 7 5 3 2" xfId="35087" xr:uid="{00000000-0005-0000-0000-0000BD650000}"/>
    <cellStyle name="Normal 5 2 7 5 4" xfId="18353" xr:uid="{00000000-0005-0000-0000-0000BE650000}"/>
    <cellStyle name="Normal 5 2 7 5 4 2" xfId="43906" xr:uid="{00000000-0005-0000-0000-0000BF650000}"/>
    <cellStyle name="Normal 5 2 7 5 5" xfId="29843" xr:uid="{00000000-0005-0000-0000-0000C0650000}"/>
    <cellStyle name="Normal 5 2 7 6" xfId="1543" xr:uid="{00000000-0005-0000-0000-0000C1650000}"/>
    <cellStyle name="Normal 5 2 7 6 2" xfId="10920" xr:uid="{00000000-0005-0000-0000-0000C2650000}"/>
    <cellStyle name="Normal 5 2 7 6 2 2" xfId="36475" xr:uid="{00000000-0005-0000-0000-0000C3650000}"/>
    <cellStyle name="Normal 5 2 7 6 3" xfId="20924" xr:uid="{00000000-0005-0000-0000-0000C4650000}"/>
    <cellStyle name="Normal 5 2 7 6 3 2" xfId="46477" xr:uid="{00000000-0005-0000-0000-0000C5650000}"/>
    <cellStyle name="Normal 5 2 7 6 4" xfId="27407" xr:uid="{00000000-0005-0000-0000-0000C6650000}"/>
    <cellStyle name="Normal 5 2 7 7" xfId="5727" xr:uid="{00000000-0005-0000-0000-0000C7650000}"/>
    <cellStyle name="Normal 5 2 7 7 2" xfId="14554" xr:uid="{00000000-0005-0000-0000-0000C8650000}"/>
    <cellStyle name="Normal 5 2 7 7 2 2" xfId="40109" xr:uid="{00000000-0005-0000-0000-0000C9650000}"/>
    <cellStyle name="Normal 5 2 7 7 3" xfId="24805" xr:uid="{00000000-0005-0000-0000-0000CA650000}"/>
    <cellStyle name="Normal 5 2 7 7 3 2" xfId="50358" xr:uid="{00000000-0005-0000-0000-0000CB650000}"/>
    <cellStyle name="Normal 5 2 7 7 4" xfId="31288" xr:uid="{00000000-0005-0000-0000-0000CC650000}"/>
    <cellStyle name="Normal 5 2 7 8" xfId="7171" xr:uid="{00000000-0005-0000-0000-0000CD650000}"/>
    <cellStyle name="Normal 5 2 7 8 2" xfId="19897" xr:uid="{00000000-0005-0000-0000-0000CE650000}"/>
    <cellStyle name="Normal 5 2 7 8 2 2" xfId="45450" xr:uid="{00000000-0005-0000-0000-0000CF650000}"/>
    <cellStyle name="Normal 5 2 7 8 3" xfId="32728" xr:uid="{00000000-0005-0000-0000-0000D0650000}"/>
    <cellStyle name="Normal 5 2 7 9" xfId="15917" xr:uid="{00000000-0005-0000-0000-0000D1650000}"/>
    <cellStyle name="Normal 5 2 7 9 2" xfId="41470" xr:uid="{00000000-0005-0000-0000-0000D2650000}"/>
    <cellStyle name="Normal 5 2 7_Degree data" xfId="3817" xr:uid="{00000000-0005-0000-0000-0000D3650000}"/>
    <cellStyle name="Normal 5 2 8" xfId="1719" xr:uid="{00000000-0005-0000-0000-0000D4650000}"/>
    <cellStyle name="Normal 5 2 8 2" xfId="11093" xr:uid="{00000000-0005-0000-0000-0000D5650000}"/>
    <cellStyle name="Normal 5 2 8 2 2" xfId="21097" xr:uid="{00000000-0005-0000-0000-0000D6650000}"/>
    <cellStyle name="Normal 5 2 8 2 2 2" xfId="46650" xr:uid="{00000000-0005-0000-0000-0000D7650000}"/>
    <cellStyle name="Normal 5 2 8 2 3" xfId="36648" xr:uid="{00000000-0005-0000-0000-0000D8650000}"/>
    <cellStyle name="Normal 5 2 8 3" xfId="8436" xr:uid="{00000000-0005-0000-0000-0000D9650000}"/>
    <cellStyle name="Normal 5 2 8 3 2" xfId="33993" xr:uid="{00000000-0005-0000-0000-0000DA650000}"/>
    <cellStyle name="Normal 5 2 8 4" xfId="16090" xr:uid="{00000000-0005-0000-0000-0000DB650000}"/>
    <cellStyle name="Normal 5 2 8 4 2" xfId="41643" xr:uid="{00000000-0005-0000-0000-0000DC650000}"/>
    <cellStyle name="Normal 5 2 8 5" xfId="27580" xr:uid="{00000000-0005-0000-0000-0000DD650000}"/>
    <cellStyle name="Normal 5 2 9" xfId="2617" xr:uid="{00000000-0005-0000-0000-0000DE650000}"/>
    <cellStyle name="Normal 5 2 9 2" xfId="11966" xr:uid="{00000000-0005-0000-0000-0000DF650000}"/>
    <cellStyle name="Normal 5 2 9 2 2" xfId="21980" xr:uid="{00000000-0005-0000-0000-0000E0650000}"/>
    <cellStyle name="Normal 5 2 9 2 2 2" xfId="47533" xr:uid="{00000000-0005-0000-0000-0000E1650000}"/>
    <cellStyle name="Normal 5 2 9 2 3" xfId="37521" xr:uid="{00000000-0005-0000-0000-0000E2650000}"/>
    <cellStyle name="Normal 5 2 9 3" xfId="8589" xr:uid="{00000000-0005-0000-0000-0000E3650000}"/>
    <cellStyle name="Normal 5 2 9 3 2" xfId="34146" xr:uid="{00000000-0005-0000-0000-0000E4650000}"/>
    <cellStyle name="Normal 5 2 9 4" xfId="16973" xr:uid="{00000000-0005-0000-0000-0000E5650000}"/>
    <cellStyle name="Normal 5 2 9 4 2" xfId="42526" xr:uid="{00000000-0005-0000-0000-0000E6650000}"/>
    <cellStyle name="Normal 5 2 9 5" xfId="28463" xr:uid="{00000000-0005-0000-0000-0000E7650000}"/>
    <cellStyle name="Normal 5 3" xfId="94" xr:uid="{00000000-0005-0000-0000-0000E8650000}"/>
    <cellStyle name="Normal 5 3 10" xfId="4098" xr:uid="{00000000-0005-0000-0000-0000E9650000}"/>
    <cellStyle name="Normal 5 3 10 2" xfId="5556" xr:uid="{00000000-0005-0000-0000-0000EA650000}"/>
    <cellStyle name="Normal 5 3 10 2 2" xfId="14383" xr:uid="{00000000-0005-0000-0000-0000EB650000}"/>
    <cellStyle name="Normal 5 3 10 2 2 2" xfId="39938" xr:uid="{00000000-0005-0000-0000-0000EC650000}"/>
    <cellStyle name="Normal 5 3 10 2 3" xfId="24634" xr:uid="{00000000-0005-0000-0000-0000ED650000}"/>
    <cellStyle name="Normal 5 3 10 2 3 2" xfId="50187" xr:uid="{00000000-0005-0000-0000-0000EE650000}"/>
    <cellStyle name="Normal 5 3 10 2 4" xfId="31117" xr:uid="{00000000-0005-0000-0000-0000EF650000}"/>
    <cellStyle name="Normal 5 3 10 3" xfId="7000" xr:uid="{00000000-0005-0000-0000-0000F0650000}"/>
    <cellStyle name="Normal 5 3 10 3 2" xfId="23187" xr:uid="{00000000-0005-0000-0000-0000F1650000}"/>
    <cellStyle name="Normal 5 3 10 3 2 2" xfId="48740" xr:uid="{00000000-0005-0000-0000-0000F2650000}"/>
    <cellStyle name="Normal 5 3 10 3 3" xfId="32557" xr:uid="{00000000-0005-0000-0000-0000F3650000}"/>
    <cellStyle name="Normal 5 3 10 4" xfId="18180" xr:uid="{00000000-0005-0000-0000-0000F4650000}"/>
    <cellStyle name="Normal 5 3 10 4 2" xfId="43733" xr:uid="{00000000-0005-0000-0000-0000F5650000}"/>
    <cellStyle name="Normal 5 3 10 5" xfId="29670" xr:uid="{00000000-0005-0000-0000-0000F6650000}"/>
    <cellStyle name="Normal 5 3 11" xfId="1392" xr:uid="{00000000-0005-0000-0000-0000F7650000}"/>
    <cellStyle name="Normal 5 3 11 2" xfId="10769" xr:uid="{00000000-0005-0000-0000-0000F8650000}"/>
    <cellStyle name="Normal 5 3 11 2 2" xfId="36324" xr:uid="{00000000-0005-0000-0000-0000F9650000}"/>
    <cellStyle name="Normal 5 3 11 3" xfId="20773" xr:uid="{00000000-0005-0000-0000-0000FA650000}"/>
    <cellStyle name="Normal 5 3 11 3 2" xfId="46326" xr:uid="{00000000-0005-0000-0000-0000FB650000}"/>
    <cellStyle name="Normal 5 3 11 4" xfId="27256" xr:uid="{00000000-0005-0000-0000-0000FC650000}"/>
    <cellStyle name="Normal 5 3 12" xfId="5526" xr:uid="{00000000-0005-0000-0000-0000FD650000}"/>
    <cellStyle name="Normal 5 3 12 2" xfId="14353" xr:uid="{00000000-0005-0000-0000-0000FE650000}"/>
    <cellStyle name="Normal 5 3 12 2 2" xfId="39908" xr:uid="{00000000-0005-0000-0000-0000FF650000}"/>
    <cellStyle name="Normal 5 3 12 3" xfId="24604" xr:uid="{00000000-0005-0000-0000-000000660000}"/>
    <cellStyle name="Normal 5 3 12 3 2" xfId="50157" xr:uid="{00000000-0005-0000-0000-000001660000}"/>
    <cellStyle name="Normal 5 3 12 4" xfId="31087" xr:uid="{00000000-0005-0000-0000-000002660000}"/>
    <cellStyle name="Normal 5 3 13" xfId="6970" xr:uid="{00000000-0005-0000-0000-000003660000}"/>
    <cellStyle name="Normal 5 3 13 2" xfId="19576" xr:uid="{00000000-0005-0000-0000-000004660000}"/>
    <cellStyle name="Normal 5 3 13 2 2" xfId="45129" xr:uid="{00000000-0005-0000-0000-000005660000}"/>
    <cellStyle name="Normal 5 3 13 3" xfId="32527" xr:uid="{00000000-0005-0000-0000-000006660000}"/>
    <cellStyle name="Normal 5 3 14" xfId="15766" xr:uid="{00000000-0005-0000-0000-000007660000}"/>
    <cellStyle name="Normal 5 3 14 2" xfId="41319" xr:uid="{00000000-0005-0000-0000-000008660000}"/>
    <cellStyle name="Normal 5 3 15" xfId="26059" xr:uid="{00000000-0005-0000-0000-000009660000}"/>
    <cellStyle name="Normal 5 3 2" xfId="152" xr:uid="{00000000-0005-0000-0000-00000A660000}"/>
    <cellStyle name="Normal 5 3 2 10" xfId="1417" xr:uid="{00000000-0005-0000-0000-00000B660000}"/>
    <cellStyle name="Normal 5 3 2 10 2" xfId="10794" xr:uid="{00000000-0005-0000-0000-00000C660000}"/>
    <cellStyle name="Normal 5 3 2 10 2 2" xfId="36349" xr:uid="{00000000-0005-0000-0000-00000D660000}"/>
    <cellStyle name="Normal 5 3 2 10 3" xfId="20798" xr:uid="{00000000-0005-0000-0000-00000E660000}"/>
    <cellStyle name="Normal 5 3 2 10 3 2" xfId="46351" xr:uid="{00000000-0005-0000-0000-00000F660000}"/>
    <cellStyle name="Normal 5 3 2 10 4" xfId="27281" xr:uid="{00000000-0005-0000-0000-000010660000}"/>
    <cellStyle name="Normal 5 3 2 11" xfId="5601" xr:uid="{00000000-0005-0000-0000-000011660000}"/>
    <cellStyle name="Normal 5 3 2 11 2" xfId="14428" xr:uid="{00000000-0005-0000-0000-000012660000}"/>
    <cellStyle name="Normal 5 3 2 11 2 2" xfId="39983" xr:uid="{00000000-0005-0000-0000-000013660000}"/>
    <cellStyle name="Normal 5 3 2 11 3" xfId="24679" xr:uid="{00000000-0005-0000-0000-000014660000}"/>
    <cellStyle name="Normal 5 3 2 11 3 2" xfId="50232" xr:uid="{00000000-0005-0000-0000-000015660000}"/>
    <cellStyle name="Normal 5 3 2 11 4" xfId="31162" xr:uid="{00000000-0005-0000-0000-000016660000}"/>
    <cellStyle name="Normal 5 3 2 12" xfId="7045" xr:uid="{00000000-0005-0000-0000-000017660000}"/>
    <cellStyle name="Normal 5 3 2 12 2" xfId="19611" xr:uid="{00000000-0005-0000-0000-000018660000}"/>
    <cellStyle name="Normal 5 3 2 12 2 2" xfId="45164" xr:uid="{00000000-0005-0000-0000-000019660000}"/>
    <cellStyle name="Normal 5 3 2 12 3" xfId="32602" xr:uid="{00000000-0005-0000-0000-00001A660000}"/>
    <cellStyle name="Normal 5 3 2 13" xfId="15791" xr:uid="{00000000-0005-0000-0000-00001B660000}"/>
    <cellStyle name="Normal 5 3 2 13 2" xfId="41344" xr:uid="{00000000-0005-0000-0000-00001C660000}"/>
    <cellStyle name="Normal 5 3 2 14" xfId="26094" xr:uid="{00000000-0005-0000-0000-00001D660000}"/>
    <cellStyle name="Normal 5 3 2 2" xfId="264" xr:uid="{00000000-0005-0000-0000-00001E660000}"/>
    <cellStyle name="Normal 5 3 2 2 10" xfId="7102" xr:uid="{00000000-0005-0000-0000-00001F660000}"/>
    <cellStyle name="Normal 5 3 2 2 10 2" xfId="19715" xr:uid="{00000000-0005-0000-0000-000020660000}"/>
    <cellStyle name="Normal 5 3 2 2 10 2 2" xfId="45268" xr:uid="{00000000-0005-0000-0000-000021660000}"/>
    <cellStyle name="Normal 5 3 2 2 10 3" xfId="32659" xr:uid="{00000000-0005-0000-0000-000022660000}"/>
    <cellStyle name="Normal 5 3 2 2 11" xfId="15848" xr:uid="{00000000-0005-0000-0000-000023660000}"/>
    <cellStyle name="Normal 5 3 2 2 11 2" xfId="41401" xr:uid="{00000000-0005-0000-0000-000024660000}"/>
    <cellStyle name="Normal 5 3 2 2 12" xfId="26198" xr:uid="{00000000-0005-0000-0000-000025660000}"/>
    <cellStyle name="Normal 5 3 2 2 2" xfId="586" xr:uid="{00000000-0005-0000-0000-000026660000}"/>
    <cellStyle name="Normal 5 3 2 2 2 10" xfId="26515" xr:uid="{00000000-0005-0000-0000-000027660000}"/>
    <cellStyle name="Normal 5 3 2 2 2 2" xfId="799" xr:uid="{00000000-0005-0000-0000-000028660000}"/>
    <cellStyle name="Normal 5 3 2 2 2 2 2" xfId="3284" xr:uid="{00000000-0005-0000-0000-000029660000}"/>
    <cellStyle name="Normal 5 3 2 2 2 2 2 2" xfId="12426" xr:uid="{00000000-0005-0000-0000-00002A660000}"/>
    <cellStyle name="Normal 5 3 2 2 2 2 2 2 2" xfId="22645" xr:uid="{00000000-0005-0000-0000-00002B660000}"/>
    <cellStyle name="Normal 5 3 2 2 2 2 2 2 2 2" xfId="48198" xr:uid="{00000000-0005-0000-0000-00002C660000}"/>
    <cellStyle name="Normal 5 3 2 2 2 2 2 2 3" xfId="37981" xr:uid="{00000000-0005-0000-0000-00002D660000}"/>
    <cellStyle name="Normal 5 3 2 2 2 2 2 3" xfId="8848" xr:uid="{00000000-0005-0000-0000-00002E660000}"/>
    <cellStyle name="Normal 5 3 2 2 2 2 2 3 2" xfId="34405" xr:uid="{00000000-0005-0000-0000-00002F660000}"/>
    <cellStyle name="Normal 5 3 2 2 2 2 2 4" xfId="17638" xr:uid="{00000000-0005-0000-0000-000030660000}"/>
    <cellStyle name="Normal 5 3 2 2 2 2 2 4 2" xfId="43191" xr:uid="{00000000-0005-0000-0000-000031660000}"/>
    <cellStyle name="Normal 5 3 2 2 2 2 2 5" xfId="29128" xr:uid="{00000000-0005-0000-0000-000032660000}"/>
    <cellStyle name="Normal 5 3 2 2 2 2 3" xfId="4613" xr:uid="{00000000-0005-0000-0000-000033660000}"/>
    <cellStyle name="Normal 5 3 2 2 2 2 3 2" xfId="13451" xr:uid="{00000000-0005-0000-0000-000034660000}"/>
    <cellStyle name="Normal 5 3 2 2 2 2 3 2 2" xfId="23702" xr:uid="{00000000-0005-0000-0000-000035660000}"/>
    <cellStyle name="Normal 5 3 2 2 2 2 3 2 2 2" xfId="49255" xr:uid="{00000000-0005-0000-0000-000036660000}"/>
    <cellStyle name="Normal 5 3 2 2 2 2 3 2 3" xfId="39006" xr:uid="{00000000-0005-0000-0000-000037660000}"/>
    <cellStyle name="Normal 5 3 2 2 2 2 3 3" xfId="9872" xr:uid="{00000000-0005-0000-0000-000038660000}"/>
    <cellStyle name="Normal 5 3 2 2 2 2 3 3 2" xfId="35429" xr:uid="{00000000-0005-0000-0000-000039660000}"/>
    <cellStyle name="Normal 5 3 2 2 2 2 3 4" xfId="18695" xr:uid="{00000000-0005-0000-0000-00003A660000}"/>
    <cellStyle name="Normal 5 3 2 2 2 2 3 4 2" xfId="44248" xr:uid="{00000000-0005-0000-0000-00003B660000}"/>
    <cellStyle name="Normal 5 3 2 2 2 2 3 5" xfId="30185" xr:uid="{00000000-0005-0000-0000-00003C660000}"/>
    <cellStyle name="Normal 5 3 2 2 2 2 4" xfId="2393" xr:uid="{00000000-0005-0000-0000-00003D660000}"/>
    <cellStyle name="Normal 5 3 2 2 2 2 4 2" xfId="11758" xr:uid="{00000000-0005-0000-0000-00003E660000}"/>
    <cellStyle name="Normal 5 3 2 2 2 2 4 2 2" xfId="37313" xr:uid="{00000000-0005-0000-0000-00003F660000}"/>
    <cellStyle name="Normal 5 3 2 2 2 2 4 3" xfId="21762" xr:uid="{00000000-0005-0000-0000-000040660000}"/>
    <cellStyle name="Normal 5 3 2 2 2 2 4 3 2" xfId="47315" xr:uid="{00000000-0005-0000-0000-000041660000}"/>
    <cellStyle name="Normal 5 3 2 2 2 2 4 4" xfId="28245" xr:uid="{00000000-0005-0000-0000-000042660000}"/>
    <cellStyle name="Normal 5 3 2 2 2 2 5" xfId="6069" xr:uid="{00000000-0005-0000-0000-000043660000}"/>
    <cellStyle name="Normal 5 3 2 2 2 2 5 2" xfId="14896" xr:uid="{00000000-0005-0000-0000-000044660000}"/>
    <cellStyle name="Normal 5 3 2 2 2 2 5 2 2" xfId="40451" xr:uid="{00000000-0005-0000-0000-000045660000}"/>
    <cellStyle name="Normal 5 3 2 2 2 2 5 3" xfId="25147" xr:uid="{00000000-0005-0000-0000-000046660000}"/>
    <cellStyle name="Normal 5 3 2 2 2 2 5 3 2" xfId="50700" xr:uid="{00000000-0005-0000-0000-000047660000}"/>
    <cellStyle name="Normal 5 3 2 2 2 2 5 4" xfId="31630" xr:uid="{00000000-0005-0000-0000-000048660000}"/>
    <cellStyle name="Normal 5 3 2 2 2 2 6" xfId="7514" xr:uid="{00000000-0005-0000-0000-000049660000}"/>
    <cellStyle name="Normal 5 3 2 2 2 2 6 2" xfId="20244" xr:uid="{00000000-0005-0000-0000-00004A660000}"/>
    <cellStyle name="Normal 5 3 2 2 2 2 6 2 2" xfId="45797" xr:uid="{00000000-0005-0000-0000-00004B660000}"/>
    <cellStyle name="Normal 5 3 2 2 2 2 6 3" xfId="33071" xr:uid="{00000000-0005-0000-0000-00004C660000}"/>
    <cellStyle name="Normal 5 3 2 2 2 2 7" xfId="16755" xr:uid="{00000000-0005-0000-0000-00004D660000}"/>
    <cellStyle name="Normal 5 3 2 2 2 2 7 2" xfId="42308" xr:uid="{00000000-0005-0000-0000-00004E660000}"/>
    <cellStyle name="Normal 5 3 2 2 2 2 8" xfId="26727" xr:uid="{00000000-0005-0000-0000-00004F660000}"/>
    <cellStyle name="Normal 5 3 2 2 2 3" xfId="1358" xr:uid="{00000000-0005-0000-0000-000050660000}"/>
    <cellStyle name="Normal 5 3 2 2 2 3 2" xfId="3787" xr:uid="{00000000-0005-0000-0000-000051660000}"/>
    <cellStyle name="Normal 5 3 2 2 2 3 2 2" xfId="12923" xr:uid="{00000000-0005-0000-0000-000052660000}"/>
    <cellStyle name="Normal 5 3 2 2 2 3 2 2 2" xfId="23142" xr:uid="{00000000-0005-0000-0000-000053660000}"/>
    <cellStyle name="Normal 5 3 2 2 2 3 2 2 2 2" xfId="48695" xr:uid="{00000000-0005-0000-0000-000054660000}"/>
    <cellStyle name="Normal 5 3 2 2 2 3 2 2 3" xfId="38478" xr:uid="{00000000-0005-0000-0000-000055660000}"/>
    <cellStyle name="Normal 5 3 2 2 2 3 2 3" xfId="9344" xr:uid="{00000000-0005-0000-0000-000056660000}"/>
    <cellStyle name="Normal 5 3 2 2 2 3 2 3 2" xfId="34901" xr:uid="{00000000-0005-0000-0000-000057660000}"/>
    <cellStyle name="Normal 5 3 2 2 2 3 2 4" xfId="18135" xr:uid="{00000000-0005-0000-0000-000058660000}"/>
    <cellStyle name="Normal 5 3 2 2 2 3 2 4 2" xfId="43688" xr:uid="{00000000-0005-0000-0000-000059660000}"/>
    <cellStyle name="Normal 5 3 2 2 2 3 2 5" xfId="29625" xr:uid="{00000000-0005-0000-0000-00005A660000}"/>
    <cellStyle name="Normal 5 3 2 2 2 3 3" xfId="4962" xr:uid="{00000000-0005-0000-0000-00005B660000}"/>
    <cellStyle name="Normal 5 3 2 2 2 3 3 2" xfId="13799" xr:uid="{00000000-0005-0000-0000-00005C660000}"/>
    <cellStyle name="Normal 5 3 2 2 2 3 3 2 2" xfId="24050" xr:uid="{00000000-0005-0000-0000-00005D660000}"/>
    <cellStyle name="Normal 5 3 2 2 2 3 3 2 2 2" xfId="49603" xr:uid="{00000000-0005-0000-0000-00005E660000}"/>
    <cellStyle name="Normal 5 3 2 2 2 3 3 2 3" xfId="39354" xr:uid="{00000000-0005-0000-0000-00005F660000}"/>
    <cellStyle name="Normal 5 3 2 2 2 3 3 3" xfId="10220" xr:uid="{00000000-0005-0000-0000-000060660000}"/>
    <cellStyle name="Normal 5 3 2 2 2 3 3 3 2" xfId="35777" xr:uid="{00000000-0005-0000-0000-000061660000}"/>
    <cellStyle name="Normal 5 3 2 2 2 3 3 4" xfId="19043" xr:uid="{00000000-0005-0000-0000-000062660000}"/>
    <cellStyle name="Normal 5 3 2 2 2 3 3 4 2" xfId="44596" xr:uid="{00000000-0005-0000-0000-000063660000}"/>
    <cellStyle name="Normal 5 3 2 2 2 3 3 5" xfId="30533" xr:uid="{00000000-0005-0000-0000-000064660000}"/>
    <cellStyle name="Normal 5 3 2 2 2 3 4" xfId="2181" xr:uid="{00000000-0005-0000-0000-000065660000}"/>
    <cellStyle name="Normal 5 3 2 2 2 3 4 2" xfId="11546" xr:uid="{00000000-0005-0000-0000-000066660000}"/>
    <cellStyle name="Normal 5 3 2 2 2 3 4 2 2" xfId="37101" xr:uid="{00000000-0005-0000-0000-000067660000}"/>
    <cellStyle name="Normal 5 3 2 2 2 3 4 3" xfId="21550" xr:uid="{00000000-0005-0000-0000-000068660000}"/>
    <cellStyle name="Normal 5 3 2 2 2 3 4 3 2" xfId="47103" xr:uid="{00000000-0005-0000-0000-000069660000}"/>
    <cellStyle name="Normal 5 3 2 2 2 3 4 4" xfId="28033" xr:uid="{00000000-0005-0000-0000-00006A660000}"/>
    <cellStyle name="Normal 5 3 2 2 2 3 5" xfId="6417" xr:uid="{00000000-0005-0000-0000-00006B660000}"/>
    <cellStyle name="Normal 5 3 2 2 2 3 5 2" xfId="15244" xr:uid="{00000000-0005-0000-0000-00006C660000}"/>
    <cellStyle name="Normal 5 3 2 2 2 3 5 2 2" xfId="40799" xr:uid="{00000000-0005-0000-0000-00006D660000}"/>
    <cellStyle name="Normal 5 3 2 2 2 3 5 3" xfId="25495" xr:uid="{00000000-0005-0000-0000-00006E660000}"/>
    <cellStyle name="Normal 5 3 2 2 2 3 5 3 2" xfId="51048" xr:uid="{00000000-0005-0000-0000-00006F660000}"/>
    <cellStyle name="Normal 5 3 2 2 2 3 5 4" xfId="31978" xr:uid="{00000000-0005-0000-0000-000070660000}"/>
    <cellStyle name="Normal 5 3 2 2 2 3 6" xfId="7863" xr:uid="{00000000-0005-0000-0000-000071660000}"/>
    <cellStyle name="Normal 5 3 2 2 2 3 6 2" xfId="20741" xr:uid="{00000000-0005-0000-0000-000072660000}"/>
    <cellStyle name="Normal 5 3 2 2 2 3 6 2 2" xfId="46294" xr:uid="{00000000-0005-0000-0000-000073660000}"/>
    <cellStyle name="Normal 5 3 2 2 2 3 6 3" xfId="33420" xr:uid="{00000000-0005-0000-0000-000074660000}"/>
    <cellStyle name="Normal 5 3 2 2 2 3 7" xfId="16543" xr:uid="{00000000-0005-0000-0000-000075660000}"/>
    <cellStyle name="Normal 5 3 2 2 2 3 7 2" xfId="42096" xr:uid="{00000000-0005-0000-0000-000076660000}"/>
    <cellStyle name="Normal 5 3 2 2 2 3 8" xfId="27224" xr:uid="{00000000-0005-0000-0000-000077660000}"/>
    <cellStyle name="Normal 5 3 2 2 2 4" xfId="3072" xr:uid="{00000000-0005-0000-0000-000078660000}"/>
    <cellStyle name="Normal 5 3 2 2 2 4 2" xfId="5450" xr:uid="{00000000-0005-0000-0000-000079660000}"/>
    <cellStyle name="Normal 5 3 2 2 2 4 2 2" xfId="14287" xr:uid="{00000000-0005-0000-0000-00007A660000}"/>
    <cellStyle name="Normal 5 3 2 2 2 4 2 2 2" xfId="24538" xr:uid="{00000000-0005-0000-0000-00007B660000}"/>
    <cellStyle name="Normal 5 3 2 2 2 4 2 2 2 2" xfId="50091" xr:uid="{00000000-0005-0000-0000-00007C660000}"/>
    <cellStyle name="Normal 5 3 2 2 2 4 2 2 3" xfId="39842" xr:uid="{00000000-0005-0000-0000-00007D660000}"/>
    <cellStyle name="Normal 5 3 2 2 2 4 2 3" xfId="10708" xr:uid="{00000000-0005-0000-0000-00007E660000}"/>
    <cellStyle name="Normal 5 3 2 2 2 4 2 3 2" xfId="36265" xr:uid="{00000000-0005-0000-0000-00007F660000}"/>
    <cellStyle name="Normal 5 3 2 2 2 4 2 4" xfId="19531" xr:uid="{00000000-0005-0000-0000-000080660000}"/>
    <cellStyle name="Normal 5 3 2 2 2 4 2 4 2" xfId="45084" xr:uid="{00000000-0005-0000-0000-000081660000}"/>
    <cellStyle name="Normal 5 3 2 2 2 4 2 5" xfId="31021" xr:uid="{00000000-0005-0000-0000-000082660000}"/>
    <cellStyle name="Normal 5 3 2 2 2 4 3" xfId="6905" xr:uid="{00000000-0005-0000-0000-000083660000}"/>
    <cellStyle name="Normal 5 3 2 2 2 4 3 2" xfId="15732" xr:uid="{00000000-0005-0000-0000-000084660000}"/>
    <cellStyle name="Normal 5 3 2 2 2 4 3 2 2" xfId="41287" xr:uid="{00000000-0005-0000-0000-000085660000}"/>
    <cellStyle name="Normal 5 3 2 2 2 4 3 3" xfId="25983" xr:uid="{00000000-0005-0000-0000-000086660000}"/>
    <cellStyle name="Normal 5 3 2 2 2 4 3 3 2" xfId="51536" xr:uid="{00000000-0005-0000-0000-000087660000}"/>
    <cellStyle name="Normal 5 3 2 2 2 4 3 4" xfId="32466" xr:uid="{00000000-0005-0000-0000-000088660000}"/>
    <cellStyle name="Normal 5 3 2 2 2 4 4" xfId="8351" xr:uid="{00000000-0005-0000-0000-000089660000}"/>
    <cellStyle name="Normal 5 3 2 2 2 4 4 2" xfId="22433" xr:uid="{00000000-0005-0000-0000-00008A660000}"/>
    <cellStyle name="Normal 5 3 2 2 2 4 4 2 2" xfId="47986" xr:uid="{00000000-0005-0000-0000-00008B660000}"/>
    <cellStyle name="Normal 5 3 2 2 2 4 4 3" xfId="33908" xr:uid="{00000000-0005-0000-0000-00008C660000}"/>
    <cellStyle name="Normal 5 3 2 2 2 4 5" xfId="17426" xr:uid="{00000000-0005-0000-0000-00008D660000}"/>
    <cellStyle name="Normal 5 3 2 2 2 4 5 2" xfId="42979" xr:uid="{00000000-0005-0000-0000-00008E660000}"/>
    <cellStyle name="Normal 5 3 2 2 2 4 6" xfId="28916" xr:uid="{00000000-0005-0000-0000-00008F660000}"/>
    <cellStyle name="Normal 5 3 2 2 2 5" xfId="4406" xr:uid="{00000000-0005-0000-0000-000090660000}"/>
    <cellStyle name="Normal 5 3 2 2 2 5 2" xfId="13244" xr:uid="{00000000-0005-0000-0000-000091660000}"/>
    <cellStyle name="Normal 5 3 2 2 2 5 2 2" xfId="23495" xr:uid="{00000000-0005-0000-0000-000092660000}"/>
    <cellStyle name="Normal 5 3 2 2 2 5 2 2 2" xfId="49048" xr:uid="{00000000-0005-0000-0000-000093660000}"/>
    <cellStyle name="Normal 5 3 2 2 2 5 2 3" xfId="38799" xr:uid="{00000000-0005-0000-0000-000094660000}"/>
    <cellStyle name="Normal 5 3 2 2 2 5 3" xfId="9665" xr:uid="{00000000-0005-0000-0000-000095660000}"/>
    <cellStyle name="Normal 5 3 2 2 2 5 3 2" xfId="35222" xr:uid="{00000000-0005-0000-0000-000096660000}"/>
    <cellStyle name="Normal 5 3 2 2 2 5 4" xfId="18488" xr:uid="{00000000-0005-0000-0000-000097660000}"/>
    <cellStyle name="Normal 5 3 2 2 2 5 4 2" xfId="44041" xr:uid="{00000000-0005-0000-0000-000098660000}"/>
    <cellStyle name="Normal 5 3 2 2 2 5 5" xfId="29978" xr:uid="{00000000-0005-0000-0000-000099660000}"/>
    <cellStyle name="Normal 5 3 2 2 2 6" xfId="1678" xr:uid="{00000000-0005-0000-0000-00009A660000}"/>
    <cellStyle name="Normal 5 3 2 2 2 6 2" xfId="11055" xr:uid="{00000000-0005-0000-0000-00009B660000}"/>
    <cellStyle name="Normal 5 3 2 2 2 6 2 2" xfId="36610" xr:uid="{00000000-0005-0000-0000-00009C660000}"/>
    <cellStyle name="Normal 5 3 2 2 2 6 3" xfId="21059" xr:uid="{00000000-0005-0000-0000-00009D660000}"/>
    <cellStyle name="Normal 5 3 2 2 2 6 3 2" xfId="46612" xr:uid="{00000000-0005-0000-0000-00009E660000}"/>
    <cellStyle name="Normal 5 3 2 2 2 6 4" xfId="27542" xr:uid="{00000000-0005-0000-0000-00009F660000}"/>
    <cellStyle name="Normal 5 3 2 2 2 7" xfId="5862" xr:uid="{00000000-0005-0000-0000-0000A0660000}"/>
    <cellStyle name="Normal 5 3 2 2 2 7 2" xfId="14689" xr:uid="{00000000-0005-0000-0000-0000A1660000}"/>
    <cellStyle name="Normal 5 3 2 2 2 7 2 2" xfId="40244" xr:uid="{00000000-0005-0000-0000-0000A2660000}"/>
    <cellStyle name="Normal 5 3 2 2 2 7 3" xfId="24940" xr:uid="{00000000-0005-0000-0000-0000A3660000}"/>
    <cellStyle name="Normal 5 3 2 2 2 7 3 2" xfId="50493" xr:uid="{00000000-0005-0000-0000-0000A4660000}"/>
    <cellStyle name="Normal 5 3 2 2 2 7 4" xfId="31423" xr:uid="{00000000-0005-0000-0000-0000A5660000}"/>
    <cellStyle name="Normal 5 3 2 2 2 8" xfId="7306" xr:uid="{00000000-0005-0000-0000-0000A6660000}"/>
    <cellStyle name="Normal 5 3 2 2 2 8 2" xfId="20032" xr:uid="{00000000-0005-0000-0000-0000A7660000}"/>
    <cellStyle name="Normal 5 3 2 2 2 8 2 2" xfId="45585" xr:uid="{00000000-0005-0000-0000-0000A8660000}"/>
    <cellStyle name="Normal 5 3 2 2 2 8 3" xfId="32863" xr:uid="{00000000-0005-0000-0000-0000A9660000}"/>
    <cellStyle name="Normal 5 3 2 2 2 9" xfId="16052" xr:uid="{00000000-0005-0000-0000-0000AA660000}"/>
    <cellStyle name="Normal 5 3 2 2 2 9 2" xfId="41605" xr:uid="{00000000-0005-0000-0000-0000AB660000}"/>
    <cellStyle name="Normal 5 3 2 2 2_Degree data" xfId="3867" xr:uid="{00000000-0005-0000-0000-0000AC660000}"/>
    <cellStyle name="Normal 5 3 2 2 3" xfId="382" xr:uid="{00000000-0005-0000-0000-0000AD660000}"/>
    <cellStyle name="Normal 5 3 2 2 3 2" xfId="2868" xr:uid="{00000000-0005-0000-0000-0000AE660000}"/>
    <cellStyle name="Normal 5 3 2 2 3 2 2" xfId="12156" xr:uid="{00000000-0005-0000-0000-0000AF660000}"/>
    <cellStyle name="Normal 5 3 2 2 3 2 2 2" xfId="22229" xr:uid="{00000000-0005-0000-0000-0000B0660000}"/>
    <cellStyle name="Normal 5 3 2 2 3 2 2 2 2" xfId="47782" xr:uid="{00000000-0005-0000-0000-0000B1660000}"/>
    <cellStyle name="Normal 5 3 2 2 3 2 2 3" xfId="37711" xr:uid="{00000000-0005-0000-0000-0000B2660000}"/>
    <cellStyle name="Normal 5 3 2 2 3 2 3" xfId="8624" xr:uid="{00000000-0005-0000-0000-0000B3660000}"/>
    <cellStyle name="Normal 5 3 2 2 3 2 3 2" xfId="34181" xr:uid="{00000000-0005-0000-0000-0000B4660000}"/>
    <cellStyle name="Normal 5 3 2 2 3 2 4" xfId="17222" xr:uid="{00000000-0005-0000-0000-0000B5660000}"/>
    <cellStyle name="Normal 5 3 2 2 3 2 4 2" xfId="42775" xr:uid="{00000000-0005-0000-0000-0000B6660000}"/>
    <cellStyle name="Normal 5 3 2 2 3 2 5" xfId="28712" xr:uid="{00000000-0005-0000-0000-0000B7660000}"/>
    <cellStyle name="Normal 5 3 2 2 3 3" xfId="4612" xr:uid="{00000000-0005-0000-0000-0000B8660000}"/>
    <cellStyle name="Normal 5 3 2 2 3 3 2" xfId="13450" xr:uid="{00000000-0005-0000-0000-0000B9660000}"/>
    <cellStyle name="Normal 5 3 2 2 3 3 2 2" xfId="23701" xr:uid="{00000000-0005-0000-0000-0000BA660000}"/>
    <cellStyle name="Normal 5 3 2 2 3 3 2 2 2" xfId="49254" xr:uid="{00000000-0005-0000-0000-0000BB660000}"/>
    <cellStyle name="Normal 5 3 2 2 3 3 2 3" xfId="39005" xr:uid="{00000000-0005-0000-0000-0000BC660000}"/>
    <cellStyle name="Normal 5 3 2 2 3 3 3" xfId="9871" xr:uid="{00000000-0005-0000-0000-0000BD660000}"/>
    <cellStyle name="Normal 5 3 2 2 3 3 3 2" xfId="35428" xr:uid="{00000000-0005-0000-0000-0000BE660000}"/>
    <cellStyle name="Normal 5 3 2 2 3 3 4" xfId="18694" xr:uid="{00000000-0005-0000-0000-0000BF660000}"/>
    <cellStyle name="Normal 5 3 2 2 3 3 4 2" xfId="44247" xr:uid="{00000000-0005-0000-0000-0000C0660000}"/>
    <cellStyle name="Normal 5 3 2 2 3 3 5" xfId="30184" xr:uid="{00000000-0005-0000-0000-0000C1660000}"/>
    <cellStyle name="Normal 5 3 2 2 3 4" xfId="1977" xr:uid="{00000000-0005-0000-0000-0000C2660000}"/>
    <cellStyle name="Normal 5 3 2 2 3 4 2" xfId="11342" xr:uid="{00000000-0005-0000-0000-0000C3660000}"/>
    <cellStyle name="Normal 5 3 2 2 3 4 2 2" xfId="36897" xr:uid="{00000000-0005-0000-0000-0000C4660000}"/>
    <cellStyle name="Normal 5 3 2 2 3 4 3" xfId="21346" xr:uid="{00000000-0005-0000-0000-0000C5660000}"/>
    <cellStyle name="Normal 5 3 2 2 3 4 3 2" xfId="46899" xr:uid="{00000000-0005-0000-0000-0000C6660000}"/>
    <cellStyle name="Normal 5 3 2 2 3 4 4" xfId="27829" xr:uid="{00000000-0005-0000-0000-0000C7660000}"/>
    <cellStyle name="Normal 5 3 2 2 3 5" xfId="6068" xr:uid="{00000000-0005-0000-0000-0000C8660000}"/>
    <cellStyle name="Normal 5 3 2 2 3 5 2" xfId="14895" xr:uid="{00000000-0005-0000-0000-0000C9660000}"/>
    <cellStyle name="Normal 5 3 2 2 3 5 2 2" xfId="40450" xr:uid="{00000000-0005-0000-0000-0000CA660000}"/>
    <cellStyle name="Normal 5 3 2 2 3 5 3" xfId="25146" xr:uid="{00000000-0005-0000-0000-0000CB660000}"/>
    <cellStyle name="Normal 5 3 2 2 3 5 3 2" xfId="50699" xr:uid="{00000000-0005-0000-0000-0000CC660000}"/>
    <cellStyle name="Normal 5 3 2 2 3 5 4" xfId="31629" xr:uid="{00000000-0005-0000-0000-0000CD660000}"/>
    <cellStyle name="Normal 5 3 2 2 3 6" xfId="7513" xr:uid="{00000000-0005-0000-0000-0000CE660000}"/>
    <cellStyle name="Normal 5 3 2 2 3 6 2" xfId="19828" xr:uid="{00000000-0005-0000-0000-0000CF660000}"/>
    <cellStyle name="Normal 5 3 2 2 3 6 2 2" xfId="45381" xr:uid="{00000000-0005-0000-0000-0000D0660000}"/>
    <cellStyle name="Normal 5 3 2 2 3 6 3" xfId="33070" xr:uid="{00000000-0005-0000-0000-0000D1660000}"/>
    <cellStyle name="Normal 5 3 2 2 3 7" xfId="16339" xr:uid="{00000000-0005-0000-0000-0000D2660000}"/>
    <cellStyle name="Normal 5 3 2 2 3 7 2" xfId="41892" xr:uid="{00000000-0005-0000-0000-0000D3660000}"/>
    <cellStyle name="Normal 5 3 2 2 3 8" xfId="26311" xr:uid="{00000000-0005-0000-0000-0000D4660000}"/>
    <cellStyle name="Normal 5 3 2 2 4" xfId="798" xr:uid="{00000000-0005-0000-0000-0000D5660000}"/>
    <cellStyle name="Normal 5 3 2 2 4 2" xfId="3283" xr:uid="{00000000-0005-0000-0000-0000D6660000}"/>
    <cellStyle name="Normal 5 3 2 2 4 2 2" xfId="12425" xr:uid="{00000000-0005-0000-0000-0000D7660000}"/>
    <cellStyle name="Normal 5 3 2 2 4 2 2 2" xfId="22644" xr:uid="{00000000-0005-0000-0000-0000D8660000}"/>
    <cellStyle name="Normal 5 3 2 2 4 2 2 2 2" xfId="48197" xr:uid="{00000000-0005-0000-0000-0000D9660000}"/>
    <cellStyle name="Normal 5 3 2 2 4 2 2 3" xfId="37980" xr:uid="{00000000-0005-0000-0000-0000DA660000}"/>
    <cellStyle name="Normal 5 3 2 2 4 2 3" xfId="8847" xr:uid="{00000000-0005-0000-0000-0000DB660000}"/>
    <cellStyle name="Normal 5 3 2 2 4 2 3 2" xfId="34404" xr:uid="{00000000-0005-0000-0000-0000DC660000}"/>
    <cellStyle name="Normal 5 3 2 2 4 2 4" xfId="17637" xr:uid="{00000000-0005-0000-0000-0000DD660000}"/>
    <cellStyle name="Normal 5 3 2 2 4 2 4 2" xfId="43190" xr:uid="{00000000-0005-0000-0000-0000DE660000}"/>
    <cellStyle name="Normal 5 3 2 2 4 2 5" xfId="29127" xr:uid="{00000000-0005-0000-0000-0000DF660000}"/>
    <cellStyle name="Normal 5 3 2 2 4 3" xfId="4961" xr:uid="{00000000-0005-0000-0000-0000E0660000}"/>
    <cellStyle name="Normal 5 3 2 2 4 3 2" xfId="13798" xr:uid="{00000000-0005-0000-0000-0000E1660000}"/>
    <cellStyle name="Normal 5 3 2 2 4 3 2 2" xfId="24049" xr:uid="{00000000-0005-0000-0000-0000E2660000}"/>
    <cellStyle name="Normal 5 3 2 2 4 3 2 2 2" xfId="49602" xr:uid="{00000000-0005-0000-0000-0000E3660000}"/>
    <cellStyle name="Normal 5 3 2 2 4 3 2 3" xfId="39353" xr:uid="{00000000-0005-0000-0000-0000E4660000}"/>
    <cellStyle name="Normal 5 3 2 2 4 3 3" xfId="10219" xr:uid="{00000000-0005-0000-0000-0000E5660000}"/>
    <cellStyle name="Normal 5 3 2 2 4 3 3 2" xfId="35776" xr:uid="{00000000-0005-0000-0000-0000E6660000}"/>
    <cellStyle name="Normal 5 3 2 2 4 3 4" xfId="19042" xr:uid="{00000000-0005-0000-0000-0000E7660000}"/>
    <cellStyle name="Normal 5 3 2 2 4 3 4 2" xfId="44595" xr:uid="{00000000-0005-0000-0000-0000E8660000}"/>
    <cellStyle name="Normal 5 3 2 2 4 3 5" xfId="30532" xr:uid="{00000000-0005-0000-0000-0000E9660000}"/>
    <cellStyle name="Normal 5 3 2 2 4 4" xfId="2392" xr:uid="{00000000-0005-0000-0000-0000EA660000}"/>
    <cellStyle name="Normal 5 3 2 2 4 4 2" xfId="11757" xr:uid="{00000000-0005-0000-0000-0000EB660000}"/>
    <cellStyle name="Normal 5 3 2 2 4 4 2 2" xfId="37312" xr:uid="{00000000-0005-0000-0000-0000EC660000}"/>
    <cellStyle name="Normal 5 3 2 2 4 4 3" xfId="21761" xr:uid="{00000000-0005-0000-0000-0000ED660000}"/>
    <cellStyle name="Normal 5 3 2 2 4 4 3 2" xfId="47314" xr:uid="{00000000-0005-0000-0000-0000EE660000}"/>
    <cellStyle name="Normal 5 3 2 2 4 4 4" xfId="28244" xr:uid="{00000000-0005-0000-0000-0000EF660000}"/>
    <cellStyle name="Normal 5 3 2 2 4 5" xfId="6416" xr:uid="{00000000-0005-0000-0000-0000F0660000}"/>
    <cellStyle name="Normal 5 3 2 2 4 5 2" xfId="15243" xr:uid="{00000000-0005-0000-0000-0000F1660000}"/>
    <cellStyle name="Normal 5 3 2 2 4 5 2 2" xfId="40798" xr:uid="{00000000-0005-0000-0000-0000F2660000}"/>
    <cellStyle name="Normal 5 3 2 2 4 5 3" xfId="25494" xr:uid="{00000000-0005-0000-0000-0000F3660000}"/>
    <cellStyle name="Normal 5 3 2 2 4 5 3 2" xfId="51047" xr:uid="{00000000-0005-0000-0000-0000F4660000}"/>
    <cellStyle name="Normal 5 3 2 2 4 5 4" xfId="31977" xr:uid="{00000000-0005-0000-0000-0000F5660000}"/>
    <cellStyle name="Normal 5 3 2 2 4 6" xfId="7862" xr:uid="{00000000-0005-0000-0000-0000F6660000}"/>
    <cellStyle name="Normal 5 3 2 2 4 6 2" xfId="20243" xr:uid="{00000000-0005-0000-0000-0000F7660000}"/>
    <cellStyle name="Normal 5 3 2 2 4 6 2 2" xfId="45796" xr:uid="{00000000-0005-0000-0000-0000F8660000}"/>
    <cellStyle name="Normal 5 3 2 2 4 6 3" xfId="33419" xr:uid="{00000000-0005-0000-0000-0000F9660000}"/>
    <cellStyle name="Normal 5 3 2 2 4 7" xfId="16754" xr:uid="{00000000-0005-0000-0000-0000FA660000}"/>
    <cellStyle name="Normal 5 3 2 2 4 7 2" xfId="42307" xr:uid="{00000000-0005-0000-0000-0000FB660000}"/>
    <cellStyle name="Normal 5 3 2 2 4 8" xfId="26726" xr:uid="{00000000-0005-0000-0000-0000FC660000}"/>
    <cellStyle name="Normal 5 3 2 2 5" xfId="1154" xr:uid="{00000000-0005-0000-0000-0000FD660000}"/>
    <cellStyle name="Normal 5 3 2 2 5 2" xfId="3583" xr:uid="{00000000-0005-0000-0000-0000FE660000}"/>
    <cellStyle name="Normal 5 3 2 2 5 2 2" xfId="12719" xr:uid="{00000000-0005-0000-0000-0000FF660000}"/>
    <cellStyle name="Normal 5 3 2 2 5 2 2 2" xfId="22938" xr:uid="{00000000-0005-0000-0000-000000670000}"/>
    <cellStyle name="Normal 5 3 2 2 5 2 2 2 2" xfId="48491" xr:uid="{00000000-0005-0000-0000-000001670000}"/>
    <cellStyle name="Normal 5 3 2 2 5 2 2 3" xfId="38274" xr:uid="{00000000-0005-0000-0000-000002670000}"/>
    <cellStyle name="Normal 5 3 2 2 5 2 3" xfId="9140" xr:uid="{00000000-0005-0000-0000-000003670000}"/>
    <cellStyle name="Normal 5 3 2 2 5 2 3 2" xfId="34697" xr:uid="{00000000-0005-0000-0000-000004670000}"/>
    <cellStyle name="Normal 5 3 2 2 5 2 4" xfId="17931" xr:uid="{00000000-0005-0000-0000-000005670000}"/>
    <cellStyle name="Normal 5 3 2 2 5 2 4 2" xfId="43484" xr:uid="{00000000-0005-0000-0000-000006670000}"/>
    <cellStyle name="Normal 5 3 2 2 5 2 5" xfId="29421" xr:uid="{00000000-0005-0000-0000-000007670000}"/>
    <cellStyle name="Normal 5 3 2 2 5 3" xfId="5246" xr:uid="{00000000-0005-0000-0000-000008670000}"/>
    <cellStyle name="Normal 5 3 2 2 5 3 2" xfId="14083" xr:uid="{00000000-0005-0000-0000-000009670000}"/>
    <cellStyle name="Normal 5 3 2 2 5 3 2 2" xfId="24334" xr:uid="{00000000-0005-0000-0000-00000A670000}"/>
    <cellStyle name="Normal 5 3 2 2 5 3 2 2 2" xfId="49887" xr:uid="{00000000-0005-0000-0000-00000B670000}"/>
    <cellStyle name="Normal 5 3 2 2 5 3 2 3" xfId="39638" xr:uid="{00000000-0005-0000-0000-00000C670000}"/>
    <cellStyle name="Normal 5 3 2 2 5 3 3" xfId="10504" xr:uid="{00000000-0005-0000-0000-00000D670000}"/>
    <cellStyle name="Normal 5 3 2 2 5 3 3 2" xfId="36061" xr:uid="{00000000-0005-0000-0000-00000E670000}"/>
    <cellStyle name="Normal 5 3 2 2 5 3 4" xfId="19327" xr:uid="{00000000-0005-0000-0000-00000F670000}"/>
    <cellStyle name="Normal 5 3 2 2 5 3 4 2" xfId="44880" xr:uid="{00000000-0005-0000-0000-000010670000}"/>
    <cellStyle name="Normal 5 3 2 2 5 3 5" xfId="30817" xr:uid="{00000000-0005-0000-0000-000011670000}"/>
    <cellStyle name="Normal 5 3 2 2 5 4" xfId="1861" xr:uid="{00000000-0005-0000-0000-000012670000}"/>
    <cellStyle name="Normal 5 3 2 2 5 4 2" xfId="11229" xr:uid="{00000000-0005-0000-0000-000013670000}"/>
    <cellStyle name="Normal 5 3 2 2 5 4 2 2" xfId="36784" xr:uid="{00000000-0005-0000-0000-000014670000}"/>
    <cellStyle name="Normal 5 3 2 2 5 4 3" xfId="21233" xr:uid="{00000000-0005-0000-0000-000015670000}"/>
    <cellStyle name="Normal 5 3 2 2 5 4 3 2" xfId="46786" xr:uid="{00000000-0005-0000-0000-000016670000}"/>
    <cellStyle name="Normal 5 3 2 2 5 4 4" xfId="27716" xr:uid="{00000000-0005-0000-0000-000017670000}"/>
    <cellStyle name="Normal 5 3 2 2 5 5" xfId="6701" xr:uid="{00000000-0005-0000-0000-000018670000}"/>
    <cellStyle name="Normal 5 3 2 2 5 5 2" xfId="15528" xr:uid="{00000000-0005-0000-0000-000019670000}"/>
    <cellStyle name="Normal 5 3 2 2 5 5 2 2" xfId="41083" xr:uid="{00000000-0005-0000-0000-00001A670000}"/>
    <cellStyle name="Normal 5 3 2 2 5 5 3" xfId="25779" xr:uid="{00000000-0005-0000-0000-00001B670000}"/>
    <cellStyle name="Normal 5 3 2 2 5 5 3 2" xfId="51332" xr:uid="{00000000-0005-0000-0000-00001C670000}"/>
    <cellStyle name="Normal 5 3 2 2 5 5 4" xfId="32262" xr:uid="{00000000-0005-0000-0000-00001D670000}"/>
    <cellStyle name="Normal 5 3 2 2 5 6" xfId="8147" xr:uid="{00000000-0005-0000-0000-00001E670000}"/>
    <cellStyle name="Normal 5 3 2 2 5 6 2" xfId="20537" xr:uid="{00000000-0005-0000-0000-00001F670000}"/>
    <cellStyle name="Normal 5 3 2 2 5 6 2 2" xfId="46090" xr:uid="{00000000-0005-0000-0000-000020670000}"/>
    <cellStyle name="Normal 5 3 2 2 5 6 3" xfId="33704" xr:uid="{00000000-0005-0000-0000-000021670000}"/>
    <cellStyle name="Normal 5 3 2 2 5 7" xfId="16226" xr:uid="{00000000-0005-0000-0000-000022670000}"/>
    <cellStyle name="Normal 5 3 2 2 5 7 2" xfId="41779" xr:uid="{00000000-0005-0000-0000-000023670000}"/>
    <cellStyle name="Normal 5 3 2 2 5 8" xfId="27020" xr:uid="{00000000-0005-0000-0000-000024670000}"/>
    <cellStyle name="Normal 5 3 2 2 6" xfId="2755" xr:uid="{00000000-0005-0000-0000-000025670000}"/>
    <cellStyle name="Normal 5 3 2 2 6 2" xfId="12072" xr:uid="{00000000-0005-0000-0000-000026670000}"/>
    <cellStyle name="Normal 5 3 2 2 6 2 2" xfId="22116" xr:uid="{00000000-0005-0000-0000-000027670000}"/>
    <cellStyle name="Normal 5 3 2 2 6 2 2 2" xfId="47669" xr:uid="{00000000-0005-0000-0000-000028670000}"/>
    <cellStyle name="Normal 5 3 2 2 6 2 3" xfId="37627" xr:uid="{00000000-0005-0000-0000-000029670000}"/>
    <cellStyle name="Normal 5 3 2 2 6 3" xfId="6939" xr:uid="{00000000-0005-0000-0000-00002A670000}"/>
    <cellStyle name="Normal 5 3 2 2 6 3 2" xfId="32497" xr:uid="{00000000-0005-0000-0000-00002B670000}"/>
    <cellStyle name="Normal 5 3 2 2 6 4" xfId="17109" xr:uid="{00000000-0005-0000-0000-00002C670000}"/>
    <cellStyle name="Normal 5 3 2 2 6 4 2" xfId="42662" xr:uid="{00000000-0005-0000-0000-00002D670000}"/>
    <cellStyle name="Normal 5 3 2 2 6 5" xfId="28599" xr:uid="{00000000-0005-0000-0000-00002E670000}"/>
    <cellStyle name="Normal 5 3 2 2 7" xfId="4202" xr:uid="{00000000-0005-0000-0000-00002F670000}"/>
    <cellStyle name="Normal 5 3 2 2 7 2" xfId="13040" xr:uid="{00000000-0005-0000-0000-000030670000}"/>
    <cellStyle name="Normal 5 3 2 2 7 2 2" xfId="23291" xr:uid="{00000000-0005-0000-0000-000031670000}"/>
    <cellStyle name="Normal 5 3 2 2 7 2 2 2" xfId="48844" xr:uid="{00000000-0005-0000-0000-000032670000}"/>
    <cellStyle name="Normal 5 3 2 2 7 2 3" xfId="38595" xr:uid="{00000000-0005-0000-0000-000033670000}"/>
    <cellStyle name="Normal 5 3 2 2 7 3" xfId="9461" xr:uid="{00000000-0005-0000-0000-000034670000}"/>
    <cellStyle name="Normal 5 3 2 2 7 3 2" xfId="35018" xr:uid="{00000000-0005-0000-0000-000035670000}"/>
    <cellStyle name="Normal 5 3 2 2 7 4" xfId="18284" xr:uid="{00000000-0005-0000-0000-000036670000}"/>
    <cellStyle name="Normal 5 3 2 2 7 4 2" xfId="43837" xr:uid="{00000000-0005-0000-0000-000037670000}"/>
    <cellStyle name="Normal 5 3 2 2 7 5" xfId="29774" xr:uid="{00000000-0005-0000-0000-000038670000}"/>
    <cellStyle name="Normal 5 3 2 2 8" xfId="1474" xr:uid="{00000000-0005-0000-0000-000039670000}"/>
    <cellStyle name="Normal 5 3 2 2 8 2" xfId="10851" xr:uid="{00000000-0005-0000-0000-00003A670000}"/>
    <cellStyle name="Normal 5 3 2 2 8 2 2" xfId="36406" xr:uid="{00000000-0005-0000-0000-00003B670000}"/>
    <cellStyle name="Normal 5 3 2 2 8 3" xfId="20855" xr:uid="{00000000-0005-0000-0000-00003C670000}"/>
    <cellStyle name="Normal 5 3 2 2 8 3 2" xfId="46408" xr:uid="{00000000-0005-0000-0000-00003D670000}"/>
    <cellStyle name="Normal 5 3 2 2 8 4" xfId="27338" xr:uid="{00000000-0005-0000-0000-00003E670000}"/>
    <cellStyle name="Normal 5 3 2 2 9" xfId="5658" xr:uid="{00000000-0005-0000-0000-00003F670000}"/>
    <cellStyle name="Normal 5 3 2 2 9 2" xfId="14485" xr:uid="{00000000-0005-0000-0000-000040670000}"/>
    <cellStyle name="Normal 5 3 2 2 9 2 2" xfId="40040" xr:uid="{00000000-0005-0000-0000-000041670000}"/>
    <cellStyle name="Normal 5 3 2 2 9 3" xfId="24736" xr:uid="{00000000-0005-0000-0000-000042670000}"/>
    <cellStyle name="Normal 5 3 2 2 9 3 2" xfId="50289" xr:uid="{00000000-0005-0000-0000-000043670000}"/>
    <cellStyle name="Normal 5 3 2 2 9 4" xfId="31219" xr:uid="{00000000-0005-0000-0000-000044670000}"/>
    <cellStyle name="Normal 5 3 2 2_Degree data" xfId="3902" xr:uid="{00000000-0005-0000-0000-000045670000}"/>
    <cellStyle name="Normal 5 3 2 3" xfId="218" xr:uid="{00000000-0005-0000-0000-000046670000}"/>
    <cellStyle name="Normal 5 3 2 3 10" xfId="16009" xr:uid="{00000000-0005-0000-0000-000047670000}"/>
    <cellStyle name="Normal 5 3 2 3 10 2" xfId="41562" xr:uid="{00000000-0005-0000-0000-000048670000}"/>
    <cellStyle name="Normal 5 3 2 3 11" xfId="26155" xr:uid="{00000000-0005-0000-0000-000049670000}"/>
    <cellStyle name="Normal 5 3 2 3 2" xfId="543" xr:uid="{00000000-0005-0000-0000-00004A670000}"/>
    <cellStyle name="Normal 5 3 2 3 2 2" xfId="3029" xr:uid="{00000000-0005-0000-0000-00004B670000}"/>
    <cellStyle name="Normal 5 3 2 3 2 2 2" xfId="12217" xr:uid="{00000000-0005-0000-0000-00004C670000}"/>
    <cellStyle name="Normal 5 3 2 3 2 2 2 2" xfId="22390" xr:uid="{00000000-0005-0000-0000-00004D670000}"/>
    <cellStyle name="Normal 5 3 2 3 2 2 2 2 2" xfId="47943" xr:uid="{00000000-0005-0000-0000-00004E670000}"/>
    <cellStyle name="Normal 5 3 2 3 2 2 2 3" xfId="37772" xr:uid="{00000000-0005-0000-0000-00004F670000}"/>
    <cellStyle name="Normal 5 3 2 3 2 2 3" xfId="8505" xr:uid="{00000000-0005-0000-0000-000050670000}"/>
    <cellStyle name="Normal 5 3 2 3 2 2 3 2" xfId="34062" xr:uid="{00000000-0005-0000-0000-000051670000}"/>
    <cellStyle name="Normal 5 3 2 3 2 2 4" xfId="17383" xr:uid="{00000000-0005-0000-0000-000052670000}"/>
    <cellStyle name="Normal 5 3 2 3 2 2 4 2" xfId="42936" xr:uid="{00000000-0005-0000-0000-000053670000}"/>
    <cellStyle name="Normal 5 3 2 3 2 2 5" xfId="28873" xr:uid="{00000000-0005-0000-0000-000054670000}"/>
    <cellStyle name="Normal 5 3 2 3 2 3" xfId="4614" xr:uid="{00000000-0005-0000-0000-000055670000}"/>
    <cellStyle name="Normal 5 3 2 3 2 3 2" xfId="13452" xr:uid="{00000000-0005-0000-0000-000056670000}"/>
    <cellStyle name="Normal 5 3 2 3 2 3 2 2" xfId="23703" xr:uid="{00000000-0005-0000-0000-000057670000}"/>
    <cellStyle name="Normal 5 3 2 3 2 3 2 2 2" xfId="49256" xr:uid="{00000000-0005-0000-0000-000058670000}"/>
    <cellStyle name="Normal 5 3 2 3 2 3 2 3" xfId="39007" xr:uid="{00000000-0005-0000-0000-000059670000}"/>
    <cellStyle name="Normal 5 3 2 3 2 3 3" xfId="9873" xr:uid="{00000000-0005-0000-0000-00005A670000}"/>
    <cellStyle name="Normal 5 3 2 3 2 3 3 2" xfId="35430" xr:uid="{00000000-0005-0000-0000-00005B670000}"/>
    <cellStyle name="Normal 5 3 2 3 2 3 4" xfId="18696" xr:uid="{00000000-0005-0000-0000-00005C670000}"/>
    <cellStyle name="Normal 5 3 2 3 2 3 4 2" xfId="44249" xr:uid="{00000000-0005-0000-0000-00005D670000}"/>
    <cellStyle name="Normal 5 3 2 3 2 3 5" xfId="30186" xr:uid="{00000000-0005-0000-0000-00005E670000}"/>
    <cellStyle name="Normal 5 3 2 3 2 4" xfId="2138" xr:uid="{00000000-0005-0000-0000-00005F670000}"/>
    <cellStyle name="Normal 5 3 2 3 2 4 2" xfId="11503" xr:uid="{00000000-0005-0000-0000-000060670000}"/>
    <cellStyle name="Normal 5 3 2 3 2 4 2 2" xfId="37058" xr:uid="{00000000-0005-0000-0000-000061670000}"/>
    <cellStyle name="Normal 5 3 2 3 2 4 3" xfId="21507" xr:uid="{00000000-0005-0000-0000-000062670000}"/>
    <cellStyle name="Normal 5 3 2 3 2 4 3 2" xfId="47060" xr:uid="{00000000-0005-0000-0000-000063670000}"/>
    <cellStyle name="Normal 5 3 2 3 2 4 4" xfId="27990" xr:uid="{00000000-0005-0000-0000-000064670000}"/>
    <cellStyle name="Normal 5 3 2 3 2 5" xfId="6070" xr:uid="{00000000-0005-0000-0000-000065670000}"/>
    <cellStyle name="Normal 5 3 2 3 2 5 2" xfId="14897" xr:uid="{00000000-0005-0000-0000-000066670000}"/>
    <cellStyle name="Normal 5 3 2 3 2 5 2 2" xfId="40452" xr:uid="{00000000-0005-0000-0000-000067670000}"/>
    <cellStyle name="Normal 5 3 2 3 2 5 3" xfId="25148" xr:uid="{00000000-0005-0000-0000-000068670000}"/>
    <cellStyle name="Normal 5 3 2 3 2 5 3 2" xfId="50701" xr:uid="{00000000-0005-0000-0000-000069670000}"/>
    <cellStyle name="Normal 5 3 2 3 2 5 4" xfId="31631" xr:uid="{00000000-0005-0000-0000-00006A670000}"/>
    <cellStyle name="Normal 5 3 2 3 2 6" xfId="7515" xr:uid="{00000000-0005-0000-0000-00006B670000}"/>
    <cellStyle name="Normal 5 3 2 3 2 6 2" xfId="19989" xr:uid="{00000000-0005-0000-0000-00006C670000}"/>
    <cellStyle name="Normal 5 3 2 3 2 6 2 2" xfId="45542" xr:uid="{00000000-0005-0000-0000-00006D670000}"/>
    <cellStyle name="Normal 5 3 2 3 2 6 3" xfId="33072" xr:uid="{00000000-0005-0000-0000-00006E670000}"/>
    <cellStyle name="Normal 5 3 2 3 2 7" xfId="16500" xr:uid="{00000000-0005-0000-0000-00006F670000}"/>
    <cellStyle name="Normal 5 3 2 3 2 7 2" xfId="42053" xr:uid="{00000000-0005-0000-0000-000070670000}"/>
    <cellStyle name="Normal 5 3 2 3 2 8" xfId="26472" xr:uid="{00000000-0005-0000-0000-000071670000}"/>
    <cellStyle name="Normal 5 3 2 3 3" xfId="800" xr:uid="{00000000-0005-0000-0000-000072670000}"/>
    <cellStyle name="Normal 5 3 2 3 3 2" xfId="3285" xr:uid="{00000000-0005-0000-0000-000073670000}"/>
    <cellStyle name="Normal 5 3 2 3 3 2 2" xfId="12427" xr:uid="{00000000-0005-0000-0000-000074670000}"/>
    <cellStyle name="Normal 5 3 2 3 3 2 2 2" xfId="22646" xr:uid="{00000000-0005-0000-0000-000075670000}"/>
    <cellStyle name="Normal 5 3 2 3 3 2 2 2 2" xfId="48199" xr:uid="{00000000-0005-0000-0000-000076670000}"/>
    <cellStyle name="Normal 5 3 2 3 3 2 2 3" xfId="37982" xr:uid="{00000000-0005-0000-0000-000077670000}"/>
    <cellStyle name="Normal 5 3 2 3 3 2 3" xfId="8849" xr:uid="{00000000-0005-0000-0000-000078670000}"/>
    <cellStyle name="Normal 5 3 2 3 3 2 3 2" xfId="34406" xr:uid="{00000000-0005-0000-0000-000079670000}"/>
    <cellStyle name="Normal 5 3 2 3 3 2 4" xfId="17639" xr:uid="{00000000-0005-0000-0000-00007A670000}"/>
    <cellStyle name="Normal 5 3 2 3 3 2 4 2" xfId="43192" xr:uid="{00000000-0005-0000-0000-00007B670000}"/>
    <cellStyle name="Normal 5 3 2 3 3 2 5" xfId="29129" xr:uid="{00000000-0005-0000-0000-00007C670000}"/>
    <cellStyle name="Normal 5 3 2 3 3 3" xfId="4963" xr:uid="{00000000-0005-0000-0000-00007D670000}"/>
    <cellStyle name="Normal 5 3 2 3 3 3 2" xfId="13800" xr:uid="{00000000-0005-0000-0000-00007E670000}"/>
    <cellStyle name="Normal 5 3 2 3 3 3 2 2" xfId="24051" xr:uid="{00000000-0005-0000-0000-00007F670000}"/>
    <cellStyle name="Normal 5 3 2 3 3 3 2 2 2" xfId="49604" xr:uid="{00000000-0005-0000-0000-000080670000}"/>
    <cellStyle name="Normal 5 3 2 3 3 3 2 3" xfId="39355" xr:uid="{00000000-0005-0000-0000-000081670000}"/>
    <cellStyle name="Normal 5 3 2 3 3 3 3" xfId="10221" xr:uid="{00000000-0005-0000-0000-000082670000}"/>
    <cellStyle name="Normal 5 3 2 3 3 3 3 2" xfId="35778" xr:uid="{00000000-0005-0000-0000-000083670000}"/>
    <cellStyle name="Normal 5 3 2 3 3 3 4" xfId="19044" xr:uid="{00000000-0005-0000-0000-000084670000}"/>
    <cellStyle name="Normal 5 3 2 3 3 3 4 2" xfId="44597" xr:uid="{00000000-0005-0000-0000-000085670000}"/>
    <cellStyle name="Normal 5 3 2 3 3 3 5" xfId="30534" xr:uid="{00000000-0005-0000-0000-000086670000}"/>
    <cellStyle name="Normal 5 3 2 3 3 4" xfId="2394" xr:uid="{00000000-0005-0000-0000-000087670000}"/>
    <cellStyle name="Normal 5 3 2 3 3 4 2" xfId="11759" xr:uid="{00000000-0005-0000-0000-000088670000}"/>
    <cellStyle name="Normal 5 3 2 3 3 4 2 2" xfId="37314" xr:uid="{00000000-0005-0000-0000-000089670000}"/>
    <cellStyle name="Normal 5 3 2 3 3 4 3" xfId="21763" xr:uid="{00000000-0005-0000-0000-00008A670000}"/>
    <cellStyle name="Normal 5 3 2 3 3 4 3 2" xfId="47316" xr:uid="{00000000-0005-0000-0000-00008B670000}"/>
    <cellStyle name="Normal 5 3 2 3 3 4 4" xfId="28246" xr:uid="{00000000-0005-0000-0000-00008C670000}"/>
    <cellStyle name="Normal 5 3 2 3 3 5" xfId="6418" xr:uid="{00000000-0005-0000-0000-00008D670000}"/>
    <cellStyle name="Normal 5 3 2 3 3 5 2" xfId="15245" xr:uid="{00000000-0005-0000-0000-00008E670000}"/>
    <cellStyle name="Normal 5 3 2 3 3 5 2 2" xfId="40800" xr:uid="{00000000-0005-0000-0000-00008F670000}"/>
    <cellStyle name="Normal 5 3 2 3 3 5 3" xfId="25496" xr:uid="{00000000-0005-0000-0000-000090670000}"/>
    <cellStyle name="Normal 5 3 2 3 3 5 3 2" xfId="51049" xr:uid="{00000000-0005-0000-0000-000091670000}"/>
    <cellStyle name="Normal 5 3 2 3 3 5 4" xfId="31979" xr:uid="{00000000-0005-0000-0000-000092670000}"/>
    <cellStyle name="Normal 5 3 2 3 3 6" xfId="7864" xr:uid="{00000000-0005-0000-0000-000093670000}"/>
    <cellStyle name="Normal 5 3 2 3 3 6 2" xfId="20245" xr:uid="{00000000-0005-0000-0000-000094670000}"/>
    <cellStyle name="Normal 5 3 2 3 3 6 2 2" xfId="45798" xr:uid="{00000000-0005-0000-0000-000095670000}"/>
    <cellStyle name="Normal 5 3 2 3 3 6 3" xfId="33421" xr:uid="{00000000-0005-0000-0000-000096670000}"/>
    <cellStyle name="Normal 5 3 2 3 3 7" xfId="16756" xr:uid="{00000000-0005-0000-0000-000097670000}"/>
    <cellStyle name="Normal 5 3 2 3 3 7 2" xfId="42309" xr:uid="{00000000-0005-0000-0000-000098670000}"/>
    <cellStyle name="Normal 5 3 2 3 3 8" xfId="26728" xr:uid="{00000000-0005-0000-0000-000099670000}"/>
    <cellStyle name="Normal 5 3 2 3 4" xfId="1315" xr:uid="{00000000-0005-0000-0000-00009A670000}"/>
    <cellStyle name="Normal 5 3 2 3 4 2" xfId="3744" xr:uid="{00000000-0005-0000-0000-00009B670000}"/>
    <cellStyle name="Normal 5 3 2 3 4 2 2" xfId="12880" xr:uid="{00000000-0005-0000-0000-00009C670000}"/>
    <cellStyle name="Normal 5 3 2 3 4 2 2 2" xfId="23099" xr:uid="{00000000-0005-0000-0000-00009D670000}"/>
    <cellStyle name="Normal 5 3 2 3 4 2 2 2 2" xfId="48652" xr:uid="{00000000-0005-0000-0000-00009E670000}"/>
    <cellStyle name="Normal 5 3 2 3 4 2 2 3" xfId="38435" xr:uid="{00000000-0005-0000-0000-00009F670000}"/>
    <cellStyle name="Normal 5 3 2 3 4 2 3" xfId="9301" xr:uid="{00000000-0005-0000-0000-0000A0670000}"/>
    <cellStyle name="Normal 5 3 2 3 4 2 3 2" xfId="34858" xr:uid="{00000000-0005-0000-0000-0000A1670000}"/>
    <cellStyle name="Normal 5 3 2 3 4 2 4" xfId="18092" xr:uid="{00000000-0005-0000-0000-0000A2670000}"/>
    <cellStyle name="Normal 5 3 2 3 4 2 4 2" xfId="43645" xr:uid="{00000000-0005-0000-0000-0000A3670000}"/>
    <cellStyle name="Normal 5 3 2 3 4 2 5" xfId="29582" xr:uid="{00000000-0005-0000-0000-0000A4670000}"/>
    <cellStyle name="Normal 5 3 2 3 4 3" xfId="5407" xr:uid="{00000000-0005-0000-0000-0000A5670000}"/>
    <cellStyle name="Normal 5 3 2 3 4 3 2" xfId="14244" xr:uid="{00000000-0005-0000-0000-0000A6670000}"/>
    <cellStyle name="Normal 5 3 2 3 4 3 2 2" xfId="24495" xr:uid="{00000000-0005-0000-0000-0000A7670000}"/>
    <cellStyle name="Normal 5 3 2 3 4 3 2 2 2" xfId="50048" xr:uid="{00000000-0005-0000-0000-0000A8670000}"/>
    <cellStyle name="Normal 5 3 2 3 4 3 2 3" xfId="39799" xr:uid="{00000000-0005-0000-0000-0000A9670000}"/>
    <cellStyle name="Normal 5 3 2 3 4 3 3" xfId="10665" xr:uid="{00000000-0005-0000-0000-0000AA670000}"/>
    <cellStyle name="Normal 5 3 2 3 4 3 3 2" xfId="36222" xr:uid="{00000000-0005-0000-0000-0000AB670000}"/>
    <cellStyle name="Normal 5 3 2 3 4 3 4" xfId="19488" xr:uid="{00000000-0005-0000-0000-0000AC670000}"/>
    <cellStyle name="Normal 5 3 2 3 4 3 4 2" xfId="45041" xr:uid="{00000000-0005-0000-0000-0000AD670000}"/>
    <cellStyle name="Normal 5 3 2 3 4 3 5" xfId="30978" xr:uid="{00000000-0005-0000-0000-0000AE670000}"/>
    <cellStyle name="Normal 5 3 2 3 4 4" xfId="1818" xr:uid="{00000000-0005-0000-0000-0000AF670000}"/>
    <cellStyle name="Normal 5 3 2 3 4 4 2" xfId="11186" xr:uid="{00000000-0005-0000-0000-0000B0670000}"/>
    <cellStyle name="Normal 5 3 2 3 4 4 2 2" xfId="36741" xr:uid="{00000000-0005-0000-0000-0000B1670000}"/>
    <cellStyle name="Normal 5 3 2 3 4 4 3" xfId="21190" xr:uid="{00000000-0005-0000-0000-0000B2670000}"/>
    <cellStyle name="Normal 5 3 2 3 4 4 3 2" xfId="46743" xr:uid="{00000000-0005-0000-0000-0000B3670000}"/>
    <cellStyle name="Normal 5 3 2 3 4 4 4" xfId="27673" xr:uid="{00000000-0005-0000-0000-0000B4670000}"/>
    <cellStyle name="Normal 5 3 2 3 4 5" xfId="6862" xr:uid="{00000000-0005-0000-0000-0000B5670000}"/>
    <cellStyle name="Normal 5 3 2 3 4 5 2" xfId="15689" xr:uid="{00000000-0005-0000-0000-0000B6670000}"/>
    <cellStyle name="Normal 5 3 2 3 4 5 2 2" xfId="41244" xr:uid="{00000000-0005-0000-0000-0000B7670000}"/>
    <cellStyle name="Normal 5 3 2 3 4 5 3" xfId="25940" xr:uid="{00000000-0005-0000-0000-0000B8670000}"/>
    <cellStyle name="Normal 5 3 2 3 4 5 3 2" xfId="51493" xr:uid="{00000000-0005-0000-0000-0000B9670000}"/>
    <cellStyle name="Normal 5 3 2 3 4 5 4" xfId="32423" xr:uid="{00000000-0005-0000-0000-0000BA670000}"/>
    <cellStyle name="Normal 5 3 2 3 4 6" xfId="8308" xr:uid="{00000000-0005-0000-0000-0000BB670000}"/>
    <cellStyle name="Normal 5 3 2 3 4 6 2" xfId="20698" xr:uid="{00000000-0005-0000-0000-0000BC670000}"/>
    <cellStyle name="Normal 5 3 2 3 4 6 2 2" xfId="46251" xr:uid="{00000000-0005-0000-0000-0000BD670000}"/>
    <cellStyle name="Normal 5 3 2 3 4 6 3" xfId="33865" xr:uid="{00000000-0005-0000-0000-0000BE670000}"/>
    <cellStyle name="Normal 5 3 2 3 4 7" xfId="16183" xr:uid="{00000000-0005-0000-0000-0000BF670000}"/>
    <cellStyle name="Normal 5 3 2 3 4 7 2" xfId="41736" xr:uid="{00000000-0005-0000-0000-0000C0670000}"/>
    <cellStyle name="Normal 5 3 2 3 4 8" xfId="27181" xr:uid="{00000000-0005-0000-0000-0000C1670000}"/>
    <cellStyle name="Normal 5 3 2 3 5" xfId="2712" xr:uid="{00000000-0005-0000-0000-0000C2670000}"/>
    <cellStyle name="Normal 5 3 2 3 5 2" xfId="12029" xr:uid="{00000000-0005-0000-0000-0000C3670000}"/>
    <cellStyle name="Normal 5 3 2 3 5 2 2" xfId="22073" xr:uid="{00000000-0005-0000-0000-0000C4670000}"/>
    <cellStyle name="Normal 5 3 2 3 5 2 2 2" xfId="47626" xr:uid="{00000000-0005-0000-0000-0000C5670000}"/>
    <cellStyle name="Normal 5 3 2 3 5 2 3" xfId="37584" xr:uid="{00000000-0005-0000-0000-0000C6670000}"/>
    <cellStyle name="Normal 5 3 2 3 5 3" xfId="8490" xr:uid="{00000000-0005-0000-0000-0000C7670000}"/>
    <cellStyle name="Normal 5 3 2 3 5 3 2" xfId="34047" xr:uid="{00000000-0005-0000-0000-0000C8670000}"/>
    <cellStyle name="Normal 5 3 2 3 5 4" xfId="17066" xr:uid="{00000000-0005-0000-0000-0000C9670000}"/>
    <cellStyle name="Normal 5 3 2 3 5 4 2" xfId="42619" xr:uid="{00000000-0005-0000-0000-0000CA670000}"/>
    <cellStyle name="Normal 5 3 2 3 5 5" xfId="28556" xr:uid="{00000000-0005-0000-0000-0000CB670000}"/>
    <cellStyle name="Normal 5 3 2 3 6" xfId="4363" xr:uid="{00000000-0005-0000-0000-0000CC670000}"/>
    <cellStyle name="Normal 5 3 2 3 6 2" xfId="13201" xr:uid="{00000000-0005-0000-0000-0000CD670000}"/>
    <cellStyle name="Normal 5 3 2 3 6 2 2" xfId="23452" xr:uid="{00000000-0005-0000-0000-0000CE670000}"/>
    <cellStyle name="Normal 5 3 2 3 6 2 2 2" xfId="49005" xr:uid="{00000000-0005-0000-0000-0000CF670000}"/>
    <cellStyle name="Normal 5 3 2 3 6 2 3" xfId="38756" xr:uid="{00000000-0005-0000-0000-0000D0670000}"/>
    <cellStyle name="Normal 5 3 2 3 6 3" xfId="9622" xr:uid="{00000000-0005-0000-0000-0000D1670000}"/>
    <cellStyle name="Normal 5 3 2 3 6 3 2" xfId="35179" xr:uid="{00000000-0005-0000-0000-0000D2670000}"/>
    <cellStyle name="Normal 5 3 2 3 6 4" xfId="18445" xr:uid="{00000000-0005-0000-0000-0000D3670000}"/>
    <cellStyle name="Normal 5 3 2 3 6 4 2" xfId="43998" xr:uid="{00000000-0005-0000-0000-0000D4670000}"/>
    <cellStyle name="Normal 5 3 2 3 6 5" xfId="29935" xr:uid="{00000000-0005-0000-0000-0000D5670000}"/>
    <cellStyle name="Normal 5 3 2 3 7" xfId="1635" xr:uid="{00000000-0005-0000-0000-0000D6670000}"/>
    <cellStyle name="Normal 5 3 2 3 7 2" xfId="11012" xr:uid="{00000000-0005-0000-0000-0000D7670000}"/>
    <cellStyle name="Normal 5 3 2 3 7 2 2" xfId="36567" xr:uid="{00000000-0005-0000-0000-0000D8670000}"/>
    <cellStyle name="Normal 5 3 2 3 7 3" xfId="21016" xr:uid="{00000000-0005-0000-0000-0000D9670000}"/>
    <cellStyle name="Normal 5 3 2 3 7 3 2" xfId="46569" xr:uid="{00000000-0005-0000-0000-0000DA670000}"/>
    <cellStyle name="Normal 5 3 2 3 7 4" xfId="27499" xr:uid="{00000000-0005-0000-0000-0000DB670000}"/>
    <cellStyle name="Normal 5 3 2 3 8" xfId="5819" xr:uid="{00000000-0005-0000-0000-0000DC670000}"/>
    <cellStyle name="Normal 5 3 2 3 8 2" xfId="14646" xr:uid="{00000000-0005-0000-0000-0000DD670000}"/>
    <cellStyle name="Normal 5 3 2 3 8 2 2" xfId="40201" xr:uid="{00000000-0005-0000-0000-0000DE670000}"/>
    <cellStyle name="Normal 5 3 2 3 8 3" xfId="24897" xr:uid="{00000000-0005-0000-0000-0000DF670000}"/>
    <cellStyle name="Normal 5 3 2 3 8 3 2" xfId="50450" xr:uid="{00000000-0005-0000-0000-0000E0670000}"/>
    <cellStyle name="Normal 5 3 2 3 8 4" xfId="31380" xr:uid="{00000000-0005-0000-0000-0000E1670000}"/>
    <cellStyle name="Normal 5 3 2 3 9" xfId="7263" xr:uid="{00000000-0005-0000-0000-0000E2670000}"/>
    <cellStyle name="Normal 5 3 2 3 9 2" xfId="19672" xr:uid="{00000000-0005-0000-0000-0000E3670000}"/>
    <cellStyle name="Normal 5 3 2 3 9 2 2" xfId="45225" xr:uid="{00000000-0005-0000-0000-0000E4670000}"/>
    <cellStyle name="Normal 5 3 2 3 9 3" xfId="32820" xr:uid="{00000000-0005-0000-0000-0000E5670000}"/>
    <cellStyle name="Normal 5 3 2 3_Degree data" xfId="3861" xr:uid="{00000000-0005-0000-0000-0000E6670000}"/>
    <cellStyle name="Normal 5 3 2 4" xfId="482" xr:uid="{00000000-0005-0000-0000-0000E7670000}"/>
    <cellStyle name="Normal 5 3 2 4 10" xfId="26411" xr:uid="{00000000-0005-0000-0000-0000E8670000}"/>
    <cellStyle name="Normal 5 3 2 4 2" xfId="801" xr:uid="{00000000-0005-0000-0000-0000E9670000}"/>
    <cellStyle name="Normal 5 3 2 4 2 2" xfId="3286" xr:uid="{00000000-0005-0000-0000-0000EA670000}"/>
    <cellStyle name="Normal 5 3 2 4 2 2 2" xfId="12428" xr:uid="{00000000-0005-0000-0000-0000EB670000}"/>
    <cellStyle name="Normal 5 3 2 4 2 2 2 2" xfId="22647" xr:uid="{00000000-0005-0000-0000-0000EC670000}"/>
    <cellStyle name="Normal 5 3 2 4 2 2 2 2 2" xfId="48200" xr:uid="{00000000-0005-0000-0000-0000ED670000}"/>
    <cellStyle name="Normal 5 3 2 4 2 2 2 3" xfId="37983" xr:uid="{00000000-0005-0000-0000-0000EE670000}"/>
    <cellStyle name="Normal 5 3 2 4 2 2 3" xfId="8850" xr:uid="{00000000-0005-0000-0000-0000EF670000}"/>
    <cellStyle name="Normal 5 3 2 4 2 2 3 2" xfId="34407" xr:uid="{00000000-0005-0000-0000-0000F0670000}"/>
    <cellStyle name="Normal 5 3 2 4 2 2 4" xfId="17640" xr:uid="{00000000-0005-0000-0000-0000F1670000}"/>
    <cellStyle name="Normal 5 3 2 4 2 2 4 2" xfId="43193" xr:uid="{00000000-0005-0000-0000-0000F2670000}"/>
    <cellStyle name="Normal 5 3 2 4 2 2 5" xfId="29130" xr:uid="{00000000-0005-0000-0000-0000F3670000}"/>
    <cellStyle name="Normal 5 3 2 4 2 3" xfId="4615" xr:uid="{00000000-0005-0000-0000-0000F4670000}"/>
    <cellStyle name="Normal 5 3 2 4 2 3 2" xfId="13453" xr:uid="{00000000-0005-0000-0000-0000F5670000}"/>
    <cellStyle name="Normal 5 3 2 4 2 3 2 2" xfId="23704" xr:uid="{00000000-0005-0000-0000-0000F6670000}"/>
    <cellStyle name="Normal 5 3 2 4 2 3 2 2 2" xfId="49257" xr:uid="{00000000-0005-0000-0000-0000F7670000}"/>
    <cellStyle name="Normal 5 3 2 4 2 3 2 3" xfId="39008" xr:uid="{00000000-0005-0000-0000-0000F8670000}"/>
    <cellStyle name="Normal 5 3 2 4 2 3 3" xfId="9874" xr:uid="{00000000-0005-0000-0000-0000F9670000}"/>
    <cellStyle name="Normal 5 3 2 4 2 3 3 2" xfId="35431" xr:uid="{00000000-0005-0000-0000-0000FA670000}"/>
    <cellStyle name="Normal 5 3 2 4 2 3 4" xfId="18697" xr:uid="{00000000-0005-0000-0000-0000FB670000}"/>
    <cellStyle name="Normal 5 3 2 4 2 3 4 2" xfId="44250" xr:uid="{00000000-0005-0000-0000-0000FC670000}"/>
    <cellStyle name="Normal 5 3 2 4 2 3 5" xfId="30187" xr:uid="{00000000-0005-0000-0000-0000FD670000}"/>
    <cellStyle name="Normal 5 3 2 4 2 4" xfId="2395" xr:uid="{00000000-0005-0000-0000-0000FE670000}"/>
    <cellStyle name="Normal 5 3 2 4 2 4 2" xfId="11760" xr:uid="{00000000-0005-0000-0000-0000FF670000}"/>
    <cellStyle name="Normal 5 3 2 4 2 4 2 2" xfId="37315" xr:uid="{00000000-0005-0000-0000-000000680000}"/>
    <cellStyle name="Normal 5 3 2 4 2 4 3" xfId="21764" xr:uid="{00000000-0005-0000-0000-000001680000}"/>
    <cellStyle name="Normal 5 3 2 4 2 4 3 2" xfId="47317" xr:uid="{00000000-0005-0000-0000-000002680000}"/>
    <cellStyle name="Normal 5 3 2 4 2 4 4" xfId="28247" xr:uid="{00000000-0005-0000-0000-000003680000}"/>
    <cellStyle name="Normal 5 3 2 4 2 5" xfId="6071" xr:uid="{00000000-0005-0000-0000-000004680000}"/>
    <cellStyle name="Normal 5 3 2 4 2 5 2" xfId="14898" xr:uid="{00000000-0005-0000-0000-000005680000}"/>
    <cellStyle name="Normal 5 3 2 4 2 5 2 2" xfId="40453" xr:uid="{00000000-0005-0000-0000-000006680000}"/>
    <cellStyle name="Normal 5 3 2 4 2 5 3" xfId="25149" xr:uid="{00000000-0005-0000-0000-000007680000}"/>
    <cellStyle name="Normal 5 3 2 4 2 5 3 2" xfId="50702" xr:uid="{00000000-0005-0000-0000-000008680000}"/>
    <cellStyle name="Normal 5 3 2 4 2 5 4" xfId="31632" xr:uid="{00000000-0005-0000-0000-000009680000}"/>
    <cellStyle name="Normal 5 3 2 4 2 6" xfId="7516" xr:uid="{00000000-0005-0000-0000-00000A680000}"/>
    <cellStyle name="Normal 5 3 2 4 2 6 2" xfId="20246" xr:uid="{00000000-0005-0000-0000-00000B680000}"/>
    <cellStyle name="Normal 5 3 2 4 2 6 2 2" xfId="45799" xr:uid="{00000000-0005-0000-0000-00000C680000}"/>
    <cellStyle name="Normal 5 3 2 4 2 6 3" xfId="33073" xr:uid="{00000000-0005-0000-0000-00000D680000}"/>
    <cellStyle name="Normal 5 3 2 4 2 7" xfId="16757" xr:uid="{00000000-0005-0000-0000-00000E680000}"/>
    <cellStyle name="Normal 5 3 2 4 2 7 2" xfId="42310" xr:uid="{00000000-0005-0000-0000-00000F680000}"/>
    <cellStyle name="Normal 5 3 2 4 2 8" xfId="26729" xr:uid="{00000000-0005-0000-0000-000010680000}"/>
    <cellStyle name="Normal 5 3 2 4 3" xfId="1254" xr:uid="{00000000-0005-0000-0000-000011680000}"/>
    <cellStyle name="Normal 5 3 2 4 3 2" xfId="3683" xr:uid="{00000000-0005-0000-0000-000012680000}"/>
    <cellStyle name="Normal 5 3 2 4 3 2 2" xfId="12819" xr:uid="{00000000-0005-0000-0000-000013680000}"/>
    <cellStyle name="Normal 5 3 2 4 3 2 2 2" xfId="23038" xr:uid="{00000000-0005-0000-0000-000014680000}"/>
    <cellStyle name="Normal 5 3 2 4 3 2 2 2 2" xfId="48591" xr:uid="{00000000-0005-0000-0000-000015680000}"/>
    <cellStyle name="Normal 5 3 2 4 3 2 2 3" xfId="38374" xr:uid="{00000000-0005-0000-0000-000016680000}"/>
    <cellStyle name="Normal 5 3 2 4 3 2 3" xfId="9240" xr:uid="{00000000-0005-0000-0000-000017680000}"/>
    <cellStyle name="Normal 5 3 2 4 3 2 3 2" xfId="34797" xr:uid="{00000000-0005-0000-0000-000018680000}"/>
    <cellStyle name="Normal 5 3 2 4 3 2 4" xfId="18031" xr:uid="{00000000-0005-0000-0000-000019680000}"/>
    <cellStyle name="Normal 5 3 2 4 3 2 4 2" xfId="43584" xr:uid="{00000000-0005-0000-0000-00001A680000}"/>
    <cellStyle name="Normal 5 3 2 4 3 2 5" xfId="29521" xr:uid="{00000000-0005-0000-0000-00001B680000}"/>
    <cellStyle name="Normal 5 3 2 4 3 3" xfId="4964" xr:uid="{00000000-0005-0000-0000-00001C680000}"/>
    <cellStyle name="Normal 5 3 2 4 3 3 2" xfId="13801" xr:uid="{00000000-0005-0000-0000-00001D680000}"/>
    <cellStyle name="Normal 5 3 2 4 3 3 2 2" xfId="24052" xr:uid="{00000000-0005-0000-0000-00001E680000}"/>
    <cellStyle name="Normal 5 3 2 4 3 3 2 2 2" xfId="49605" xr:uid="{00000000-0005-0000-0000-00001F680000}"/>
    <cellStyle name="Normal 5 3 2 4 3 3 2 3" xfId="39356" xr:uid="{00000000-0005-0000-0000-000020680000}"/>
    <cellStyle name="Normal 5 3 2 4 3 3 3" xfId="10222" xr:uid="{00000000-0005-0000-0000-000021680000}"/>
    <cellStyle name="Normal 5 3 2 4 3 3 3 2" xfId="35779" xr:uid="{00000000-0005-0000-0000-000022680000}"/>
    <cellStyle name="Normal 5 3 2 4 3 3 4" xfId="19045" xr:uid="{00000000-0005-0000-0000-000023680000}"/>
    <cellStyle name="Normal 5 3 2 4 3 3 4 2" xfId="44598" xr:uid="{00000000-0005-0000-0000-000024680000}"/>
    <cellStyle name="Normal 5 3 2 4 3 3 5" xfId="30535" xr:uid="{00000000-0005-0000-0000-000025680000}"/>
    <cellStyle name="Normal 5 3 2 4 3 4" xfId="2077" xr:uid="{00000000-0005-0000-0000-000026680000}"/>
    <cellStyle name="Normal 5 3 2 4 3 4 2" xfId="11442" xr:uid="{00000000-0005-0000-0000-000027680000}"/>
    <cellStyle name="Normal 5 3 2 4 3 4 2 2" xfId="36997" xr:uid="{00000000-0005-0000-0000-000028680000}"/>
    <cellStyle name="Normal 5 3 2 4 3 4 3" xfId="21446" xr:uid="{00000000-0005-0000-0000-000029680000}"/>
    <cellStyle name="Normal 5 3 2 4 3 4 3 2" xfId="46999" xr:uid="{00000000-0005-0000-0000-00002A680000}"/>
    <cellStyle name="Normal 5 3 2 4 3 4 4" xfId="27929" xr:uid="{00000000-0005-0000-0000-00002B680000}"/>
    <cellStyle name="Normal 5 3 2 4 3 5" xfId="6419" xr:uid="{00000000-0005-0000-0000-00002C680000}"/>
    <cellStyle name="Normal 5 3 2 4 3 5 2" xfId="15246" xr:uid="{00000000-0005-0000-0000-00002D680000}"/>
    <cellStyle name="Normal 5 3 2 4 3 5 2 2" xfId="40801" xr:uid="{00000000-0005-0000-0000-00002E680000}"/>
    <cellStyle name="Normal 5 3 2 4 3 5 3" xfId="25497" xr:uid="{00000000-0005-0000-0000-00002F680000}"/>
    <cellStyle name="Normal 5 3 2 4 3 5 3 2" xfId="51050" xr:uid="{00000000-0005-0000-0000-000030680000}"/>
    <cellStyle name="Normal 5 3 2 4 3 5 4" xfId="31980" xr:uid="{00000000-0005-0000-0000-000031680000}"/>
    <cellStyle name="Normal 5 3 2 4 3 6" xfId="7865" xr:uid="{00000000-0005-0000-0000-000032680000}"/>
    <cellStyle name="Normal 5 3 2 4 3 6 2" xfId="20637" xr:uid="{00000000-0005-0000-0000-000033680000}"/>
    <cellStyle name="Normal 5 3 2 4 3 6 2 2" xfId="46190" xr:uid="{00000000-0005-0000-0000-000034680000}"/>
    <cellStyle name="Normal 5 3 2 4 3 6 3" xfId="33422" xr:uid="{00000000-0005-0000-0000-000035680000}"/>
    <cellStyle name="Normal 5 3 2 4 3 7" xfId="16439" xr:uid="{00000000-0005-0000-0000-000036680000}"/>
    <cellStyle name="Normal 5 3 2 4 3 7 2" xfId="41992" xr:uid="{00000000-0005-0000-0000-000037680000}"/>
    <cellStyle name="Normal 5 3 2 4 3 8" xfId="27120" xr:uid="{00000000-0005-0000-0000-000038680000}"/>
    <cellStyle name="Normal 5 3 2 4 4" xfId="2968" xr:uid="{00000000-0005-0000-0000-000039680000}"/>
    <cellStyle name="Normal 5 3 2 4 4 2" xfId="5346" xr:uid="{00000000-0005-0000-0000-00003A680000}"/>
    <cellStyle name="Normal 5 3 2 4 4 2 2" xfId="14183" xr:uid="{00000000-0005-0000-0000-00003B680000}"/>
    <cellStyle name="Normal 5 3 2 4 4 2 2 2" xfId="24434" xr:uid="{00000000-0005-0000-0000-00003C680000}"/>
    <cellStyle name="Normal 5 3 2 4 4 2 2 2 2" xfId="49987" xr:uid="{00000000-0005-0000-0000-00003D680000}"/>
    <cellStyle name="Normal 5 3 2 4 4 2 2 3" xfId="39738" xr:uid="{00000000-0005-0000-0000-00003E680000}"/>
    <cellStyle name="Normal 5 3 2 4 4 2 3" xfId="10604" xr:uid="{00000000-0005-0000-0000-00003F680000}"/>
    <cellStyle name="Normal 5 3 2 4 4 2 3 2" xfId="36161" xr:uid="{00000000-0005-0000-0000-000040680000}"/>
    <cellStyle name="Normal 5 3 2 4 4 2 4" xfId="19427" xr:uid="{00000000-0005-0000-0000-000041680000}"/>
    <cellStyle name="Normal 5 3 2 4 4 2 4 2" xfId="44980" xr:uid="{00000000-0005-0000-0000-000042680000}"/>
    <cellStyle name="Normal 5 3 2 4 4 2 5" xfId="30917" xr:uid="{00000000-0005-0000-0000-000043680000}"/>
    <cellStyle name="Normal 5 3 2 4 4 3" xfId="6801" xr:uid="{00000000-0005-0000-0000-000044680000}"/>
    <cellStyle name="Normal 5 3 2 4 4 3 2" xfId="15628" xr:uid="{00000000-0005-0000-0000-000045680000}"/>
    <cellStyle name="Normal 5 3 2 4 4 3 2 2" xfId="41183" xr:uid="{00000000-0005-0000-0000-000046680000}"/>
    <cellStyle name="Normal 5 3 2 4 4 3 3" xfId="25879" xr:uid="{00000000-0005-0000-0000-000047680000}"/>
    <cellStyle name="Normal 5 3 2 4 4 3 3 2" xfId="51432" xr:uid="{00000000-0005-0000-0000-000048680000}"/>
    <cellStyle name="Normal 5 3 2 4 4 3 4" xfId="32362" xr:uid="{00000000-0005-0000-0000-000049680000}"/>
    <cellStyle name="Normal 5 3 2 4 4 4" xfId="8247" xr:uid="{00000000-0005-0000-0000-00004A680000}"/>
    <cellStyle name="Normal 5 3 2 4 4 4 2" xfId="22329" xr:uid="{00000000-0005-0000-0000-00004B680000}"/>
    <cellStyle name="Normal 5 3 2 4 4 4 2 2" xfId="47882" xr:uid="{00000000-0005-0000-0000-00004C680000}"/>
    <cellStyle name="Normal 5 3 2 4 4 4 3" xfId="33804" xr:uid="{00000000-0005-0000-0000-00004D680000}"/>
    <cellStyle name="Normal 5 3 2 4 4 5" xfId="17322" xr:uid="{00000000-0005-0000-0000-00004E680000}"/>
    <cellStyle name="Normal 5 3 2 4 4 5 2" xfId="42875" xr:uid="{00000000-0005-0000-0000-00004F680000}"/>
    <cellStyle name="Normal 5 3 2 4 4 6" xfId="28812" xr:uid="{00000000-0005-0000-0000-000050680000}"/>
    <cellStyle name="Normal 5 3 2 4 5" xfId="4302" xr:uid="{00000000-0005-0000-0000-000051680000}"/>
    <cellStyle name="Normal 5 3 2 4 5 2" xfId="13140" xr:uid="{00000000-0005-0000-0000-000052680000}"/>
    <cellStyle name="Normal 5 3 2 4 5 2 2" xfId="23391" xr:uid="{00000000-0005-0000-0000-000053680000}"/>
    <cellStyle name="Normal 5 3 2 4 5 2 2 2" xfId="48944" xr:uid="{00000000-0005-0000-0000-000054680000}"/>
    <cellStyle name="Normal 5 3 2 4 5 2 3" xfId="38695" xr:uid="{00000000-0005-0000-0000-000055680000}"/>
    <cellStyle name="Normal 5 3 2 4 5 3" xfId="9561" xr:uid="{00000000-0005-0000-0000-000056680000}"/>
    <cellStyle name="Normal 5 3 2 4 5 3 2" xfId="35118" xr:uid="{00000000-0005-0000-0000-000057680000}"/>
    <cellStyle name="Normal 5 3 2 4 5 4" xfId="18384" xr:uid="{00000000-0005-0000-0000-000058680000}"/>
    <cellStyle name="Normal 5 3 2 4 5 4 2" xfId="43937" xr:uid="{00000000-0005-0000-0000-000059680000}"/>
    <cellStyle name="Normal 5 3 2 4 5 5" xfId="29874" xr:uid="{00000000-0005-0000-0000-00005A680000}"/>
    <cellStyle name="Normal 5 3 2 4 6" xfId="1574" xr:uid="{00000000-0005-0000-0000-00005B680000}"/>
    <cellStyle name="Normal 5 3 2 4 6 2" xfId="10951" xr:uid="{00000000-0005-0000-0000-00005C680000}"/>
    <cellStyle name="Normal 5 3 2 4 6 2 2" xfId="36506" xr:uid="{00000000-0005-0000-0000-00005D680000}"/>
    <cellStyle name="Normal 5 3 2 4 6 3" xfId="20955" xr:uid="{00000000-0005-0000-0000-00005E680000}"/>
    <cellStyle name="Normal 5 3 2 4 6 3 2" xfId="46508" xr:uid="{00000000-0005-0000-0000-00005F680000}"/>
    <cellStyle name="Normal 5 3 2 4 6 4" xfId="27438" xr:uid="{00000000-0005-0000-0000-000060680000}"/>
    <cellStyle name="Normal 5 3 2 4 7" xfId="5758" xr:uid="{00000000-0005-0000-0000-000061680000}"/>
    <cellStyle name="Normal 5 3 2 4 7 2" xfId="14585" xr:uid="{00000000-0005-0000-0000-000062680000}"/>
    <cellStyle name="Normal 5 3 2 4 7 2 2" xfId="40140" xr:uid="{00000000-0005-0000-0000-000063680000}"/>
    <cellStyle name="Normal 5 3 2 4 7 3" xfId="24836" xr:uid="{00000000-0005-0000-0000-000064680000}"/>
    <cellStyle name="Normal 5 3 2 4 7 3 2" xfId="50389" xr:uid="{00000000-0005-0000-0000-000065680000}"/>
    <cellStyle name="Normal 5 3 2 4 7 4" xfId="31319" xr:uid="{00000000-0005-0000-0000-000066680000}"/>
    <cellStyle name="Normal 5 3 2 4 8" xfId="7202" xr:uid="{00000000-0005-0000-0000-000067680000}"/>
    <cellStyle name="Normal 5 3 2 4 8 2" xfId="19928" xr:uid="{00000000-0005-0000-0000-000068680000}"/>
    <cellStyle name="Normal 5 3 2 4 8 2 2" xfId="45481" xr:uid="{00000000-0005-0000-0000-000069680000}"/>
    <cellStyle name="Normal 5 3 2 4 8 3" xfId="32759" xr:uid="{00000000-0005-0000-0000-00006A680000}"/>
    <cellStyle name="Normal 5 3 2 4 9" xfId="15948" xr:uid="{00000000-0005-0000-0000-00006B680000}"/>
    <cellStyle name="Normal 5 3 2 4 9 2" xfId="41501" xr:uid="{00000000-0005-0000-0000-00006C680000}"/>
    <cellStyle name="Normal 5 3 2 4_Degree data" xfId="3879" xr:uid="{00000000-0005-0000-0000-00006D680000}"/>
    <cellStyle name="Normal 5 3 2 5" xfId="325" xr:uid="{00000000-0005-0000-0000-00006E680000}"/>
    <cellStyle name="Normal 5 3 2 5 2" xfId="2811" xr:uid="{00000000-0005-0000-0000-00006F680000}"/>
    <cellStyle name="Normal 5 3 2 5 2 2" xfId="12111" xr:uid="{00000000-0005-0000-0000-000070680000}"/>
    <cellStyle name="Normal 5 3 2 5 2 2 2" xfId="22172" xr:uid="{00000000-0005-0000-0000-000071680000}"/>
    <cellStyle name="Normal 5 3 2 5 2 2 2 2" xfId="47725" xr:uid="{00000000-0005-0000-0000-000072680000}"/>
    <cellStyle name="Normal 5 3 2 5 2 2 3" xfId="37666" xr:uid="{00000000-0005-0000-0000-000073680000}"/>
    <cellStyle name="Normal 5 3 2 5 2 3" xfId="8391" xr:uid="{00000000-0005-0000-0000-000074680000}"/>
    <cellStyle name="Normal 5 3 2 5 2 3 2" xfId="33948" xr:uid="{00000000-0005-0000-0000-000075680000}"/>
    <cellStyle name="Normal 5 3 2 5 2 4" xfId="17165" xr:uid="{00000000-0005-0000-0000-000076680000}"/>
    <cellStyle name="Normal 5 3 2 5 2 4 2" xfId="42718" xr:uid="{00000000-0005-0000-0000-000077680000}"/>
    <cellStyle name="Normal 5 3 2 5 2 5" xfId="28655" xr:uid="{00000000-0005-0000-0000-000078680000}"/>
    <cellStyle name="Normal 5 3 2 5 3" xfId="4611" xr:uid="{00000000-0005-0000-0000-000079680000}"/>
    <cellStyle name="Normal 5 3 2 5 3 2" xfId="13449" xr:uid="{00000000-0005-0000-0000-00007A680000}"/>
    <cellStyle name="Normal 5 3 2 5 3 2 2" xfId="23700" xr:uid="{00000000-0005-0000-0000-00007B680000}"/>
    <cellStyle name="Normal 5 3 2 5 3 2 2 2" xfId="49253" xr:uid="{00000000-0005-0000-0000-00007C680000}"/>
    <cellStyle name="Normal 5 3 2 5 3 2 3" xfId="39004" xr:uid="{00000000-0005-0000-0000-00007D680000}"/>
    <cellStyle name="Normal 5 3 2 5 3 3" xfId="9870" xr:uid="{00000000-0005-0000-0000-00007E680000}"/>
    <cellStyle name="Normal 5 3 2 5 3 3 2" xfId="35427" xr:uid="{00000000-0005-0000-0000-00007F680000}"/>
    <cellStyle name="Normal 5 3 2 5 3 4" xfId="18693" xr:uid="{00000000-0005-0000-0000-000080680000}"/>
    <cellStyle name="Normal 5 3 2 5 3 4 2" xfId="44246" xr:uid="{00000000-0005-0000-0000-000081680000}"/>
    <cellStyle name="Normal 5 3 2 5 3 5" xfId="30183" xr:uid="{00000000-0005-0000-0000-000082680000}"/>
    <cellStyle name="Normal 5 3 2 5 4" xfId="1920" xr:uid="{00000000-0005-0000-0000-000083680000}"/>
    <cellStyle name="Normal 5 3 2 5 4 2" xfId="11285" xr:uid="{00000000-0005-0000-0000-000084680000}"/>
    <cellStyle name="Normal 5 3 2 5 4 2 2" xfId="36840" xr:uid="{00000000-0005-0000-0000-000085680000}"/>
    <cellStyle name="Normal 5 3 2 5 4 3" xfId="21289" xr:uid="{00000000-0005-0000-0000-000086680000}"/>
    <cellStyle name="Normal 5 3 2 5 4 3 2" xfId="46842" xr:uid="{00000000-0005-0000-0000-000087680000}"/>
    <cellStyle name="Normal 5 3 2 5 4 4" xfId="27772" xr:uid="{00000000-0005-0000-0000-000088680000}"/>
    <cellStyle name="Normal 5 3 2 5 5" xfId="6067" xr:uid="{00000000-0005-0000-0000-000089680000}"/>
    <cellStyle name="Normal 5 3 2 5 5 2" xfId="14894" xr:uid="{00000000-0005-0000-0000-00008A680000}"/>
    <cellStyle name="Normal 5 3 2 5 5 2 2" xfId="40449" xr:uid="{00000000-0005-0000-0000-00008B680000}"/>
    <cellStyle name="Normal 5 3 2 5 5 3" xfId="25145" xr:uid="{00000000-0005-0000-0000-00008C680000}"/>
    <cellStyle name="Normal 5 3 2 5 5 3 2" xfId="50698" xr:uid="{00000000-0005-0000-0000-00008D680000}"/>
    <cellStyle name="Normal 5 3 2 5 5 4" xfId="31628" xr:uid="{00000000-0005-0000-0000-00008E680000}"/>
    <cellStyle name="Normal 5 3 2 5 6" xfId="7512" xr:uid="{00000000-0005-0000-0000-00008F680000}"/>
    <cellStyle name="Normal 5 3 2 5 6 2" xfId="19771" xr:uid="{00000000-0005-0000-0000-000090680000}"/>
    <cellStyle name="Normal 5 3 2 5 6 2 2" xfId="45324" xr:uid="{00000000-0005-0000-0000-000091680000}"/>
    <cellStyle name="Normal 5 3 2 5 6 3" xfId="33069" xr:uid="{00000000-0005-0000-0000-000092680000}"/>
    <cellStyle name="Normal 5 3 2 5 7" xfId="16282" xr:uid="{00000000-0005-0000-0000-000093680000}"/>
    <cellStyle name="Normal 5 3 2 5 7 2" xfId="41835" xr:uid="{00000000-0005-0000-0000-000094680000}"/>
    <cellStyle name="Normal 5 3 2 5 8" xfId="26254" xr:uid="{00000000-0005-0000-0000-000095680000}"/>
    <cellStyle name="Normal 5 3 2 6" xfId="797" xr:uid="{00000000-0005-0000-0000-000096680000}"/>
    <cellStyle name="Normal 5 3 2 6 2" xfId="3282" xr:uid="{00000000-0005-0000-0000-000097680000}"/>
    <cellStyle name="Normal 5 3 2 6 2 2" xfId="12424" xr:uid="{00000000-0005-0000-0000-000098680000}"/>
    <cellStyle name="Normal 5 3 2 6 2 2 2" xfId="22643" xr:uid="{00000000-0005-0000-0000-000099680000}"/>
    <cellStyle name="Normal 5 3 2 6 2 2 2 2" xfId="48196" xr:uid="{00000000-0005-0000-0000-00009A680000}"/>
    <cellStyle name="Normal 5 3 2 6 2 2 3" xfId="37979" xr:uid="{00000000-0005-0000-0000-00009B680000}"/>
    <cellStyle name="Normal 5 3 2 6 2 3" xfId="8846" xr:uid="{00000000-0005-0000-0000-00009C680000}"/>
    <cellStyle name="Normal 5 3 2 6 2 3 2" xfId="34403" xr:uid="{00000000-0005-0000-0000-00009D680000}"/>
    <cellStyle name="Normal 5 3 2 6 2 4" xfId="17636" xr:uid="{00000000-0005-0000-0000-00009E680000}"/>
    <cellStyle name="Normal 5 3 2 6 2 4 2" xfId="43189" xr:uid="{00000000-0005-0000-0000-00009F680000}"/>
    <cellStyle name="Normal 5 3 2 6 2 5" xfId="29126" xr:uid="{00000000-0005-0000-0000-0000A0680000}"/>
    <cellStyle name="Normal 5 3 2 6 3" xfId="4960" xr:uid="{00000000-0005-0000-0000-0000A1680000}"/>
    <cellStyle name="Normal 5 3 2 6 3 2" xfId="13797" xr:uid="{00000000-0005-0000-0000-0000A2680000}"/>
    <cellStyle name="Normal 5 3 2 6 3 2 2" xfId="24048" xr:uid="{00000000-0005-0000-0000-0000A3680000}"/>
    <cellStyle name="Normal 5 3 2 6 3 2 2 2" xfId="49601" xr:uid="{00000000-0005-0000-0000-0000A4680000}"/>
    <cellStyle name="Normal 5 3 2 6 3 2 3" xfId="39352" xr:uid="{00000000-0005-0000-0000-0000A5680000}"/>
    <cellStyle name="Normal 5 3 2 6 3 3" xfId="10218" xr:uid="{00000000-0005-0000-0000-0000A6680000}"/>
    <cellStyle name="Normal 5 3 2 6 3 3 2" xfId="35775" xr:uid="{00000000-0005-0000-0000-0000A7680000}"/>
    <cellStyle name="Normal 5 3 2 6 3 4" xfId="19041" xr:uid="{00000000-0005-0000-0000-0000A8680000}"/>
    <cellStyle name="Normal 5 3 2 6 3 4 2" xfId="44594" xr:uid="{00000000-0005-0000-0000-0000A9680000}"/>
    <cellStyle name="Normal 5 3 2 6 3 5" xfId="30531" xr:uid="{00000000-0005-0000-0000-0000AA680000}"/>
    <cellStyle name="Normal 5 3 2 6 4" xfId="2391" xr:uid="{00000000-0005-0000-0000-0000AB680000}"/>
    <cellStyle name="Normal 5 3 2 6 4 2" xfId="11756" xr:uid="{00000000-0005-0000-0000-0000AC680000}"/>
    <cellStyle name="Normal 5 3 2 6 4 2 2" xfId="37311" xr:uid="{00000000-0005-0000-0000-0000AD680000}"/>
    <cellStyle name="Normal 5 3 2 6 4 3" xfId="21760" xr:uid="{00000000-0005-0000-0000-0000AE680000}"/>
    <cellStyle name="Normal 5 3 2 6 4 3 2" xfId="47313" xr:uid="{00000000-0005-0000-0000-0000AF680000}"/>
    <cellStyle name="Normal 5 3 2 6 4 4" xfId="28243" xr:uid="{00000000-0005-0000-0000-0000B0680000}"/>
    <cellStyle name="Normal 5 3 2 6 5" xfId="6415" xr:uid="{00000000-0005-0000-0000-0000B1680000}"/>
    <cellStyle name="Normal 5 3 2 6 5 2" xfId="15242" xr:uid="{00000000-0005-0000-0000-0000B2680000}"/>
    <cellStyle name="Normal 5 3 2 6 5 2 2" xfId="40797" xr:uid="{00000000-0005-0000-0000-0000B3680000}"/>
    <cellStyle name="Normal 5 3 2 6 5 3" xfId="25493" xr:uid="{00000000-0005-0000-0000-0000B4680000}"/>
    <cellStyle name="Normal 5 3 2 6 5 3 2" xfId="51046" xr:uid="{00000000-0005-0000-0000-0000B5680000}"/>
    <cellStyle name="Normal 5 3 2 6 5 4" xfId="31976" xr:uid="{00000000-0005-0000-0000-0000B6680000}"/>
    <cellStyle name="Normal 5 3 2 6 6" xfId="7861" xr:uid="{00000000-0005-0000-0000-0000B7680000}"/>
    <cellStyle name="Normal 5 3 2 6 6 2" xfId="20242" xr:uid="{00000000-0005-0000-0000-0000B8680000}"/>
    <cellStyle name="Normal 5 3 2 6 6 2 2" xfId="45795" xr:uid="{00000000-0005-0000-0000-0000B9680000}"/>
    <cellStyle name="Normal 5 3 2 6 6 3" xfId="33418" xr:uid="{00000000-0005-0000-0000-0000BA680000}"/>
    <cellStyle name="Normal 5 3 2 6 7" xfId="16753" xr:uid="{00000000-0005-0000-0000-0000BB680000}"/>
    <cellStyle name="Normal 5 3 2 6 7 2" xfId="42306" xr:uid="{00000000-0005-0000-0000-0000BC680000}"/>
    <cellStyle name="Normal 5 3 2 6 8" xfId="26725" xr:uid="{00000000-0005-0000-0000-0000BD680000}"/>
    <cellStyle name="Normal 5 3 2 7" xfId="1097" xr:uid="{00000000-0005-0000-0000-0000BE680000}"/>
    <cellStyle name="Normal 5 3 2 7 2" xfId="3526" xr:uid="{00000000-0005-0000-0000-0000BF680000}"/>
    <cellStyle name="Normal 5 3 2 7 2 2" xfId="12662" xr:uid="{00000000-0005-0000-0000-0000C0680000}"/>
    <cellStyle name="Normal 5 3 2 7 2 2 2" xfId="22881" xr:uid="{00000000-0005-0000-0000-0000C1680000}"/>
    <cellStyle name="Normal 5 3 2 7 2 2 2 2" xfId="48434" xr:uid="{00000000-0005-0000-0000-0000C2680000}"/>
    <cellStyle name="Normal 5 3 2 7 2 2 3" xfId="38217" xr:uid="{00000000-0005-0000-0000-0000C3680000}"/>
    <cellStyle name="Normal 5 3 2 7 2 3" xfId="9083" xr:uid="{00000000-0005-0000-0000-0000C4680000}"/>
    <cellStyle name="Normal 5 3 2 7 2 3 2" xfId="34640" xr:uid="{00000000-0005-0000-0000-0000C5680000}"/>
    <cellStyle name="Normal 5 3 2 7 2 4" xfId="17874" xr:uid="{00000000-0005-0000-0000-0000C6680000}"/>
    <cellStyle name="Normal 5 3 2 7 2 4 2" xfId="43427" xr:uid="{00000000-0005-0000-0000-0000C7680000}"/>
    <cellStyle name="Normal 5 3 2 7 2 5" xfId="29364" xr:uid="{00000000-0005-0000-0000-0000C8680000}"/>
    <cellStyle name="Normal 5 3 2 7 3" xfId="5189" xr:uid="{00000000-0005-0000-0000-0000C9680000}"/>
    <cellStyle name="Normal 5 3 2 7 3 2" xfId="14026" xr:uid="{00000000-0005-0000-0000-0000CA680000}"/>
    <cellStyle name="Normal 5 3 2 7 3 2 2" xfId="24277" xr:uid="{00000000-0005-0000-0000-0000CB680000}"/>
    <cellStyle name="Normal 5 3 2 7 3 2 2 2" xfId="49830" xr:uid="{00000000-0005-0000-0000-0000CC680000}"/>
    <cellStyle name="Normal 5 3 2 7 3 2 3" xfId="39581" xr:uid="{00000000-0005-0000-0000-0000CD680000}"/>
    <cellStyle name="Normal 5 3 2 7 3 3" xfId="10447" xr:uid="{00000000-0005-0000-0000-0000CE680000}"/>
    <cellStyle name="Normal 5 3 2 7 3 3 2" xfId="36004" xr:uid="{00000000-0005-0000-0000-0000CF680000}"/>
    <cellStyle name="Normal 5 3 2 7 3 4" xfId="19270" xr:uid="{00000000-0005-0000-0000-0000D0680000}"/>
    <cellStyle name="Normal 5 3 2 7 3 4 2" xfId="44823" xr:uid="{00000000-0005-0000-0000-0000D1680000}"/>
    <cellStyle name="Normal 5 3 2 7 3 5" xfId="30760" xr:uid="{00000000-0005-0000-0000-0000D2680000}"/>
    <cellStyle name="Normal 5 3 2 7 4" xfId="1754" xr:uid="{00000000-0005-0000-0000-0000D3680000}"/>
    <cellStyle name="Normal 5 3 2 7 4 2" xfId="11125" xr:uid="{00000000-0005-0000-0000-0000D4680000}"/>
    <cellStyle name="Normal 5 3 2 7 4 2 2" xfId="36680" xr:uid="{00000000-0005-0000-0000-0000D5680000}"/>
    <cellStyle name="Normal 5 3 2 7 4 3" xfId="21129" xr:uid="{00000000-0005-0000-0000-0000D6680000}"/>
    <cellStyle name="Normal 5 3 2 7 4 3 2" xfId="46682" xr:uid="{00000000-0005-0000-0000-0000D7680000}"/>
    <cellStyle name="Normal 5 3 2 7 4 4" xfId="27612" xr:uid="{00000000-0005-0000-0000-0000D8680000}"/>
    <cellStyle name="Normal 5 3 2 7 5" xfId="6644" xr:uid="{00000000-0005-0000-0000-0000D9680000}"/>
    <cellStyle name="Normal 5 3 2 7 5 2" xfId="15471" xr:uid="{00000000-0005-0000-0000-0000DA680000}"/>
    <cellStyle name="Normal 5 3 2 7 5 2 2" xfId="41026" xr:uid="{00000000-0005-0000-0000-0000DB680000}"/>
    <cellStyle name="Normal 5 3 2 7 5 3" xfId="25722" xr:uid="{00000000-0005-0000-0000-0000DC680000}"/>
    <cellStyle name="Normal 5 3 2 7 5 3 2" xfId="51275" xr:uid="{00000000-0005-0000-0000-0000DD680000}"/>
    <cellStyle name="Normal 5 3 2 7 5 4" xfId="32205" xr:uid="{00000000-0005-0000-0000-0000DE680000}"/>
    <cellStyle name="Normal 5 3 2 7 6" xfId="8090" xr:uid="{00000000-0005-0000-0000-0000DF680000}"/>
    <cellStyle name="Normal 5 3 2 7 6 2" xfId="20480" xr:uid="{00000000-0005-0000-0000-0000E0680000}"/>
    <cellStyle name="Normal 5 3 2 7 6 2 2" xfId="46033" xr:uid="{00000000-0005-0000-0000-0000E1680000}"/>
    <cellStyle name="Normal 5 3 2 7 6 3" xfId="33647" xr:uid="{00000000-0005-0000-0000-0000E2680000}"/>
    <cellStyle name="Normal 5 3 2 7 7" xfId="16122" xr:uid="{00000000-0005-0000-0000-0000E3680000}"/>
    <cellStyle name="Normal 5 3 2 7 7 2" xfId="41675" xr:uid="{00000000-0005-0000-0000-0000E4680000}"/>
    <cellStyle name="Normal 5 3 2 7 8" xfId="26963" xr:uid="{00000000-0005-0000-0000-0000E5680000}"/>
    <cellStyle name="Normal 5 3 2 8" xfId="2651" xr:uid="{00000000-0005-0000-0000-0000E6680000}"/>
    <cellStyle name="Normal 5 3 2 8 2" xfId="11972" xr:uid="{00000000-0005-0000-0000-0000E7680000}"/>
    <cellStyle name="Normal 5 3 2 8 2 2" xfId="22012" xr:uid="{00000000-0005-0000-0000-0000E8680000}"/>
    <cellStyle name="Normal 5 3 2 8 2 2 2" xfId="47565" xr:uid="{00000000-0005-0000-0000-0000E9680000}"/>
    <cellStyle name="Normal 5 3 2 8 2 3" xfId="37527" xr:uid="{00000000-0005-0000-0000-0000EA680000}"/>
    <cellStyle name="Normal 5 3 2 8 3" xfId="8412" xr:uid="{00000000-0005-0000-0000-0000EB680000}"/>
    <cellStyle name="Normal 5 3 2 8 3 2" xfId="33969" xr:uid="{00000000-0005-0000-0000-0000EC680000}"/>
    <cellStyle name="Normal 5 3 2 8 4" xfId="17005" xr:uid="{00000000-0005-0000-0000-0000ED680000}"/>
    <cellStyle name="Normal 5 3 2 8 4 2" xfId="42558" xr:uid="{00000000-0005-0000-0000-0000EE680000}"/>
    <cellStyle name="Normal 5 3 2 8 5" xfId="28495" xr:uid="{00000000-0005-0000-0000-0000EF680000}"/>
    <cellStyle name="Normal 5 3 2 9" xfId="4143" xr:uid="{00000000-0005-0000-0000-0000F0680000}"/>
    <cellStyle name="Normal 5 3 2 9 2" xfId="12981" xr:uid="{00000000-0005-0000-0000-0000F1680000}"/>
    <cellStyle name="Normal 5 3 2 9 2 2" xfId="23232" xr:uid="{00000000-0005-0000-0000-0000F2680000}"/>
    <cellStyle name="Normal 5 3 2 9 2 2 2" xfId="48785" xr:uid="{00000000-0005-0000-0000-0000F3680000}"/>
    <cellStyle name="Normal 5 3 2 9 2 3" xfId="38536" xr:uid="{00000000-0005-0000-0000-0000F4680000}"/>
    <cellStyle name="Normal 5 3 2 9 3" xfId="9402" xr:uid="{00000000-0005-0000-0000-0000F5680000}"/>
    <cellStyle name="Normal 5 3 2 9 3 2" xfId="34959" xr:uid="{00000000-0005-0000-0000-0000F6680000}"/>
    <cellStyle name="Normal 5 3 2 9 4" xfId="18225" xr:uid="{00000000-0005-0000-0000-0000F7680000}"/>
    <cellStyle name="Normal 5 3 2 9 4 2" xfId="43778" xr:uid="{00000000-0005-0000-0000-0000F8680000}"/>
    <cellStyle name="Normal 5 3 2 9 5" xfId="29715" xr:uid="{00000000-0005-0000-0000-0000F9680000}"/>
    <cellStyle name="Normal 5 3 2_Degree data" xfId="3865" xr:uid="{00000000-0005-0000-0000-0000FA680000}"/>
    <cellStyle name="Normal 5 3 3" xfId="199" xr:uid="{00000000-0005-0000-0000-0000FB680000}"/>
    <cellStyle name="Normal 5 3 3 10" xfId="7145" xr:uid="{00000000-0005-0000-0000-0000FC680000}"/>
    <cellStyle name="Normal 5 3 3 10 2" xfId="19654" xr:uid="{00000000-0005-0000-0000-0000FD680000}"/>
    <cellStyle name="Normal 5 3 3 10 2 2" xfId="45207" xr:uid="{00000000-0005-0000-0000-0000FE680000}"/>
    <cellStyle name="Normal 5 3 3 10 3" xfId="32702" xr:uid="{00000000-0005-0000-0000-0000FF680000}"/>
    <cellStyle name="Normal 5 3 3 11" xfId="15891" xr:uid="{00000000-0005-0000-0000-000000690000}"/>
    <cellStyle name="Normal 5 3 3 11 2" xfId="41444" xr:uid="{00000000-0005-0000-0000-000001690000}"/>
    <cellStyle name="Normal 5 3 3 12" xfId="26137" xr:uid="{00000000-0005-0000-0000-000002690000}"/>
    <cellStyle name="Normal 5 3 3 2" xfId="525" xr:uid="{00000000-0005-0000-0000-000003690000}"/>
    <cellStyle name="Normal 5 3 3 2 10" xfId="26454" xr:uid="{00000000-0005-0000-0000-000004690000}"/>
    <cellStyle name="Normal 5 3 3 2 2" xfId="803" xr:uid="{00000000-0005-0000-0000-000005690000}"/>
    <cellStyle name="Normal 5 3 3 2 2 2" xfId="3288" xr:uid="{00000000-0005-0000-0000-000006690000}"/>
    <cellStyle name="Normal 5 3 3 2 2 2 2" xfId="12430" xr:uid="{00000000-0005-0000-0000-000007690000}"/>
    <cellStyle name="Normal 5 3 3 2 2 2 2 2" xfId="22649" xr:uid="{00000000-0005-0000-0000-000008690000}"/>
    <cellStyle name="Normal 5 3 3 2 2 2 2 2 2" xfId="48202" xr:uid="{00000000-0005-0000-0000-000009690000}"/>
    <cellStyle name="Normal 5 3 3 2 2 2 2 3" xfId="37985" xr:uid="{00000000-0005-0000-0000-00000A690000}"/>
    <cellStyle name="Normal 5 3 3 2 2 2 3" xfId="8852" xr:uid="{00000000-0005-0000-0000-00000B690000}"/>
    <cellStyle name="Normal 5 3 3 2 2 2 3 2" xfId="34409" xr:uid="{00000000-0005-0000-0000-00000C690000}"/>
    <cellStyle name="Normal 5 3 3 2 2 2 4" xfId="17642" xr:uid="{00000000-0005-0000-0000-00000D690000}"/>
    <cellStyle name="Normal 5 3 3 2 2 2 4 2" xfId="43195" xr:uid="{00000000-0005-0000-0000-00000E690000}"/>
    <cellStyle name="Normal 5 3 3 2 2 2 5" xfId="29132" xr:uid="{00000000-0005-0000-0000-00000F690000}"/>
    <cellStyle name="Normal 5 3 3 2 2 3" xfId="4617" xr:uid="{00000000-0005-0000-0000-000010690000}"/>
    <cellStyle name="Normal 5 3 3 2 2 3 2" xfId="13455" xr:uid="{00000000-0005-0000-0000-000011690000}"/>
    <cellStyle name="Normal 5 3 3 2 2 3 2 2" xfId="23706" xr:uid="{00000000-0005-0000-0000-000012690000}"/>
    <cellStyle name="Normal 5 3 3 2 2 3 2 2 2" xfId="49259" xr:uid="{00000000-0005-0000-0000-000013690000}"/>
    <cellStyle name="Normal 5 3 3 2 2 3 2 3" xfId="39010" xr:uid="{00000000-0005-0000-0000-000014690000}"/>
    <cellStyle name="Normal 5 3 3 2 2 3 3" xfId="9876" xr:uid="{00000000-0005-0000-0000-000015690000}"/>
    <cellStyle name="Normal 5 3 3 2 2 3 3 2" xfId="35433" xr:uid="{00000000-0005-0000-0000-000016690000}"/>
    <cellStyle name="Normal 5 3 3 2 2 3 4" xfId="18699" xr:uid="{00000000-0005-0000-0000-000017690000}"/>
    <cellStyle name="Normal 5 3 3 2 2 3 4 2" xfId="44252" xr:uid="{00000000-0005-0000-0000-000018690000}"/>
    <cellStyle name="Normal 5 3 3 2 2 3 5" xfId="30189" xr:uid="{00000000-0005-0000-0000-000019690000}"/>
    <cellStyle name="Normal 5 3 3 2 2 4" xfId="2397" xr:uid="{00000000-0005-0000-0000-00001A690000}"/>
    <cellStyle name="Normal 5 3 3 2 2 4 2" xfId="11762" xr:uid="{00000000-0005-0000-0000-00001B690000}"/>
    <cellStyle name="Normal 5 3 3 2 2 4 2 2" xfId="37317" xr:uid="{00000000-0005-0000-0000-00001C690000}"/>
    <cellStyle name="Normal 5 3 3 2 2 4 3" xfId="21766" xr:uid="{00000000-0005-0000-0000-00001D690000}"/>
    <cellStyle name="Normal 5 3 3 2 2 4 3 2" xfId="47319" xr:uid="{00000000-0005-0000-0000-00001E690000}"/>
    <cellStyle name="Normal 5 3 3 2 2 4 4" xfId="28249" xr:uid="{00000000-0005-0000-0000-00001F690000}"/>
    <cellStyle name="Normal 5 3 3 2 2 5" xfId="6073" xr:uid="{00000000-0005-0000-0000-000020690000}"/>
    <cellStyle name="Normal 5 3 3 2 2 5 2" xfId="14900" xr:uid="{00000000-0005-0000-0000-000021690000}"/>
    <cellStyle name="Normal 5 3 3 2 2 5 2 2" xfId="40455" xr:uid="{00000000-0005-0000-0000-000022690000}"/>
    <cellStyle name="Normal 5 3 3 2 2 5 3" xfId="25151" xr:uid="{00000000-0005-0000-0000-000023690000}"/>
    <cellStyle name="Normal 5 3 3 2 2 5 3 2" xfId="50704" xr:uid="{00000000-0005-0000-0000-000024690000}"/>
    <cellStyle name="Normal 5 3 3 2 2 5 4" xfId="31634" xr:uid="{00000000-0005-0000-0000-000025690000}"/>
    <cellStyle name="Normal 5 3 3 2 2 6" xfId="7518" xr:uid="{00000000-0005-0000-0000-000026690000}"/>
    <cellStyle name="Normal 5 3 3 2 2 6 2" xfId="20248" xr:uid="{00000000-0005-0000-0000-000027690000}"/>
    <cellStyle name="Normal 5 3 3 2 2 6 2 2" xfId="45801" xr:uid="{00000000-0005-0000-0000-000028690000}"/>
    <cellStyle name="Normal 5 3 3 2 2 6 3" xfId="33075" xr:uid="{00000000-0005-0000-0000-000029690000}"/>
    <cellStyle name="Normal 5 3 3 2 2 7" xfId="16759" xr:uid="{00000000-0005-0000-0000-00002A690000}"/>
    <cellStyle name="Normal 5 3 3 2 2 7 2" xfId="42312" xr:uid="{00000000-0005-0000-0000-00002B690000}"/>
    <cellStyle name="Normal 5 3 3 2 2 8" xfId="26731" xr:uid="{00000000-0005-0000-0000-00002C690000}"/>
    <cellStyle name="Normal 5 3 3 2 3" xfId="1297" xr:uid="{00000000-0005-0000-0000-00002D690000}"/>
    <cellStyle name="Normal 5 3 3 2 3 2" xfId="3726" xr:uid="{00000000-0005-0000-0000-00002E690000}"/>
    <cellStyle name="Normal 5 3 3 2 3 2 2" xfId="12862" xr:uid="{00000000-0005-0000-0000-00002F690000}"/>
    <cellStyle name="Normal 5 3 3 2 3 2 2 2" xfId="23081" xr:uid="{00000000-0005-0000-0000-000030690000}"/>
    <cellStyle name="Normal 5 3 3 2 3 2 2 2 2" xfId="48634" xr:uid="{00000000-0005-0000-0000-000031690000}"/>
    <cellStyle name="Normal 5 3 3 2 3 2 2 3" xfId="38417" xr:uid="{00000000-0005-0000-0000-000032690000}"/>
    <cellStyle name="Normal 5 3 3 2 3 2 3" xfId="9283" xr:uid="{00000000-0005-0000-0000-000033690000}"/>
    <cellStyle name="Normal 5 3 3 2 3 2 3 2" xfId="34840" xr:uid="{00000000-0005-0000-0000-000034690000}"/>
    <cellStyle name="Normal 5 3 3 2 3 2 4" xfId="18074" xr:uid="{00000000-0005-0000-0000-000035690000}"/>
    <cellStyle name="Normal 5 3 3 2 3 2 4 2" xfId="43627" xr:uid="{00000000-0005-0000-0000-000036690000}"/>
    <cellStyle name="Normal 5 3 3 2 3 2 5" xfId="29564" xr:uid="{00000000-0005-0000-0000-000037690000}"/>
    <cellStyle name="Normal 5 3 3 2 3 3" xfId="4966" xr:uid="{00000000-0005-0000-0000-000038690000}"/>
    <cellStyle name="Normal 5 3 3 2 3 3 2" xfId="13803" xr:uid="{00000000-0005-0000-0000-000039690000}"/>
    <cellStyle name="Normal 5 3 3 2 3 3 2 2" xfId="24054" xr:uid="{00000000-0005-0000-0000-00003A690000}"/>
    <cellStyle name="Normal 5 3 3 2 3 3 2 2 2" xfId="49607" xr:uid="{00000000-0005-0000-0000-00003B690000}"/>
    <cellStyle name="Normal 5 3 3 2 3 3 2 3" xfId="39358" xr:uid="{00000000-0005-0000-0000-00003C690000}"/>
    <cellStyle name="Normal 5 3 3 2 3 3 3" xfId="10224" xr:uid="{00000000-0005-0000-0000-00003D690000}"/>
    <cellStyle name="Normal 5 3 3 2 3 3 3 2" xfId="35781" xr:uid="{00000000-0005-0000-0000-00003E690000}"/>
    <cellStyle name="Normal 5 3 3 2 3 3 4" xfId="19047" xr:uid="{00000000-0005-0000-0000-00003F690000}"/>
    <cellStyle name="Normal 5 3 3 2 3 3 4 2" xfId="44600" xr:uid="{00000000-0005-0000-0000-000040690000}"/>
    <cellStyle name="Normal 5 3 3 2 3 3 5" xfId="30537" xr:uid="{00000000-0005-0000-0000-000041690000}"/>
    <cellStyle name="Normal 5 3 3 2 3 4" xfId="2120" xr:uid="{00000000-0005-0000-0000-000042690000}"/>
    <cellStyle name="Normal 5 3 3 2 3 4 2" xfId="11485" xr:uid="{00000000-0005-0000-0000-000043690000}"/>
    <cellStyle name="Normal 5 3 3 2 3 4 2 2" xfId="37040" xr:uid="{00000000-0005-0000-0000-000044690000}"/>
    <cellStyle name="Normal 5 3 3 2 3 4 3" xfId="21489" xr:uid="{00000000-0005-0000-0000-000045690000}"/>
    <cellStyle name="Normal 5 3 3 2 3 4 3 2" xfId="47042" xr:uid="{00000000-0005-0000-0000-000046690000}"/>
    <cellStyle name="Normal 5 3 3 2 3 4 4" xfId="27972" xr:uid="{00000000-0005-0000-0000-000047690000}"/>
    <cellStyle name="Normal 5 3 3 2 3 5" xfId="6421" xr:uid="{00000000-0005-0000-0000-000048690000}"/>
    <cellStyle name="Normal 5 3 3 2 3 5 2" xfId="15248" xr:uid="{00000000-0005-0000-0000-000049690000}"/>
    <cellStyle name="Normal 5 3 3 2 3 5 2 2" xfId="40803" xr:uid="{00000000-0005-0000-0000-00004A690000}"/>
    <cellStyle name="Normal 5 3 3 2 3 5 3" xfId="25499" xr:uid="{00000000-0005-0000-0000-00004B690000}"/>
    <cellStyle name="Normal 5 3 3 2 3 5 3 2" xfId="51052" xr:uid="{00000000-0005-0000-0000-00004C690000}"/>
    <cellStyle name="Normal 5 3 3 2 3 5 4" xfId="31982" xr:uid="{00000000-0005-0000-0000-00004D690000}"/>
    <cellStyle name="Normal 5 3 3 2 3 6" xfId="7867" xr:uid="{00000000-0005-0000-0000-00004E690000}"/>
    <cellStyle name="Normal 5 3 3 2 3 6 2" xfId="20680" xr:uid="{00000000-0005-0000-0000-00004F690000}"/>
    <cellStyle name="Normal 5 3 3 2 3 6 2 2" xfId="46233" xr:uid="{00000000-0005-0000-0000-000050690000}"/>
    <cellStyle name="Normal 5 3 3 2 3 6 3" xfId="33424" xr:uid="{00000000-0005-0000-0000-000051690000}"/>
    <cellStyle name="Normal 5 3 3 2 3 7" xfId="16482" xr:uid="{00000000-0005-0000-0000-000052690000}"/>
    <cellStyle name="Normal 5 3 3 2 3 7 2" xfId="42035" xr:uid="{00000000-0005-0000-0000-000053690000}"/>
    <cellStyle name="Normal 5 3 3 2 3 8" xfId="27163" xr:uid="{00000000-0005-0000-0000-000054690000}"/>
    <cellStyle name="Normal 5 3 3 2 4" xfId="3011" xr:uid="{00000000-0005-0000-0000-000055690000}"/>
    <cellStyle name="Normal 5 3 3 2 4 2" xfId="5389" xr:uid="{00000000-0005-0000-0000-000056690000}"/>
    <cellStyle name="Normal 5 3 3 2 4 2 2" xfId="14226" xr:uid="{00000000-0005-0000-0000-000057690000}"/>
    <cellStyle name="Normal 5 3 3 2 4 2 2 2" xfId="24477" xr:uid="{00000000-0005-0000-0000-000058690000}"/>
    <cellStyle name="Normal 5 3 3 2 4 2 2 2 2" xfId="50030" xr:uid="{00000000-0005-0000-0000-000059690000}"/>
    <cellStyle name="Normal 5 3 3 2 4 2 2 3" xfId="39781" xr:uid="{00000000-0005-0000-0000-00005A690000}"/>
    <cellStyle name="Normal 5 3 3 2 4 2 3" xfId="10647" xr:uid="{00000000-0005-0000-0000-00005B690000}"/>
    <cellStyle name="Normal 5 3 3 2 4 2 3 2" xfId="36204" xr:uid="{00000000-0005-0000-0000-00005C690000}"/>
    <cellStyle name="Normal 5 3 3 2 4 2 4" xfId="19470" xr:uid="{00000000-0005-0000-0000-00005D690000}"/>
    <cellStyle name="Normal 5 3 3 2 4 2 4 2" xfId="45023" xr:uid="{00000000-0005-0000-0000-00005E690000}"/>
    <cellStyle name="Normal 5 3 3 2 4 2 5" xfId="30960" xr:uid="{00000000-0005-0000-0000-00005F690000}"/>
    <cellStyle name="Normal 5 3 3 2 4 3" xfId="6844" xr:uid="{00000000-0005-0000-0000-000060690000}"/>
    <cellStyle name="Normal 5 3 3 2 4 3 2" xfId="15671" xr:uid="{00000000-0005-0000-0000-000061690000}"/>
    <cellStyle name="Normal 5 3 3 2 4 3 2 2" xfId="41226" xr:uid="{00000000-0005-0000-0000-000062690000}"/>
    <cellStyle name="Normal 5 3 3 2 4 3 3" xfId="25922" xr:uid="{00000000-0005-0000-0000-000063690000}"/>
    <cellStyle name="Normal 5 3 3 2 4 3 3 2" xfId="51475" xr:uid="{00000000-0005-0000-0000-000064690000}"/>
    <cellStyle name="Normal 5 3 3 2 4 3 4" xfId="32405" xr:uid="{00000000-0005-0000-0000-000065690000}"/>
    <cellStyle name="Normal 5 3 3 2 4 4" xfId="8290" xr:uid="{00000000-0005-0000-0000-000066690000}"/>
    <cellStyle name="Normal 5 3 3 2 4 4 2" xfId="22372" xr:uid="{00000000-0005-0000-0000-000067690000}"/>
    <cellStyle name="Normal 5 3 3 2 4 4 2 2" xfId="47925" xr:uid="{00000000-0005-0000-0000-000068690000}"/>
    <cellStyle name="Normal 5 3 3 2 4 4 3" xfId="33847" xr:uid="{00000000-0005-0000-0000-000069690000}"/>
    <cellStyle name="Normal 5 3 3 2 4 5" xfId="17365" xr:uid="{00000000-0005-0000-0000-00006A690000}"/>
    <cellStyle name="Normal 5 3 3 2 4 5 2" xfId="42918" xr:uid="{00000000-0005-0000-0000-00006B690000}"/>
    <cellStyle name="Normal 5 3 3 2 4 6" xfId="28855" xr:uid="{00000000-0005-0000-0000-00006C690000}"/>
    <cellStyle name="Normal 5 3 3 2 5" xfId="4345" xr:uid="{00000000-0005-0000-0000-00006D690000}"/>
    <cellStyle name="Normal 5 3 3 2 5 2" xfId="13183" xr:uid="{00000000-0005-0000-0000-00006E690000}"/>
    <cellStyle name="Normal 5 3 3 2 5 2 2" xfId="23434" xr:uid="{00000000-0005-0000-0000-00006F690000}"/>
    <cellStyle name="Normal 5 3 3 2 5 2 2 2" xfId="48987" xr:uid="{00000000-0005-0000-0000-000070690000}"/>
    <cellStyle name="Normal 5 3 3 2 5 2 3" xfId="38738" xr:uid="{00000000-0005-0000-0000-000071690000}"/>
    <cellStyle name="Normal 5 3 3 2 5 3" xfId="9604" xr:uid="{00000000-0005-0000-0000-000072690000}"/>
    <cellStyle name="Normal 5 3 3 2 5 3 2" xfId="35161" xr:uid="{00000000-0005-0000-0000-000073690000}"/>
    <cellStyle name="Normal 5 3 3 2 5 4" xfId="18427" xr:uid="{00000000-0005-0000-0000-000074690000}"/>
    <cellStyle name="Normal 5 3 3 2 5 4 2" xfId="43980" xr:uid="{00000000-0005-0000-0000-000075690000}"/>
    <cellStyle name="Normal 5 3 3 2 5 5" xfId="29917" xr:uid="{00000000-0005-0000-0000-000076690000}"/>
    <cellStyle name="Normal 5 3 3 2 6" xfId="1617" xr:uid="{00000000-0005-0000-0000-000077690000}"/>
    <cellStyle name="Normal 5 3 3 2 6 2" xfId="10994" xr:uid="{00000000-0005-0000-0000-000078690000}"/>
    <cellStyle name="Normal 5 3 3 2 6 2 2" xfId="36549" xr:uid="{00000000-0005-0000-0000-000079690000}"/>
    <cellStyle name="Normal 5 3 3 2 6 3" xfId="20998" xr:uid="{00000000-0005-0000-0000-00007A690000}"/>
    <cellStyle name="Normal 5 3 3 2 6 3 2" xfId="46551" xr:uid="{00000000-0005-0000-0000-00007B690000}"/>
    <cellStyle name="Normal 5 3 3 2 6 4" xfId="27481" xr:uid="{00000000-0005-0000-0000-00007C690000}"/>
    <cellStyle name="Normal 5 3 3 2 7" xfId="5801" xr:uid="{00000000-0005-0000-0000-00007D690000}"/>
    <cellStyle name="Normal 5 3 3 2 7 2" xfId="14628" xr:uid="{00000000-0005-0000-0000-00007E690000}"/>
    <cellStyle name="Normal 5 3 3 2 7 2 2" xfId="40183" xr:uid="{00000000-0005-0000-0000-00007F690000}"/>
    <cellStyle name="Normal 5 3 3 2 7 3" xfId="24879" xr:uid="{00000000-0005-0000-0000-000080690000}"/>
    <cellStyle name="Normal 5 3 3 2 7 3 2" xfId="50432" xr:uid="{00000000-0005-0000-0000-000081690000}"/>
    <cellStyle name="Normal 5 3 3 2 7 4" xfId="31362" xr:uid="{00000000-0005-0000-0000-000082690000}"/>
    <cellStyle name="Normal 5 3 3 2 8" xfId="7245" xr:uid="{00000000-0005-0000-0000-000083690000}"/>
    <cellStyle name="Normal 5 3 3 2 8 2" xfId="19971" xr:uid="{00000000-0005-0000-0000-000084690000}"/>
    <cellStyle name="Normal 5 3 3 2 8 2 2" xfId="45524" xr:uid="{00000000-0005-0000-0000-000085690000}"/>
    <cellStyle name="Normal 5 3 3 2 8 3" xfId="32802" xr:uid="{00000000-0005-0000-0000-000086690000}"/>
    <cellStyle name="Normal 5 3 3 2 9" xfId="15991" xr:uid="{00000000-0005-0000-0000-000087690000}"/>
    <cellStyle name="Normal 5 3 3 2 9 2" xfId="41544" xr:uid="{00000000-0005-0000-0000-000088690000}"/>
    <cellStyle name="Normal 5 3 3 2_Degree data" xfId="3823" xr:uid="{00000000-0005-0000-0000-000089690000}"/>
    <cellStyle name="Normal 5 3 3 3" xfId="425" xr:uid="{00000000-0005-0000-0000-00008A690000}"/>
    <cellStyle name="Normal 5 3 3 3 2" xfId="2911" xr:uid="{00000000-0005-0000-0000-00008B690000}"/>
    <cellStyle name="Normal 5 3 3 3 2 2" xfId="12199" xr:uid="{00000000-0005-0000-0000-00008C690000}"/>
    <cellStyle name="Normal 5 3 3 3 2 2 2" xfId="22272" xr:uid="{00000000-0005-0000-0000-00008D690000}"/>
    <cellStyle name="Normal 5 3 3 3 2 2 2 2" xfId="47825" xr:uid="{00000000-0005-0000-0000-00008E690000}"/>
    <cellStyle name="Normal 5 3 3 3 2 2 3" xfId="37754" xr:uid="{00000000-0005-0000-0000-00008F690000}"/>
    <cellStyle name="Normal 5 3 3 3 2 3" xfId="8510" xr:uid="{00000000-0005-0000-0000-000090690000}"/>
    <cellStyle name="Normal 5 3 3 3 2 3 2" xfId="34067" xr:uid="{00000000-0005-0000-0000-000091690000}"/>
    <cellStyle name="Normal 5 3 3 3 2 4" xfId="17265" xr:uid="{00000000-0005-0000-0000-000092690000}"/>
    <cellStyle name="Normal 5 3 3 3 2 4 2" xfId="42818" xr:uid="{00000000-0005-0000-0000-000093690000}"/>
    <cellStyle name="Normal 5 3 3 3 2 5" xfId="28755" xr:uid="{00000000-0005-0000-0000-000094690000}"/>
    <cellStyle name="Normal 5 3 3 3 3" xfId="4616" xr:uid="{00000000-0005-0000-0000-000095690000}"/>
    <cellStyle name="Normal 5 3 3 3 3 2" xfId="13454" xr:uid="{00000000-0005-0000-0000-000096690000}"/>
    <cellStyle name="Normal 5 3 3 3 3 2 2" xfId="23705" xr:uid="{00000000-0005-0000-0000-000097690000}"/>
    <cellStyle name="Normal 5 3 3 3 3 2 2 2" xfId="49258" xr:uid="{00000000-0005-0000-0000-000098690000}"/>
    <cellStyle name="Normal 5 3 3 3 3 2 3" xfId="39009" xr:uid="{00000000-0005-0000-0000-000099690000}"/>
    <cellStyle name="Normal 5 3 3 3 3 3" xfId="9875" xr:uid="{00000000-0005-0000-0000-00009A690000}"/>
    <cellStyle name="Normal 5 3 3 3 3 3 2" xfId="35432" xr:uid="{00000000-0005-0000-0000-00009B690000}"/>
    <cellStyle name="Normal 5 3 3 3 3 4" xfId="18698" xr:uid="{00000000-0005-0000-0000-00009C690000}"/>
    <cellStyle name="Normal 5 3 3 3 3 4 2" xfId="44251" xr:uid="{00000000-0005-0000-0000-00009D690000}"/>
    <cellStyle name="Normal 5 3 3 3 3 5" xfId="30188" xr:uid="{00000000-0005-0000-0000-00009E690000}"/>
    <cellStyle name="Normal 5 3 3 3 4" xfId="2020" xr:uid="{00000000-0005-0000-0000-00009F690000}"/>
    <cellStyle name="Normal 5 3 3 3 4 2" xfId="11385" xr:uid="{00000000-0005-0000-0000-0000A0690000}"/>
    <cellStyle name="Normal 5 3 3 3 4 2 2" xfId="36940" xr:uid="{00000000-0005-0000-0000-0000A1690000}"/>
    <cellStyle name="Normal 5 3 3 3 4 3" xfId="21389" xr:uid="{00000000-0005-0000-0000-0000A2690000}"/>
    <cellStyle name="Normal 5 3 3 3 4 3 2" xfId="46942" xr:uid="{00000000-0005-0000-0000-0000A3690000}"/>
    <cellStyle name="Normal 5 3 3 3 4 4" xfId="27872" xr:uid="{00000000-0005-0000-0000-0000A4690000}"/>
    <cellStyle name="Normal 5 3 3 3 5" xfId="6072" xr:uid="{00000000-0005-0000-0000-0000A5690000}"/>
    <cellStyle name="Normal 5 3 3 3 5 2" xfId="14899" xr:uid="{00000000-0005-0000-0000-0000A6690000}"/>
    <cellStyle name="Normal 5 3 3 3 5 2 2" xfId="40454" xr:uid="{00000000-0005-0000-0000-0000A7690000}"/>
    <cellStyle name="Normal 5 3 3 3 5 3" xfId="25150" xr:uid="{00000000-0005-0000-0000-0000A8690000}"/>
    <cellStyle name="Normal 5 3 3 3 5 3 2" xfId="50703" xr:uid="{00000000-0005-0000-0000-0000A9690000}"/>
    <cellStyle name="Normal 5 3 3 3 5 4" xfId="31633" xr:uid="{00000000-0005-0000-0000-0000AA690000}"/>
    <cellStyle name="Normal 5 3 3 3 6" xfId="7517" xr:uid="{00000000-0005-0000-0000-0000AB690000}"/>
    <cellStyle name="Normal 5 3 3 3 6 2" xfId="19871" xr:uid="{00000000-0005-0000-0000-0000AC690000}"/>
    <cellStyle name="Normal 5 3 3 3 6 2 2" xfId="45424" xr:uid="{00000000-0005-0000-0000-0000AD690000}"/>
    <cellStyle name="Normal 5 3 3 3 6 3" xfId="33074" xr:uid="{00000000-0005-0000-0000-0000AE690000}"/>
    <cellStyle name="Normal 5 3 3 3 7" xfId="16382" xr:uid="{00000000-0005-0000-0000-0000AF690000}"/>
    <cellStyle name="Normal 5 3 3 3 7 2" xfId="41935" xr:uid="{00000000-0005-0000-0000-0000B0690000}"/>
    <cellStyle name="Normal 5 3 3 3 8" xfId="26354" xr:uid="{00000000-0005-0000-0000-0000B1690000}"/>
    <cellStyle name="Normal 5 3 3 4" xfId="802" xr:uid="{00000000-0005-0000-0000-0000B2690000}"/>
    <cellStyle name="Normal 5 3 3 4 2" xfId="3287" xr:uid="{00000000-0005-0000-0000-0000B3690000}"/>
    <cellStyle name="Normal 5 3 3 4 2 2" xfId="12429" xr:uid="{00000000-0005-0000-0000-0000B4690000}"/>
    <cellStyle name="Normal 5 3 3 4 2 2 2" xfId="22648" xr:uid="{00000000-0005-0000-0000-0000B5690000}"/>
    <cellStyle name="Normal 5 3 3 4 2 2 2 2" xfId="48201" xr:uid="{00000000-0005-0000-0000-0000B6690000}"/>
    <cellStyle name="Normal 5 3 3 4 2 2 3" xfId="37984" xr:uid="{00000000-0005-0000-0000-0000B7690000}"/>
    <cellStyle name="Normal 5 3 3 4 2 3" xfId="8851" xr:uid="{00000000-0005-0000-0000-0000B8690000}"/>
    <cellStyle name="Normal 5 3 3 4 2 3 2" xfId="34408" xr:uid="{00000000-0005-0000-0000-0000B9690000}"/>
    <cellStyle name="Normal 5 3 3 4 2 4" xfId="17641" xr:uid="{00000000-0005-0000-0000-0000BA690000}"/>
    <cellStyle name="Normal 5 3 3 4 2 4 2" xfId="43194" xr:uid="{00000000-0005-0000-0000-0000BB690000}"/>
    <cellStyle name="Normal 5 3 3 4 2 5" xfId="29131" xr:uid="{00000000-0005-0000-0000-0000BC690000}"/>
    <cellStyle name="Normal 5 3 3 4 3" xfId="4965" xr:uid="{00000000-0005-0000-0000-0000BD690000}"/>
    <cellStyle name="Normal 5 3 3 4 3 2" xfId="13802" xr:uid="{00000000-0005-0000-0000-0000BE690000}"/>
    <cellStyle name="Normal 5 3 3 4 3 2 2" xfId="24053" xr:uid="{00000000-0005-0000-0000-0000BF690000}"/>
    <cellStyle name="Normal 5 3 3 4 3 2 2 2" xfId="49606" xr:uid="{00000000-0005-0000-0000-0000C0690000}"/>
    <cellStyle name="Normal 5 3 3 4 3 2 3" xfId="39357" xr:uid="{00000000-0005-0000-0000-0000C1690000}"/>
    <cellStyle name="Normal 5 3 3 4 3 3" xfId="10223" xr:uid="{00000000-0005-0000-0000-0000C2690000}"/>
    <cellStyle name="Normal 5 3 3 4 3 3 2" xfId="35780" xr:uid="{00000000-0005-0000-0000-0000C3690000}"/>
    <cellStyle name="Normal 5 3 3 4 3 4" xfId="19046" xr:uid="{00000000-0005-0000-0000-0000C4690000}"/>
    <cellStyle name="Normal 5 3 3 4 3 4 2" xfId="44599" xr:uid="{00000000-0005-0000-0000-0000C5690000}"/>
    <cellStyle name="Normal 5 3 3 4 3 5" xfId="30536" xr:uid="{00000000-0005-0000-0000-0000C6690000}"/>
    <cellStyle name="Normal 5 3 3 4 4" xfId="2396" xr:uid="{00000000-0005-0000-0000-0000C7690000}"/>
    <cellStyle name="Normal 5 3 3 4 4 2" xfId="11761" xr:uid="{00000000-0005-0000-0000-0000C8690000}"/>
    <cellStyle name="Normal 5 3 3 4 4 2 2" xfId="37316" xr:uid="{00000000-0005-0000-0000-0000C9690000}"/>
    <cellStyle name="Normal 5 3 3 4 4 3" xfId="21765" xr:uid="{00000000-0005-0000-0000-0000CA690000}"/>
    <cellStyle name="Normal 5 3 3 4 4 3 2" xfId="47318" xr:uid="{00000000-0005-0000-0000-0000CB690000}"/>
    <cellStyle name="Normal 5 3 3 4 4 4" xfId="28248" xr:uid="{00000000-0005-0000-0000-0000CC690000}"/>
    <cellStyle name="Normal 5 3 3 4 5" xfId="6420" xr:uid="{00000000-0005-0000-0000-0000CD690000}"/>
    <cellStyle name="Normal 5 3 3 4 5 2" xfId="15247" xr:uid="{00000000-0005-0000-0000-0000CE690000}"/>
    <cellStyle name="Normal 5 3 3 4 5 2 2" xfId="40802" xr:uid="{00000000-0005-0000-0000-0000CF690000}"/>
    <cellStyle name="Normal 5 3 3 4 5 3" xfId="25498" xr:uid="{00000000-0005-0000-0000-0000D0690000}"/>
    <cellStyle name="Normal 5 3 3 4 5 3 2" xfId="51051" xr:uid="{00000000-0005-0000-0000-0000D1690000}"/>
    <cellStyle name="Normal 5 3 3 4 5 4" xfId="31981" xr:uid="{00000000-0005-0000-0000-0000D2690000}"/>
    <cellStyle name="Normal 5 3 3 4 6" xfId="7866" xr:uid="{00000000-0005-0000-0000-0000D3690000}"/>
    <cellStyle name="Normal 5 3 3 4 6 2" xfId="20247" xr:uid="{00000000-0005-0000-0000-0000D4690000}"/>
    <cellStyle name="Normal 5 3 3 4 6 2 2" xfId="45800" xr:uid="{00000000-0005-0000-0000-0000D5690000}"/>
    <cellStyle name="Normal 5 3 3 4 6 3" xfId="33423" xr:uid="{00000000-0005-0000-0000-0000D6690000}"/>
    <cellStyle name="Normal 5 3 3 4 7" xfId="16758" xr:uid="{00000000-0005-0000-0000-0000D7690000}"/>
    <cellStyle name="Normal 5 3 3 4 7 2" xfId="42311" xr:uid="{00000000-0005-0000-0000-0000D8690000}"/>
    <cellStyle name="Normal 5 3 3 4 8" xfId="26730" xr:uid="{00000000-0005-0000-0000-0000D9690000}"/>
    <cellStyle name="Normal 5 3 3 5" xfId="1197" xr:uid="{00000000-0005-0000-0000-0000DA690000}"/>
    <cellStyle name="Normal 5 3 3 5 2" xfId="3626" xr:uid="{00000000-0005-0000-0000-0000DB690000}"/>
    <cellStyle name="Normal 5 3 3 5 2 2" xfId="12762" xr:uid="{00000000-0005-0000-0000-0000DC690000}"/>
    <cellStyle name="Normal 5 3 3 5 2 2 2" xfId="22981" xr:uid="{00000000-0005-0000-0000-0000DD690000}"/>
    <cellStyle name="Normal 5 3 3 5 2 2 2 2" xfId="48534" xr:uid="{00000000-0005-0000-0000-0000DE690000}"/>
    <cellStyle name="Normal 5 3 3 5 2 2 3" xfId="38317" xr:uid="{00000000-0005-0000-0000-0000DF690000}"/>
    <cellStyle name="Normal 5 3 3 5 2 3" xfId="9183" xr:uid="{00000000-0005-0000-0000-0000E0690000}"/>
    <cellStyle name="Normal 5 3 3 5 2 3 2" xfId="34740" xr:uid="{00000000-0005-0000-0000-0000E1690000}"/>
    <cellStyle name="Normal 5 3 3 5 2 4" xfId="17974" xr:uid="{00000000-0005-0000-0000-0000E2690000}"/>
    <cellStyle name="Normal 5 3 3 5 2 4 2" xfId="43527" xr:uid="{00000000-0005-0000-0000-0000E3690000}"/>
    <cellStyle name="Normal 5 3 3 5 2 5" xfId="29464" xr:uid="{00000000-0005-0000-0000-0000E4690000}"/>
    <cellStyle name="Normal 5 3 3 5 3" xfId="5289" xr:uid="{00000000-0005-0000-0000-0000E5690000}"/>
    <cellStyle name="Normal 5 3 3 5 3 2" xfId="14126" xr:uid="{00000000-0005-0000-0000-0000E6690000}"/>
    <cellStyle name="Normal 5 3 3 5 3 2 2" xfId="24377" xr:uid="{00000000-0005-0000-0000-0000E7690000}"/>
    <cellStyle name="Normal 5 3 3 5 3 2 2 2" xfId="49930" xr:uid="{00000000-0005-0000-0000-0000E8690000}"/>
    <cellStyle name="Normal 5 3 3 5 3 2 3" xfId="39681" xr:uid="{00000000-0005-0000-0000-0000E9690000}"/>
    <cellStyle name="Normal 5 3 3 5 3 3" xfId="10547" xr:uid="{00000000-0005-0000-0000-0000EA690000}"/>
    <cellStyle name="Normal 5 3 3 5 3 3 2" xfId="36104" xr:uid="{00000000-0005-0000-0000-0000EB690000}"/>
    <cellStyle name="Normal 5 3 3 5 3 4" xfId="19370" xr:uid="{00000000-0005-0000-0000-0000EC690000}"/>
    <cellStyle name="Normal 5 3 3 5 3 4 2" xfId="44923" xr:uid="{00000000-0005-0000-0000-0000ED690000}"/>
    <cellStyle name="Normal 5 3 3 5 3 5" xfId="30860" xr:uid="{00000000-0005-0000-0000-0000EE690000}"/>
    <cellStyle name="Normal 5 3 3 5 4" xfId="1800" xr:uid="{00000000-0005-0000-0000-0000EF690000}"/>
    <cellStyle name="Normal 5 3 3 5 4 2" xfId="11168" xr:uid="{00000000-0005-0000-0000-0000F0690000}"/>
    <cellStyle name="Normal 5 3 3 5 4 2 2" xfId="36723" xr:uid="{00000000-0005-0000-0000-0000F1690000}"/>
    <cellStyle name="Normal 5 3 3 5 4 3" xfId="21172" xr:uid="{00000000-0005-0000-0000-0000F2690000}"/>
    <cellStyle name="Normal 5 3 3 5 4 3 2" xfId="46725" xr:uid="{00000000-0005-0000-0000-0000F3690000}"/>
    <cellStyle name="Normal 5 3 3 5 4 4" xfId="27655" xr:uid="{00000000-0005-0000-0000-0000F4690000}"/>
    <cellStyle name="Normal 5 3 3 5 5" xfId="6744" xr:uid="{00000000-0005-0000-0000-0000F5690000}"/>
    <cellStyle name="Normal 5 3 3 5 5 2" xfId="15571" xr:uid="{00000000-0005-0000-0000-0000F6690000}"/>
    <cellStyle name="Normal 5 3 3 5 5 2 2" xfId="41126" xr:uid="{00000000-0005-0000-0000-0000F7690000}"/>
    <cellStyle name="Normal 5 3 3 5 5 3" xfId="25822" xr:uid="{00000000-0005-0000-0000-0000F8690000}"/>
    <cellStyle name="Normal 5 3 3 5 5 3 2" xfId="51375" xr:uid="{00000000-0005-0000-0000-0000F9690000}"/>
    <cellStyle name="Normal 5 3 3 5 5 4" xfId="32305" xr:uid="{00000000-0005-0000-0000-0000FA690000}"/>
    <cellStyle name="Normal 5 3 3 5 6" xfId="8190" xr:uid="{00000000-0005-0000-0000-0000FB690000}"/>
    <cellStyle name="Normal 5 3 3 5 6 2" xfId="20580" xr:uid="{00000000-0005-0000-0000-0000FC690000}"/>
    <cellStyle name="Normal 5 3 3 5 6 2 2" xfId="46133" xr:uid="{00000000-0005-0000-0000-0000FD690000}"/>
    <cellStyle name="Normal 5 3 3 5 6 3" xfId="33747" xr:uid="{00000000-0005-0000-0000-0000FE690000}"/>
    <cellStyle name="Normal 5 3 3 5 7" xfId="16165" xr:uid="{00000000-0005-0000-0000-0000FF690000}"/>
    <cellStyle name="Normal 5 3 3 5 7 2" xfId="41718" xr:uid="{00000000-0005-0000-0000-0000006A0000}"/>
    <cellStyle name="Normal 5 3 3 5 8" xfId="27063" xr:uid="{00000000-0005-0000-0000-0000016A0000}"/>
    <cellStyle name="Normal 5 3 3 6" xfId="2694" xr:uid="{00000000-0005-0000-0000-0000026A0000}"/>
    <cellStyle name="Normal 5 3 3 6 2" xfId="12011" xr:uid="{00000000-0005-0000-0000-0000036A0000}"/>
    <cellStyle name="Normal 5 3 3 6 2 2" xfId="22055" xr:uid="{00000000-0005-0000-0000-0000046A0000}"/>
    <cellStyle name="Normal 5 3 3 6 2 2 2" xfId="47608" xr:uid="{00000000-0005-0000-0000-0000056A0000}"/>
    <cellStyle name="Normal 5 3 3 6 2 3" xfId="37566" xr:uid="{00000000-0005-0000-0000-0000066A0000}"/>
    <cellStyle name="Normal 5 3 3 6 3" xfId="8553" xr:uid="{00000000-0005-0000-0000-0000076A0000}"/>
    <cellStyle name="Normal 5 3 3 6 3 2" xfId="34110" xr:uid="{00000000-0005-0000-0000-0000086A0000}"/>
    <cellStyle name="Normal 5 3 3 6 4" xfId="17048" xr:uid="{00000000-0005-0000-0000-0000096A0000}"/>
    <cellStyle name="Normal 5 3 3 6 4 2" xfId="42601" xr:uid="{00000000-0005-0000-0000-00000A6A0000}"/>
    <cellStyle name="Normal 5 3 3 6 5" xfId="28538" xr:uid="{00000000-0005-0000-0000-00000B6A0000}"/>
    <cellStyle name="Normal 5 3 3 7" xfId="4245" xr:uid="{00000000-0005-0000-0000-00000C6A0000}"/>
    <cellStyle name="Normal 5 3 3 7 2" xfId="13083" xr:uid="{00000000-0005-0000-0000-00000D6A0000}"/>
    <cellStyle name="Normal 5 3 3 7 2 2" xfId="23334" xr:uid="{00000000-0005-0000-0000-00000E6A0000}"/>
    <cellStyle name="Normal 5 3 3 7 2 2 2" xfId="48887" xr:uid="{00000000-0005-0000-0000-00000F6A0000}"/>
    <cellStyle name="Normal 5 3 3 7 2 3" xfId="38638" xr:uid="{00000000-0005-0000-0000-0000106A0000}"/>
    <cellStyle name="Normal 5 3 3 7 3" xfId="9504" xr:uid="{00000000-0005-0000-0000-0000116A0000}"/>
    <cellStyle name="Normal 5 3 3 7 3 2" xfId="35061" xr:uid="{00000000-0005-0000-0000-0000126A0000}"/>
    <cellStyle name="Normal 5 3 3 7 4" xfId="18327" xr:uid="{00000000-0005-0000-0000-0000136A0000}"/>
    <cellStyle name="Normal 5 3 3 7 4 2" xfId="43880" xr:uid="{00000000-0005-0000-0000-0000146A0000}"/>
    <cellStyle name="Normal 5 3 3 7 5" xfId="29817" xr:uid="{00000000-0005-0000-0000-0000156A0000}"/>
    <cellStyle name="Normal 5 3 3 8" xfId="1517" xr:uid="{00000000-0005-0000-0000-0000166A0000}"/>
    <cellStyle name="Normal 5 3 3 8 2" xfId="10894" xr:uid="{00000000-0005-0000-0000-0000176A0000}"/>
    <cellStyle name="Normal 5 3 3 8 2 2" xfId="36449" xr:uid="{00000000-0005-0000-0000-0000186A0000}"/>
    <cellStyle name="Normal 5 3 3 8 3" xfId="20898" xr:uid="{00000000-0005-0000-0000-0000196A0000}"/>
    <cellStyle name="Normal 5 3 3 8 3 2" xfId="46451" xr:uid="{00000000-0005-0000-0000-00001A6A0000}"/>
    <cellStyle name="Normal 5 3 3 8 4" xfId="27381" xr:uid="{00000000-0005-0000-0000-00001B6A0000}"/>
    <cellStyle name="Normal 5 3 3 9" xfId="5701" xr:uid="{00000000-0005-0000-0000-00001C6A0000}"/>
    <cellStyle name="Normal 5 3 3 9 2" xfId="14528" xr:uid="{00000000-0005-0000-0000-00001D6A0000}"/>
    <cellStyle name="Normal 5 3 3 9 2 2" xfId="40083" xr:uid="{00000000-0005-0000-0000-00001E6A0000}"/>
    <cellStyle name="Normal 5 3 3 9 3" xfId="24779" xr:uid="{00000000-0005-0000-0000-00001F6A0000}"/>
    <cellStyle name="Normal 5 3 3 9 3 2" xfId="50332" xr:uid="{00000000-0005-0000-0000-0000206A0000}"/>
    <cellStyle name="Normal 5 3 3 9 4" xfId="31262" xr:uid="{00000000-0005-0000-0000-0000216A0000}"/>
    <cellStyle name="Normal 5 3 3_Degree data" xfId="3843" xr:uid="{00000000-0005-0000-0000-0000226A0000}"/>
    <cellStyle name="Normal 5 3 4" xfId="229" xr:uid="{00000000-0005-0000-0000-0000236A0000}"/>
    <cellStyle name="Normal 5 3 4 10" xfId="7067" xr:uid="{00000000-0005-0000-0000-0000246A0000}"/>
    <cellStyle name="Normal 5 3 4 10 2" xfId="19681" xr:uid="{00000000-0005-0000-0000-0000256A0000}"/>
    <cellStyle name="Normal 5 3 4 10 2 2" xfId="45234" xr:uid="{00000000-0005-0000-0000-0000266A0000}"/>
    <cellStyle name="Normal 5 3 4 10 3" xfId="32624" xr:uid="{00000000-0005-0000-0000-0000276A0000}"/>
    <cellStyle name="Normal 5 3 4 11" xfId="15813" xr:uid="{00000000-0005-0000-0000-0000286A0000}"/>
    <cellStyle name="Normal 5 3 4 11 2" xfId="41366" xr:uid="{00000000-0005-0000-0000-0000296A0000}"/>
    <cellStyle name="Normal 5 3 4 12" xfId="26164" xr:uid="{00000000-0005-0000-0000-00002A6A0000}"/>
    <cellStyle name="Normal 5 3 4 2" xfId="552" xr:uid="{00000000-0005-0000-0000-00002B6A0000}"/>
    <cellStyle name="Normal 5 3 4 2 10" xfId="26481" xr:uid="{00000000-0005-0000-0000-00002C6A0000}"/>
    <cellStyle name="Normal 5 3 4 2 2" xfId="805" xr:uid="{00000000-0005-0000-0000-00002D6A0000}"/>
    <cellStyle name="Normal 5 3 4 2 2 2" xfId="3290" xr:uid="{00000000-0005-0000-0000-00002E6A0000}"/>
    <cellStyle name="Normal 5 3 4 2 2 2 2" xfId="12432" xr:uid="{00000000-0005-0000-0000-00002F6A0000}"/>
    <cellStyle name="Normal 5 3 4 2 2 2 2 2" xfId="22651" xr:uid="{00000000-0005-0000-0000-0000306A0000}"/>
    <cellStyle name="Normal 5 3 4 2 2 2 2 2 2" xfId="48204" xr:uid="{00000000-0005-0000-0000-0000316A0000}"/>
    <cellStyle name="Normal 5 3 4 2 2 2 2 3" xfId="37987" xr:uid="{00000000-0005-0000-0000-0000326A0000}"/>
    <cellStyle name="Normal 5 3 4 2 2 2 3" xfId="8854" xr:uid="{00000000-0005-0000-0000-0000336A0000}"/>
    <cellStyle name="Normal 5 3 4 2 2 2 3 2" xfId="34411" xr:uid="{00000000-0005-0000-0000-0000346A0000}"/>
    <cellStyle name="Normal 5 3 4 2 2 2 4" xfId="17644" xr:uid="{00000000-0005-0000-0000-0000356A0000}"/>
    <cellStyle name="Normal 5 3 4 2 2 2 4 2" xfId="43197" xr:uid="{00000000-0005-0000-0000-0000366A0000}"/>
    <cellStyle name="Normal 5 3 4 2 2 2 5" xfId="29134" xr:uid="{00000000-0005-0000-0000-0000376A0000}"/>
    <cellStyle name="Normal 5 3 4 2 2 3" xfId="4619" xr:uid="{00000000-0005-0000-0000-0000386A0000}"/>
    <cellStyle name="Normal 5 3 4 2 2 3 2" xfId="13457" xr:uid="{00000000-0005-0000-0000-0000396A0000}"/>
    <cellStyle name="Normal 5 3 4 2 2 3 2 2" xfId="23708" xr:uid="{00000000-0005-0000-0000-00003A6A0000}"/>
    <cellStyle name="Normal 5 3 4 2 2 3 2 2 2" xfId="49261" xr:uid="{00000000-0005-0000-0000-00003B6A0000}"/>
    <cellStyle name="Normal 5 3 4 2 2 3 2 3" xfId="39012" xr:uid="{00000000-0005-0000-0000-00003C6A0000}"/>
    <cellStyle name="Normal 5 3 4 2 2 3 3" xfId="9878" xr:uid="{00000000-0005-0000-0000-00003D6A0000}"/>
    <cellStyle name="Normal 5 3 4 2 2 3 3 2" xfId="35435" xr:uid="{00000000-0005-0000-0000-00003E6A0000}"/>
    <cellStyle name="Normal 5 3 4 2 2 3 4" xfId="18701" xr:uid="{00000000-0005-0000-0000-00003F6A0000}"/>
    <cellStyle name="Normal 5 3 4 2 2 3 4 2" xfId="44254" xr:uid="{00000000-0005-0000-0000-0000406A0000}"/>
    <cellStyle name="Normal 5 3 4 2 2 3 5" xfId="30191" xr:uid="{00000000-0005-0000-0000-0000416A0000}"/>
    <cellStyle name="Normal 5 3 4 2 2 4" xfId="2399" xr:uid="{00000000-0005-0000-0000-0000426A0000}"/>
    <cellStyle name="Normal 5 3 4 2 2 4 2" xfId="11764" xr:uid="{00000000-0005-0000-0000-0000436A0000}"/>
    <cellStyle name="Normal 5 3 4 2 2 4 2 2" xfId="37319" xr:uid="{00000000-0005-0000-0000-0000446A0000}"/>
    <cellStyle name="Normal 5 3 4 2 2 4 3" xfId="21768" xr:uid="{00000000-0005-0000-0000-0000456A0000}"/>
    <cellStyle name="Normal 5 3 4 2 2 4 3 2" xfId="47321" xr:uid="{00000000-0005-0000-0000-0000466A0000}"/>
    <cellStyle name="Normal 5 3 4 2 2 4 4" xfId="28251" xr:uid="{00000000-0005-0000-0000-0000476A0000}"/>
    <cellStyle name="Normal 5 3 4 2 2 5" xfId="6075" xr:uid="{00000000-0005-0000-0000-0000486A0000}"/>
    <cellStyle name="Normal 5 3 4 2 2 5 2" xfId="14902" xr:uid="{00000000-0005-0000-0000-0000496A0000}"/>
    <cellStyle name="Normal 5 3 4 2 2 5 2 2" xfId="40457" xr:uid="{00000000-0005-0000-0000-00004A6A0000}"/>
    <cellStyle name="Normal 5 3 4 2 2 5 3" xfId="25153" xr:uid="{00000000-0005-0000-0000-00004B6A0000}"/>
    <cellStyle name="Normal 5 3 4 2 2 5 3 2" xfId="50706" xr:uid="{00000000-0005-0000-0000-00004C6A0000}"/>
    <cellStyle name="Normal 5 3 4 2 2 5 4" xfId="31636" xr:uid="{00000000-0005-0000-0000-00004D6A0000}"/>
    <cellStyle name="Normal 5 3 4 2 2 6" xfId="7520" xr:uid="{00000000-0005-0000-0000-00004E6A0000}"/>
    <cellStyle name="Normal 5 3 4 2 2 6 2" xfId="20250" xr:uid="{00000000-0005-0000-0000-00004F6A0000}"/>
    <cellStyle name="Normal 5 3 4 2 2 6 2 2" xfId="45803" xr:uid="{00000000-0005-0000-0000-0000506A0000}"/>
    <cellStyle name="Normal 5 3 4 2 2 6 3" xfId="33077" xr:uid="{00000000-0005-0000-0000-0000516A0000}"/>
    <cellStyle name="Normal 5 3 4 2 2 7" xfId="16761" xr:uid="{00000000-0005-0000-0000-0000526A0000}"/>
    <cellStyle name="Normal 5 3 4 2 2 7 2" xfId="42314" xr:uid="{00000000-0005-0000-0000-0000536A0000}"/>
    <cellStyle name="Normal 5 3 4 2 2 8" xfId="26733" xr:uid="{00000000-0005-0000-0000-0000546A0000}"/>
    <cellStyle name="Normal 5 3 4 2 3" xfId="1324" xr:uid="{00000000-0005-0000-0000-0000556A0000}"/>
    <cellStyle name="Normal 5 3 4 2 3 2" xfId="3753" xr:uid="{00000000-0005-0000-0000-0000566A0000}"/>
    <cellStyle name="Normal 5 3 4 2 3 2 2" xfId="12889" xr:uid="{00000000-0005-0000-0000-0000576A0000}"/>
    <cellStyle name="Normal 5 3 4 2 3 2 2 2" xfId="23108" xr:uid="{00000000-0005-0000-0000-0000586A0000}"/>
    <cellStyle name="Normal 5 3 4 2 3 2 2 2 2" xfId="48661" xr:uid="{00000000-0005-0000-0000-0000596A0000}"/>
    <cellStyle name="Normal 5 3 4 2 3 2 2 3" xfId="38444" xr:uid="{00000000-0005-0000-0000-00005A6A0000}"/>
    <cellStyle name="Normal 5 3 4 2 3 2 3" xfId="9310" xr:uid="{00000000-0005-0000-0000-00005B6A0000}"/>
    <cellStyle name="Normal 5 3 4 2 3 2 3 2" xfId="34867" xr:uid="{00000000-0005-0000-0000-00005C6A0000}"/>
    <cellStyle name="Normal 5 3 4 2 3 2 4" xfId="18101" xr:uid="{00000000-0005-0000-0000-00005D6A0000}"/>
    <cellStyle name="Normal 5 3 4 2 3 2 4 2" xfId="43654" xr:uid="{00000000-0005-0000-0000-00005E6A0000}"/>
    <cellStyle name="Normal 5 3 4 2 3 2 5" xfId="29591" xr:uid="{00000000-0005-0000-0000-00005F6A0000}"/>
    <cellStyle name="Normal 5 3 4 2 3 3" xfId="4968" xr:uid="{00000000-0005-0000-0000-0000606A0000}"/>
    <cellStyle name="Normal 5 3 4 2 3 3 2" xfId="13805" xr:uid="{00000000-0005-0000-0000-0000616A0000}"/>
    <cellStyle name="Normal 5 3 4 2 3 3 2 2" xfId="24056" xr:uid="{00000000-0005-0000-0000-0000626A0000}"/>
    <cellStyle name="Normal 5 3 4 2 3 3 2 2 2" xfId="49609" xr:uid="{00000000-0005-0000-0000-0000636A0000}"/>
    <cellStyle name="Normal 5 3 4 2 3 3 2 3" xfId="39360" xr:uid="{00000000-0005-0000-0000-0000646A0000}"/>
    <cellStyle name="Normal 5 3 4 2 3 3 3" xfId="10226" xr:uid="{00000000-0005-0000-0000-0000656A0000}"/>
    <cellStyle name="Normal 5 3 4 2 3 3 3 2" xfId="35783" xr:uid="{00000000-0005-0000-0000-0000666A0000}"/>
    <cellStyle name="Normal 5 3 4 2 3 3 4" xfId="19049" xr:uid="{00000000-0005-0000-0000-0000676A0000}"/>
    <cellStyle name="Normal 5 3 4 2 3 3 4 2" xfId="44602" xr:uid="{00000000-0005-0000-0000-0000686A0000}"/>
    <cellStyle name="Normal 5 3 4 2 3 3 5" xfId="30539" xr:uid="{00000000-0005-0000-0000-0000696A0000}"/>
    <cellStyle name="Normal 5 3 4 2 3 4" xfId="2147" xr:uid="{00000000-0005-0000-0000-00006A6A0000}"/>
    <cellStyle name="Normal 5 3 4 2 3 4 2" xfId="11512" xr:uid="{00000000-0005-0000-0000-00006B6A0000}"/>
    <cellStyle name="Normal 5 3 4 2 3 4 2 2" xfId="37067" xr:uid="{00000000-0005-0000-0000-00006C6A0000}"/>
    <cellStyle name="Normal 5 3 4 2 3 4 3" xfId="21516" xr:uid="{00000000-0005-0000-0000-00006D6A0000}"/>
    <cellStyle name="Normal 5 3 4 2 3 4 3 2" xfId="47069" xr:uid="{00000000-0005-0000-0000-00006E6A0000}"/>
    <cellStyle name="Normal 5 3 4 2 3 4 4" xfId="27999" xr:uid="{00000000-0005-0000-0000-00006F6A0000}"/>
    <cellStyle name="Normal 5 3 4 2 3 5" xfId="6423" xr:uid="{00000000-0005-0000-0000-0000706A0000}"/>
    <cellStyle name="Normal 5 3 4 2 3 5 2" xfId="15250" xr:uid="{00000000-0005-0000-0000-0000716A0000}"/>
    <cellStyle name="Normal 5 3 4 2 3 5 2 2" xfId="40805" xr:uid="{00000000-0005-0000-0000-0000726A0000}"/>
    <cellStyle name="Normal 5 3 4 2 3 5 3" xfId="25501" xr:uid="{00000000-0005-0000-0000-0000736A0000}"/>
    <cellStyle name="Normal 5 3 4 2 3 5 3 2" xfId="51054" xr:uid="{00000000-0005-0000-0000-0000746A0000}"/>
    <cellStyle name="Normal 5 3 4 2 3 5 4" xfId="31984" xr:uid="{00000000-0005-0000-0000-0000756A0000}"/>
    <cellStyle name="Normal 5 3 4 2 3 6" xfId="7869" xr:uid="{00000000-0005-0000-0000-0000766A0000}"/>
    <cellStyle name="Normal 5 3 4 2 3 6 2" xfId="20707" xr:uid="{00000000-0005-0000-0000-0000776A0000}"/>
    <cellStyle name="Normal 5 3 4 2 3 6 2 2" xfId="46260" xr:uid="{00000000-0005-0000-0000-0000786A0000}"/>
    <cellStyle name="Normal 5 3 4 2 3 6 3" xfId="33426" xr:uid="{00000000-0005-0000-0000-0000796A0000}"/>
    <cellStyle name="Normal 5 3 4 2 3 7" xfId="16509" xr:uid="{00000000-0005-0000-0000-00007A6A0000}"/>
    <cellStyle name="Normal 5 3 4 2 3 7 2" xfId="42062" xr:uid="{00000000-0005-0000-0000-00007B6A0000}"/>
    <cellStyle name="Normal 5 3 4 2 3 8" xfId="27190" xr:uid="{00000000-0005-0000-0000-00007C6A0000}"/>
    <cellStyle name="Normal 5 3 4 2 4" xfId="3038" xr:uid="{00000000-0005-0000-0000-00007D6A0000}"/>
    <cellStyle name="Normal 5 3 4 2 4 2" xfId="5416" xr:uid="{00000000-0005-0000-0000-00007E6A0000}"/>
    <cellStyle name="Normal 5 3 4 2 4 2 2" xfId="14253" xr:uid="{00000000-0005-0000-0000-00007F6A0000}"/>
    <cellStyle name="Normal 5 3 4 2 4 2 2 2" xfId="24504" xr:uid="{00000000-0005-0000-0000-0000806A0000}"/>
    <cellStyle name="Normal 5 3 4 2 4 2 2 2 2" xfId="50057" xr:uid="{00000000-0005-0000-0000-0000816A0000}"/>
    <cellStyle name="Normal 5 3 4 2 4 2 2 3" xfId="39808" xr:uid="{00000000-0005-0000-0000-0000826A0000}"/>
    <cellStyle name="Normal 5 3 4 2 4 2 3" xfId="10674" xr:uid="{00000000-0005-0000-0000-0000836A0000}"/>
    <cellStyle name="Normal 5 3 4 2 4 2 3 2" xfId="36231" xr:uid="{00000000-0005-0000-0000-0000846A0000}"/>
    <cellStyle name="Normal 5 3 4 2 4 2 4" xfId="19497" xr:uid="{00000000-0005-0000-0000-0000856A0000}"/>
    <cellStyle name="Normal 5 3 4 2 4 2 4 2" xfId="45050" xr:uid="{00000000-0005-0000-0000-0000866A0000}"/>
    <cellStyle name="Normal 5 3 4 2 4 2 5" xfId="30987" xr:uid="{00000000-0005-0000-0000-0000876A0000}"/>
    <cellStyle name="Normal 5 3 4 2 4 3" xfId="6871" xr:uid="{00000000-0005-0000-0000-0000886A0000}"/>
    <cellStyle name="Normal 5 3 4 2 4 3 2" xfId="15698" xr:uid="{00000000-0005-0000-0000-0000896A0000}"/>
    <cellStyle name="Normal 5 3 4 2 4 3 2 2" xfId="41253" xr:uid="{00000000-0005-0000-0000-00008A6A0000}"/>
    <cellStyle name="Normal 5 3 4 2 4 3 3" xfId="25949" xr:uid="{00000000-0005-0000-0000-00008B6A0000}"/>
    <cellStyle name="Normal 5 3 4 2 4 3 3 2" xfId="51502" xr:uid="{00000000-0005-0000-0000-00008C6A0000}"/>
    <cellStyle name="Normal 5 3 4 2 4 3 4" xfId="32432" xr:uid="{00000000-0005-0000-0000-00008D6A0000}"/>
    <cellStyle name="Normal 5 3 4 2 4 4" xfId="8317" xr:uid="{00000000-0005-0000-0000-00008E6A0000}"/>
    <cellStyle name="Normal 5 3 4 2 4 4 2" xfId="22399" xr:uid="{00000000-0005-0000-0000-00008F6A0000}"/>
    <cellStyle name="Normal 5 3 4 2 4 4 2 2" xfId="47952" xr:uid="{00000000-0005-0000-0000-0000906A0000}"/>
    <cellStyle name="Normal 5 3 4 2 4 4 3" xfId="33874" xr:uid="{00000000-0005-0000-0000-0000916A0000}"/>
    <cellStyle name="Normal 5 3 4 2 4 5" xfId="17392" xr:uid="{00000000-0005-0000-0000-0000926A0000}"/>
    <cellStyle name="Normal 5 3 4 2 4 5 2" xfId="42945" xr:uid="{00000000-0005-0000-0000-0000936A0000}"/>
    <cellStyle name="Normal 5 3 4 2 4 6" xfId="28882" xr:uid="{00000000-0005-0000-0000-0000946A0000}"/>
    <cellStyle name="Normal 5 3 4 2 5" xfId="4372" xr:uid="{00000000-0005-0000-0000-0000956A0000}"/>
    <cellStyle name="Normal 5 3 4 2 5 2" xfId="13210" xr:uid="{00000000-0005-0000-0000-0000966A0000}"/>
    <cellStyle name="Normal 5 3 4 2 5 2 2" xfId="23461" xr:uid="{00000000-0005-0000-0000-0000976A0000}"/>
    <cellStyle name="Normal 5 3 4 2 5 2 2 2" xfId="49014" xr:uid="{00000000-0005-0000-0000-0000986A0000}"/>
    <cellStyle name="Normal 5 3 4 2 5 2 3" xfId="38765" xr:uid="{00000000-0005-0000-0000-0000996A0000}"/>
    <cellStyle name="Normal 5 3 4 2 5 3" xfId="9631" xr:uid="{00000000-0005-0000-0000-00009A6A0000}"/>
    <cellStyle name="Normal 5 3 4 2 5 3 2" xfId="35188" xr:uid="{00000000-0005-0000-0000-00009B6A0000}"/>
    <cellStyle name="Normal 5 3 4 2 5 4" xfId="18454" xr:uid="{00000000-0005-0000-0000-00009C6A0000}"/>
    <cellStyle name="Normal 5 3 4 2 5 4 2" xfId="44007" xr:uid="{00000000-0005-0000-0000-00009D6A0000}"/>
    <cellStyle name="Normal 5 3 4 2 5 5" xfId="29944" xr:uid="{00000000-0005-0000-0000-00009E6A0000}"/>
    <cellStyle name="Normal 5 3 4 2 6" xfId="1644" xr:uid="{00000000-0005-0000-0000-00009F6A0000}"/>
    <cellStyle name="Normal 5 3 4 2 6 2" xfId="11021" xr:uid="{00000000-0005-0000-0000-0000A06A0000}"/>
    <cellStyle name="Normal 5 3 4 2 6 2 2" xfId="36576" xr:uid="{00000000-0005-0000-0000-0000A16A0000}"/>
    <cellStyle name="Normal 5 3 4 2 6 3" xfId="21025" xr:uid="{00000000-0005-0000-0000-0000A26A0000}"/>
    <cellStyle name="Normal 5 3 4 2 6 3 2" xfId="46578" xr:uid="{00000000-0005-0000-0000-0000A36A0000}"/>
    <cellStyle name="Normal 5 3 4 2 6 4" xfId="27508" xr:uid="{00000000-0005-0000-0000-0000A46A0000}"/>
    <cellStyle name="Normal 5 3 4 2 7" xfId="5828" xr:uid="{00000000-0005-0000-0000-0000A56A0000}"/>
    <cellStyle name="Normal 5 3 4 2 7 2" xfId="14655" xr:uid="{00000000-0005-0000-0000-0000A66A0000}"/>
    <cellStyle name="Normal 5 3 4 2 7 2 2" xfId="40210" xr:uid="{00000000-0005-0000-0000-0000A76A0000}"/>
    <cellStyle name="Normal 5 3 4 2 7 3" xfId="24906" xr:uid="{00000000-0005-0000-0000-0000A86A0000}"/>
    <cellStyle name="Normal 5 3 4 2 7 3 2" xfId="50459" xr:uid="{00000000-0005-0000-0000-0000A96A0000}"/>
    <cellStyle name="Normal 5 3 4 2 7 4" xfId="31389" xr:uid="{00000000-0005-0000-0000-0000AA6A0000}"/>
    <cellStyle name="Normal 5 3 4 2 8" xfId="7272" xr:uid="{00000000-0005-0000-0000-0000AB6A0000}"/>
    <cellStyle name="Normal 5 3 4 2 8 2" xfId="19998" xr:uid="{00000000-0005-0000-0000-0000AC6A0000}"/>
    <cellStyle name="Normal 5 3 4 2 8 2 2" xfId="45551" xr:uid="{00000000-0005-0000-0000-0000AD6A0000}"/>
    <cellStyle name="Normal 5 3 4 2 8 3" xfId="32829" xr:uid="{00000000-0005-0000-0000-0000AE6A0000}"/>
    <cellStyle name="Normal 5 3 4 2 9" xfId="16018" xr:uid="{00000000-0005-0000-0000-0000AF6A0000}"/>
    <cellStyle name="Normal 5 3 4 2 9 2" xfId="41571" xr:uid="{00000000-0005-0000-0000-0000B06A0000}"/>
    <cellStyle name="Normal 5 3 4 2_Degree data" xfId="3912" xr:uid="{00000000-0005-0000-0000-0000B16A0000}"/>
    <cellStyle name="Normal 5 3 4 3" xfId="347" xr:uid="{00000000-0005-0000-0000-0000B26A0000}"/>
    <cellStyle name="Normal 5 3 4 3 2" xfId="2833" xr:uid="{00000000-0005-0000-0000-0000B36A0000}"/>
    <cellStyle name="Normal 5 3 4 3 2 2" xfId="12121" xr:uid="{00000000-0005-0000-0000-0000B46A0000}"/>
    <cellStyle name="Normal 5 3 4 3 2 2 2" xfId="22194" xr:uid="{00000000-0005-0000-0000-0000B56A0000}"/>
    <cellStyle name="Normal 5 3 4 3 2 2 2 2" xfId="47747" xr:uid="{00000000-0005-0000-0000-0000B66A0000}"/>
    <cellStyle name="Normal 5 3 4 3 2 2 3" xfId="37676" xr:uid="{00000000-0005-0000-0000-0000B76A0000}"/>
    <cellStyle name="Normal 5 3 4 3 2 3" xfId="8526" xr:uid="{00000000-0005-0000-0000-0000B86A0000}"/>
    <cellStyle name="Normal 5 3 4 3 2 3 2" xfId="34083" xr:uid="{00000000-0005-0000-0000-0000B96A0000}"/>
    <cellStyle name="Normal 5 3 4 3 2 4" xfId="17187" xr:uid="{00000000-0005-0000-0000-0000BA6A0000}"/>
    <cellStyle name="Normal 5 3 4 3 2 4 2" xfId="42740" xr:uid="{00000000-0005-0000-0000-0000BB6A0000}"/>
    <cellStyle name="Normal 5 3 4 3 2 5" xfId="28677" xr:uid="{00000000-0005-0000-0000-0000BC6A0000}"/>
    <cellStyle name="Normal 5 3 4 3 3" xfId="4618" xr:uid="{00000000-0005-0000-0000-0000BD6A0000}"/>
    <cellStyle name="Normal 5 3 4 3 3 2" xfId="13456" xr:uid="{00000000-0005-0000-0000-0000BE6A0000}"/>
    <cellStyle name="Normal 5 3 4 3 3 2 2" xfId="23707" xr:uid="{00000000-0005-0000-0000-0000BF6A0000}"/>
    <cellStyle name="Normal 5 3 4 3 3 2 2 2" xfId="49260" xr:uid="{00000000-0005-0000-0000-0000C06A0000}"/>
    <cellStyle name="Normal 5 3 4 3 3 2 3" xfId="39011" xr:uid="{00000000-0005-0000-0000-0000C16A0000}"/>
    <cellStyle name="Normal 5 3 4 3 3 3" xfId="9877" xr:uid="{00000000-0005-0000-0000-0000C26A0000}"/>
    <cellStyle name="Normal 5 3 4 3 3 3 2" xfId="35434" xr:uid="{00000000-0005-0000-0000-0000C36A0000}"/>
    <cellStyle name="Normal 5 3 4 3 3 4" xfId="18700" xr:uid="{00000000-0005-0000-0000-0000C46A0000}"/>
    <cellStyle name="Normal 5 3 4 3 3 4 2" xfId="44253" xr:uid="{00000000-0005-0000-0000-0000C56A0000}"/>
    <cellStyle name="Normal 5 3 4 3 3 5" xfId="30190" xr:uid="{00000000-0005-0000-0000-0000C66A0000}"/>
    <cellStyle name="Normal 5 3 4 3 4" xfId="1942" xr:uid="{00000000-0005-0000-0000-0000C76A0000}"/>
    <cellStyle name="Normal 5 3 4 3 4 2" xfId="11307" xr:uid="{00000000-0005-0000-0000-0000C86A0000}"/>
    <cellStyle name="Normal 5 3 4 3 4 2 2" xfId="36862" xr:uid="{00000000-0005-0000-0000-0000C96A0000}"/>
    <cellStyle name="Normal 5 3 4 3 4 3" xfId="21311" xr:uid="{00000000-0005-0000-0000-0000CA6A0000}"/>
    <cellStyle name="Normal 5 3 4 3 4 3 2" xfId="46864" xr:uid="{00000000-0005-0000-0000-0000CB6A0000}"/>
    <cellStyle name="Normal 5 3 4 3 4 4" xfId="27794" xr:uid="{00000000-0005-0000-0000-0000CC6A0000}"/>
    <cellStyle name="Normal 5 3 4 3 5" xfId="6074" xr:uid="{00000000-0005-0000-0000-0000CD6A0000}"/>
    <cellStyle name="Normal 5 3 4 3 5 2" xfId="14901" xr:uid="{00000000-0005-0000-0000-0000CE6A0000}"/>
    <cellStyle name="Normal 5 3 4 3 5 2 2" xfId="40456" xr:uid="{00000000-0005-0000-0000-0000CF6A0000}"/>
    <cellStyle name="Normal 5 3 4 3 5 3" xfId="25152" xr:uid="{00000000-0005-0000-0000-0000D06A0000}"/>
    <cellStyle name="Normal 5 3 4 3 5 3 2" xfId="50705" xr:uid="{00000000-0005-0000-0000-0000D16A0000}"/>
    <cellStyle name="Normal 5 3 4 3 5 4" xfId="31635" xr:uid="{00000000-0005-0000-0000-0000D26A0000}"/>
    <cellStyle name="Normal 5 3 4 3 6" xfId="7519" xr:uid="{00000000-0005-0000-0000-0000D36A0000}"/>
    <cellStyle name="Normal 5 3 4 3 6 2" xfId="19793" xr:uid="{00000000-0005-0000-0000-0000D46A0000}"/>
    <cellStyle name="Normal 5 3 4 3 6 2 2" xfId="45346" xr:uid="{00000000-0005-0000-0000-0000D56A0000}"/>
    <cellStyle name="Normal 5 3 4 3 6 3" xfId="33076" xr:uid="{00000000-0005-0000-0000-0000D66A0000}"/>
    <cellStyle name="Normal 5 3 4 3 7" xfId="16304" xr:uid="{00000000-0005-0000-0000-0000D76A0000}"/>
    <cellStyle name="Normal 5 3 4 3 7 2" xfId="41857" xr:uid="{00000000-0005-0000-0000-0000D86A0000}"/>
    <cellStyle name="Normal 5 3 4 3 8" xfId="26276" xr:uid="{00000000-0005-0000-0000-0000D96A0000}"/>
    <cellStyle name="Normal 5 3 4 4" xfId="804" xr:uid="{00000000-0005-0000-0000-0000DA6A0000}"/>
    <cellStyle name="Normal 5 3 4 4 2" xfId="3289" xr:uid="{00000000-0005-0000-0000-0000DB6A0000}"/>
    <cellStyle name="Normal 5 3 4 4 2 2" xfId="12431" xr:uid="{00000000-0005-0000-0000-0000DC6A0000}"/>
    <cellStyle name="Normal 5 3 4 4 2 2 2" xfId="22650" xr:uid="{00000000-0005-0000-0000-0000DD6A0000}"/>
    <cellStyle name="Normal 5 3 4 4 2 2 2 2" xfId="48203" xr:uid="{00000000-0005-0000-0000-0000DE6A0000}"/>
    <cellStyle name="Normal 5 3 4 4 2 2 3" xfId="37986" xr:uid="{00000000-0005-0000-0000-0000DF6A0000}"/>
    <cellStyle name="Normal 5 3 4 4 2 3" xfId="8853" xr:uid="{00000000-0005-0000-0000-0000E06A0000}"/>
    <cellStyle name="Normal 5 3 4 4 2 3 2" xfId="34410" xr:uid="{00000000-0005-0000-0000-0000E16A0000}"/>
    <cellStyle name="Normal 5 3 4 4 2 4" xfId="17643" xr:uid="{00000000-0005-0000-0000-0000E26A0000}"/>
    <cellStyle name="Normal 5 3 4 4 2 4 2" xfId="43196" xr:uid="{00000000-0005-0000-0000-0000E36A0000}"/>
    <cellStyle name="Normal 5 3 4 4 2 5" xfId="29133" xr:uid="{00000000-0005-0000-0000-0000E46A0000}"/>
    <cellStyle name="Normal 5 3 4 4 3" xfId="4967" xr:uid="{00000000-0005-0000-0000-0000E56A0000}"/>
    <cellStyle name="Normal 5 3 4 4 3 2" xfId="13804" xr:uid="{00000000-0005-0000-0000-0000E66A0000}"/>
    <cellStyle name="Normal 5 3 4 4 3 2 2" xfId="24055" xr:uid="{00000000-0005-0000-0000-0000E76A0000}"/>
    <cellStyle name="Normal 5 3 4 4 3 2 2 2" xfId="49608" xr:uid="{00000000-0005-0000-0000-0000E86A0000}"/>
    <cellStyle name="Normal 5 3 4 4 3 2 3" xfId="39359" xr:uid="{00000000-0005-0000-0000-0000E96A0000}"/>
    <cellStyle name="Normal 5 3 4 4 3 3" xfId="10225" xr:uid="{00000000-0005-0000-0000-0000EA6A0000}"/>
    <cellStyle name="Normal 5 3 4 4 3 3 2" xfId="35782" xr:uid="{00000000-0005-0000-0000-0000EB6A0000}"/>
    <cellStyle name="Normal 5 3 4 4 3 4" xfId="19048" xr:uid="{00000000-0005-0000-0000-0000EC6A0000}"/>
    <cellStyle name="Normal 5 3 4 4 3 4 2" xfId="44601" xr:uid="{00000000-0005-0000-0000-0000ED6A0000}"/>
    <cellStyle name="Normal 5 3 4 4 3 5" xfId="30538" xr:uid="{00000000-0005-0000-0000-0000EE6A0000}"/>
    <cellStyle name="Normal 5 3 4 4 4" xfId="2398" xr:uid="{00000000-0005-0000-0000-0000EF6A0000}"/>
    <cellStyle name="Normal 5 3 4 4 4 2" xfId="11763" xr:uid="{00000000-0005-0000-0000-0000F06A0000}"/>
    <cellStyle name="Normal 5 3 4 4 4 2 2" xfId="37318" xr:uid="{00000000-0005-0000-0000-0000F16A0000}"/>
    <cellStyle name="Normal 5 3 4 4 4 3" xfId="21767" xr:uid="{00000000-0005-0000-0000-0000F26A0000}"/>
    <cellStyle name="Normal 5 3 4 4 4 3 2" xfId="47320" xr:uid="{00000000-0005-0000-0000-0000F36A0000}"/>
    <cellStyle name="Normal 5 3 4 4 4 4" xfId="28250" xr:uid="{00000000-0005-0000-0000-0000F46A0000}"/>
    <cellStyle name="Normal 5 3 4 4 5" xfId="6422" xr:uid="{00000000-0005-0000-0000-0000F56A0000}"/>
    <cellStyle name="Normal 5 3 4 4 5 2" xfId="15249" xr:uid="{00000000-0005-0000-0000-0000F66A0000}"/>
    <cellStyle name="Normal 5 3 4 4 5 2 2" xfId="40804" xr:uid="{00000000-0005-0000-0000-0000F76A0000}"/>
    <cellStyle name="Normal 5 3 4 4 5 3" xfId="25500" xr:uid="{00000000-0005-0000-0000-0000F86A0000}"/>
    <cellStyle name="Normal 5 3 4 4 5 3 2" xfId="51053" xr:uid="{00000000-0005-0000-0000-0000F96A0000}"/>
    <cellStyle name="Normal 5 3 4 4 5 4" xfId="31983" xr:uid="{00000000-0005-0000-0000-0000FA6A0000}"/>
    <cellStyle name="Normal 5 3 4 4 6" xfId="7868" xr:uid="{00000000-0005-0000-0000-0000FB6A0000}"/>
    <cellStyle name="Normal 5 3 4 4 6 2" xfId="20249" xr:uid="{00000000-0005-0000-0000-0000FC6A0000}"/>
    <cellStyle name="Normal 5 3 4 4 6 2 2" xfId="45802" xr:uid="{00000000-0005-0000-0000-0000FD6A0000}"/>
    <cellStyle name="Normal 5 3 4 4 6 3" xfId="33425" xr:uid="{00000000-0005-0000-0000-0000FE6A0000}"/>
    <cellStyle name="Normal 5 3 4 4 7" xfId="16760" xr:uid="{00000000-0005-0000-0000-0000FF6A0000}"/>
    <cellStyle name="Normal 5 3 4 4 7 2" xfId="42313" xr:uid="{00000000-0005-0000-0000-0000006B0000}"/>
    <cellStyle name="Normal 5 3 4 4 8" xfId="26732" xr:uid="{00000000-0005-0000-0000-0000016B0000}"/>
    <cellStyle name="Normal 5 3 4 5" xfId="1119" xr:uid="{00000000-0005-0000-0000-0000026B0000}"/>
    <cellStyle name="Normal 5 3 4 5 2" xfId="3548" xr:uid="{00000000-0005-0000-0000-0000036B0000}"/>
    <cellStyle name="Normal 5 3 4 5 2 2" xfId="12684" xr:uid="{00000000-0005-0000-0000-0000046B0000}"/>
    <cellStyle name="Normal 5 3 4 5 2 2 2" xfId="22903" xr:uid="{00000000-0005-0000-0000-0000056B0000}"/>
    <cellStyle name="Normal 5 3 4 5 2 2 2 2" xfId="48456" xr:uid="{00000000-0005-0000-0000-0000066B0000}"/>
    <cellStyle name="Normal 5 3 4 5 2 2 3" xfId="38239" xr:uid="{00000000-0005-0000-0000-0000076B0000}"/>
    <cellStyle name="Normal 5 3 4 5 2 3" xfId="9105" xr:uid="{00000000-0005-0000-0000-0000086B0000}"/>
    <cellStyle name="Normal 5 3 4 5 2 3 2" xfId="34662" xr:uid="{00000000-0005-0000-0000-0000096B0000}"/>
    <cellStyle name="Normal 5 3 4 5 2 4" xfId="17896" xr:uid="{00000000-0005-0000-0000-00000A6B0000}"/>
    <cellStyle name="Normal 5 3 4 5 2 4 2" xfId="43449" xr:uid="{00000000-0005-0000-0000-00000B6B0000}"/>
    <cellStyle name="Normal 5 3 4 5 2 5" xfId="29386" xr:uid="{00000000-0005-0000-0000-00000C6B0000}"/>
    <cellStyle name="Normal 5 3 4 5 3" xfId="5211" xr:uid="{00000000-0005-0000-0000-00000D6B0000}"/>
    <cellStyle name="Normal 5 3 4 5 3 2" xfId="14048" xr:uid="{00000000-0005-0000-0000-00000E6B0000}"/>
    <cellStyle name="Normal 5 3 4 5 3 2 2" xfId="24299" xr:uid="{00000000-0005-0000-0000-00000F6B0000}"/>
    <cellStyle name="Normal 5 3 4 5 3 2 2 2" xfId="49852" xr:uid="{00000000-0005-0000-0000-0000106B0000}"/>
    <cellStyle name="Normal 5 3 4 5 3 2 3" xfId="39603" xr:uid="{00000000-0005-0000-0000-0000116B0000}"/>
    <cellStyle name="Normal 5 3 4 5 3 3" xfId="10469" xr:uid="{00000000-0005-0000-0000-0000126B0000}"/>
    <cellStyle name="Normal 5 3 4 5 3 3 2" xfId="36026" xr:uid="{00000000-0005-0000-0000-0000136B0000}"/>
    <cellStyle name="Normal 5 3 4 5 3 4" xfId="19292" xr:uid="{00000000-0005-0000-0000-0000146B0000}"/>
    <cellStyle name="Normal 5 3 4 5 3 4 2" xfId="44845" xr:uid="{00000000-0005-0000-0000-0000156B0000}"/>
    <cellStyle name="Normal 5 3 4 5 3 5" xfId="30782" xr:uid="{00000000-0005-0000-0000-0000166B0000}"/>
    <cellStyle name="Normal 5 3 4 5 4" xfId="1827" xr:uid="{00000000-0005-0000-0000-0000176B0000}"/>
    <cellStyle name="Normal 5 3 4 5 4 2" xfId="11195" xr:uid="{00000000-0005-0000-0000-0000186B0000}"/>
    <cellStyle name="Normal 5 3 4 5 4 2 2" xfId="36750" xr:uid="{00000000-0005-0000-0000-0000196B0000}"/>
    <cellStyle name="Normal 5 3 4 5 4 3" xfId="21199" xr:uid="{00000000-0005-0000-0000-00001A6B0000}"/>
    <cellStyle name="Normal 5 3 4 5 4 3 2" xfId="46752" xr:uid="{00000000-0005-0000-0000-00001B6B0000}"/>
    <cellStyle name="Normal 5 3 4 5 4 4" xfId="27682" xr:uid="{00000000-0005-0000-0000-00001C6B0000}"/>
    <cellStyle name="Normal 5 3 4 5 5" xfId="6666" xr:uid="{00000000-0005-0000-0000-00001D6B0000}"/>
    <cellStyle name="Normal 5 3 4 5 5 2" xfId="15493" xr:uid="{00000000-0005-0000-0000-00001E6B0000}"/>
    <cellStyle name="Normal 5 3 4 5 5 2 2" xfId="41048" xr:uid="{00000000-0005-0000-0000-00001F6B0000}"/>
    <cellStyle name="Normal 5 3 4 5 5 3" xfId="25744" xr:uid="{00000000-0005-0000-0000-0000206B0000}"/>
    <cellStyle name="Normal 5 3 4 5 5 3 2" xfId="51297" xr:uid="{00000000-0005-0000-0000-0000216B0000}"/>
    <cellStyle name="Normal 5 3 4 5 5 4" xfId="32227" xr:uid="{00000000-0005-0000-0000-0000226B0000}"/>
    <cellStyle name="Normal 5 3 4 5 6" xfId="8112" xr:uid="{00000000-0005-0000-0000-0000236B0000}"/>
    <cellStyle name="Normal 5 3 4 5 6 2" xfId="20502" xr:uid="{00000000-0005-0000-0000-0000246B0000}"/>
    <cellStyle name="Normal 5 3 4 5 6 2 2" xfId="46055" xr:uid="{00000000-0005-0000-0000-0000256B0000}"/>
    <cellStyle name="Normal 5 3 4 5 6 3" xfId="33669" xr:uid="{00000000-0005-0000-0000-0000266B0000}"/>
    <cellStyle name="Normal 5 3 4 5 7" xfId="16192" xr:uid="{00000000-0005-0000-0000-0000276B0000}"/>
    <cellStyle name="Normal 5 3 4 5 7 2" xfId="41745" xr:uid="{00000000-0005-0000-0000-0000286B0000}"/>
    <cellStyle name="Normal 5 3 4 5 8" xfId="26985" xr:uid="{00000000-0005-0000-0000-0000296B0000}"/>
    <cellStyle name="Normal 5 3 4 6" xfId="2721" xr:uid="{00000000-0005-0000-0000-00002A6B0000}"/>
    <cellStyle name="Normal 5 3 4 6 2" xfId="12038" xr:uid="{00000000-0005-0000-0000-00002B6B0000}"/>
    <cellStyle name="Normal 5 3 4 6 2 2" xfId="22082" xr:uid="{00000000-0005-0000-0000-00002C6B0000}"/>
    <cellStyle name="Normal 5 3 4 6 2 2 2" xfId="47635" xr:uid="{00000000-0005-0000-0000-00002D6B0000}"/>
    <cellStyle name="Normal 5 3 4 6 2 3" xfId="37593" xr:uid="{00000000-0005-0000-0000-00002E6B0000}"/>
    <cellStyle name="Normal 5 3 4 6 3" xfId="8633" xr:uid="{00000000-0005-0000-0000-00002F6B0000}"/>
    <cellStyle name="Normal 5 3 4 6 3 2" xfId="34190" xr:uid="{00000000-0005-0000-0000-0000306B0000}"/>
    <cellStyle name="Normal 5 3 4 6 4" xfId="17075" xr:uid="{00000000-0005-0000-0000-0000316B0000}"/>
    <cellStyle name="Normal 5 3 4 6 4 2" xfId="42628" xr:uid="{00000000-0005-0000-0000-0000326B0000}"/>
    <cellStyle name="Normal 5 3 4 6 5" xfId="28565" xr:uid="{00000000-0005-0000-0000-0000336B0000}"/>
    <cellStyle name="Normal 5 3 4 7" xfId="4167" xr:uid="{00000000-0005-0000-0000-0000346B0000}"/>
    <cellStyle name="Normal 5 3 4 7 2" xfId="13005" xr:uid="{00000000-0005-0000-0000-0000356B0000}"/>
    <cellStyle name="Normal 5 3 4 7 2 2" xfId="23256" xr:uid="{00000000-0005-0000-0000-0000366B0000}"/>
    <cellStyle name="Normal 5 3 4 7 2 2 2" xfId="48809" xr:uid="{00000000-0005-0000-0000-0000376B0000}"/>
    <cellStyle name="Normal 5 3 4 7 2 3" xfId="38560" xr:uid="{00000000-0005-0000-0000-0000386B0000}"/>
    <cellStyle name="Normal 5 3 4 7 3" xfId="9426" xr:uid="{00000000-0005-0000-0000-0000396B0000}"/>
    <cellStyle name="Normal 5 3 4 7 3 2" xfId="34983" xr:uid="{00000000-0005-0000-0000-00003A6B0000}"/>
    <cellStyle name="Normal 5 3 4 7 4" xfId="18249" xr:uid="{00000000-0005-0000-0000-00003B6B0000}"/>
    <cellStyle name="Normal 5 3 4 7 4 2" xfId="43802" xr:uid="{00000000-0005-0000-0000-00003C6B0000}"/>
    <cellStyle name="Normal 5 3 4 7 5" xfId="29739" xr:uid="{00000000-0005-0000-0000-00003D6B0000}"/>
    <cellStyle name="Normal 5 3 4 8" xfId="1439" xr:uid="{00000000-0005-0000-0000-00003E6B0000}"/>
    <cellStyle name="Normal 5 3 4 8 2" xfId="10816" xr:uid="{00000000-0005-0000-0000-00003F6B0000}"/>
    <cellStyle name="Normal 5 3 4 8 2 2" xfId="36371" xr:uid="{00000000-0005-0000-0000-0000406B0000}"/>
    <cellStyle name="Normal 5 3 4 8 3" xfId="20820" xr:uid="{00000000-0005-0000-0000-0000416B0000}"/>
    <cellStyle name="Normal 5 3 4 8 3 2" xfId="46373" xr:uid="{00000000-0005-0000-0000-0000426B0000}"/>
    <cellStyle name="Normal 5 3 4 8 4" xfId="27303" xr:uid="{00000000-0005-0000-0000-0000436B0000}"/>
    <cellStyle name="Normal 5 3 4 9" xfId="5623" xr:uid="{00000000-0005-0000-0000-0000446B0000}"/>
    <cellStyle name="Normal 5 3 4 9 2" xfId="14450" xr:uid="{00000000-0005-0000-0000-0000456B0000}"/>
    <cellStyle name="Normal 5 3 4 9 2 2" xfId="40005" xr:uid="{00000000-0005-0000-0000-0000466B0000}"/>
    <cellStyle name="Normal 5 3 4 9 3" xfId="24701" xr:uid="{00000000-0005-0000-0000-0000476B0000}"/>
    <cellStyle name="Normal 5 3 4 9 3 2" xfId="50254" xr:uid="{00000000-0005-0000-0000-0000486B0000}"/>
    <cellStyle name="Normal 5 3 4 9 4" xfId="31184" xr:uid="{00000000-0005-0000-0000-0000496B0000}"/>
    <cellStyle name="Normal 5 3 4_Degree data" xfId="3871" xr:uid="{00000000-0005-0000-0000-00004A6B0000}"/>
    <cellStyle name="Normal 5 3 5" xfId="447" xr:uid="{00000000-0005-0000-0000-00004B6B0000}"/>
    <cellStyle name="Normal 5 3 5 10" xfId="26376" xr:uid="{00000000-0005-0000-0000-00004C6B0000}"/>
    <cellStyle name="Normal 5 3 5 2" xfId="806" xr:uid="{00000000-0005-0000-0000-00004D6B0000}"/>
    <cellStyle name="Normal 5 3 5 2 2" xfId="3291" xr:uid="{00000000-0005-0000-0000-00004E6B0000}"/>
    <cellStyle name="Normal 5 3 5 2 2 2" xfId="12433" xr:uid="{00000000-0005-0000-0000-00004F6B0000}"/>
    <cellStyle name="Normal 5 3 5 2 2 2 2" xfId="22652" xr:uid="{00000000-0005-0000-0000-0000506B0000}"/>
    <cellStyle name="Normal 5 3 5 2 2 2 2 2" xfId="48205" xr:uid="{00000000-0005-0000-0000-0000516B0000}"/>
    <cellStyle name="Normal 5 3 5 2 2 2 3" xfId="37988" xr:uid="{00000000-0005-0000-0000-0000526B0000}"/>
    <cellStyle name="Normal 5 3 5 2 2 3" xfId="8855" xr:uid="{00000000-0005-0000-0000-0000536B0000}"/>
    <cellStyle name="Normal 5 3 5 2 2 3 2" xfId="34412" xr:uid="{00000000-0005-0000-0000-0000546B0000}"/>
    <cellStyle name="Normal 5 3 5 2 2 4" xfId="17645" xr:uid="{00000000-0005-0000-0000-0000556B0000}"/>
    <cellStyle name="Normal 5 3 5 2 2 4 2" xfId="43198" xr:uid="{00000000-0005-0000-0000-0000566B0000}"/>
    <cellStyle name="Normal 5 3 5 2 2 5" xfId="29135" xr:uid="{00000000-0005-0000-0000-0000576B0000}"/>
    <cellStyle name="Normal 5 3 5 2 3" xfId="4620" xr:uid="{00000000-0005-0000-0000-0000586B0000}"/>
    <cellStyle name="Normal 5 3 5 2 3 2" xfId="13458" xr:uid="{00000000-0005-0000-0000-0000596B0000}"/>
    <cellStyle name="Normal 5 3 5 2 3 2 2" xfId="23709" xr:uid="{00000000-0005-0000-0000-00005A6B0000}"/>
    <cellStyle name="Normal 5 3 5 2 3 2 2 2" xfId="49262" xr:uid="{00000000-0005-0000-0000-00005B6B0000}"/>
    <cellStyle name="Normal 5 3 5 2 3 2 3" xfId="39013" xr:uid="{00000000-0005-0000-0000-00005C6B0000}"/>
    <cellStyle name="Normal 5 3 5 2 3 3" xfId="9879" xr:uid="{00000000-0005-0000-0000-00005D6B0000}"/>
    <cellStyle name="Normal 5 3 5 2 3 3 2" xfId="35436" xr:uid="{00000000-0005-0000-0000-00005E6B0000}"/>
    <cellStyle name="Normal 5 3 5 2 3 4" xfId="18702" xr:uid="{00000000-0005-0000-0000-00005F6B0000}"/>
    <cellStyle name="Normal 5 3 5 2 3 4 2" xfId="44255" xr:uid="{00000000-0005-0000-0000-0000606B0000}"/>
    <cellStyle name="Normal 5 3 5 2 3 5" xfId="30192" xr:uid="{00000000-0005-0000-0000-0000616B0000}"/>
    <cellStyle name="Normal 5 3 5 2 4" xfId="2400" xr:uid="{00000000-0005-0000-0000-0000626B0000}"/>
    <cellStyle name="Normal 5 3 5 2 4 2" xfId="11765" xr:uid="{00000000-0005-0000-0000-0000636B0000}"/>
    <cellStyle name="Normal 5 3 5 2 4 2 2" xfId="37320" xr:uid="{00000000-0005-0000-0000-0000646B0000}"/>
    <cellStyle name="Normal 5 3 5 2 4 3" xfId="21769" xr:uid="{00000000-0005-0000-0000-0000656B0000}"/>
    <cellStyle name="Normal 5 3 5 2 4 3 2" xfId="47322" xr:uid="{00000000-0005-0000-0000-0000666B0000}"/>
    <cellStyle name="Normal 5 3 5 2 4 4" xfId="28252" xr:uid="{00000000-0005-0000-0000-0000676B0000}"/>
    <cellStyle name="Normal 5 3 5 2 5" xfId="6076" xr:uid="{00000000-0005-0000-0000-0000686B0000}"/>
    <cellStyle name="Normal 5 3 5 2 5 2" xfId="14903" xr:uid="{00000000-0005-0000-0000-0000696B0000}"/>
    <cellStyle name="Normal 5 3 5 2 5 2 2" xfId="40458" xr:uid="{00000000-0005-0000-0000-00006A6B0000}"/>
    <cellStyle name="Normal 5 3 5 2 5 3" xfId="25154" xr:uid="{00000000-0005-0000-0000-00006B6B0000}"/>
    <cellStyle name="Normal 5 3 5 2 5 3 2" xfId="50707" xr:uid="{00000000-0005-0000-0000-00006C6B0000}"/>
    <cellStyle name="Normal 5 3 5 2 5 4" xfId="31637" xr:uid="{00000000-0005-0000-0000-00006D6B0000}"/>
    <cellStyle name="Normal 5 3 5 2 6" xfId="7521" xr:uid="{00000000-0005-0000-0000-00006E6B0000}"/>
    <cellStyle name="Normal 5 3 5 2 6 2" xfId="20251" xr:uid="{00000000-0005-0000-0000-00006F6B0000}"/>
    <cellStyle name="Normal 5 3 5 2 6 2 2" xfId="45804" xr:uid="{00000000-0005-0000-0000-0000706B0000}"/>
    <cellStyle name="Normal 5 3 5 2 6 3" xfId="33078" xr:uid="{00000000-0005-0000-0000-0000716B0000}"/>
    <cellStyle name="Normal 5 3 5 2 7" xfId="16762" xr:uid="{00000000-0005-0000-0000-0000726B0000}"/>
    <cellStyle name="Normal 5 3 5 2 7 2" xfId="42315" xr:uid="{00000000-0005-0000-0000-0000736B0000}"/>
    <cellStyle name="Normal 5 3 5 2 8" xfId="26734" xr:uid="{00000000-0005-0000-0000-0000746B0000}"/>
    <cellStyle name="Normal 5 3 5 3" xfId="1219" xr:uid="{00000000-0005-0000-0000-0000756B0000}"/>
    <cellStyle name="Normal 5 3 5 3 2" xfId="3648" xr:uid="{00000000-0005-0000-0000-0000766B0000}"/>
    <cellStyle name="Normal 5 3 5 3 2 2" xfId="12784" xr:uid="{00000000-0005-0000-0000-0000776B0000}"/>
    <cellStyle name="Normal 5 3 5 3 2 2 2" xfId="23003" xr:uid="{00000000-0005-0000-0000-0000786B0000}"/>
    <cellStyle name="Normal 5 3 5 3 2 2 2 2" xfId="48556" xr:uid="{00000000-0005-0000-0000-0000796B0000}"/>
    <cellStyle name="Normal 5 3 5 3 2 2 3" xfId="38339" xr:uid="{00000000-0005-0000-0000-00007A6B0000}"/>
    <cellStyle name="Normal 5 3 5 3 2 3" xfId="9205" xr:uid="{00000000-0005-0000-0000-00007B6B0000}"/>
    <cellStyle name="Normal 5 3 5 3 2 3 2" xfId="34762" xr:uid="{00000000-0005-0000-0000-00007C6B0000}"/>
    <cellStyle name="Normal 5 3 5 3 2 4" xfId="17996" xr:uid="{00000000-0005-0000-0000-00007D6B0000}"/>
    <cellStyle name="Normal 5 3 5 3 2 4 2" xfId="43549" xr:uid="{00000000-0005-0000-0000-00007E6B0000}"/>
    <cellStyle name="Normal 5 3 5 3 2 5" xfId="29486" xr:uid="{00000000-0005-0000-0000-00007F6B0000}"/>
    <cellStyle name="Normal 5 3 5 3 3" xfId="4969" xr:uid="{00000000-0005-0000-0000-0000806B0000}"/>
    <cellStyle name="Normal 5 3 5 3 3 2" xfId="13806" xr:uid="{00000000-0005-0000-0000-0000816B0000}"/>
    <cellStyle name="Normal 5 3 5 3 3 2 2" xfId="24057" xr:uid="{00000000-0005-0000-0000-0000826B0000}"/>
    <cellStyle name="Normal 5 3 5 3 3 2 2 2" xfId="49610" xr:uid="{00000000-0005-0000-0000-0000836B0000}"/>
    <cellStyle name="Normal 5 3 5 3 3 2 3" xfId="39361" xr:uid="{00000000-0005-0000-0000-0000846B0000}"/>
    <cellStyle name="Normal 5 3 5 3 3 3" xfId="10227" xr:uid="{00000000-0005-0000-0000-0000856B0000}"/>
    <cellStyle name="Normal 5 3 5 3 3 3 2" xfId="35784" xr:uid="{00000000-0005-0000-0000-0000866B0000}"/>
    <cellStyle name="Normal 5 3 5 3 3 4" xfId="19050" xr:uid="{00000000-0005-0000-0000-0000876B0000}"/>
    <cellStyle name="Normal 5 3 5 3 3 4 2" xfId="44603" xr:uid="{00000000-0005-0000-0000-0000886B0000}"/>
    <cellStyle name="Normal 5 3 5 3 3 5" xfId="30540" xr:uid="{00000000-0005-0000-0000-0000896B0000}"/>
    <cellStyle name="Normal 5 3 5 3 4" xfId="2042" xr:uid="{00000000-0005-0000-0000-00008A6B0000}"/>
    <cellStyle name="Normal 5 3 5 3 4 2" xfId="11407" xr:uid="{00000000-0005-0000-0000-00008B6B0000}"/>
    <cellStyle name="Normal 5 3 5 3 4 2 2" xfId="36962" xr:uid="{00000000-0005-0000-0000-00008C6B0000}"/>
    <cellStyle name="Normal 5 3 5 3 4 3" xfId="21411" xr:uid="{00000000-0005-0000-0000-00008D6B0000}"/>
    <cellStyle name="Normal 5 3 5 3 4 3 2" xfId="46964" xr:uid="{00000000-0005-0000-0000-00008E6B0000}"/>
    <cellStyle name="Normal 5 3 5 3 4 4" xfId="27894" xr:uid="{00000000-0005-0000-0000-00008F6B0000}"/>
    <cellStyle name="Normal 5 3 5 3 5" xfId="6424" xr:uid="{00000000-0005-0000-0000-0000906B0000}"/>
    <cellStyle name="Normal 5 3 5 3 5 2" xfId="15251" xr:uid="{00000000-0005-0000-0000-0000916B0000}"/>
    <cellStyle name="Normal 5 3 5 3 5 2 2" xfId="40806" xr:uid="{00000000-0005-0000-0000-0000926B0000}"/>
    <cellStyle name="Normal 5 3 5 3 5 3" xfId="25502" xr:uid="{00000000-0005-0000-0000-0000936B0000}"/>
    <cellStyle name="Normal 5 3 5 3 5 3 2" xfId="51055" xr:uid="{00000000-0005-0000-0000-0000946B0000}"/>
    <cellStyle name="Normal 5 3 5 3 5 4" xfId="31985" xr:uid="{00000000-0005-0000-0000-0000956B0000}"/>
    <cellStyle name="Normal 5 3 5 3 6" xfId="7870" xr:uid="{00000000-0005-0000-0000-0000966B0000}"/>
    <cellStyle name="Normal 5 3 5 3 6 2" xfId="20602" xr:uid="{00000000-0005-0000-0000-0000976B0000}"/>
    <cellStyle name="Normal 5 3 5 3 6 2 2" xfId="46155" xr:uid="{00000000-0005-0000-0000-0000986B0000}"/>
    <cellStyle name="Normal 5 3 5 3 6 3" xfId="33427" xr:uid="{00000000-0005-0000-0000-0000996B0000}"/>
    <cellStyle name="Normal 5 3 5 3 7" xfId="16404" xr:uid="{00000000-0005-0000-0000-00009A6B0000}"/>
    <cellStyle name="Normal 5 3 5 3 7 2" xfId="41957" xr:uid="{00000000-0005-0000-0000-00009B6B0000}"/>
    <cellStyle name="Normal 5 3 5 3 8" xfId="27085" xr:uid="{00000000-0005-0000-0000-00009C6B0000}"/>
    <cellStyle name="Normal 5 3 5 4" xfId="2933" xr:uid="{00000000-0005-0000-0000-00009D6B0000}"/>
    <cellStyle name="Normal 5 3 5 4 2" xfId="5311" xr:uid="{00000000-0005-0000-0000-00009E6B0000}"/>
    <cellStyle name="Normal 5 3 5 4 2 2" xfId="14148" xr:uid="{00000000-0005-0000-0000-00009F6B0000}"/>
    <cellStyle name="Normal 5 3 5 4 2 2 2" xfId="24399" xr:uid="{00000000-0005-0000-0000-0000A06B0000}"/>
    <cellStyle name="Normal 5 3 5 4 2 2 2 2" xfId="49952" xr:uid="{00000000-0005-0000-0000-0000A16B0000}"/>
    <cellStyle name="Normal 5 3 5 4 2 2 3" xfId="39703" xr:uid="{00000000-0005-0000-0000-0000A26B0000}"/>
    <cellStyle name="Normal 5 3 5 4 2 3" xfId="10569" xr:uid="{00000000-0005-0000-0000-0000A36B0000}"/>
    <cellStyle name="Normal 5 3 5 4 2 3 2" xfId="36126" xr:uid="{00000000-0005-0000-0000-0000A46B0000}"/>
    <cellStyle name="Normal 5 3 5 4 2 4" xfId="19392" xr:uid="{00000000-0005-0000-0000-0000A56B0000}"/>
    <cellStyle name="Normal 5 3 5 4 2 4 2" xfId="44945" xr:uid="{00000000-0005-0000-0000-0000A66B0000}"/>
    <cellStyle name="Normal 5 3 5 4 2 5" xfId="30882" xr:uid="{00000000-0005-0000-0000-0000A76B0000}"/>
    <cellStyle name="Normal 5 3 5 4 3" xfId="6766" xr:uid="{00000000-0005-0000-0000-0000A86B0000}"/>
    <cellStyle name="Normal 5 3 5 4 3 2" xfId="15593" xr:uid="{00000000-0005-0000-0000-0000A96B0000}"/>
    <cellStyle name="Normal 5 3 5 4 3 2 2" xfId="41148" xr:uid="{00000000-0005-0000-0000-0000AA6B0000}"/>
    <cellStyle name="Normal 5 3 5 4 3 3" xfId="25844" xr:uid="{00000000-0005-0000-0000-0000AB6B0000}"/>
    <cellStyle name="Normal 5 3 5 4 3 3 2" xfId="51397" xr:uid="{00000000-0005-0000-0000-0000AC6B0000}"/>
    <cellStyle name="Normal 5 3 5 4 3 4" xfId="32327" xr:uid="{00000000-0005-0000-0000-0000AD6B0000}"/>
    <cellStyle name="Normal 5 3 5 4 4" xfId="8212" xr:uid="{00000000-0005-0000-0000-0000AE6B0000}"/>
    <cellStyle name="Normal 5 3 5 4 4 2" xfId="22294" xr:uid="{00000000-0005-0000-0000-0000AF6B0000}"/>
    <cellStyle name="Normal 5 3 5 4 4 2 2" xfId="47847" xr:uid="{00000000-0005-0000-0000-0000B06B0000}"/>
    <cellStyle name="Normal 5 3 5 4 4 3" xfId="33769" xr:uid="{00000000-0005-0000-0000-0000B16B0000}"/>
    <cellStyle name="Normal 5 3 5 4 5" xfId="17287" xr:uid="{00000000-0005-0000-0000-0000B26B0000}"/>
    <cellStyle name="Normal 5 3 5 4 5 2" xfId="42840" xr:uid="{00000000-0005-0000-0000-0000B36B0000}"/>
    <cellStyle name="Normal 5 3 5 4 6" xfId="28777" xr:uid="{00000000-0005-0000-0000-0000B46B0000}"/>
    <cellStyle name="Normal 5 3 5 5" xfId="4267" xr:uid="{00000000-0005-0000-0000-0000B56B0000}"/>
    <cellStyle name="Normal 5 3 5 5 2" xfId="13105" xr:uid="{00000000-0005-0000-0000-0000B66B0000}"/>
    <cellStyle name="Normal 5 3 5 5 2 2" xfId="23356" xr:uid="{00000000-0005-0000-0000-0000B76B0000}"/>
    <cellStyle name="Normal 5 3 5 5 2 2 2" xfId="48909" xr:uid="{00000000-0005-0000-0000-0000B86B0000}"/>
    <cellStyle name="Normal 5 3 5 5 2 3" xfId="38660" xr:uid="{00000000-0005-0000-0000-0000B96B0000}"/>
    <cellStyle name="Normal 5 3 5 5 3" xfId="9526" xr:uid="{00000000-0005-0000-0000-0000BA6B0000}"/>
    <cellStyle name="Normal 5 3 5 5 3 2" xfId="35083" xr:uid="{00000000-0005-0000-0000-0000BB6B0000}"/>
    <cellStyle name="Normal 5 3 5 5 4" xfId="18349" xr:uid="{00000000-0005-0000-0000-0000BC6B0000}"/>
    <cellStyle name="Normal 5 3 5 5 4 2" xfId="43902" xr:uid="{00000000-0005-0000-0000-0000BD6B0000}"/>
    <cellStyle name="Normal 5 3 5 5 5" xfId="29839" xr:uid="{00000000-0005-0000-0000-0000BE6B0000}"/>
    <cellStyle name="Normal 5 3 5 6" xfId="1539" xr:uid="{00000000-0005-0000-0000-0000BF6B0000}"/>
    <cellStyle name="Normal 5 3 5 6 2" xfId="10916" xr:uid="{00000000-0005-0000-0000-0000C06B0000}"/>
    <cellStyle name="Normal 5 3 5 6 2 2" xfId="36471" xr:uid="{00000000-0005-0000-0000-0000C16B0000}"/>
    <cellStyle name="Normal 5 3 5 6 3" xfId="20920" xr:uid="{00000000-0005-0000-0000-0000C26B0000}"/>
    <cellStyle name="Normal 5 3 5 6 3 2" xfId="46473" xr:uid="{00000000-0005-0000-0000-0000C36B0000}"/>
    <cellStyle name="Normal 5 3 5 6 4" xfId="27403" xr:uid="{00000000-0005-0000-0000-0000C46B0000}"/>
    <cellStyle name="Normal 5 3 5 7" xfId="5723" xr:uid="{00000000-0005-0000-0000-0000C56B0000}"/>
    <cellStyle name="Normal 5 3 5 7 2" xfId="14550" xr:uid="{00000000-0005-0000-0000-0000C66B0000}"/>
    <cellStyle name="Normal 5 3 5 7 2 2" xfId="40105" xr:uid="{00000000-0005-0000-0000-0000C76B0000}"/>
    <cellStyle name="Normal 5 3 5 7 3" xfId="24801" xr:uid="{00000000-0005-0000-0000-0000C86B0000}"/>
    <cellStyle name="Normal 5 3 5 7 3 2" xfId="50354" xr:uid="{00000000-0005-0000-0000-0000C96B0000}"/>
    <cellStyle name="Normal 5 3 5 7 4" xfId="31284" xr:uid="{00000000-0005-0000-0000-0000CA6B0000}"/>
    <cellStyle name="Normal 5 3 5 8" xfId="7167" xr:uid="{00000000-0005-0000-0000-0000CB6B0000}"/>
    <cellStyle name="Normal 5 3 5 8 2" xfId="19893" xr:uid="{00000000-0005-0000-0000-0000CC6B0000}"/>
    <cellStyle name="Normal 5 3 5 8 2 2" xfId="45446" xr:uid="{00000000-0005-0000-0000-0000CD6B0000}"/>
    <cellStyle name="Normal 5 3 5 8 3" xfId="32724" xr:uid="{00000000-0005-0000-0000-0000CE6B0000}"/>
    <cellStyle name="Normal 5 3 5 9" xfId="15913" xr:uid="{00000000-0005-0000-0000-0000CF6B0000}"/>
    <cellStyle name="Normal 5 3 5 9 2" xfId="41466" xr:uid="{00000000-0005-0000-0000-0000D06B0000}"/>
    <cellStyle name="Normal 5 3 5_Degree data" xfId="3875" xr:uid="{00000000-0005-0000-0000-0000D16B0000}"/>
    <cellStyle name="Normal 5 3 6" xfId="300" xr:uid="{00000000-0005-0000-0000-0000D26B0000}"/>
    <cellStyle name="Normal 5 3 6 10" xfId="26229" xr:uid="{00000000-0005-0000-0000-0000D36B0000}"/>
    <cellStyle name="Normal 5 3 6 2" xfId="807" xr:uid="{00000000-0005-0000-0000-0000D46B0000}"/>
    <cellStyle name="Normal 5 3 6 2 2" xfId="3292" xr:uid="{00000000-0005-0000-0000-0000D56B0000}"/>
    <cellStyle name="Normal 5 3 6 2 2 2" xfId="12434" xr:uid="{00000000-0005-0000-0000-0000D66B0000}"/>
    <cellStyle name="Normal 5 3 6 2 2 2 2" xfId="22653" xr:uid="{00000000-0005-0000-0000-0000D76B0000}"/>
    <cellStyle name="Normal 5 3 6 2 2 2 2 2" xfId="48206" xr:uid="{00000000-0005-0000-0000-0000D86B0000}"/>
    <cellStyle name="Normal 5 3 6 2 2 2 3" xfId="37989" xr:uid="{00000000-0005-0000-0000-0000D96B0000}"/>
    <cellStyle name="Normal 5 3 6 2 2 3" xfId="8856" xr:uid="{00000000-0005-0000-0000-0000DA6B0000}"/>
    <cellStyle name="Normal 5 3 6 2 2 3 2" xfId="34413" xr:uid="{00000000-0005-0000-0000-0000DB6B0000}"/>
    <cellStyle name="Normal 5 3 6 2 2 4" xfId="17646" xr:uid="{00000000-0005-0000-0000-0000DC6B0000}"/>
    <cellStyle name="Normal 5 3 6 2 2 4 2" xfId="43199" xr:uid="{00000000-0005-0000-0000-0000DD6B0000}"/>
    <cellStyle name="Normal 5 3 6 2 2 5" xfId="29136" xr:uid="{00000000-0005-0000-0000-0000DE6B0000}"/>
    <cellStyle name="Normal 5 3 6 2 3" xfId="4621" xr:uid="{00000000-0005-0000-0000-0000DF6B0000}"/>
    <cellStyle name="Normal 5 3 6 2 3 2" xfId="13459" xr:uid="{00000000-0005-0000-0000-0000E06B0000}"/>
    <cellStyle name="Normal 5 3 6 2 3 2 2" xfId="23710" xr:uid="{00000000-0005-0000-0000-0000E16B0000}"/>
    <cellStyle name="Normal 5 3 6 2 3 2 2 2" xfId="49263" xr:uid="{00000000-0005-0000-0000-0000E26B0000}"/>
    <cellStyle name="Normal 5 3 6 2 3 2 3" xfId="39014" xr:uid="{00000000-0005-0000-0000-0000E36B0000}"/>
    <cellStyle name="Normal 5 3 6 2 3 3" xfId="9880" xr:uid="{00000000-0005-0000-0000-0000E46B0000}"/>
    <cellStyle name="Normal 5 3 6 2 3 3 2" xfId="35437" xr:uid="{00000000-0005-0000-0000-0000E56B0000}"/>
    <cellStyle name="Normal 5 3 6 2 3 4" xfId="18703" xr:uid="{00000000-0005-0000-0000-0000E66B0000}"/>
    <cellStyle name="Normal 5 3 6 2 3 4 2" xfId="44256" xr:uid="{00000000-0005-0000-0000-0000E76B0000}"/>
    <cellStyle name="Normal 5 3 6 2 3 5" xfId="30193" xr:uid="{00000000-0005-0000-0000-0000E86B0000}"/>
    <cellStyle name="Normal 5 3 6 2 4" xfId="2401" xr:uid="{00000000-0005-0000-0000-0000E96B0000}"/>
    <cellStyle name="Normal 5 3 6 2 4 2" xfId="11766" xr:uid="{00000000-0005-0000-0000-0000EA6B0000}"/>
    <cellStyle name="Normal 5 3 6 2 4 2 2" xfId="37321" xr:uid="{00000000-0005-0000-0000-0000EB6B0000}"/>
    <cellStyle name="Normal 5 3 6 2 4 3" xfId="21770" xr:uid="{00000000-0005-0000-0000-0000EC6B0000}"/>
    <cellStyle name="Normal 5 3 6 2 4 3 2" xfId="47323" xr:uid="{00000000-0005-0000-0000-0000ED6B0000}"/>
    <cellStyle name="Normal 5 3 6 2 4 4" xfId="28253" xr:uid="{00000000-0005-0000-0000-0000EE6B0000}"/>
    <cellStyle name="Normal 5 3 6 2 5" xfId="6077" xr:uid="{00000000-0005-0000-0000-0000EF6B0000}"/>
    <cellStyle name="Normal 5 3 6 2 5 2" xfId="14904" xr:uid="{00000000-0005-0000-0000-0000F06B0000}"/>
    <cellStyle name="Normal 5 3 6 2 5 2 2" xfId="40459" xr:uid="{00000000-0005-0000-0000-0000F16B0000}"/>
    <cellStyle name="Normal 5 3 6 2 5 3" xfId="25155" xr:uid="{00000000-0005-0000-0000-0000F26B0000}"/>
    <cellStyle name="Normal 5 3 6 2 5 3 2" xfId="50708" xr:uid="{00000000-0005-0000-0000-0000F36B0000}"/>
    <cellStyle name="Normal 5 3 6 2 5 4" xfId="31638" xr:uid="{00000000-0005-0000-0000-0000F46B0000}"/>
    <cellStyle name="Normal 5 3 6 2 6" xfId="7522" xr:uid="{00000000-0005-0000-0000-0000F56B0000}"/>
    <cellStyle name="Normal 5 3 6 2 6 2" xfId="20252" xr:uid="{00000000-0005-0000-0000-0000F66B0000}"/>
    <cellStyle name="Normal 5 3 6 2 6 2 2" xfId="45805" xr:uid="{00000000-0005-0000-0000-0000F76B0000}"/>
    <cellStyle name="Normal 5 3 6 2 6 3" xfId="33079" xr:uid="{00000000-0005-0000-0000-0000F86B0000}"/>
    <cellStyle name="Normal 5 3 6 2 7" xfId="16763" xr:uid="{00000000-0005-0000-0000-0000F96B0000}"/>
    <cellStyle name="Normal 5 3 6 2 7 2" xfId="42316" xr:uid="{00000000-0005-0000-0000-0000FA6B0000}"/>
    <cellStyle name="Normal 5 3 6 2 8" xfId="26735" xr:uid="{00000000-0005-0000-0000-0000FB6B0000}"/>
    <cellStyle name="Normal 5 3 6 3" xfId="1072" xr:uid="{00000000-0005-0000-0000-0000FC6B0000}"/>
    <cellStyle name="Normal 5 3 6 3 2" xfId="3501" xr:uid="{00000000-0005-0000-0000-0000FD6B0000}"/>
    <cellStyle name="Normal 5 3 6 3 2 2" xfId="12637" xr:uid="{00000000-0005-0000-0000-0000FE6B0000}"/>
    <cellStyle name="Normal 5 3 6 3 2 2 2" xfId="22856" xr:uid="{00000000-0005-0000-0000-0000FF6B0000}"/>
    <cellStyle name="Normal 5 3 6 3 2 2 2 2" xfId="48409" xr:uid="{00000000-0005-0000-0000-0000006C0000}"/>
    <cellStyle name="Normal 5 3 6 3 2 2 3" xfId="38192" xr:uid="{00000000-0005-0000-0000-0000016C0000}"/>
    <cellStyle name="Normal 5 3 6 3 2 3" xfId="9059" xr:uid="{00000000-0005-0000-0000-0000026C0000}"/>
    <cellStyle name="Normal 5 3 6 3 2 3 2" xfId="34616" xr:uid="{00000000-0005-0000-0000-0000036C0000}"/>
    <cellStyle name="Normal 5 3 6 3 2 4" xfId="17849" xr:uid="{00000000-0005-0000-0000-0000046C0000}"/>
    <cellStyle name="Normal 5 3 6 3 2 4 2" xfId="43402" xr:uid="{00000000-0005-0000-0000-0000056C0000}"/>
    <cellStyle name="Normal 5 3 6 3 2 5" xfId="29339" xr:uid="{00000000-0005-0000-0000-0000066C0000}"/>
    <cellStyle name="Normal 5 3 6 3 3" xfId="4970" xr:uid="{00000000-0005-0000-0000-0000076C0000}"/>
    <cellStyle name="Normal 5 3 6 3 3 2" xfId="13807" xr:uid="{00000000-0005-0000-0000-0000086C0000}"/>
    <cellStyle name="Normal 5 3 6 3 3 2 2" xfId="24058" xr:uid="{00000000-0005-0000-0000-0000096C0000}"/>
    <cellStyle name="Normal 5 3 6 3 3 2 2 2" xfId="49611" xr:uid="{00000000-0005-0000-0000-00000A6C0000}"/>
    <cellStyle name="Normal 5 3 6 3 3 2 3" xfId="39362" xr:uid="{00000000-0005-0000-0000-00000B6C0000}"/>
    <cellStyle name="Normal 5 3 6 3 3 3" xfId="10228" xr:uid="{00000000-0005-0000-0000-00000C6C0000}"/>
    <cellStyle name="Normal 5 3 6 3 3 3 2" xfId="35785" xr:uid="{00000000-0005-0000-0000-00000D6C0000}"/>
    <cellStyle name="Normal 5 3 6 3 3 4" xfId="19051" xr:uid="{00000000-0005-0000-0000-00000E6C0000}"/>
    <cellStyle name="Normal 5 3 6 3 3 4 2" xfId="44604" xr:uid="{00000000-0005-0000-0000-00000F6C0000}"/>
    <cellStyle name="Normal 5 3 6 3 3 5" xfId="30541" xr:uid="{00000000-0005-0000-0000-0000106C0000}"/>
    <cellStyle name="Normal 5 3 6 3 4" xfId="1705" xr:uid="{00000000-0005-0000-0000-0000116C0000}"/>
    <cellStyle name="Normal 5 3 6 3 4 2" xfId="11082" xr:uid="{00000000-0005-0000-0000-0000126C0000}"/>
    <cellStyle name="Normal 5 3 6 3 4 2 2" xfId="36637" xr:uid="{00000000-0005-0000-0000-0000136C0000}"/>
    <cellStyle name="Normal 5 3 6 3 4 3" xfId="21086" xr:uid="{00000000-0005-0000-0000-0000146C0000}"/>
    <cellStyle name="Normal 5 3 6 3 4 3 2" xfId="46639" xr:uid="{00000000-0005-0000-0000-0000156C0000}"/>
    <cellStyle name="Normal 5 3 6 3 4 4" xfId="27569" xr:uid="{00000000-0005-0000-0000-0000166C0000}"/>
    <cellStyle name="Normal 5 3 6 3 5" xfId="6425" xr:uid="{00000000-0005-0000-0000-0000176C0000}"/>
    <cellStyle name="Normal 5 3 6 3 5 2" xfId="15252" xr:uid="{00000000-0005-0000-0000-0000186C0000}"/>
    <cellStyle name="Normal 5 3 6 3 5 2 2" xfId="40807" xr:uid="{00000000-0005-0000-0000-0000196C0000}"/>
    <cellStyle name="Normal 5 3 6 3 5 3" xfId="25503" xr:uid="{00000000-0005-0000-0000-00001A6C0000}"/>
    <cellStyle name="Normal 5 3 6 3 5 3 2" xfId="51056" xr:uid="{00000000-0005-0000-0000-00001B6C0000}"/>
    <cellStyle name="Normal 5 3 6 3 5 4" xfId="31986" xr:uid="{00000000-0005-0000-0000-00001C6C0000}"/>
    <cellStyle name="Normal 5 3 6 3 6" xfId="7871" xr:uid="{00000000-0005-0000-0000-00001D6C0000}"/>
    <cellStyle name="Normal 5 3 6 3 6 2" xfId="20455" xr:uid="{00000000-0005-0000-0000-00001E6C0000}"/>
    <cellStyle name="Normal 5 3 6 3 6 2 2" xfId="46008" xr:uid="{00000000-0005-0000-0000-00001F6C0000}"/>
    <cellStyle name="Normal 5 3 6 3 6 3" xfId="33428" xr:uid="{00000000-0005-0000-0000-0000206C0000}"/>
    <cellStyle name="Normal 5 3 6 3 7" xfId="16079" xr:uid="{00000000-0005-0000-0000-0000216C0000}"/>
    <cellStyle name="Normal 5 3 6 3 7 2" xfId="41632" xr:uid="{00000000-0005-0000-0000-0000226C0000}"/>
    <cellStyle name="Normal 5 3 6 3 8" xfId="26938" xr:uid="{00000000-0005-0000-0000-0000236C0000}"/>
    <cellStyle name="Normal 5 3 6 4" xfId="2786" xr:uid="{00000000-0005-0000-0000-0000246C0000}"/>
    <cellStyle name="Normal 5 3 6 4 2" xfId="5164" xr:uid="{00000000-0005-0000-0000-0000256C0000}"/>
    <cellStyle name="Normal 5 3 6 4 2 2" xfId="14001" xr:uid="{00000000-0005-0000-0000-0000266C0000}"/>
    <cellStyle name="Normal 5 3 6 4 2 2 2" xfId="24252" xr:uid="{00000000-0005-0000-0000-0000276C0000}"/>
    <cellStyle name="Normal 5 3 6 4 2 2 2 2" xfId="49805" xr:uid="{00000000-0005-0000-0000-0000286C0000}"/>
    <cellStyle name="Normal 5 3 6 4 2 2 3" xfId="39556" xr:uid="{00000000-0005-0000-0000-0000296C0000}"/>
    <cellStyle name="Normal 5 3 6 4 2 3" xfId="10422" xr:uid="{00000000-0005-0000-0000-00002A6C0000}"/>
    <cellStyle name="Normal 5 3 6 4 2 3 2" xfId="35979" xr:uid="{00000000-0005-0000-0000-00002B6C0000}"/>
    <cellStyle name="Normal 5 3 6 4 2 4" xfId="19245" xr:uid="{00000000-0005-0000-0000-00002C6C0000}"/>
    <cellStyle name="Normal 5 3 6 4 2 4 2" xfId="44798" xr:uid="{00000000-0005-0000-0000-00002D6C0000}"/>
    <cellStyle name="Normal 5 3 6 4 2 5" xfId="30735" xr:uid="{00000000-0005-0000-0000-00002E6C0000}"/>
    <cellStyle name="Normal 5 3 6 4 3" xfId="6619" xr:uid="{00000000-0005-0000-0000-00002F6C0000}"/>
    <cellStyle name="Normal 5 3 6 4 3 2" xfId="15446" xr:uid="{00000000-0005-0000-0000-0000306C0000}"/>
    <cellStyle name="Normal 5 3 6 4 3 2 2" xfId="41001" xr:uid="{00000000-0005-0000-0000-0000316C0000}"/>
    <cellStyle name="Normal 5 3 6 4 3 3" xfId="25697" xr:uid="{00000000-0005-0000-0000-0000326C0000}"/>
    <cellStyle name="Normal 5 3 6 4 3 3 2" xfId="51250" xr:uid="{00000000-0005-0000-0000-0000336C0000}"/>
    <cellStyle name="Normal 5 3 6 4 3 4" xfId="32180" xr:uid="{00000000-0005-0000-0000-0000346C0000}"/>
    <cellStyle name="Normal 5 3 6 4 4" xfId="8065" xr:uid="{00000000-0005-0000-0000-0000356C0000}"/>
    <cellStyle name="Normal 5 3 6 4 4 2" xfId="22147" xr:uid="{00000000-0005-0000-0000-0000366C0000}"/>
    <cellStyle name="Normal 5 3 6 4 4 2 2" xfId="47700" xr:uid="{00000000-0005-0000-0000-0000376C0000}"/>
    <cellStyle name="Normal 5 3 6 4 4 3" xfId="33622" xr:uid="{00000000-0005-0000-0000-0000386C0000}"/>
    <cellStyle name="Normal 5 3 6 4 5" xfId="17140" xr:uid="{00000000-0005-0000-0000-0000396C0000}"/>
    <cellStyle name="Normal 5 3 6 4 5 2" xfId="42693" xr:uid="{00000000-0005-0000-0000-00003A6C0000}"/>
    <cellStyle name="Normal 5 3 6 4 6" xfId="28630" xr:uid="{00000000-0005-0000-0000-00003B6C0000}"/>
    <cellStyle name="Normal 5 3 6 5" xfId="4118" xr:uid="{00000000-0005-0000-0000-00003C6C0000}"/>
    <cellStyle name="Normal 5 3 6 5 2" xfId="12956" xr:uid="{00000000-0005-0000-0000-00003D6C0000}"/>
    <cellStyle name="Normal 5 3 6 5 2 2" xfId="23207" xr:uid="{00000000-0005-0000-0000-00003E6C0000}"/>
    <cellStyle name="Normal 5 3 6 5 2 2 2" xfId="48760" xr:uid="{00000000-0005-0000-0000-00003F6C0000}"/>
    <cellStyle name="Normal 5 3 6 5 2 3" xfId="38511" xr:uid="{00000000-0005-0000-0000-0000406C0000}"/>
    <cellStyle name="Normal 5 3 6 5 3" xfId="9377" xr:uid="{00000000-0005-0000-0000-0000416C0000}"/>
    <cellStyle name="Normal 5 3 6 5 3 2" xfId="34934" xr:uid="{00000000-0005-0000-0000-0000426C0000}"/>
    <cellStyle name="Normal 5 3 6 5 4" xfId="18200" xr:uid="{00000000-0005-0000-0000-0000436C0000}"/>
    <cellStyle name="Normal 5 3 6 5 4 2" xfId="43753" xr:uid="{00000000-0005-0000-0000-0000446C0000}"/>
    <cellStyle name="Normal 5 3 6 5 5" xfId="29690" xr:uid="{00000000-0005-0000-0000-0000456C0000}"/>
    <cellStyle name="Normal 5 3 6 6" xfId="1895" xr:uid="{00000000-0005-0000-0000-0000466C0000}"/>
    <cellStyle name="Normal 5 3 6 6 2" xfId="11260" xr:uid="{00000000-0005-0000-0000-0000476C0000}"/>
    <cellStyle name="Normal 5 3 6 6 2 2" xfId="36815" xr:uid="{00000000-0005-0000-0000-0000486C0000}"/>
    <cellStyle name="Normal 5 3 6 6 3" xfId="21264" xr:uid="{00000000-0005-0000-0000-0000496C0000}"/>
    <cellStyle name="Normal 5 3 6 6 3 2" xfId="46817" xr:uid="{00000000-0005-0000-0000-00004A6C0000}"/>
    <cellStyle name="Normal 5 3 6 6 4" xfId="27747" xr:uid="{00000000-0005-0000-0000-00004B6C0000}"/>
    <cellStyle name="Normal 5 3 6 7" xfId="5576" xr:uid="{00000000-0005-0000-0000-00004C6C0000}"/>
    <cellStyle name="Normal 5 3 6 7 2" xfId="14403" xr:uid="{00000000-0005-0000-0000-00004D6C0000}"/>
    <cellStyle name="Normal 5 3 6 7 2 2" xfId="39958" xr:uid="{00000000-0005-0000-0000-00004E6C0000}"/>
    <cellStyle name="Normal 5 3 6 7 3" xfId="24654" xr:uid="{00000000-0005-0000-0000-00004F6C0000}"/>
    <cellStyle name="Normal 5 3 6 7 3 2" xfId="50207" xr:uid="{00000000-0005-0000-0000-0000506C0000}"/>
    <cellStyle name="Normal 5 3 6 7 4" xfId="31137" xr:uid="{00000000-0005-0000-0000-0000516C0000}"/>
    <cellStyle name="Normal 5 3 6 8" xfId="7020" xr:uid="{00000000-0005-0000-0000-0000526C0000}"/>
    <cellStyle name="Normal 5 3 6 8 2" xfId="19746" xr:uid="{00000000-0005-0000-0000-0000536C0000}"/>
    <cellStyle name="Normal 5 3 6 8 2 2" xfId="45299" xr:uid="{00000000-0005-0000-0000-0000546C0000}"/>
    <cellStyle name="Normal 5 3 6 8 3" xfId="32577" xr:uid="{00000000-0005-0000-0000-0000556C0000}"/>
    <cellStyle name="Normal 5 3 6 9" xfId="16257" xr:uid="{00000000-0005-0000-0000-0000566C0000}"/>
    <cellStyle name="Normal 5 3 6 9 2" xfId="41810" xr:uid="{00000000-0005-0000-0000-0000576C0000}"/>
    <cellStyle name="Normal 5 3 6_Degree data" xfId="3903" xr:uid="{00000000-0005-0000-0000-0000586C0000}"/>
    <cellStyle name="Normal 5 3 7" xfId="796" xr:uid="{00000000-0005-0000-0000-0000596C0000}"/>
    <cellStyle name="Normal 5 3 7 2" xfId="3281" xr:uid="{00000000-0005-0000-0000-00005A6C0000}"/>
    <cellStyle name="Normal 5 3 7 2 2" xfId="12423" xr:uid="{00000000-0005-0000-0000-00005B6C0000}"/>
    <cellStyle name="Normal 5 3 7 2 2 2" xfId="22642" xr:uid="{00000000-0005-0000-0000-00005C6C0000}"/>
    <cellStyle name="Normal 5 3 7 2 2 2 2" xfId="48195" xr:uid="{00000000-0005-0000-0000-00005D6C0000}"/>
    <cellStyle name="Normal 5 3 7 2 2 3" xfId="37978" xr:uid="{00000000-0005-0000-0000-00005E6C0000}"/>
    <cellStyle name="Normal 5 3 7 2 3" xfId="8845" xr:uid="{00000000-0005-0000-0000-00005F6C0000}"/>
    <cellStyle name="Normal 5 3 7 2 3 2" xfId="34402" xr:uid="{00000000-0005-0000-0000-0000606C0000}"/>
    <cellStyle name="Normal 5 3 7 2 4" xfId="17635" xr:uid="{00000000-0005-0000-0000-0000616C0000}"/>
    <cellStyle name="Normal 5 3 7 2 4 2" xfId="43188" xr:uid="{00000000-0005-0000-0000-0000626C0000}"/>
    <cellStyle name="Normal 5 3 7 2 5" xfId="29125" xr:uid="{00000000-0005-0000-0000-0000636C0000}"/>
    <cellStyle name="Normal 5 3 7 3" xfId="4610" xr:uid="{00000000-0005-0000-0000-0000646C0000}"/>
    <cellStyle name="Normal 5 3 7 3 2" xfId="13448" xr:uid="{00000000-0005-0000-0000-0000656C0000}"/>
    <cellStyle name="Normal 5 3 7 3 2 2" xfId="23699" xr:uid="{00000000-0005-0000-0000-0000666C0000}"/>
    <cellStyle name="Normal 5 3 7 3 2 2 2" xfId="49252" xr:uid="{00000000-0005-0000-0000-0000676C0000}"/>
    <cellStyle name="Normal 5 3 7 3 2 3" xfId="39003" xr:uid="{00000000-0005-0000-0000-0000686C0000}"/>
    <cellStyle name="Normal 5 3 7 3 3" xfId="9869" xr:uid="{00000000-0005-0000-0000-0000696C0000}"/>
    <cellStyle name="Normal 5 3 7 3 3 2" xfId="35426" xr:uid="{00000000-0005-0000-0000-00006A6C0000}"/>
    <cellStyle name="Normal 5 3 7 3 4" xfId="18692" xr:uid="{00000000-0005-0000-0000-00006B6C0000}"/>
    <cellStyle name="Normal 5 3 7 3 4 2" xfId="44245" xr:uid="{00000000-0005-0000-0000-00006C6C0000}"/>
    <cellStyle name="Normal 5 3 7 3 5" xfId="30182" xr:uid="{00000000-0005-0000-0000-00006D6C0000}"/>
    <cellStyle name="Normal 5 3 7 4" xfId="2390" xr:uid="{00000000-0005-0000-0000-00006E6C0000}"/>
    <cellStyle name="Normal 5 3 7 4 2" xfId="11755" xr:uid="{00000000-0005-0000-0000-00006F6C0000}"/>
    <cellStyle name="Normal 5 3 7 4 2 2" xfId="37310" xr:uid="{00000000-0005-0000-0000-0000706C0000}"/>
    <cellStyle name="Normal 5 3 7 4 3" xfId="21759" xr:uid="{00000000-0005-0000-0000-0000716C0000}"/>
    <cellStyle name="Normal 5 3 7 4 3 2" xfId="47312" xr:uid="{00000000-0005-0000-0000-0000726C0000}"/>
    <cellStyle name="Normal 5 3 7 4 4" xfId="28242" xr:uid="{00000000-0005-0000-0000-0000736C0000}"/>
    <cellStyle name="Normal 5 3 7 5" xfId="6066" xr:uid="{00000000-0005-0000-0000-0000746C0000}"/>
    <cellStyle name="Normal 5 3 7 5 2" xfId="14893" xr:uid="{00000000-0005-0000-0000-0000756C0000}"/>
    <cellStyle name="Normal 5 3 7 5 2 2" xfId="40448" xr:uid="{00000000-0005-0000-0000-0000766C0000}"/>
    <cellStyle name="Normal 5 3 7 5 3" xfId="25144" xr:uid="{00000000-0005-0000-0000-0000776C0000}"/>
    <cellStyle name="Normal 5 3 7 5 3 2" xfId="50697" xr:uid="{00000000-0005-0000-0000-0000786C0000}"/>
    <cellStyle name="Normal 5 3 7 5 4" xfId="31627" xr:uid="{00000000-0005-0000-0000-0000796C0000}"/>
    <cellStyle name="Normal 5 3 7 6" xfId="7511" xr:uid="{00000000-0005-0000-0000-00007A6C0000}"/>
    <cellStyle name="Normal 5 3 7 6 2" xfId="20241" xr:uid="{00000000-0005-0000-0000-00007B6C0000}"/>
    <cellStyle name="Normal 5 3 7 6 2 2" xfId="45794" xr:uid="{00000000-0005-0000-0000-00007C6C0000}"/>
    <cellStyle name="Normal 5 3 7 6 3" xfId="33068" xr:uid="{00000000-0005-0000-0000-00007D6C0000}"/>
    <cellStyle name="Normal 5 3 7 7" xfId="16752" xr:uid="{00000000-0005-0000-0000-00007E6C0000}"/>
    <cellStyle name="Normal 5 3 7 7 2" xfId="42305" xr:uid="{00000000-0005-0000-0000-00007F6C0000}"/>
    <cellStyle name="Normal 5 3 7 8" xfId="26724" xr:uid="{00000000-0005-0000-0000-0000806C0000}"/>
    <cellStyle name="Normal 5 3 8" xfId="1052" xr:uid="{00000000-0005-0000-0000-0000816C0000}"/>
    <cellStyle name="Normal 5 3 8 2" xfId="3481" xr:uid="{00000000-0005-0000-0000-0000826C0000}"/>
    <cellStyle name="Normal 5 3 8 2 2" xfId="12617" xr:uid="{00000000-0005-0000-0000-0000836C0000}"/>
    <cellStyle name="Normal 5 3 8 2 2 2" xfId="22836" xr:uid="{00000000-0005-0000-0000-0000846C0000}"/>
    <cellStyle name="Normal 5 3 8 2 2 2 2" xfId="48389" xr:uid="{00000000-0005-0000-0000-0000856C0000}"/>
    <cellStyle name="Normal 5 3 8 2 2 3" xfId="38172" xr:uid="{00000000-0005-0000-0000-0000866C0000}"/>
    <cellStyle name="Normal 5 3 8 2 3" xfId="9039" xr:uid="{00000000-0005-0000-0000-0000876C0000}"/>
    <cellStyle name="Normal 5 3 8 2 3 2" xfId="34596" xr:uid="{00000000-0005-0000-0000-0000886C0000}"/>
    <cellStyle name="Normal 5 3 8 2 4" xfId="17829" xr:uid="{00000000-0005-0000-0000-0000896C0000}"/>
    <cellStyle name="Normal 5 3 8 2 4 2" xfId="43382" xr:uid="{00000000-0005-0000-0000-00008A6C0000}"/>
    <cellStyle name="Normal 5 3 8 2 5" xfId="29319" xr:uid="{00000000-0005-0000-0000-00008B6C0000}"/>
    <cellStyle name="Normal 5 3 8 3" xfId="4959" xr:uid="{00000000-0005-0000-0000-00008C6C0000}"/>
    <cellStyle name="Normal 5 3 8 3 2" xfId="13796" xr:uid="{00000000-0005-0000-0000-00008D6C0000}"/>
    <cellStyle name="Normal 5 3 8 3 2 2" xfId="24047" xr:uid="{00000000-0005-0000-0000-00008E6C0000}"/>
    <cellStyle name="Normal 5 3 8 3 2 2 2" xfId="49600" xr:uid="{00000000-0005-0000-0000-00008F6C0000}"/>
    <cellStyle name="Normal 5 3 8 3 2 3" xfId="39351" xr:uid="{00000000-0005-0000-0000-0000906C0000}"/>
    <cellStyle name="Normal 5 3 8 3 3" xfId="10217" xr:uid="{00000000-0005-0000-0000-0000916C0000}"/>
    <cellStyle name="Normal 5 3 8 3 3 2" xfId="35774" xr:uid="{00000000-0005-0000-0000-0000926C0000}"/>
    <cellStyle name="Normal 5 3 8 3 4" xfId="19040" xr:uid="{00000000-0005-0000-0000-0000936C0000}"/>
    <cellStyle name="Normal 5 3 8 3 4 2" xfId="44593" xr:uid="{00000000-0005-0000-0000-0000946C0000}"/>
    <cellStyle name="Normal 5 3 8 3 5" xfId="30530" xr:uid="{00000000-0005-0000-0000-0000956C0000}"/>
    <cellStyle name="Normal 5 3 8 4" xfId="1715" xr:uid="{00000000-0005-0000-0000-0000966C0000}"/>
    <cellStyle name="Normal 5 3 8 4 2" xfId="11089" xr:uid="{00000000-0005-0000-0000-0000976C0000}"/>
    <cellStyle name="Normal 5 3 8 4 2 2" xfId="36644" xr:uid="{00000000-0005-0000-0000-0000986C0000}"/>
    <cellStyle name="Normal 5 3 8 4 3" xfId="21093" xr:uid="{00000000-0005-0000-0000-0000996C0000}"/>
    <cellStyle name="Normal 5 3 8 4 3 2" xfId="46646" xr:uid="{00000000-0005-0000-0000-00009A6C0000}"/>
    <cellStyle name="Normal 5 3 8 4 4" xfId="27576" xr:uid="{00000000-0005-0000-0000-00009B6C0000}"/>
    <cellStyle name="Normal 5 3 8 5" xfId="6414" xr:uid="{00000000-0005-0000-0000-00009C6C0000}"/>
    <cellStyle name="Normal 5 3 8 5 2" xfId="15241" xr:uid="{00000000-0005-0000-0000-00009D6C0000}"/>
    <cellStyle name="Normal 5 3 8 5 2 2" xfId="40796" xr:uid="{00000000-0005-0000-0000-00009E6C0000}"/>
    <cellStyle name="Normal 5 3 8 5 3" xfId="25492" xr:uid="{00000000-0005-0000-0000-00009F6C0000}"/>
    <cellStyle name="Normal 5 3 8 5 3 2" xfId="51045" xr:uid="{00000000-0005-0000-0000-0000A06C0000}"/>
    <cellStyle name="Normal 5 3 8 5 4" xfId="31975" xr:uid="{00000000-0005-0000-0000-0000A16C0000}"/>
    <cellStyle name="Normal 5 3 8 6" xfId="7860" xr:uid="{00000000-0005-0000-0000-0000A26C0000}"/>
    <cellStyle name="Normal 5 3 8 6 2" xfId="20435" xr:uid="{00000000-0005-0000-0000-0000A36C0000}"/>
    <cellStyle name="Normal 5 3 8 6 2 2" xfId="45988" xr:uid="{00000000-0005-0000-0000-0000A46C0000}"/>
    <cellStyle name="Normal 5 3 8 6 3" xfId="33417" xr:uid="{00000000-0005-0000-0000-0000A56C0000}"/>
    <cellStyle name="Normal 5 3 8 7" xfId="16086" xr:uid="{00000000-0005-0000-0000-0000A66C0000}"/>
    <cellStyle name="Normal 5 3 8 7 2" xfId="41639" xr:uid="{00000000-0005-0000-0000-0000A76C0000}"/>
    <cellStyle name="Normal 5 3 8 8" xfId="26918" xr:uid="{00000000-0005-0000-0000-0000A86C0000}"/>
    <cellStyle name="Normal 5 3 9" xfId="2613" xr:uid="{00000000-0005-0000-0000-0000A96C0000}"/>
    <cellStyle name="Normal 5 3 9 2" xfId="5144" xr:uid="{00000000-0005-0000-0000-0000AA6C0000}"/>
    <cellStyle name="Normal 5 3 9 2 2" xfId="13981" xr:uid="{00000000-0005-0000-0000-0000AB6C0000}"/>
    <cellStyle name="Normal 5 3 9 2 2 2" xfId="24232" xr:uid="{00000000-0005-0000-0000-0000AC6C0000}"/>
    <cellStyle name="Normal 5 3 9 2 2 2 2" xfId="49785" xr:uid="{00000000-0005-0000-0000-0000AD6C0000}"/>
    <cellStyle name="Normal 5 3 9 2 2 3" xfId="39536" xr:uid="{00000000-0005-0000-0000-0000AE6C0000}"/>
    <cellStyle name="Normal 5 3 9 2 3" xfId="10402" xr:uid="{00000000-0005-0000-0000-0000AF6C0000}"/>
    <cellStyle name="Normal 5 3 9 2 3 2" xfId="35959" xr:uid="{00000000-0005-0000-0000-0000B06C0000}"/>
    <cellStyle name="Normal 5 3 9 2 4" xfId="19225" xr:uid="{00000000-0005-0000-0000-0000B16C0000}"/>
    <cellStyle name="Normal 5 3 9 2 4 2" xfId="44778" xr:uid="{00000000-0005-0000-0000-0000B26C0000}"/>
    <cellStyle name="Normal 5 3 9 2 5" xfId="30715" xr:uid="{00000000-0005-0000-0000-0000B36C0000}"/>
    <cellStyle name="Normal 5 3 9 3" xfId="6599" xr:uid="{00000000-0005-0000-0000-0000B46C0000}"/>
    <cellStyle name="Normal 5 3 9 3 2" xfId="15426" xr:uid="{00000000-0005-0000-0000-0000B56C0000}"/>
    <cellStyle name="Normal 5 3 9 3 2 2" xfId="40981" xr:uid="{00000000-0005-0000-0000-0000B66C0000}"/>
    <cellStyle name="Normal 5 3 9 3 3" xfId="25677" xr:uid="{00000000-0005-0000-0000-0000B76C0000}"/>
    <cellStyle name="Normal 5 3 9 3 3 2" xfId="51230" xr:uid="{00000000-0005-0000-0000-0000B86C0000}"/>
    <cellStyle name="Normal 5 3 9 3 4" xfId="32160" xr:uid="{00000000-0005-0000-0000-0000B96C0000}"/>
    <cellStyle name="Normal 5 3 9 4" xfId="8045" xr:uid="{00000000-0005-0000-0000-0000BA6C0000}"/>
    <cellStyle name="Normal 5 3 9 4 2" xfId="21976" xr:uid="{00000000-0005-0000-0000-0000BB6C0000}"/>
    <cellStyle name="Normal 5 3 9 4 2 2" xfId="47529" xr:uid="{00000000-0005-0000-0000-0000BC6C0000}"/>
    <cellStyle name="Normal 5 3 9 4 3" xfId="33602" xr:uid="{00000000-0005-0000-0000-0000BD6C0000}"/>
    <cellStyle name="Normal 5 3 9 5" xfId="16969" xr:uid="{00000000-0005-0000-0000-0000BE6C0000}"/>
    <cellStyle name="Normal 5 3 9 5 2" xfId="42522" xr:uid="{00000000-0005-0000-0000-0000BF6C0000}"/>
    <cellStyle name="Normal 5 3 9 6" xfId="28459" xr:uid="{00000000-0005-0000-0000-0000C06C0000}"/>
    <cellStyle name="Normal 5 3_Degree data" xfId="3892" xr:uid="{00000000-0005-0000-0000-0000C16C0000}"/>
    <cellStyle name="Normal 5 4" xfId="146" xr:uid="{00000000-0005-0000-0000-0000C26C0000}"/>
    <cellStyle name="Normal 5 4 10" xfId="1414" xr:uid="{00000000-0005-0000-0000-0000C36C0000}"/>
    <cellStyle name="Normal 5 4 10 2" xfId="10791" xr:uid="{00000000-0005-0000-0000-0000C46C0000}"/>
    <cellStyle name="Normal 5 4 10 2 2" xfId="36346" xr:uid="{00000000-0005-0000-0000-0000C56C0000}"/>
    <cellStyle name="Normal 5 4 10 3" xfId="20795" xr:uid="{00000000-0005-0000-0000-0000C66C0000}"/>
    <cellStyle name="Normal 5 4 10 3 2" xfId="46348" xr:uid="{00000000-0005-0000-0000-0000C76C0000}"/>
    <cellStyle name="Normal 5 4 10 4" xfId="27278" xr:uid="{00000000-0005-0000-0000-0000C86C0000}"/>
    <cellStyle name="Normal 5 4 11" xfId="5525" xr:uid="{00000000-0005-0000-0000-0000C96C0000}"/>
    <cellStyle name="Normal 5 4 11 2" xfId="14352" xr:uid="{00000000-0005-0000-0000-0000CA6C0000}"/>
    <cellStyle name="Normal 5 4 11 2 2" xfId="39907" xr:uid="{00000000-0005-0000-0000-0000CB6C0000}"/>
    <cellStyle name="Normal 5 4 11 3" xfId="24603" xr:uid="{00000000-0005-0000-0000-0000CC6C0000}"/>
    <cellStyle name="Normal 5 4 11 3 2" xfId="50156" xr:uid="{00000000-0005-0000-0000-0000CD6C0000}"/>
    <cellStyle name="Normal 5 4 11 4" xfId="31086" xr:uid="{00000000-0005-0000-0000-0000CE6C0000}"/>
    <cellStyle name="Normal 5 4 12" xfId="6966" xr:uid="{00000000-0005-0000-0000-0000CF6C0000}"/>
    <cellStyle name="Normal 5 4 12 2" xfId="19610" xr:uid="{00000000-0005-0000-0000-0000D06C0000}"/>
    <cellStyle name="Normal 5 4 12 2 2" xfId="45163" xr:uid="{00000000-0005-0000-0000-0000D16C0000}"/>
    <cellStyle name="Normal 5 4 12 3" xfId="32524" xr:uid="{00000000-0005-0000-0000-0000D26C0000}"/>
    <cellStyle name="Normal 5 4 13" xfId="15788" xr:uid="{00000000-0005-0000-0000-0000D36C0000}"/>
    <cellStyle name="Normal 5 4 13 2" xfId="41341" xr:uid="{00000000-0005-0000-0000-0000D46C0000}"/>
    <cellStyle name="Normal 5 4 14" xfId="26093" xr:uid="{00000000-0005-0000-0000-0000D56C0000}"/>
    <cellStyle name="Normal 5 4 2" xfId="196" xr:uid="{00000000-0005-0000-0000-0000D66C0000}"/>
    <cellStyle name="Normal 5 4 2 10" xfId="7144" xr:uid="{00000000-0005-0000-0000-0000D76C0000}"/>
    <cellStyle name="Normal 5 4 2 10 2" xfId="19653" xr:uid="{00000000-0005-0000-0000-0000D86C0000}"/>
    <cellStyle name="Normal 5 4 2 10 2 2" xfId="45206" xr:uid="{00000000-0005-0000-0000-0000D96C0000}"/>
    <cellStyle name="Normal 5 4 2 10 3" xfId="32701" xr:uid="{00000000-0005-0000-0000-0000DA6C0000}"/>
    <cellStyle name="Normal 5 4 2 11" xfId="15890" xr:uid="{00000000-0005-0000-0000-0000DB6C0000}"/>
    <cellStyle name="Normal 5 4 2 11 2" xfId="41443" xr:uid="{00000000-0005-0000-0000-0000DC6C0000}"/>
    <cellStyle name="Normal 5 4 2 12" xfId="26136" xr:uid="{00000000-0005-0000-0000-0000DD6C0000}"/>
    <cellStyle name="Normal 5 4 2 2" xfId="524" xr:uid="{00000000-0005-0000-0000-0000DE6C0000}"/>
    <cellStyle name="Normal 5 4 2 2 10" xfId="26453" xr:uid="{00000000-0005-0000-0000-0000DF6C0000}"/>
    <cellStyle name="Normal 5 4 2 2 2" xfId="810" xr:uid="{00000000-0005-0000-0000-0000E06C0000}"/>
    <cellStyle name="Normal 5 4 2 2 2 2" xfId="3295" xr:uid="{00000000-0005-0000-0000-0000E16C0000}"/>
    <cellStyle name="Normal 5 4 2 2 2 2 2" xfId="12437" xr:uid="{00000000-0005-0000-0000-0000E26C0000}"/>
    <cellStyle name="Normal 5 4 2 2 2 2 2 2" xfId="22656" xr:uid="{00000000-0005-0000-0000-0000E36C0000}"/>
    <cellStyle name="Normal 5 4 2 2 2 2 2 2 2" xfId="48209" xr:uid="{00000000-0005-0000-0000-0000E46C0000}"/>
    <cellStyle name="Normal 5 4 2 2 2 2 2 3" xfId="37992" xr:uid="{00000000-0005-0000-0000-0000E56C0000}"/>
    <cellStyle name="Normal 5 4 2 2 2 2 3" xfId="8859" xr:uid="{00000000-0005-0000-0000-0000E66C0000}"/>
    <cellStyle name="Normal 5 4 2 2 2 2 3 2" xfId="34416" xr:uid="{00000000-0005-0000-0000-0000E76C0000}"/>
    <cellStyle name="Normal 5 4 2 2 2 2 4" xfId="17649" xr:uid="{00000000-0005-0000-0000-0000E86C0000}"/>
    <cellStyle name="Normal 5 4 2 2 2 2 4 2" xfId="43202" xr:uid="{00000000-0005-0000-0000-0000E96C0000}"/>
    <cellStyle name="Normal 5 4 2 2 2 2 5" xfId="29139" xr:uid="{00000000-0005-0000-0000-0000EA6C0000}"/>
    <cellStyle name="Normal 5 4 2 2 2 3" xfId="4624" xr:uid="{00000000-0005-0000-0000-0000EB6C0000}"/>
    <cellStyle name="Normal 5 4 2 2 2 3 2" xfId="13462" xr:uid="{00000000-0005-0000-0000-0000EC6C0000}"/>
    <cellStyle name="Normal 5 4 2 2 2 3 2 2" xfId="23713" xr:uid="{00000000-0005-0000-0000-0000ED6C0000}"/>
    <cellStyle name="Normal 5 4 2 2 2 3 2 2 2" xfId="49266" xr:uid="{00000000-0005-0000-0000-0000EE6C0000}"/>
    <cellStyle name="Normal 5 4 2 2 2 3 2 3" xfId="39017" xr:uid="{00000000-0005-0000-0000-0000EF6C0000}"/>
    <cellStyle name="Normal 5 4 2 2 2 3 3" xfId="9883" xr:uid="{00000000-0005-0000-0000-0000F06C0000}"/>
    <cellStyle name="Normal 5 4 2 2 2 3 3 2" xfId="35440" xr:uid="{00000000-0005-0000-0000-0000F16C0000}"/>
    <cellStyle name="Normal 5 4 2 2 2 3 4" xfId="18706" xr:uid="{00000000-0005-0000-0000-0000F26C0000}"/>
    <cellStyle name="Normal 5 4 2 2 2 3 4 2" xfId="44259" xr:uid="{00000000-0005-0000-0000-0000F36C0000}"/>
    <cellStyle name="Normal 5 4 2 2 2 3 5" xfId="30196" xr:uid="{00000000-0005-0000-0000-0000F46C0000}"/>
    <cellStyle name="Normal 5 4 2 2 2 4" xfId="2404" xr:uid="{00000000-0005-0000-0000-0000F56C0000}"/>
    <cellStyle name="Normal 5 4 2 2 2 4 2" xfId="11769" xr:uid="{00000000-0005-0000-0000-0000F66C0000}"/>
    <cellStyle name="Normal 5 4 2 2 2 4 2 2" xfId="37324" xr:uid="{00000000-0005-0000-0000-0000F76C0000}"/>
    <cellStyle name="Normal 5 4 2 2 2 4 3" xfId="21773" xr:uid="{00000000-0005-0000-0000-0000F86C0000}"/>
    <cellStyle name="Normal 5 4 2 2 2 4 3 2" xfId="47326" xr:uid="{00000000-0005-0000-0000-0000F96C0000}"/>
    <cellStyle name="Normal 5 4 2 2 2 4 4" xfId="28256" xr:uid="{00000000-0005-0000-0000-0000FA6C0000}"/>
    <cellStyle name="Normal 5 4 2 2 2 5" xfId="6080" xr:uid="{00000000-0005-0000-0000-0000FB6C0000}"/>
    <cellStyle name="Normal 5 4 2 2 2 5 2" xfId="14907" xr:uid="{00000000-0005-0000-0000-0000FC6C0000}"/>
    <cellStyle name="Normal 5 4 2 2 2 5 2 2" xfId="40462" xr:uid="{00000000-0005-0000-0000-0000FD6C0000}"/>
    <cellStyle name="Normal 5 4 2 2 2 5 3" xfId="25158" xr:uid="{00000000-0005-0000-0000-0000FE6C0000}"/>
    <cellStyle name="Normal 5 4 2 2 2 5 3 2" xfId="50711" xr:uid="{00000000-0005-0000-0000-0000FF6C0000}"/>
    <cellStyle name="Normal 5 4 2 2 2 5 4" xfId="31641" xr:uid="{00000000-0005-0000-0000-0000006D0000}"/>
    <cellStyle name="Normal 5 4 2 2 2 6" xfId="7525" xr:uid="{00000000-0005-0000-0000-0000016D0000}"/>
    <cellStyle name="Normal 5 4 2 2 2 6 2" xfId="20255" xr:uid="{00000000-0005-0000-0000-0000026D0000}"/>
    <cellStyle name="Normal 5 4 2 2 2 6 2 2" xfId="45808" xr:uid="{00000000-0005-0000-0000-0000036D0000}"/>
    <cellStyle name="Normal 5 4 2 2 2 6 3" xfId="33082" xr:uid="{00000000-0005-0000-0000-0000046D0000}"/>
    <cellStyle name="Normal 5 4 2 2 2 7" xfId="16766" xr:uid="{00000000-0005-0000-0000-0000056D0000}"/>
    <cellStyle name="Normal 5 4 2 2 2 7 2" xfId="42319" xr:uid="{00000000-0005-0000-0000-0000066D0000}"/>
    <cellStyle name="Normal 5 4 2 2 2 8" xfId="26738" xr:uid="{00000000-0005-0000-0000-0000076D0000}"/>
    <cellStyle name="Normal 5 4 2 2 3" xfId="1296" xr:uid="{00000000-0005-0000-0000-0000086D0000}"/>
    <cellStyle name="Normal 5 4 2 2 3 2" xfId="3725" xr:uid="{00000000-0005-0000-0000-0000096D0000}"/>
    <cellStyle name="Normal 5 4 2 2 3 2 2" xfId="12861" xr:uid="{00000000-0005-0000-0000-00000A6D0000}"/>
    <cellStyle name="Normal 5 4 2 2 3 2 2 2" xfId="23080" xr:uid="{00000000-0005-0000-0000-00000B6D0000}"/>
    <cellStyle name="Normal 5 4 2 2 3 2 2 2 2" xfId="48633" xr:uid="{00000000-0005-0000-0000-00000C6D0000}"/>
    <cellStyle name="Normal 5 4 2 2 3 2 2 3" xfId="38416" xr:uid="{00000000-0005-0000-0000-00000D6D0000}"/>
    <cellStyle name="Normal 5 4 2 2 3 2 3" xfId="9282" xr:uid="{00000000-0005-0000-0000-00000E6D0000}"/>
    <cellStyle name="Normal 5 4 2 2 3 2 3 2" xfId="34839" xr:uid="{00000000-0005-0000-0000-00000F6D0000}"/>
    <cellStyle name="Normal 5 4 2 2 3 2 4" xfId="18073" xr:uid="{00000000-0005-0000-0000-0000106D0000}"/>
    <cellStyle name="Normal 5 4 2 2 3 2 4 2" xfId="43626" xr:uid="{00000000-0005-0000-0000-0000116D0000}"/>
    <cellStyle name="Normal 5 4 2 2 3 2 5" xfId="29563" xr:uid="{00000000-0005-0000-0000-0000126D0000}"/>
    <cellStyle name="Normal 5 4 2 2 3 3" xfId="4973" xr:uid="{00000000-0005-0000-0000-0000136D0000}"/>
    <cellStyle name="Normal 5 4 2 2 3 3 2" xfId="13810" xr:uid="{00000000-0005-0000-0000-0000146D0000}"/>
    <cellStyle name="Normal 5 4 2 2 3 3 2 2" xfId="24061" xr:uid="{00000000-0005-0000-0000-0000156D0000}"/>
    <cellStyle name="Normal 5 4 2 2 3 3 2 2 2" xfId="49614" xr:uid="{00000000-0005-0000-0000-0000166D0000}"/>
    <cellStyle name="Normal 5 4 2 2 3 3 2 3" xfId="39365" xr:uid="{00000000-0005-0000-0000-0000176D0000}"/>
    <cellStyle name="Normal 5 4 2 2 3 3 3" xfId="10231" xr:uid="{00000000-0005-0000-0000-0000186D0000}"/>
    <cellStyle name="Normal 5 4 2 2 3 3 3 2" xfId="35788" xr:uid="{00000000-0005-0000-0000-0000196D0000}"/>
    <cellStyle name="Normal 5 4 2 2 3 3 4" xfId="19054" xr:uid="{00000000-0005-0000-0000-00001A6D0000}"/>
    <cellStyle name="Normal 5 4 2 2 3 3 4 2" xfId="44607" xr:uid="{00000000-0005-0000-0000-00001B6D0000}"/>
    <cellStyle name="Normal 5 4 2 2 3 3 5" xfId="30544" xr:uid="{00000000-0005-0000-0000-00001C6D0000}"/>
    <cellStyle name="Normal 5 4 2 2 3 4" xfId="2119" xr:uid="{00000000-0005-0000-0000-00001D6D0000}"/>
    <cellStyle name="Normal 5 4 2 2 3 4 2" xfId="11484" xr:uid="{00000000-0005-0000-0000-00001E6D0000}"/>
    <cellStyle name="Normal 5 4 2 2 3 4 2 2" xfId="37039" xr:uid="{00000000-0005-0000-0000-00001F6D0000}"/>
    <cellStyle name="Normal 5 4 2 2 3 4 3" xfId="21488" xr:uid="{00000000-0005-0000-0000-0000206D0000}"/>
    <cellStyle name="Normal 5 4 2 2 3 4 3 2" xfId="47041" xr:uid="{00000000-0005-0000-0000-0000216D0000}"/>
    <cellStyle name="Normal 5 4 2 2 3 4 4" xfId="27971" xr:uid="{00000000-0005-0000-0000-0000226D0000}"/>
    <cellStyle name="Normal 5 4 2 2 3 5" xfId="6428" xr:uid="{00000000-0005-0000-0000-0000236D0000}"/>
    <cellStyle name="Normal 5 4 2 2 3 5 2" xfId="15255" xr:uid="{00000000-0005-0000-0000-0000246D0000}"/>
    <cellStyle name="Normal 5 4 2 2 3 5 2 2" xfId="40810" xr:uid="{00000000-0005-0000-0000-0000256D0000}"/>
    <cellStyle name="Normal 5 4 2 2 3 5 3" xfId="25506" xr:uid="{00000000-0005-0000-0000-0000266D0000}"/>
    <cellStyle name="Normal 5 4 2 2 3 5 3 2" xfId="51059" xr:uid="{00000000-0005-0000-0000-0000276D0000}"/>
    <cellStyle name="Normal 5 4 2 2 3 5 4" xfId="31989" xr:uid="{00000000-0005-0000-0000-0000286D0000}"/>
    <cellStyle name="Normal 5 4 2 2 3 6" xfId="7874" xr:uid="{00000000-0005-0000-0000-0000296D0000}"/>
    <cellStyle name="Normal 5 4 2 2 3 6 2" xfId="20679" xr:uid="{00000000-0005-0000-0000-00002A6D0000}"/>
    <cellStyle name="Normal 5 4 2 2 3 6 2 2" xfId="46232" xr:uid="{00000000-0005-0000-0000-00002B6D0000}"/>
    <cellStyle name="Normal 5 4 2 2 3 6 3" xfId="33431" xr:uid="{00000000-0005-0000-0000-00002C6D0000}"/>
    <cellStyle name="Normal 5 4 2 2 3 7" xfId="16481" xr:uid="{00000000-0005-0000-0000-00002D6D0000}"/>
    <cellStyle name="Normal 5 4 2 2 3 7 2" xfId="42034" xr:uid="{00000000-0005-0000-0000-00002E6D0000}"/>
    <cellStyle name="Normal 5 4 2 2 3 8" xfId="27162" xr:uid="{00000000-0005-0000-0000-00002F6D0000}"/>
    <cellStyle name="Normal 5 4 2 2 4" xfId="3010" xr:uid="{00000000-0005-0000-0000-0000306D0000}"/>
    <cellStyle name="Normal 5 4 2 2 4 2" xfId="5388" xr:uid="{00000000-0005-0000-0000-0000316D0000}"/>
    <cellStyle name="Normal 5 4 2 2 4 2 2" xfId="14225" xr:uid="{00000000-0005-0000-0000-0000326D0000}"/>
    <cellStyle name="Normal 5 4 2 2 4 2 2 2" xfId="24476" xr:uid="{00000000-0005-0000-0000-0000336D0000}"/>
    <cellStyle name="Normal 5 4 2 2 4 2 2 2 2" xfId="50029" xr:uid="{00000000-0005-0000-0000-0000346D0000}"/>
    <cellStyle name="Normal 5 4 2 2 4 2 2 3" xfId="39780" xr:uid="{00000000-0005-0000-0000-0000356D0000}"/>
    <cellStyle name="Normal 5 4 2 2 4 2 3" xfId="10646" xr:uid="{00000000-0005-0000-0000-0000366D0000}"/>
    <cellStyle name="Normal 5 4 2 2 4 2 3 2" xfId="36203" xr:uid="{00000000-0005-0000-0000-0000376D0000}"/>
    <cellStyle name="Normal 5 4 2 2 4 2 4" xfId="19469" xr:uid="{00000000-0005-0000-0000-0000386D0000}"/>
    <cellStyle name="Normal 5 4 2 2 4 2 4 2" xfId="45022" xr:uid="{00000000-0005-0000-0000-0000396D0000}"/>
    <cellStyle name="Normal 5 4 2 2 4 2 5" xfId="30959" xr:uid="{00000000-0005-0000-0000-00003A6D0000}"/>
    <cellStyle name="Normal 5 4 2 2 4 3" xfId="6843" xr:uid="{00000000-0005-0000-0000-00003B6D0000}"/>
    <cellStyle name="Normal 5 4 2 2 4 3 2" xfId="15670" xr:uid="{00000000-0005-0000-0000-00003C6D0000}"/>
    <cellStyle name="Normal 5 4 2 2 4 3 2 2" xfId="41225" xr:uid="{00000000-0005-0000-0000-00003D6D0000}"/>
    <cellStyle name="Normal 5 4 2 2 4 3 3" xfId="25921" xr:uid="{00000000-0005-0000-0000-00003E6D0000}"/>
    <cellStyle name="Normal 5 4 2 2 4 3 3 2" xfId="51474" xr:uid="{00000000-0005-0000-0000-00003F6D0000}"/>
    <cellStyle name="Normal 5 4 2 2 4 3 4" xfId="32404" xr:uid="{00000000-0005-0000-0000-0000406D0000}"/>
    <cellStyle name="Normal 5 4 2 2 4 4" xfId="8289" xr:uid="{00000000-0005-0000-0000-0000416D0000}"/>
    <cellStyle name="Normal 5 4 2 2 4 4 2" xfId="22371" xr:uid="{00000000-0005-0000-0000-0000426D0000}"/>
    <cellStyle name="Normal 5 4 2 2 4 4 2 2" xfId="47924" xr:uid="{00000000-0005-0000-0000-0000436D0000}"/>
    <cellStyle name="Normal 5 4 2 2 4 4 3" xfId="33846" xr:uid="{00000000-0005-0000-0000-0000446D0000}"/>
    <cellStyle name="Normal 5 4 2 2 4 5" xfId="17364" xr:uid="{00000000-0005-0000-0000-0000456D0000}"/>
    <cellStyle name="Normal 5 4 2 2 4 5 2" xfId="42917" xr:uid="{00000000-0005-0000-0000-0000466D0000}"/>
    <cellStyle name="Normal 5 4 2 2 4 6" xfId="28854" xr:uid="{00000000-0005-0000-0000-0000476D0000}"/>
    <cellStyle name="Normal 5 4 2 2 5" xfId="4344" xr:uid="{00000000-0005-0000-0000-0000486D0000}"/>
    <cellStyle name="Normal 5 4 2 2 5 2" xfId="13182" xr:uid="{00000000-0005-0000-0000-0000496D0000}"/>
    <cellStyle name="Normal 5 4 2 2 5 2 2" xfId="23433" xr:uid="{00000000-0005-0000-0000-00004A6D0000}"/>
    <cellStyle name="Normal 5 4 2 2 5 2 2 2" xfId="48986" xr:uid="{00000000-0005-0000-0000-00004B6D0000}"/>
    <cellStyle name="Normal 5 4 2 2 5 2 3" xfId="38737" xr:uid="{00000000-0005-0000-0000-00004C6D0000}"/>
    <cellStyle name="Normal 5 4 2 2 5 3" xfId="9603" xr:uid="{00000000-0005-0000-0000-00004D6D0000}"/>
    <cellStyle name="Normal 5 4 2 2 5 3 2" xfId="35160" xr:uid="{00000000-0005-0000-0000-00004E6D0000}"/>
    <cellStyle name="Normal 5 4 2 2 5 4" xfId="18426" xr:uid="{00000000-0005-0000-0000-00004F6D0000}"/>
    <cellStyle name="Normal 5 4 2 2 5 4 2" xfId="43979" xr:uid="{00000000-0005-0000-0000-0000506D0000}"/>
    <cellStyle name="Normal 5 4 2 2 5 5" xfId="29916" xr:uid="{00000000-0005-0000-0000-0000516D0000}"/>
    <cellStyle name="Normal 5 4 2 2 6" xfId="1616" xr:uid="{00000000-0005-0000-0000-0000526D0000}"/>
    <cellStyle name="Normal 5 4 2 2 6 2" xfId="10993" xr:uid="{00000000-0005-0000-0000-0000536D0000}"/>
    <cellStyle name="Normal 5 4 2 2 6 2 2" xfId="36548" xr:uid="{00000000-0005-0000-0000-0000546D0000}"/>
    <cellStyle name="Normal 5 4 2 2 6 3" xfId="20997" xr:uid="{00000000-0005-0000-0000-0000556D0000}"/>
    <cellStyle name="Normal 5 4 2 2 6 3 2" xfId="46550" xr:uid="{00000000-0005-0000-0000-0000566D0000}"/>
    <cellStyle name="Normal 5 4 2 2 6 4" xfId="27480" xr:uid="{00000000-0005-0000-0000-0000576D0000}"/>
    <cellStyle name="Normal 5 4 2 2 7" xfId="5800" xr:uid="{00000000-0005-0000-0000-0000586D0000}"/>
    <cellStyle name="Normal 5 4 2 2 7 2" xfId="14627" xr:uid="{00000000-0005-0000-0000-0000596D0000}"/>
    <cellStyle name="Normal 5 4 2 2 7 2 2" xfId="40182" xr:uid="{00000000-0005-0000-0000-00005A6D0000}"/>
    <cellStyle name="Normal 5 4 2 2 7 3" xfId="24878" xr:uid="{00000000-0005-0000-0000-00005B6D0000}"/>
    <cellStyle name="Normal 5 4 2 2 7 3 2" xfId="50431" xr:uid="{00000000-0005-0000-0000-00005C6D0000}"/>
    <cellStyle name="Normal 5 4 2 2 7 4" xfId="31361" xr:uid="{00000000-0005-0000-0000-00005D6D0000}"/>
    <cellStyle name="Normal 5 4 2 2 8" xfId="7244" xr:uid="{00000000-0005-0000-0000-00005E6D0000}"/>
    <cellStyle name="Normal 5 4 2 2 8 2" xfId="19970" xr:uid="{00000000-0005-0000-0000-00005F6D0000}"/>
    <cellStyle name="Normal 5 4 2 2 8 2 2" xfId="45523" xr:uid="{00000000-0005-0000-0000-0000606D0000}"/>
    <cellStyle name="Normal 5 4 2 2 8 3" xfId="32801" xr:uid="{00000000-0005-0000-0000-0000616D0000}"/>
    <cellStyle name="Normal 5 4 2 2 9" xfId="15990" xr:uid="{00000000-0005-0000-0000-0000626D0000}"/>
    <cellStyle name="Normal 5 4 2 2 9 2" xfId="41543" xr:uid="{00000000-0005-0000-0000-0000636D0000}"/>
    <cellStyle name="Normal 5 4 2 2_Degree data" xfId="3859" xr:uid="{00000000-0005-0000-0000-0000646D0000}"/>
    <cellStyle name="Normal 5 4 2 3" xfId="424" xr:uid="{00000000-0005-0000-0000-0000656D0000}"/>
    <cellStyle name="Normal 5 4 2 3 2" xfId="2910" xr:uid="{00000000-0005-0000-0000-0000666D0000}"/>
    <cellStyle name="Normal 5 4 2 3 2 2" xfId="12198" xr:uid="{00000000-0005-0000-0000-0000676D0000}"/>
    <cellStyle name="Normal 5 4 2 3 2 2 2" xfId="22271" xr:uid="{00000000-0005-0000-0000-0000686D0000}"/>
    <cellStyle name="Normal 5 4 2 3 2 2 2 2" xfId="47824" xr:uid="{00000000-0005-0000-0000-0000696D0000}"/>
    <cellStyle name="Normal 5 4 2 3 2 2 3" xfId="37753" xr:uid="{00000000-0005-0000-0000-00006A6D0000}"/>
    <cellStyle name="Normal 5 4 2 3 2 3" xfId="8620" xr:uid="{00000000-0005-0000-0000-00006B6D0000}"/>
    <cellStyle name="Normal 5 4 2 3 2 3 2" xfId="34177" xr:uid="{00000000-0005-0000-0000-00006C6D0000}"/>
    <cellStyle name="Normal 5 4 2 3 2 4" xfId="17264" xr:uid="{00000000-0005-0000-0000-00006D6D0000}"/>
    <cellStyle name="Normal 5 4 2 3 2 4 2" xfId="42817" xr:uid="{00000000-0005-0000-0000-00006E6D0000}"/>
    <cellStyle name="Normal 5 4 2 3 2 5" xfId="28754" xr:uid="{00000000-0005-0000-0000-00006F6D0000}"/>
    <cellStyle name="Normal 5 4 2 3 3" xfId="4623" xr:uid="{00000000-0005-0000-0000-0000706D0000}"/>
    <cellStyle name="Normal 5 4 2 3 3 2" xfId="13461" xr:uid="{00000000-0005-0000-0000-0000716D0000}"/>
    <cellStyle name="Normal 5 4 2 3 3 2 2" xfId="23712" xr:uid="{00000000-0005-0000-0000-0000726D0000}"/>
    <cellStyle name="Normal 5 4 2 3 3 2 2 2" xfId="49265" xr:uid="{00000000-0005-0000-0000-0000736D0000}"/>
    <cellStyle name="Normal 5 4 2 3 3 2 3" xfId="39016" xr:uid="{00000000-0005-0000-0000-0000746D0000}"/>
    <cellStyle name="Normal 5 4 2 3 3 3" xfId="9882" xr:uid="{00000000-0005-0000-0000-0000756D0000}"/>
    <cellStyle name="Normal 5 4 2 3 3 3 2" xfId="35439" xr:uid="{00000000-0005-0000-0000-0000766D0000}"/>
    <cellStyle name="Normal 5 4 2 3 3 4" xfId="18705" xr:uid="{00000000-0005-0000-0000-0000776D0000}"/>
    <cellStyle name="Normal 5 4 2 3 3 4 2" xfId="44258" xr:uid="{00000000-0005-0000-0000-0000786D0000}"/>
    <cellStyle name="Normal 5 4 2 3 3 5" xfId="30195" xr:uid="{00000000-0005-0000-0000-0000796D0000}"/>
    <cellStyle name="Normal 5 4 2 3 4" xfId="2019" xr:uid="{00000000-0005-0000-0000-00007A6D0000}"/>
    <cellStyle name="Normal 5 4 2 3 4 2" xfId="11384" xr:uid="{00000000-0005-0000-0000-00007B6D0000}"/>
    <cellStyle name="Normal 5 4 2 3 4 2 2" xfId="36939" xr:uid="{00000000-0005-0000-0000-00007C6D0000}"/>
    <cellStyle name="Normal 5 4 2 3 4 3" xfId="21388" xr:uid="{00000000-0005-0000-0000-00007D6D0000}"/>
    <cellStyle name="Normal 5 4 2 3 4 3 2" xfId="46941" xr:uid="{00000000-0005-0000-0000-00007E6D0000}"/>
    <cellStyle name="Normal 5 4 2 3 4 4" xfId="27871" xr:uid="{00000000-0005-0000-0000-00007F6D0000}"/>
    <cellStyle name="Normal 5 4 2 3 5" xfId="6079" xr:uid="{00000000-0005-0000-0000-0000806D0000}"/>
    <cellStyle name="Normal 5 4 2 3 5 2" xfId="14906" xr:uid="{00000000-0005-0000-0000-0000816D0000}"/>
    <cellStyle name="Normal 5 4 2 3 5 2 2" xfId="40461" xr:uid="{00000000-0005-0000-0000-0000826D0000}"/>
    <cellStyle name="Normal 5 4 2 3 5 3" xfId="25157" xr:uid="{00000000-0005-0000-0000-0000836D0000}"/>
    <cellStyle name="Normal 5 4 2 3 5 3 2" xfId="50710" xr:uid="{00000000-0005-0000-0000-0000846D0000}"/>
    <cellStyle name="Normal 5 4 2 3 5 4" xfId="31640" xr:uid="{00000000-0005-0000-0000-0000856D0000}"/>
    <cellStyle name="Normal 5 4 2 3 6" xfId="7524" xr:uid="{00000000-0005-0000-0000-0000866D0000}"/>
    <cellStyle name="Normal 5 4 2 3 6 2" xfId="19870" xr:uid="{00000000-0005-0000-0000-0000876D0000}"/>
    <cellStyle name="Normal 5 4 2 3 6 2 2" xfId="45423" xr:uid="{00000000-0005-0000-0000-0000886D0000}"/>
    <cellStyle name="Normal 5 4 2 3 6 3" xfId="33081" xr:uid="{00000000-0005-0000-0000-0000896D0000}"/>
    <cellStyle name="Normal 5 4 2 3 7" xfId="16381" xr:uid="{00000000-0005-0000-0000-00008A6D0000}"/>
    <cellStyle name="Normal 5 4 2 3 7 2" xfId="41934" xr:uid="{00000000-0005-0000-0000-00008B6D0000}"/>
    <cellStyle name="Normal 5 4 2 3 8" xfId="26353" xr:uid="{00000000-0005-0000-0000-00008C6D0000}"/>
    <cellStyle name="Normal 5 4 2 4" xfId="809" xr:uid="{00000000-0005-0000-0000-00008D6D0000}"/>
    <cellStyle name="Normal 5 4 2 4 2" xfId="3294" xr:uid="{00000000-0005-0000-0000-00008E6D0000}"/>
    <cellStyle name="Normal 5 4 2 4 2 2" xfId="12436" xr:uid="{00000000-0005-0000-0000-00008F6D0000}"/>
    <cellStyle name="Normal 5 4 2 4 2 2 2" xfId="22655" xr:uid="{00000000-0005-0000-0000-0000906D0000}"/>
    <cellStyle name="Normal 5 4 2 4 2 2 2 2" xfId="48208" xr:uid="{00000000-0005-0000-0000-0000916D0000}"/>
    <cellStyle name="Normal 5 4 2 4 2 2 3" xfId="37991" xr:uid="{00000000-0005-0000-0000-0000926D0000}"/>
    <cellStyle name="Normal 5 4 2 4 2 3" xfId="8858" xr:uid="{00000000-0005-0000-0000-0000936D0000}"/>
    <cellStyle name="Normal 5 4 2 4 2 3 2" xfId="34415" xr:uid="{00000000-0005-0000-0000-0000946D0000}"/>
    <cellStyle name="Normal 5 4 2 4 2 4" xfId="17648" xr:uid="{00000000-0005-0000-0000-0000956D0000}"/>
    <cellStyle name="Normal 5 4 2 4 2 4 2" xfId="43201" xr:uid="{00000000-0005-0000-0000-0000966D0000}"/>
    <cellStyle name="Normal 5 4 2 4 2 5" xfId="29138" xr:uid="{00000000-0005-0000-0000-0000976D0000}"/>
    <cellStyle name="Normal 5 4 2 4 3" xfId="4972" xr:uid="{00000000-0005-0000-0000-0000986D0000}"/>
    <cellStyle name="Normal 5 4 2 4 3 2" xfId="13809" xr:uid="{00000000-0005-0000-0000-0000996D0000}"/>
    <cellStyle name="Normal 5 4 2 4 3 2 2" xfId="24060" xr:uid="{00000000-0005-0000-0000-00009A6D0000}"/>
    <cellStyle name="Normal 5 4 2 4 3 2 2 2" xfId="49613" xr:uid="{00000000-0005-0000-0000-00009B6D0000}"/>
    <cellStyle name="Normal 5 4 2 4 3 2 3" xfId="39364" xr:uid="{00000000-0005-0000-0000-00009C6D0000}"/>
    <cellStyle name="Normal 5 4 2 4 3 3" xfId="10230" xr:uid="{00000000-0005-0000-0000-00009D6D0000}"/>
    <cellStyle name="Normal 5 4 2 4 3 3 2" xfId="35787" xr:uid="{00000000-0005-0000-0000-00009E6D0000}"/>
    <cellStyle name="Normal 5 4 2 4 3 4" xfId="19053" xr:uid="{00000000-0005-0000-0000-00009F6D0000}"/>
    <cellStyle name="Normal 5 4 2 4 3 4 2" xfId="44606" xr:uid="{00000000-0005-0000-0000-0000A06D0000}"/>
    <cellStyle name="Normal 5 4 2 4 3 5" xfId="30543" xr:uid="{00000000-0005-0000-0000-0000A16D0000}"/>
    <cellStyle name="Normal 5 4 2 4 4" xfId="2403" xr:uid="{00000000-0005-0000-0000-0000A26D0000}"/>
    <cellStyle name="Normal 5 4 2 4 4 2" xfId="11768" xr:uid="{00000000-0005-0000-0000-0000A36D0000}"/>
    <cellStyle name="Normal 5 4 2 4 4 2 2" xfId="37323" xr:uid="{00000000-0005-0000-0000-0000A46D0000}"/>
    <cellStyle name="Normal 5 4 2 4 4 3" xfId="21772" xr:uid="{00000000-0005-0000-0000-0000A56D0000}"/>
    <cellStyle name="Normal 5 4 2 4 4 3 2" xfId="47325" xr:uid="{00000000-0005-0000-0000-0000A66D0000}"/>
    <cellStyle name="Normal 5 4 2 4 4 4" xfId="28255" xr:uid="{00000000-0005-0000-0000-0000A76D0000}"/>
    <cellStyle name="Normal 5 4 2 4 5" xfId="6427" xr:uid="{00000000-0005-0000-0000-0000A86D0000}"/>
    <cellStyle name="Normal 5 4 2 4 5 2" xfId="15254" xr:uid="{00000000-0005-0000-0000-0000A96D0000}"/>
    <cellStyle name="Normal 5 4 2 4 5 2 2" xfId="40809" xr:uid="{00000000-0005-0000-0000-0000AA6D0000}"/>
    <cellStyle name="Normal 5 4 2 4 5 3" xfId="25505" xr:uid="{00000000-0005-0000-0000-0000AB6D0000}"/>
    <cellStyle name="Normal 5 4 2 4 5 3 2" xfId="51058" xr:uid="{00000000-0005-0000-0000-0000AC6D0000}"/>
    <cellStyle name="Normal 5 4 2 4 5 4" xfId="31988" xr:uid="{00000000-0005-0000-0000-0000AD6D0000}"/>
    <cellStyle name="Normal 5 4 2 4 6" xfId="7873" xr:uid="{00000000-0005-0000-0000-0000AE6D0000}"/>
    <cellStyle name="Normal 5 4 2 4 6 2" xfId="20254" xr:uid="{00000000-0005-0000-0000-0000AF6D0000}"/>
    <cellStyle name="Normal 5 4 2 4 6 2 2" xfId="45807" xr:uid="{00000000-0005-0000-0000-0000B06D0000}"/>
    <cellStyle name="Normal 5 4 2 4 6 3" xfId="33430" xr:uid="{00000000-0005-0000-0000-0000B16D0000}"/>
    <cellStyle name="Normal 5 4 2 4 7" xfId="16765" xr:uid="{00000000-0005-0000-0000-0000B26D0000}"/>
    <cellStyle name="Normal 5 4 2 4 7 2" xfId="42318" xr:uid="{00000000-0005-0000-0000-0000B36D0000}"/>
    <cellStyle name="Normal 5 4 2 4 8" xfId="26737" xr:uid="{00000000-0005-0000-0000-0000B46D0000}"/>
    <cellStyle name="Normal 5 4 2 5" xfId="1196" xr:uid="{00000000-0005-0000-0000-0000B56D0000}"/>
    <cellStyle name="Normal 5 4 2 5 2" xfId="3625" xr:uid="{00000000-0005-0000-0000-0000B66D0000}"/>
    <cellStyle name="Normal 5 4 2 5 2 2" xfId="12761" xr:uid="{00000000-0005-0000-0000-0000B76D0000}"/>
    <cellStyle name="Normal 5 4 2 5 2 2 2" xfId="22980" xr:uid="{00000000-0005-0000-0000-0000B86D0000}"/>
    <cellStyle name="Normal 5 4 2 5 2 2 2 2" xfId="48533" xr:uid="{00000000-0005-0000-0000-0000B96D0000}"/>
    <cellStyle name="Normal 5 4 2 5 2 2 3" xfId="38316" xr:uid="{00000000-0005-0000-0000-0000BA6D0000}"/>
    <cellStyle name="Normal 5 4 2 5 2 3" xfId="9182" xr:uid="{00000000-0005-0000-0000-0000BB6D0000}"/>
    <cellStyle name="Normal 5 4 2 5 2 3 2" xfId="34739" xr:uid="{00000000-0005-0000-0000-0000BC6D0000}"/>
    <cellStyle name="Normal 5 4 2 5 2 4" xfId="17973" xr:uid="{00000000-0005-0000-0000-0000BD6D0000}"/>
    <cellStyle name="Normal 5 4 2 5 2 4 2" xfId="43526" xr:uid="{00000000-0005-0000-0000-0000BE6D0000}"/>
    <cellStyle name="Normal 5 4 2 5 2 5" xfId="29463" xr:uid="{00000000-0005-0000-0000-0000BF6D0000}"/>
    <cellStyle name="Normal 5 4 2 5 3" xfId="5288" xr:uid="{00000000-0005-0000-0000-0000C06D0000}"/>
    <cellStyle name="Normal 5 4 2 5 3 2" xfId="14125" xr:uid="{00000000-0005-0000-0000-0000C16D0000}"/>
    <cellStyle name="Normal 5 4 2 5 3 2 2" xfId="24376" xr:uid="{00000000-0005-0000-0000-0000C26D0000}"/>
    <cellStyle name="Normal 5 4 2 5 3 2 2 2" xfId="49929" xr:uid="{00000000-0005-0000-0000-0000C36D0000}"/>
    <cellStyle name="Normal 5 4 2 5 3 2 3" xfId="39680" xr:uid="{00000000-0005-0000-0000-0000C46D0000}"/>
    <cellStyle name="Normal 5 4 2 5 3 3" xfId="10546" xr:uid="{00000000-0005-0000-0000-0000C56D0000}"/>
    <cellStyle name="Normal 5 4 2 5 3 3 2" xfId="36103" xr:uid="{00000000-0005-0000-0000-0000C66D0000}"/>
    <cellStyle name="Normal 5 4 2 5 3 4" xfId="19369" xr:uid="{00000000-0005-0000-0000-0000C76D0000}"/>
    <cellStyle name="Normal 5 4 2 5 3 4 2" xfId="44922" xr:uid="{00000000-0005-0000-0000-0000C86D0000}"/>
    <cellStyle name="Normal 5 4 2 5 3 5" xfId="30859" xr:uid="{00000000-0005-0000-0000-0000C96D0000}"/>
    <cellStyle name="Normal 5 4 2 5 4" xfId="1798" xr:uid="{00000000-0005-0000-0000-0000CA6D0000}"/>
    <cellStyle name="Normal 5 4 2 5 4 2" xfId="11167" xr:uid="{00000000-0005-0000-0000-0000CB6D0000}"/>
    <cellStyle name="Normal 5 4 2 5 4 2 2" xfId="36722" xr:uid="{00000000-0005-0000-0000-0000CC6D0000}"/>
    <cellStyle name="Normal 5 4 2 5 4 3" xfId="21171" xr:uid="{00000000-0005-0000-0000-0000CD6D0000}"/>
    <cellStyle name="Normal 5 4 2 5 4 3 2" xfId="46724" xr:uid="{00000000-0005-0000-0000-0000CE6D0000}"/>
    <cellStyle name="Normal 5 4 2 5 4 4" xfId="27654" xr:uid="{00000000-0005-0000-0000-0000CF6D0000}"/>
    <cellStyle name="Normal 5 4 2 5 5" xfId="6743" xr:uid="{00000000-0005-0000-0000-0000D06D0000}"/>
    <cellStyle name="Normal 5 4 2 5 5 2" xfId="15570" xr:uid="{00000000-0005-0000-0000-0000D16D0000}"/>
    <cellStyle name="Normal 5 4 2 5 5 2 2" xfId="41125" xr:uid="{00000000-0005-0000-0000-0000D26D0000}"/>
    <cellStyle name="Normal 5 4 2 5 5 3" xfId="25821" xr:uid="{00000000-0005-0000-0000-0000D36D0000}"/>
    <cellStyle name="Normal 5 4 2 5 5 3 2" xfId="51374" xr:uid="{00000000-0005-0000-0000-0000D46D0000}"/>
    <cellStyle name="Normal 5 4 2 5 5 4" xfId="32304" xr:uid="{00000000-0005-0000-0000-0000D56D0000}"/>
    <cellStyle name="Normal 5 4 2 5 6" xfId="8189" xr:uid="{00000000-0005-0000-0000-0000D66D0000}"/>
    <cellStyle name="Normal 5 4 2 5 6 2" xfId="20579" xr:uid="{00000000-0005-0000-0000-0000D76D0000}"/>
    <cellStyle name="Normal 5 4 2 5 6 2 2" xfId="46132" xr:uid="{00000000-0005-0000-0000-0000D86D0000}"/>
    <cellStyle name="Normal 5 4 2 5 6 3" xfId="33746" xr:uid="{00000000-0005-0000-0000-0000D96D0000}"/>
    <cellStyle name="Normal 5 4 2 5 7" xfId="16164" xr:uid="{00000000-0005-0000-0000-0000DA6D0000}"/>
    <cellStyle name="Normal 5 4 2 5 7 2" xfId="41717" xr:uid="{00000000-0005-0000-0000-0000DB6D0000}"/>
    <cellStyle name="Normal 5 4 2 5 8" xfId="27062" xr:uid="{00000000-0005-0000-0000-0000DC6D0000}"/>
    <cellStyle name="Normal 5 4 2 6" xfId="2693" xr:uid="{00000000-0005-0000-0000-0000DD6D0000}"/>
    <cellStyle name="Normal 5 4 2 6 2" xfId="12010" xr:uid="{00000000-0005-0000-0000-0000DE6D0000}"/>
    <cellStyle name="Normal 5 4 2 6 2 2" xfId="22054" xr:uid="{00000000-0005-0000-0000-0000DF6D0000}"/>
    <cellStyle name="Normal 5 4 2 6 2 2 2" xfId="47607" xr:uid="{00000000-0005-0000-0000-0000E06D0000}"/>
    <cellStyle name="Normal 5 4 2 6 2 3" xfId="37565" xr:uid="{00000000-0005-0000-0000-0000E16D0000}"/>
    <cellStyle name="Normal 5 4 2 6 3" xfId="8608" xr:uid="{00000000-0005-0000-0000-0000E26D0000}"/>
    <cellStyle name="Normal 5 4 2 6 3 2" xfId="34165" xr:uid="{00000000-0005-0000-0000-0000E36D0000}"/>
    <cellStyle name="Normal 5 4 2 6 4" xfId="17047" xr:uid="{00000000-0005-0000-0000-0000E46D0000}"/>
    <cellStyle name="Normal 5 4 2 6 4 2" xfId="42600" xr:uid="{00000000-0005-0000-0000-0000E56D0000}"/>
    <cellStyle name="Normal 5 4 2 6 5" xfId="28537" xr:uid="{00000000-0005-0000-0000-0000E66D0000}"/>
    <cellStyle name="Normal 5 4 2 7" xfId="4244" xr:uid="{00000000-0005-0000-0000-0000E76D0000}"/>
    <cellStyle name="Normal 5 4 2 7 2" xfId="13082" xr:uid="{00000000-0005-0000-0000-0000E86D0000}"/>
    <cellStyle name="Normal 5 4 2 7 2 2" xfId="23333" xr:uid="{00000000-0005-0000-0000-0000E96D0000}"/>
    <cellStyle name="Normal 5 4 2 7 2 2 2" xfId="48886" xr:uid="{00000000-0005-0000-0000-0000EA6D0000}"/>
    <cellStyle name="Normal 5 4 2 7 2 3" xfId="38637" xr:uid="{00000000-0005-0000-0000-0000EB6D0000}"/>
    <cellStyle name="Normal 5 4 2 7 3" xfId="9503" xr:uid="{00000000-0005-0000-0000-0000EC6D0000}"/>
    <cellStyle name="Normal 5 4 2 7 3 2" xfId="35060" xr:uid="{00000000-0005-0000-0000-0000ED6D0000}"/>
    <cellStyle name="Normal 5 4 2 7 4" xfId="18326" xr:uid="{00000000-0005-0000-0000-0000EE6D0000}"/>
    <cellStyle name="Normal 5 4 2 7 4 2" xfId="43879" xr:uid="{00000000-0005-0000-0000-0000EF6D0000}"/>
    <cellStyle name="Normal 5 4 2 7 5" xfId="29816" xr:uid="{00000000-0005-0000-0000-0000F06D0000}"/>
    <cellStyle name="Normal 5 4 2 8" xfId="1516" xr:uid="{00000000-0005-0000-0000-0000F16D0000}"/>
    <cellStyle name="Normal 5 4 2 8 2" xfId="10893" xr:uid="{00000000-0005-0000-0000-0000F26D0000}"/>
    <cellStyle name="Normal 5 4 2 8 2 2" xfId="36448" xr:uid="{00000000-0005-0000-0000-0000F36D0000}"/>
    <cellStyle name="Normal 5 4 2 8 3" xfId="20897" xr:uid="{00000000-0005-0000-0000-0000F46D0000}"/>
    <cellStyle name="Normal 5 4 2 8 3 2" xfId="46450" xr:uid="{00000000-0005-0000-0000-0000F56D0000}"/>
    <cellStyle name="Normal 5 4 2 8 4" xfId="27380" xr:uid="{00000000-0005-0000-0000-0000F66D0000}"/>
    <cellStyle name="Normal 5 4 2 9" xfId="5700" xr:uid="{00000000-0005-0000-0000-0000F76D0000}"/>
    <cellStyle name="Normal 5 4 2 9 2" xfId="14527" xr:uid="{00000000-0005-0000-0000-0000F86D0000}"/>
    <cellStyle name="Normal 5 4 2 9 2 2" xfId="40082" xr:uid="{00000000-0005-0000-0000-0000F96D0000}"/>
    <cellStyle name="Normal 5 4 2 9 3" xfId="24778" xr:uid="{00000000-0005-0000-0000-0000FA6D0000}"/>
    <cellStyle name="Normal 5 4 2 9 3 2" xfId="50331" xr:uid="{00000000-0005-0000-0000-0000FB6D0000}"/>
    <cellStyle name="Normal 5 4 2 9 4" xfId="31261" xr:uid="{00000000-0005-0000-0000-0000FC6D0000}"/>
    <cellStyle name="Normal 5 4 2_Degree data" xfId="3854" xr:uid="{00000000-0005-0000-0000-0000FD6D0000}"/>
    <cellStyle name="Normal 5 4 3" xfId="262" xr:uid="{00000000-0005-0000-0000-0000FE6D0000}"/>
    <cellStyle name="Normal 5 4 3 10" xfId="7101" xr:uid="{00000000-0005-0000-0000-0000FF6D0000}"/>
    <cellStyle name="Normal 5 4 3 10 2" xfId="19714" xr:uid="{00000000-0005-0000-0000-0000006E0000}"/>
    <cellStyle name="Normal 5 4 3 10 2 2" xfId="45267" xr:uid="{00000000-0005-0000-0000-0000016E0000}"/>
    <cellStyle name="Normal 5 4 3 10 3" xfId="32658" xr:uid="{00000000-0005-0000-0000-0000026E0000}"/>
    <cellStyle name="Normal 5 4 3 11" xfId="15847" xr:uid="{00000000-0005-0000-0000-0000036E0000}"/>
    <cellStyle name="Normal 5 4 3 11 2" xfId="41400" xr:uid="{00000000-0005-0000-0000-0000046E0000}"/>
    <cellStyle name="Normal 5 4 3 12" xfId="26197" xr:uid="{00000000-0005-0000-0000-0000056E0000}"/>
    <cellStyle name="Normal 5 4 3 2" xfId="585" xr:uid="{00000000-0005-0000-0000-0000066E0000}"/>
    <cellStyle name="Normal 5 4 3 2 10" xfId="26514" xr:uid="{00000000-0005-0000-0000-0000076E0000}"/>
    <cellStyle name="Normal 5 4 3 2 2" xfId="812" xr:uid="{00000000-0005-0000-0000-0000086E0000}"/>
    <cellStyle name="Normal 5 4 3 2 2 2" xfId="3297" xr:uid="{00000000-0005-0000-0000-0000096E0000}"/>
    <cellStyle name="Normal 5 4 3 2 2 2 2" xfId="12439" xr:uid="{00000000-0005-0000-0000-00000A6E0000}"/>
    <cellStyle name="Normal 5 4 3 2 2 2 2 2" xfId="22658" xr:uid="{00000000-0005-0000-0000-00000B6E0000}"/>
    <cellStyle name="Normal 5 4 3 2 2 2 2 2 2" xfId="48211" xr:uid="{00000000-0005-0000-0000-00000C6E0000}"/>
    <cellStyle name="Normal 5 4 3 2 2 2 2 3" xfId="37994" xr:uid="{00000000-0005-0000-0000-00000D6E0000}"/>
    <cellStyle name="Normal 5 4 3 2 2 2 3" xfId="8861" xr:uid="{00000000-0005-0000-0000-00000E6E0000}"/>
    <cellStyle name="Normal 5 4 3 2 2 2 3 2" xfId="34418" xr:uid="{00000000-0005-0000-0000-00000F6E0000}"/>
    <cellStyle name="Normal 5 4 3 2 2 2 4" xfId="17651" xr:uid="{00000000-0005-0000-0000-0000106E0000}"/>
    <cellStyle name="Normal 5 4 3 2 2 2 4 2" xfId="43204" xr:uid="{00000000-0005-0000-0000-0000116E0000}"/>
    <cellStyle name="Normal 5 4 3 2 2 2 5" xfId="29141" xr:uid="{00000000-0005-0000-0000-0000126E0000}"/>
    <cellStyle name="Normal 5 4 3 2 2 3" xfId="4626" xr:uid="{00000000-0005-0000-0000-0000136E0000}"/>
    <cellStyle name="Normal 5 4 3 2 2 3 2" xfId="13464" xr:uid="{00000000-0005-0000-0000-0000146E0000}"/>
    <cellStyle name="Normal 5 4 3 2 2 3 2 2" xfId="23715" xr:uid="{00000000-0005-0000-0000-0000156E0000}"/>
    <cellStyle name="Normal 5 4 3 2 2 3 2 2 2" xfId="49268" xr:uid="{00000000-0005-0000-0000-0000166E0000}"/>
    <cellStyle name="Normal 5 4 3 2 2 3 2 3" xfId="39019" xr:uid="{00000000-0005-0000-0000-0000176E0000}"/>
    <cellStyle name="Normal 5 4 3 2 2 3 3" xfId="9885" xr:uid="{00000000-0005-0000-0000-0000186E0000}"/>
    <cellStyle name="Normal 5 4 3 2 2 3 3 2" xfId="35442" xr:uid="{00000000-0005-0000-0000-0000196E0000}"/>
    <cellStyle name="Normal 5 4 3 2 2 3 4" xfId="18708" xr:uid="{00000000-0005-0000-0000-00001A6E0000}"/>
    <cellStyle name="Normal 5 4 3 2 2 3 4 2" xfId="44261" xr:uid="{00000000-0005-0000-0000-00001B6E0000}"/>
    <cellStyle name="Normal 5 4 3 2 2 3 5" xfId="30198" xr:uid="{00000000-0005-0000-0000-00001C6E0000}"/>
    <cellStyle name="Normal 5 4 3 2 2 4" xfId="2406" xr:uid="{00000000-0005-0000-0000-00001D6E0000}"/>
    <cellStyle name="Normal 5 4 3 2 2 4 2" xfId="11771" xr:uid="{00000000-0005-0000-0000-00001E6E0000}"/>
    <cellStyle name="Normal 5 4 3 2 2 4 2 2" xfId="37326" xr:uid="{00000000-0005-0000-0000-00001F6E0000}"/>
    <cellStyle name="Normal 5 4 3 2 2 4 3" xfId="21775" xr:uid="{00000000-0005-0000-0000-0000206E0000}"/>
    <cellStyle name="Normal 5 4 3 2 2 4 3 2" xfId="47328" xr:uid="{00000000-0005-0000-0000-0000216E0000}"/>
    <cellStyle name="Normal 5 4 3 2 2 4 4" xfId="28258" xr:uid="{00000000-0005-0000-0000-0000226E0000}"/>
    <cellStyle name="Normal 5 4 3 2 2 5" xfId="6082" xr:uid="{00000000-0005-0000-0000-0000236E0000}"/>
    <cellStyle name="Normal 5 4 3 2 2 5 2" xfId="14909" xr:uid="{00000000-0005-0000-0000-0000246E0000}"/>
    <cellStyle name="Normal 5 4 3 2 2 5 2 2" xfId="40464" xr:uid="{00000000-0005-0000-0000-0000256E0000}"/>
    <cellStyle name="Normal 5 4 3 2 2 5 3" xfId="25160" xr:uid="{00000000-0005-0000-0000-0000266E0000}"/>
    <cellStyle name="Normal 5 4 3 2 2 5 3 2" xfId="50713" xr:uid="{00000000-0005-0000-0000-0000276E0000}"/>
    <cellStyle name="Normal 5 4 3 2 2 5 4" xfId="31643" xr:uid="{00000000-0005-0000-0000-0000286E0000}"/>
    <cellStyle name="Normal 5 4 3 2 2 6" xfId="7527" xr:uid="{00000000-0005-0000-0000-0000296E0000}"/>
    <cellStyle name="Normal 5 4 3 2 2 6 2" xfId="20257" xr:uid="{00000000-0005-0000-0000-00002A6E0000}"/>
    <cellStyle name="Normal 5 4 3 2 2 6 2 2" xfId="45810" xr:uid="{00000000-0005-0000-0000-00002B6E0000}"/>
    <cellStyle name="Normal 5 4 3 2 2 6 3" xfId="33084" xr:uid="{00000000-0005-0000-0000-00002C6E0000}"/>
    <cellStyle name="Normal 5 4 3 2 2 7" xfId="16768" xr:uid="{00000000-0005-0000-0000-00002D6E0000}"/>
    <cellStyle name="Normal 5 4 3 2 2 7 2" xfId="42321" xr:uid="{00000000-0005-0000-0000-00002E6E0000}"/>
    <cellStyle name="Normal 5 4 3 2 2 8" xfId="26740" xr:uid="{00000000-0005-0000-0000-00002F6E0000}"/>
    <cellStyle name="Normal 5 4 3 2 3" xfId="1357" xr:uid="{00000000-0005-0000-0000-0000306E0000}"/>
    <cellStyle name="Normal 5 4 3 2 3 2" xfId="3786" xr:uid="{00000000-0005-0000-0000-0000316E0000}"/>
    <cellStyle name="Normal 5 4 3 2 3 2 2" xfId="12922" xr:uid="{00000000-0005-0000-0000-0000326E0000}"/>
    <cellStyle name="Normal 5 4 3 2 3 2 2 2" xfId="23141" xr:uid="{00000000-0005-0000-0000-0000336E0000}"/>
    <cellStyle name="Normal 5 4 3 2 3 2 2 2 2" xfId="48694" xr:uid="{00000000-0005-0000-0000-0000346E0000}"/>
    <cellStyle name="Normal 5 4 3 2 3 2 2 3" xfId="38477" xr:uid="{00000000-0005-0000-0000-0000356E0000}"/>
    <cellStyle name="Normal 5 4 3 2 3 2 3" xfId="9343" xr:uid="{00000000-0005-0000-0000-0000366E0000}"/>
    <cellStyle name="Normal 5 4 3 2 3 2 3 2" xfId="34900" xr:uid="{00000000-0005-0000-0000-0000376E0000}"/>
    <cellStyle name="Normal 5 4 3 2 3 2 4" xfId="18134" xr:uid="{00000000-0005-0000-0000-0000386E0000}"/>
    <cellStyle name="Normal 5 4 3 2 3 2 4 2" xfId="43687" xr:uid="{00000000-0005-0000-0000-0000396E0000}"/>
    <cellStyle name="Normal 5 4 3 2 3 2 5" xfId="29624" xr:uid="{00000000-0005-0000-0000-00003A6E0000}"/>
    <cellStyle name="Normal 5 4 3 2 3 3" xfId="4975" xr:uid="{00000000-0005-0000-0000-00003B6E0000}"/>
    <cellStyle name="Normal 5 4 3 2 3 3 2" xfId="13812" xr:uid="{00000000-0005-0000-0000-00003C6E0000}"/>
    <cellStyle name="Normal 5 4 3 2 3 3 2 2" xfId="24063" xr:uid="{00000000-0005-0000-0000-00003D6E0000}"/>
    <cellStyle name="Normal 5 4 3 2 3 3 2 2 2" xfId="49616" xr:uid="{00000000-0005-0000-0000-00003E6E0000}"/>
    <cellStyle name="Normal 5 4 3 2 3 3 2 3" xfId="39367" xr:uid="{00000000-0005-0000-0000-00003F6E0000}"/>
    <cellStyle name="Normal 5 4 3 2 3 3 3" xfId="10233" xr:uid="{00000000-0005-0000-0000-0000406E0000}"/>
    <cellStyle name="Normal 5 4 3 2 3 3 3 2" xfId="35790" xr:uid="{00000000-0005-0000-0000-0000416E0000}"/>
    <cellStyle name="Normal 5 4 3 2 3 3 4" xfId="19056" xr:uid="{00000000-0005-0000-0000-0000426E0000}"/>
    <cellStyle name="Normal 5 4 3 2 3 3 4 2" xfId="44609" xr:uid="{00000000-0005-0000-0000-0000436E0000}"/>
    <cellStyle name="Normal 5 4 3 2 3 3 5" xfId="30546" xr:uid="{00000000-0005-0000-0000-0000446E0000}"/>
    <cellStyle name="Normal 5 4 3 2 3 4" xfId="2180" xr:uid="{00000000-0005-0000-0000-0000456E0000}"/>
    <cellStyle name="Normal 5 4 3 2 3 4 2" xfId="11545" xr:uid="{00000000-0005-0000-0000-0000466E0000}"/>
    <cellStyle name="Normal 5 4 3 2 3 4 2 2" xfId="37100" xr:uid="{00000000-0005-0000-0000-0000476E0000}"/>
    <cellStyle name="Normal 5 4 3 2 3 4 3" xfId="21549" xr:uid="{00000000-0005-0000-0000-0000486E0000}"/>
    <cellStyle name="Normal 5 4 3 2 3 4 3 2" xfId="47102" xr:uid="{00000000-0005-0000-0000-0000496E0000}"/>
    <cellStyle name="Normal 5 4 3 2 3 4 4" xfId="28032" xr:uid="{00000000-0005-0000-0000-00004A6E0000}"/>
    <cellStyle name="Normal 5 4 3 2 3 5" xfId="6430" xr:uid="{00000000-0005-0000-0000-00004B6E0000}"/>
    <cellStyle name="Normal 5 4 3 2 3 5 2" xfId="15257" xr:uid="{00000000-0005-0000-0000-00004C6E0000}"/>
    <cellStyle name="Normal 5 4 3 2 3 5 2 2" xfId="40812" xr:uid="{00000000-0005-0000-0000-00004D6E0000}"/>
    <cellStyle name="Normal 5 4 3 2 3 5 3" xfId="25508" xr:uid="{00000000-0005-0000-0000-00004E6E0000}"/>
    <cellStyle name="Normal 5 4 3 2 3 5 3 2" xfId="51061" xr:uid="{00000000-0005-0000-0000-00004F6E0000}"/>
    <cellStyle name="Normal 5 4 3 2 3 5 4" xfId="31991" xr:uid="{00000000-0005-0000-0000-0000506E0000}"/>
    <cellStyle name="Normal 5 4 3 2 3 6" xfId="7876" xr:uid="{00000000-0005-0000-0000-0000516E0000}"/>
    <cellStyle name="Normal 5 4 3 2 3 6 2" xfId="20740" xr:uid="{00000000-0005-0000-0000-0000526E0000}"/>
    <cellStyle name="Normal 5 4 3 2 3 6 2 2" xfId="46293" xr:uid="{00000000-0005-0000-0000-0000536E0000}"/>
    <cellStyle name="Normal 5 4 3 2 3 6 3" xfId="33433" xr:uid="{00000000-0005-0000-0000-0000546E0000}"/>
    <cellStyle name="Normal 5 4 3 2 3 7" xfId="16542" xr:uid="{00000000-0005-0000-0000-0000556E0000}"/>
    <cellStyle name="Normal 5 4 3 2 3 7 2" xfId="42095" xr:uid="{00000000-0005-0000-0000-0000566E0000}"/>
    <cellStyle name="Normal 5 4 3 2 3 8" xfId="27223" xr:uid="{00000000-0005-0000-0000-0000576E0000}"/>
    <cellStyle name="Normal 5 4 3 2 4" xfId="3071" xr:uid="{00000000-0005-0000-0000-0000586E0000}"/>
    <cellStyle name="Normal 5 4 3 2 4 2" xfId="5449" xr:uid="{00000000-0005-0000-0000-0000596E0000}"/>
    <cellStyle name="Normal 5 4 3 2 4 2 2" xfId="14286" xr:uid="{00000000-0005-0000-0000-00005A6E0000}"/>
    <cellStyle name="Normal 5 4 3 2 4 2 2 2" xfId="24537" xr:uid="{00000000-0005-0000-0000-00005B6E0000}"/>
    <cellStyle name="Normal 5 4 3 2 4 2 2 2 2" xfId="50090" xr:uid="{00000000-0005-0000-0000-00005C6E0000}"/>
    <cellStyle name="Normal 5 4 3 2 4 2 2 3" xfId="39841" xr:uid="{00000000-0005-0000-0000-00005D6E0000}"/>
    <cellStyle name="Normal 5 4 3 2 4 2 3" xfId="10707" xr:uid="{00000000-0005-0000-0000-00005E6E0000}"/>
    <cellStyle name="Normal 5 4 3 2 4 2 3 2" xfId="36264" xr:uid="{00000000-0005-0000-0000-00005F6E0000}"/>
    <cellStyle name="Normal 5 4 3 2 4 2 4" xfId="19530" xr:uid="{00000000-0005-0000-0000-0000606E0000}"/>
    <cellStyle name="Normal 5 4 3 2 4 2 4 2" xfId="45083" xr:uid="{00000000-0005-0000-0000-0000616E0000}"/>
    <cellStyle name="Normal 5 4 3 2 4 2 5" xfId="31020" xr:uid="{00000000-0005-0000-0000-0000626E0000}"/>
    <cellStyle name="Normal 5 4 3 2 4 3" xfId="6904" xr:uid="{00000000-0005-0000-0000-0000636E0000}"/>
    <cellStyle name="Normal 5 4 3 2 4 3 2" xfId="15731" xr:uid="{00000000-0005-0000-0000-0000646E0000}"/>
    <cellStyle name="Normal 5 4 3 2 4 3 2 2" xfId="41286" xr:uid="{00000000-0005-0000-0000-0000656E0000}"/>
    <cellStyle name="Normal 5 4 3 2 4 3 3" xfId="25982" xr:uid="{00000000-0005-0000-0000-0000666E0000}"/>
    <cellStyle name="Normal 5 4 3 2 4 3 3 2" xfId="51535" xr:uid="{00000000-0005-0000-0000-0000676E0000}"/>
    <cellStyle name="Normal 5 4 3 2 4 3 4" xfId="32465" xr:uid="{00000000-0005-0000-0000-0000686E0000}"/>
    <cellStyle name="Normal 5 4 3 2 4 4" xfId="8350" xr:uid="{00000000-0005-0000-0000-0000696E0000}"/>
    <cellStyle name="Normal 5 4 3 2 4 4 2" xfId="22432" xr:uid="{00000000-0005-0000-0000-00006A6E0000}"/>
    <cellStyle name="Normal 5 4 3 2 4 4 2 2" xfId="47985" xr:uid="{00000000-0005-0000-0000-00006B6E0000}"/>
    <cellStyle name="Normal 5 4 3 2 4 4 3" xfId="33907" xr:uid="{00000000-0005-0000-0000-00006C6E0000}"/>
    <cellStyle name="Normal 5 4 3 2 4 5" xfId="17425" xr:uid="{00000000-0005-0000-0000-00006D6E0000}"/>
    <cellStyle name="Normal 5 4 3 2 4 5 2" xfId="42978" xr:uid="{00000000-0005-0000-0000-00006E6E0000}"/>
    <cellStyle name="Normal 5 4 3 2 4 6" xfId="28915" xr:uid="{00000000-0005-0000-0000-00006F6E0000}"/>
    <cellStyle name="Normal 5 4 3 2 5" xfId="4405" xr:uid="{00000000-0005-0000-0000-0000706E0000}"/>
    <cellStyle name="Normal 5 4 3 2 5 2" xfId="13243" xr:uid="{00000000-0005-0000-0000-0000716E0000}"/>
    <cellStyle name="Normal 5 4 3 2 5 2 2" xfId="23494" xr:uid="{00000000-0005-0000-0000-0000726E0000}"/>
    <cellStyle name="Normal 5 4 3 2 5 2 2 2" xfId="49047" xr:uid="{00000000-0005-0000-0000-0000736E0000}"/>
    <cellStyle name="Normal 5 4 3 2 5 2 3" xfId="38798" xr:uid="{00000000-0005-0000-0000-0000746E0000}"/>
    <cellStyle name="Normal 5 4 3 2 5 3" xfId="9664" xr:uid="{00000000-0005-0000-0000-0000756E0000}"/>
    <cellStyle name="Normal 5 4 3 2 5 3 2" xfId="35221" xr:uid="{00000000-0005-0000-0000-0000766E0000}"/>
    <cellStyle name="Normal 5 4 3 2 5 4" xfId="18487" xr:uid="{00000000-0005-0000-0000-0000776E0000}"/>
    <cellStyle name="Normal 5 4 3 2 5 4 2" xfId="44040" xr:uid="{00000000-0005-0000-0000-0000786E0000}"/>
    <cellStyle name="Normal 5 4 3 2 5 5" xfId="29977" xr:uid="{00000000-0005-0000-0000-0000796E0000}"/>
    <cellStyle name="Normal 5 4 3 2 6" xfId="1677" xr:uid="{00000000-0005-0000-0000-00007A6E0000}"/>
    <cellStyle name="Normal 5 4 3 2 6 2" xfId="11054" xr:uid="{00000000-0005-0000-0000-00007B6E0000}"/>
    <cellStyle name="Normal 5 4 3 2 6 2 2" xfId="36609" xr:uid="{00000000-0005-0000-0000-00007C6E0000}"/>
    <cellStyle name="Normal 5 4 3 2 6 3" xfId="21058" xr:uid="{00000000-0005-0000-0000-00007D6E0000}"/>
    <cellStyle name="Normal 5 4 3 2 6 3 2" xfId="46611" xr:uid="{00000000-0005-0000-0000-00007E6E0000}"/>
    <cellStyle name="Normal 5 4 3 2 6 4" xfId="27541" xr:uid="{00000000-0005-0000-0000-00007F6E0000}"/>
    <cellStyle name="Normal 5 4 3 2 7" xfId="5861" xr:uid="{00000000-0005-0000-0000-0000806E0000}"/>
    <cellStyle name="Normal 5 4 3 2 7 2" xfId="14688" xr:uid="{00000000-0005-0000-0000-0000816E0000}"/>
    <cellStyle name="Normal 5 4 3 2 7 2 2" xfId="40243" xr:uid="{00000000-0005-0000-0000-0000826E0000}"/>
    <cellStyle name="Normal 5 4 3 2 7 3" xfId="24939" xr:uid="{00000000-0005-0000-0000-0000836E0000}"/>
    <cellStyle name="Normal 5 4 3 2 7 3 2" xfId="50492" xr:uid="{00000000-0005-0000-0000-0000846E0000}"/>
    <cellStyle name="Normal 5 4 3 2 7 4" xfId="31422" xr:uid="{00000000-0005-0000-0000-0000856E0000}"/>
    <cellStyle name="Normal 5 4 3 2 8" xfId="7305" xr:uid="{00000000-0005-0000-0000-0000866E0000}"/>
    <cellStyle name="Normal 5 4 3 2 8 2" xfId="20031" xr:uid="{00000000-0005-0000-0000-0000876E0000}"/>
    <cellStyle name="Normal 5 4 3 2 8 2 2" xfId="45584" xr:uid="{00000000-0005-0000-0000-0000886E0000}"/>
    <cellStyle name="Normal 5 4 3 2 8 3" xfId="32862" xr:uid="{00000000-0005-0000-0000-0000896E0000}"/>
    <cellStyle name="Normal 5 4 3 2 9" xfId="16051" xr:uid="{00000000-0005-0000-0000-00008A6E0000}"/>
    <cellStyle name="Normal 5 4 3 2 9 2" xfId="41604" xr:uid="{00000000-0005-0000-0000-00008B6E0000}"/>
    <cellStyle name="Normal 5 4 3 2_Degree data" xfId="3463" xr:uid="{00000000-0005-0000-0000-00008C6E0000}"/>
    <cellStyle name="Normal 5 4 3 3" xfId="381" xr:uid="{00000000-0005-0000-0000-00008D6E0000}"/>
    <cellStyle name="Normal 5 4 3 3 2" xfId="2867" xr:uid="{00000000-0005-0000-0000-00008E6E0000}"/>
    <cellStyle name="Normal 5 4 3 3 2 2" xfId="12155" xr:uid="{00000000-0005-0000-0000-00008F6E0000}"/>
    <cellStyle name="Normal 5 4 3 3 2 2 2" xfId="22228" xr:uid="{00000000-0005-0000-0000-0000906E0000}"/>
    <cellStyle name="Normal 5 4 3 3 2 2 2 2" xfId="47781" xr:uid="{00000000-0005-0000-0000-0000916E0000}"/>
    <cellStyle name="Normal 5 4 3 3 2 2 3" xfId="37710" xr:uid="{00000000-0005-0000-0000-0000926E0000}"/>
    <cellStyle name="Normal 5 4 3 3 2 3" xfId="8458" xr:uid="{00000000-0005-0000-0000-0000936E0000}"/>
    <cellStyle name="Normal 5 4 3 3 2 3 2" xfId="34015" xr:uid="{00000000-0005-0000-0000-0000946E0000}"/>
    <cellStyle name="Normal 5 4 3 3 2 4" xfId="17221" xr:uid="{00000000-0005-0000-0000-0000956E0000}"/>
    <cellStyle name="Normal 5 4 3 3 2 4 2" xfId="42774" xr:uid="{00000000-0005-0000-0000-0000966E0000}"/>
    <cellStyle name="Normal 5 4 3 3 2 5" xfId="28711" xr:uid="{00000000-0005-0000-0000-0000976E0000}"/>
    <cellStyle name="Normal 5 4 3 3 3" xfId="4625" xr:uid="{00000000-0005-0000-0000-0000986E0000}"/>
    <cellStyle name="Normal 5 4 3 3 3 2" xfId="13463" xr:uid="{00000000-0005-0000-0000-0000996E0000}"/>
    <cellStyle name="Normal 5 4 3 3 3 2 2" xfId="23714" xr:uid="{00000000-0005-0000-0000-00009A6E0000}"/>
    <cellStyle name="Normal 5 4 3 3 3 2 2 2" xfId="49267" xr:uid="{00000000-0005-0000-0000-00009B6E0000}"/>
    <cellStyle name="Normal 5 4 3 3 3 2 3" xfId="39018" xr:uid="{00000000-0005-0000-0000-00009C6E0000}"/>
    <cellStyle name="Normal 5 4 3 3 3 3" xfId="9884" xr:uid="{00000000-0005-0000-0000-00009D6E0000}"/>
    <cellStyle name="Normal 5 4 3 3 3 3 2" xfId="35441" xr:uid="{00000000-0005-0000-0000-00009E6E0000}"/>
    <cellStyle name="Normal 5 4 3 3 3 4" xfId="18707" xr:uid="{00000000-0005-0000-0000-00009F6E0000}"/>
    <cellStyle name="Normal 5 4 3 3 3 4 2" xfId="44260" xr:uid="{00000000-0005-0000-0000-0000A06E0000}"/>
    <cellStyle name="Normal 5 4 3 3 3 5" xfId="30197" xr:uid="{00000000-0005-0000-0000-0000A16E0000}"/>
    <cellStyle name="Normal 5 4 3 3 4" xfId="1976" xr:uid="{00000000-0005-0000-0000-0000A26E0000}"/>
    <cellStyle name="Normal 5 4 3 3 4 2" xfId="11341" xr:uid="{00000000-0005-0000-0000-0000A36E0000}"/>
    <cellStyle name="Normal 5 4 3 3 4 2 2" xfId="36896" xr:uid="{00000000-0005-0000-0000-0000A46E0000}"/>
    <cellStyle name="Normal 5 4 3 3 4 3" xfId="21345" xr:uid="{00000000-0005-0000-0000-0000A56E0000}"/>
    <cellStyle name="Normal 5 4 3 3 4 3 2" xfId="46898" xr:uid="{00000000-0005-0000-0000-0000A66E0000}"/>
    <cellStyle name="Normal 5 4 3 3 4 4" xfId="27828" xr:uid="{00000000-0005-0000-0000-0000A76E0000}"/>
    <cellStyle name="Normal 5 4 3 3 5" xfId="6081" xr:uid="{00000000-0005-0000-0000-0000A86E0000}"/>
    <cellStyle name="Normal 5 4 3 3 5 2" xfId="14908" xr:uid="{00000000-0005-0000-0000-0000A96E0000}"/>
    <cellStyle name="Normal 5 4 3 3 5 2 2" xfId="40463" xr:uid="{00000000-0005-0000-0000-0000AA6E0000}"/>
    <cellStyle name="Normal 5 4 3 3 5 3" xfId="25159" xr:uid="{00000000-0005-0000-0000-0000AB6E0000}"/>
    <cellStyle name="Normal 5 4 3 3 5 3 2" xfId="50712" xr:uid="{00000000-0005-0000-0000-0000AC6E0000}"/>
    <cellStyle name="Normal 5 4 3 3 5 4" xfId="31642" xr:uid="{00000000-0005-0000-0000-0000AD6E0000}"/>
    <cellStyle name="Normal 5 4 3 3 6" xfId="7526" xr:uid="{00000000-0005-0000-0000-0000AE6E0000}"/>
    <cellStyle name="Normal 5 4 3 3 6 2" xfId="19827" xr:uid="{00000000-0005-0000-0000-0000AF6E0000}"/>
    <cellStyle name="Normal 5 4 3 3 6 2 2" xfId="45380" xr:uid="{00000000-0005-0000-0000-0000B06E0000}"/>
    <cellStyle name="Normal 5 4 3 3 6 3" xfId="33083" xr:uid="{00000000-0005-0000-0000-0000B16E0000}"/>
    <cellStyle name="Normal 5 4 3 3 7" xfId="16338" xr:uid="{00000000-0005-0000-0000-0000B26E0000}"/>
    <cellStyle name="Normal 5 4 3 3 7 2" xfId="41891" xr:uid="{00000000-0005-0000-0000-0000B36E0000}"/>
    <cellStyle name="Normal 5 4 3 3 8" xfId="26310" xr:uid="{00000000-0005-0000-0000-0000B46E0000}"/>
    <cellStyle name="Normal 5 4 3 4" xfId="811" xr:uid="{00000000-0005-0000-0000-0000B56E0000}"/>
    <cellStyle name="Normal 5 4 3 4 2" xfId="3296" xr:uid="{00000000-0005-0000-0000-0000B66E0000}"/>
    <cellStyle name="Normal 5 4 3 4 2 2" xfId="12438" xr:uid="{00000000-0005-0000-0000-0000B76E0000}"/>
    <cellStyle name="Normal 5 4 3 4 2 2 2" xfId="22657" xr:uid="{00000000-0005-0000-0000-0000B86E0000}"/>
    <cellStyle name="Normal 5 4 3 4 2 2 2 2" xfId="48210" xr:uid="{00000000-0005-0000-0000-0000B96E0000}"/>
    <cellStyle name="Normal 5 4 3 4 2 2 3" xfId="37993" xr:uid="{00000000-0005-0000-0000-0000BA6E0000}"/>
    <cellStyle name="Normal 5 4 3 4 2 3" xfId="8860" xr:uid="{00000000-0005-0000-0000-0000BB6E0000}"/>
    <cellStyle name="Normal 5 4 3 4 2 3 2" xfId="34417" xr:uid="{00000000-0005-0000-0000-0000BC6E0000}"/>
    <cellStyle name="Normal 5 4 3 4 2 4" xfId="17650" xr:uid="{00000000-0005-0000-0000-0000BD6E0000}"/>
    <cellStyle name="Normal 5 4 3 4 2 4 2" xfId="43203" xr:uid="{00000000-0005-0000-0000-0000BE6E0000}"/>
    <cellStyle name="Normal 5 4 3 4 2 5" xfId="29140" xr:uid="{00000000-0005-0000-0000-0000BF6E0000}"/>
    <cellStyle name="Normal 5 4 3 4 3" xfId="4974" xr:uid="{00000000-0005-0000-0000-0000C06E0000}"/>
    <cellStyle name="Normal 5 4 3 4 3 2" xfId="13811" xr:uid="{00000000-0005-0000-0000-0000C16E0000}"/>
    <cellStyle name="Normal 5 4 3 4 3 2 2" xfId="24062" xr:uid="{00000000-0005-0000-0000-0000C26E0000}"/>
    <cellStyle name="Normal 5 4 3 4 3 2 2 2" xfId="49615" xr:uid="{00000000-0005-0000-0000-0000C36E0000}"/>
    <cellStyle name="Normal 5 4 3 4 3 2 3" xfId="39366" xr:uid="{00000000-0005-0000-0000-0000C46E0000}"/>
    <cellStyle name="Normal 5 4 3 4 3 3" xfId="10232" xr:uid="{00000000-0005-0000-0000-0000C56E0000}"/>
    <cellStyle name="Normal 5 4 3 4 3 3 2" xfId="35789" xr:uid="{00000000-0005-0000-0000-0000C66E0000}"/>
    <cellStyle name="Normal 5 4 3 4 3 4" xfId="19055" xr:uid="{00000000-0005-0000-0000-0000C76E0000}"/>
    <cellStyle name="Normal 5 4 3 4 3 4 2" xfId="44608" xr:uid="{00000000-0005-0000-0000-0000C86E0000}"/>
    <cellStyle name="Normal 5 4 3 4 3 5" xfId="30545" xr:uid="{00000000-0005-0000-0000-0000C96E0000}"/>
    <cellStyle name="Normal 5 4 3 4 4" xfId="2405" xr:uid="{00000000-0005-0000-0000-0000CA6E0000}"/>
    <cellStyle name="Normal 5 4 3 4 4 2" xfId="11770" xr:uid="{00000000-0005-0000-0000-0000CB6E0000}"/>
    <cellStyle name="Normal 5 4 3 4 4 2 2" xfId="37325" xr:uid="{00000000-0005-0000-0000-0000CC6E0000}"/>
    <cellStyle name="Normal 5 4 3 4 4 3" xfId="21774" xr:uid="{00000000-0005-0000-0000-0000CD6E0000}"/>
    <cellStyle name="Normal 5 4 3 4 4 3 2" xfId="47327" xr:uid="{00000000-0005-0000-0000-0000CE6E0000}"/>
    <cellStyle name="Normal 5 4 3 4 4 4" xfId="28257" xr:uid="{00000000-0005-0000-0000-0000CF6E0000}"/>
    <cellStyle name="Normal 5 4 3 4 5" xfId="6429" xr:uid="{00000000-0005-0000-0000-0000D06E0000}"/>
    <cellStyle name="Normal 5 4 3 4 5 2" xfId="15256" xr:uid="{00000000-0005-0000-0000-0000D16E0000}"/>
    <cellStyle name="Normal 5 4 3 4 5 2 2" xfId="40811" xr:uid="{00000000-0005-0000-0000-0000D26E0000}"/>
    <cellStyle name="Normal 5 4 3 4 5 3" xfId="25507" xr:uid="{00000000-0005-0000-0000-0000D36E0000}"/>
    <cellStyle name="Normal 5 4 3 4 5 3 2" xfId="51060" xr:uid="{00000000-0005-0000-0000-0000D46E0000}"/>
    <cellStyle name="Normal 5 4 3 4 5 4" xfId="31990" xr:uid="{00000000-0005-0000-0000-0000D56E0000}"/>
    <cellStyle name="Normal 5 4 3 4 6" xfId="7875" xr:uid="{00000000-0005-0000-0000-0000D66E0000}"/>
    <cellStyle name="Normal 5 4 3 4 6 2" xfId="20256" xr:uid="{00000000-0005-0000-0000-0000D76E0000}"/>
    <cellStyle name="Normal 5 4 3 4 6 2 2" xfId="45809" xr:uid="{00000000-0005-0000-0000-0000D86E0000}"/>
    <cellStyle name="Normal 5 4 3 4 6 3" xfId="33432" xr:uid="{00000000-0005-0000-0000-0000D96E0000}"/>
    <cellStyle name="Normal 5 4 3 4 7" xfId="16767" xr:uid="{00000000-0005-0000-0000-0000DA6E0000}"/>
    <cellStyle name="Normal 5 4 3 4 7 2" xfId="42320" xr:uid="{00000000-0005-0000-0000-0000DB6E0000}"/>
    <cellStyle name="Normal 5 4 3 4 8" xfId="26739" xr:uid="{00000000-0005-0000-0000-0000DC6E0000}"/>
    <cellStyle name="Normal 5 4 3 5" xfId="1153" xr:uid="{00000000-0005-0000-0000-0000DD6E0000}"/>
    <cellStyle name="Normal 5 4 3 5 2" xfId="3582" xr:uid="{00000000-0005-0000-0000-0000DE6E0000}"/>
    <cellStyle name="Normal 5 4 3 5 2 2" xfId="12718" xr:uid="{00000000-0005-0000-0000-0000DF6E0000}"/>
    <cellStyle name="Normal 5 4 3 5 2 2 2" xfId="22937" xr:uid="{00000000-0005-0000-0000-0000E06E0000}"/>
    <cellStyle name="Normal 5 4 3 5 2 2 2 2" xfId="48490" xr:uid="{00000000-0005-0000-0000-0000E16E0000}"/>
    <cellStyle name="Normal 5 4 3 5 2 2 3" xfId="38273" xr:uid="{00000000-0005-0000-0000-0000E26E0000}"/>
    <cellStyle name="Normal 5 4 3 5 2 3" xfId="9139" xr:uid="{00000000-0005-0000-0000-0000E36E0000}"/>
    <cellStyle name="Normal 5 4 3 5 2 3 2" xfId="34696" xr:uid="{00000000-0005-0000-0000-0000E46E0000}"/>
    <cellStyle name="Normal 5 4 3 5 2 4" xfId="17930" xr:uid="{00000000-0005-0000-0000-0000E56E0000}"/>
    <cellStyle name="Normal 5 4 3 5 2 4 2" xfId="43483" xr:uid="{00000000-0005-0000-0000-0000E66E0000}"/>
    <cellStyle name="Normal 5 4 3 5 2 5" xfId="29420" xr:uid="{00000000-0005-0000-0000-0000E76E0000}"/>
    <cellStyle name="Normal 5 4 3 5 3" xfId="5245" xr:uid="{00000000-0005-0000-0000-0000E86E0000}"/>
    <cellStyle name="Normal 5 4 3 5 3 2" xfId="14082" xr:uid="{00000000-0005-0000-0000-0000E96E0000}"/>
    <cellStyle name="Normal 5 4 3 5 3 2 2" xfId="24333" xr:uid="{00000000-0005-0000-0000-0000EA6E0000}"/>
    <cellStyle name="Normal 5 4 3 5 3 2 2 2" xfId="49886" xr:uid="{00000000-0005-0000-0000-0000EB6E0000}"/>
    <cellStyle name="Normal 5 4 3 5 3 2 3" xfId="39637" xr:uid="{00000000-0005-0000-0000-0000EC6E0000}"/>
    <cellStyle name="Normal 5 4 3 5 3 3" xfId="10503" xr:uid="{00000000-0005-0000-0000-0000ED6E0000}"/>
    <cellStyle name="Normal 5 4 3 5 3 3 2" xfId="36060" xr:uid="{00000000-0005-0000-0000-0000EE6E0000}"/>
    <cellStyle name="Normal 5 4 3 5 3 4" xfId="19326" xr:uid="{00000000-0005-0000-0000-0000EF6E0000}"/>
    <cellStyle name="Normal 5 4 3 5 3 4 2" xfId="44879" xr:uid="{00000000-0005-0000-0000-0000F06E0000}"/>
    <cellStyle name="Normal 5 4 3 5 3 5" xfId="30816" xr:uid="{00000000-0005-0000-0000-0000F16E0000}"/>
    <cellStyle name="Normal 5 4 3 5 4" xfId="1860" xr:uid="{00000000-0005-0000-0000-0000F26E0000}"/>
    <cellStyle name="Normal 5 4 3 5 4 2" xfId="11228" xr:uid="{00000000-0005-0000-0000-0000F36E0000}"/>
    <cellStyle name="Normal 5 4 3 5 4 2 2" xfId="36783" xr:uid="{00000000-0005-0000-0000-0000F46E0000}"/>
    <cellStyle name="Normal 5 4 3 5 4 3" xfId="21232" xr:uid="{00000000-0005-0000-0000-0000F56E0000}"/>
    <cellStyle name="Normal 5 4 3 5 4 3 2" xfId="46785" xr:uid="{00000000-0005-0000-0000-0000F66E0000}"/>
    <cellStyle name="Normal 5 4 3 5 4 4" xfId="27715" xr:uid="{00000000-0005-0000-0000-0000F76E0000}"/>
    <cellStyle name="Normal 5 4 3 5 5" xfId="6700" xr:uid="{00000000-0005-0000-0000-0000F86E0000}"/>
    <cellStyle name="Normal 5 4 3 5 5 2" xfId="15527" xr:uid="{00000000-0005-0000-0000-0000F96E0000}"/>
    <cellStyle name="Normal 5 4 3 5 5 2 2" xfId="41082" xr:uid="{00000000-0005-0000-0000-0000FA6E0000}"/>
    <cellStyle name="Normal 5 4 3 5 5 3" xfId="25778" xr:uid="{00000000-0005-0000-0000-0000FB6E0000}"/>
    <cellStyle name="Normal 5 4 3 5 5 3 2" xfId="51331" xr:uid="{00000000-0005-0000-0000-0000FC6E0000}"/>
    <cellStyle name="Normal 5 4 3 5 5 4" xfId="32261" xr:uid="{00000000-0005-0000-0000-0000FD6E0000}"/>
    <cellStyle name="Normal 5 4 3 5 6" xfId="8146" xr:uid="{00000000-0005-0000-0000-0000FE6E0000}"/>
    <cellStyle name="Normal 5 4 3 5 6 2" xfId="20536" xr:uid="{00000000-0005-0000-0000-0000FF6E0000}"/>
    <cellStyle name="Normal 5 4 3 5 6 2 2" xfId="46089" xr:uid="{00000000-0005-0000-0000-0000006F0000}"/>
    <cellStyle name="Normal 5 4 3 5 6 3" xfId="33703" xr:uid="{00000000-0005-0000-0000-0000016F0000}"/>
    <cellStyle name="Normal 5 4 3 5 7" xfId="16225" xr:uid="{00000000-0005-0000-0000-0000026F0000}"/>
    <cellStyle name="Normal 5 4 3 5 7 2" xfId="41778" xr:uid="{00000000-0005-0000-0000-0000036F0000}"/>
    <cellStyle name="Normal 5 4 3 5 8" xfId="27019" xr:uid="{00000000-0005-0000-0000-0000046F0000}"/>
    <cellStyle name="Normal 5 4 3 6" xfId="2754" xr:uid="{00000000-0005-0000-0000-0000056F0000}"/>
    <cellStyle name="Normal 5 4 3 6 2" xfId="12071" xr:uid="{00000000-0005-0000-0000-0000066F0000}"/>
    <cellStyle name="Normal 5 4 3 6 2 2" xfId="22115" xr:uid="{00000000-0005-0000-0000-0000076F0000}"/>
    <cellStyle name="Normal 5 4 3 6 2 2 2" xfId="47668" xr:uid="{00000000-0005-0000-0000-0000086F0000}"/>
    <cellStyle name="Normal 5 4 3 6 2 3" xfId="37626" xr:uid="{00000000-0005-0000-0000-0000096F0000}"/>
    <cellStyle name="Normal 5 4 3 6 3" xfId="8379" xr:uid="{00000000-0005-0000-0000-00000A6F0000}"/>
    <cellStyle name="Normal 5 4 3 6 3 2" xfId="33936" xr:uid="{00000000-0005-0000-0000-00000B6F0000}"/>
    <cellStyle name="Normal 5 4 3 6 4" xfId="17108" xr:uid="{00000000-0005-0000-0000-00000C6F0000}"/>
    <cellStyle name="Normal 5 4 3 6 4 2" xfId="42661" xr:uid="{00000000-0005-0000-0000-00000D6F0000}"/>
    <cellStyle name="Normal 5 4 3 6 5" xfId="28598" xr:uid="{00000000-0005-0000-0000-00000E6F0000}"/>
    <cellStyle name="Normal 5 4 3 7" xfId="4201" xr:uid="{00000000-0005-0000-0000-00000F6F0000}"/>
    <cellStyle name="Normal 5 4 3 7 2" xfId="13039" xr:uid="{00000000-0005-0000-0000-0000106F0000}"/>
    <cellStyle name="Normal 5 4 3 7 2 2" xfId="23290" xr:uid="{00000000-0005-0000-0000-0000116F0000}"/>
    <cellStyle name="Normal 5 4 3 7 2 2 2" xfId="48843" xr:uid="{00000000-0005-0000-0000-0000126F0000}"/>
    <cellStyle name="Normal 5 4 3 7 2 3" xfId="38594" xr:uid="{00000000-0005-0000-0000-0000136F0000}"/>
    <cellStyle name="Normal 5 4 3 7 3" xfId="9460" xr:uid="{00000000-0005-0000-0000-0000146F0000}"/>
    <cellStyle name="Normal 5 4 3 7 3 2" xfId="35017" xr:uid="{00000000-0005-0000-0000-0000156F0000}"/>
    <cellStyle name="Normal 5 4 3 7 4" xfId="18283" xr:uid="{00000000-0005-0000-0000-0000166F0000}"/>
    <cellStyle name="Normal 5 4 3 7 4 2" xfId="43836" xr:uid="{00000000-0005-0000-0000-0000176F0000}"/>
    <cellStyle name="Normal 5 4 3 7 5" xfId="29773" xr:uid="{00000000-0005-0000-0000-0000186F0000}"/>
    <cellStyle name="Normal 5 4 3 8" xfId="1473" xr:uid="{00000000-0005-0000-0000-0000196F0000}"/>
    <cellStyle name="Normal 5 4 3 8 2" xfId="10850" xr:uid="{00000000-0005-0000-0000-00001A6F0000}"/>
    <cellStyle name="Normal 5 4 3 8 2 2" xfId="36405" xr:uid="{00000000-0005-0000-0000-00001B6F0000}"/>
    <cellStyle name="Normal 5 4 3 8 3" xfId="20854" xr:uid="{00000000-0005-0000-0000-00001C6F0000}"/>
    <cellStyle name="Normal 5 4 3 8 3 2" xfId="46407" xr:uid="{00000000-0005-0000-0000-00001D6F0000}"/>
    <cellStyle name="Normal 5 4 3 8 4" xfId="27337" xr:uid="{00000000-0005-0000-0000-00001E6F0000}"/>
    <cellStyle name="Normal 5 4 3 9" xfId="5657" xr:uid="{00000000-0005-0000-0000-00001F6F0000}"/>
    <cellStyle name="Normal 5 4 3 9 2" xfId="14484" xr:uid="{00000000-0005-0000-0000-0000206F0000}"/>
    <cellStyle name="Normal 5 4 3 9 2 2" xfId="40039" xr:uid="{00000000-0005-0000-0000-0000216F0000}"/>
    <cellStyle name="Normal 5 4 3 9 3" xfId="24735" xr:uid="{00000000-0005-0000-0000-0000226F0000}"/>
    <cellStyle name="Normal 5 4 3 9 3 2" xfId="50288" xr:uid="{00000000-0005-0000-0000-0000236F0000}"/>
    <cellStyle name="Normal 5 4 3 9 4" xfId="31218" xr:uid="{00000000-0005-0000-0000-0000246F0000}"/>
    <cellStyle name="Normal 5 4 3_Degree data" xfId="3836" xr:uid="{00000000-0005-0000-0000-0000256F0000}"/>
    <cellStyle name="Normal 5 4 4" xfId="481" xr:uid="{00000000-0005-0000-0000-0000266F0000}"/>
    <cellStyle name="Normal 5 4 4 10" xfId="26410" xr:uid="{00000000-0005-0000-0000-0000276F0000}"/>
    <cellStyle name="Normal 5 4 4 2" xfId="813" xr:uid="{00000000-0005-0000-0000-0000286F0000}"/>
    <cellStyle name="Normal 5 4 4 2 2" xfId="3298" xr:uid="{00000000-0005-0000-0000-0000296F0000}"/>
    <cellStyle name="Normal 5 4 4 2 2 2" xfId="12440" xr:uid="{00000000-0005-0000-0000-00002A6F0000}"/>
    <cellStyle name="Normal 5 4 4 2 2 2 2" xfId="22659" xr:uid="{00000000-0005-0000-0000-00002B6F0000}"/>
    <cellStyle name="Normal 5 4 4 2 2 2 2 2" xfId="48212" xr:uid="{00000000-0005-0000-0000-00002C6F0000}"/>
    <cellStyle name="Normal 5 4 4 2 2 2 3" xfId="37995" xr:uid="{00000000-0005-0000-0000-00002D6F0000}"/>
    <cellStyle name="Normal 5 4 4 2 2 3" xfId="8862" xr:uid="{00000000-0005-0000-0000-00002E6F0000}"/>
    <cellStyle name="Normal 5 4 4 2 2 3 2" xfId="34419" xr:uid="{00000000-0005-0000-0000-00002F6F0000}"/>
    <cellStyle name="Normal 5 4 4 2 2 4" xfId="17652" xr:uid="{00000000-0005-0000-0000-0000306F0000}"/>
    <cellStyle name="Normal 5 4 4 2 2 4 2" xfId="43205" xr:uid="{00000000-0005-0000-0000-0000316F0000}"/>
    <cellStyle name="Normal 5 4 4 2 2 5" xfId="29142" xr:uid="{00000000-0005-0000-0000-0000326F0000}"/>
    <cellStyle name="Normal 5 4 4 2 3" xfId="4627" xr:uid="{00000000-0005-0000-0000-0000336F0000}"/>
    <cellStyle name="Normal 5 4 4 2 3 2" xfId="13465" xr:uid="{00000000-0005-0000-0000-0000346F0000}"/>
    <cellStyle name="Normal 5 4 4 2 3 2 2" xfId="23716" xr:uid="{00000000-0005-0000-0000-0000356F0000}"/>
    <cellStyle name="Normal 5 4 4 2 3 2 2 2" xfId="49269" xr:uid="{00000000-0005-0000-0000-0000366F0000}"/>
    <cellStyle name="Normal 5 4 4 2 3 2 3" xfId="39020" xr:uid="{00000000-0005-0000-0000-0000376F0000}"/>
    <cellStyle name="Normal 5 4 4 2 3 3" xfId="9886" xr:uid="{00000000-0005-0000-0000-0000386F0000}"/>
    <cellStyle name="Normal 5 4 4 2 3 3 2" xfId="35443" xr:uid="{00000000-0005-0000-0000-0000396F0000}"/>
    <cellStyle name="Normal 5 4 4 2 3 4" xfId="18709" xr:uid="{00000000-0005-0000-0000-00003A6F0000}"/>
    <cellStyle name="Normal 5 4 4 2 3 4 2" xfId="44262" xr:uid="{00000000-0005-0000-0000-00003B6F0000}"/>
    <cellStyle name="Normal 5 4 4 2 3 5" xfId="30199" xr:uid="{00000000-0005-0000-0000-00003C6F0000}"/>
    <cellStyle name="Normal 5 4 4 2 4" xfId="2407" xr:uid="{00000000-0005-0000-0000-00003D6F0000}"/>
    <cellStyle name="Normal 5 4 4 2 4 2" xfId="11772" xr:uid="{00000000-0005-0000-0000-00003E6F0000}"/>
    <cellStyle name="Normal 5 4 4 2 4 2 2" xfId="37327" xr:uid="{00000000-0005-0000-0000-00003F6F0000}"/>
    <cellStyle name="Normal 5 4 4 2 4 3" xfId="21776" xr:uid="{00000000-0005-0000-0000-0000406F0000}"/>
    <cellStyle name="Normal 5 4 4 2 4 3 2" xfId="47329" xr:uid="{00000000-0005-0000-0000-0000416F0000}"/>
    <cellStyle name="Normal 5 4 4 2 4 4" xfId="28259" xr:uid="{00000000-0005-0000-0000-0000426F0000}"/>
    <cellStyle name="Normal 5 4 4 2 5" xfId="6083" xr:uid="{00000000-0005-0000-0000-0000436F0000}"/>
    <cellStyle name="Normal 5 4 4 2 5 2" xfId="14910" xr:uid="{00000000-0005-0000-0000-0000446F0000}"/>
    <cellStyle name="Normal 5 4 4 2 5 2 2" xfId="40465" xr:uid="{00000000-0005-0000-0000-0000456F0000}"/>
    <cellStyle name="Normal 5 4 4 2 5 3" xfId="25161" xr:uid="{00000000-0005-0000-0000-0000466F0000}"/>
    <cellStyle name="Normal 5 4 4 2 5 3 2" xfId="50714" xr:uid="{00000000-0005-0000-0000-0000476F0000}"/>
    <cellStyle name="Normal 5 4 4 2 5 4" xfId="31644" xr:uid="{00000000-0005-0000-0000-0000486F0000}"/>
    <cellStyle name="Normal 5 4 4 2 6" xfId="7528" xr:uid="{00000000-0005-0000-0000-0000496F0000}"/>
    <cellStyle name="Normal 5 4 4 2 6 2" xfId="20258" xr:uid="{00000000-0005-0000-0000-00004A6F0000}"/>
    <cellStyle name="Normal 5 4 4 2 6 2 2" xfId="45811" xr:uid="{00000000-0005-0000-0000-00004B6F0000}"/>
    <cellStyle name="Normal 5 4 4 2 6 3" xfId="33085" xr:uid="{00000000-0005-0000-0000-00004C6F0000}"/>
    <cellStyle name="Normal 5 4 4 2 7" xfId="16769" xr:uid="{00000000-0005-0000-0000-00004D6F0000}"/>
    <cellStyle name="Normal 5 4 4 2 7 2" xfId="42322" xr:uid="{00000000-0005-0000-0000-00004E6F0000}"/>
    <cellStyle name="Normal 5 4 4 2 8" xfId="26741" xr:uid="{00000000-0005-0000-0000-00004F6F0000}"/>
    <cellStyle name="Normal 5 4 4 3" xfId="1253" xr:uid="{00000000-0005-0000-0000-0000506F0000}"/>
    <cellStyle name="Normal 5 4 4 3 2" xfId="3682" xr:uid="{00000000-0005-0000-0000-0000516F0000}"/>
    <cellStyle name="Normal 5 4 4 3 2 2" xfId="12818" xr:uid="{00000000-0005-0000-0000-0000526F0000}"/>
    <cellStyle name="Normal 5 4 4 3 2 2 2" xfId="23037" xr:uid="{00000000-0005-0000-0000-0000536F0000}"/>
    <cellStyle name="Normal 5 4 4 3 2 2 2 2" xfId="48590" xr:uid="{00000000-0005-0000-0000-0000546F0000}"/>
    <cellStyle name="Normal 5 4 4 3 2 2 3" xfId="38373" xr:uid="{00000000-0005-0000-0000-0000556F0000}"/>
    <cellStyle name="Normal 5 4 4 3 2 3" xfId="9239" xr:uid="{00000000-0005-0000-0000-0000566F0000}"/>
    <cellStyle name="Normal 5 4 4 3 2 3 2" xfId="34796" xr:uid="{00000000-0005-0000-0000-0000576F0000}"/>
    <cellStyle name="Normal 5 4 4 3 2 4" xfId="18030" xr:uid="{00000000-0005-0000-0000-0000586F0000}"/>
    <cellStyle name="Normal 5 4 4 3 2 4 2" xfId="43583" xr:uid="{00000000-0005-0000-0000-0000596F0000}"/>
    <cellStyle name="Normal 5 4 4 3 2 5" xfId="29520" xr:uid="{00000000-0005-0000-0000-00005A6F0000}"/>
    <cellStyle name="Normal 5 4 4 3 3" xfId="4976" xr:uid="{00000000-0005-0000-0000-00005B6F0000}"/>
    <cellStyle name="Normal 5 4 4 3 3 2" xfId="13813" xr:uid="{00000000-0005-0000-0000-00005C6F0000}"/>
    <cellStyle name="Normal 5 4 4 3 3 2 2" xfId="24064" xr:uid="{00000000-0005-0000-0000-00005D6F0000}"/>
    <cellStyle name="Normal 5 4 4 3 3 2 2 2" xfId="49617" xr:uid="{00000000-0005-0000-0000-00005E6F0000}"/>
    <cellStyle name="Normal 5 4 4 3 3 2 3" xfId="39368" xr:uid="{00000000-0005-0000-0000-00005F6F0000}"/>
    <cellStyle name="Normal 5 4 4 3 3 3" xfId="10234" xr:uid="{00000000-0005-0000-0000-0000606F0000}"/>
    <cellStyle name="Normal 5 4 4 3 3 3 2" xfId="35791" xr:uid="{00000000-0005-0000-0000-0000616F0000}"/>
    <cellStyle name="Normal 5 4 4 3 3 4" xfId="19057" xr:uid="{00000000-0005-0000-0000-0000626F0000}"/>
    <cellStyle name="Normal 5 4 4 3 3 4 2" xfId="44610" xr:uid="{00000000-0005-0000-0000-0000636F0000}"/>
    <cellStyle name="Normal 5 4 4 3 3 5" xfId="30547" xr:uid="{00000000-0005-0000-0000-0000646F0000}"/>
    <cellStyle name="Normal 5 4 4 3 4" xfId="2076" xr:uid="{00000000-0005-0000-0000-0000656F0000}"/>
    <cellStyle name="Normal 5 4 4 3 4 2" xfId="11441" xr:uid="{00000000-0005-0000-0000-0000666F0000}"/>
    <cellStyle name="Normal 5 4 4 3 4 2 2" xfId="36996" xr:uid="{00000000-0005-0000-0000-0000676F0000}"/>
    <cellStyle name="Normal 5 4 4 3 4 3" xfId="21445" xr:uid="{00000000-0005-0000-0000-0000686F0000}"/>
    <cellStyle name="Normal 5 4 4 3 4 3 2" xfId="46998" xr:uid="{00000000-0005-0000-0000-0000696F0000}"/>
    <cellStyle name="Normal 5 4 4 3 4 4" xfId="27928" xr:uid="{00000000-0005-0000-0000-00006A6F0000}"/>
    <cellStyle name="Normal 5 4 4 3 5" xfId="6431" xr:uid="{00000000-0005-0000-0000-00006B6F0000}"/>
    <cellStyle name="Normal 5 4 4 3 5 2" xfId="15258" xr:uid="{00000000-0005-0000-0000-00006C6F0000}"/>
    <cellStyle name="Normal 5 4 4 3 5 2 2" xfId="40813" xr:uid="{00000000-0005-0000-0000-00006D6F0000}"/>
    <cellStyle name="Normal 5 4 4 3 5 3" xfId="25509" xr:uid="{00000000-0005-0000-0000-00006E6F0000}"/>
    <cellStyle name="Normal 5 4 4 3 5 3 2" xfId="51062" xr:uid="{00000000-0005-0000-0000-00006F6F0000}"/>
    <cellStyle name="Normal 5 4 4 3 5 4" xfId="31992" xr:uid="{00000000-0005-0000-0000-0000706F0000}"/>
    <cellStyle name="Normal 5 4 4 3 6" xfId="7877" xr:uid="{00000000-0005-0000-0000-0000716F0000}"/>
    <cellStyle name="Normal 5 4 4 3 6 2" xfId="20636" xr:uid="{00000000-0005-0000-0000-0000726F0000}"/>
    <cellStyle name="Normal 5 4 4 3 6 2 2" xfId="46189" xr:uid="{00000000-0005-0000-0000-0000736F0000}"/>
    <cellStyle name="Normal 5 4 4 3 6 3" xfId="33434" xr:uid="{00000000-0005-0000-0000-0000746F0000}"/>
    <cellStyle name="Normal 5 4 4 3 7" xfId="16438" xr:uid="{00000000-0005-0000-0000-0000756F0000}"/>
    <cellStyle name="Normal 5 4 4 3 7 2" xfId="41991" xr:uid="{00000000-0005-0000-0000-0000766F0000}"/>
    <cellStyle name="Normal 5 4 4 3 8" xfId="27119" xr:uid="{00000000-0005-0000-0000-0000776F0000}"/>
    <cellStyle name="Normal 5 4 4 4" xfId="2967" xr:uid="{00000000-0005-0000-0000-0000786F0000}"/>
    <cellStyle name="Normal 5 4 4 4 2" xfId="5345" xr:uid="{00000000-0005-0000-0000-0000796F0000}"/>
    <cellStyle name="Normal 5 4 4 4 2 2" xfId="14182" xr:uid="{00000000-0005-0000-0000-00007A6F0000}"/>
    <cellStyle name="Normal 5 4 4 4 2 2 2" xfId="24433" xr:uid="{00000000-0005-0000-0000-00007B6F0000}"/>
    <cellStyle name="Normal 5 4 4 4 2 2 2 2" xfId="49986" xr:uid="{00000000-0005-0000-0000-00007C6F0000}"/>
    <cellStyle name="Normal 5 4 4 4 2 2 3" xfId="39737" xr:uid="{00000000-0005-0000-0000-00007D6F0000}"/>
    <cellStyle name="Normal 5 4 4 4 2 3" xfId="10603" xr:uid="{00000000-0005-0000-0000-00007E6F0000}"/>
    <cellStyle name="Normal 5 4 4 4 2 3 2" xfId="36160" xr:uid="{00000000-0005-0000-0000-00007F6F0000}"/>
    <cellStyle name="Normal 5 4 4 4 2 4" xfId="19426" xr:uid="{00000000-0005-0000-0000-0000806F0000}"/>
    <cellStyle name="Normal 5 4 4 4 2 4 2" xfId="44979" xr:uid="{00000000-0005-0000-0000-0000816F0000}"/>
    <cellStyle name="Normal 5 4 4 4 2 5" xfId="30916" xr:uid="{00000000-0005-0000-0000-0000826F0000}"/>
    <cellStyle name="Normal 5 4 4 4 3" xfId="6800" xr:uid="{00000000-0005-0000-0000-0000836F0000}"/>
    <cellStyle name="Normal 5 4 4 4 3 2" xfId="15627" xr:uid="{00000000-0005-0000-0000-0000846F0000}"/>
    <cellStyle name="Normal 5 4 4 4 3 2 2" xfId="41182" xr:uid="{00000000-0005-0000-0000-0000856F0000}"/>
    <cellStyle name="Normal 5 4 4 4 3 3" xfId="25878" xr:uid="{00000000-0005-0000-0000-0000866F0000}"/>
    <cellStyle name="Normal 5 4 4 4 3 3 2" xfId="51431" xr:uid="{00000000-0005-0000-0000-0000876F0000}"/>
    <cellStyle name="Normal 5 4 4 4 3 4" xfId="32361" xr:uid="{00000000-0005-0000-0000-0000886F0000}"/>
    <cellStyle name="Normal 5 4 4 4 4" xfId="8246" xr:uid="{00000000-0005-0000-0000-0000896F0000}"/>
    <cellStyle name="Normal 5 4 4 4 4 2" xfId="22328" xr:uid="{00000000-0005-0000-0000-00008A6F0000}"/>
    <cellStyle name="Normal 5 4 4 4 4 2 2" xfId="47881" xr:uid="{00000000-0005-0000-0000-00008B6F0000}"/>
    <cellStyle name="Normal 5 4 4 4 4 3" xfId="33803" xr:uid="{00000000-0005-0000-0000-00008C6F0000}"/>
    <cellStyle name="Normal 5 4 4 4 5" xfId="17321" xr:uid="{00000000-0005-0000-0000-00008D6F0000}"/>
    <cellStyle name="Normal 5 4 4 4 5 2" xfId="42874" xr:uid="{00000000-0005-0000-0000-00008E6F0000}"/>
    <cellStyle name="Normal 5 4 4 4 6" xfId="28811" xr:uid="{00000000-0005-0000-0000-00008F6F0000}"/>
    <cellStyle name="Normal 5 4 4 5" xfId="4301" xr:uid="{00000000-0005-0000-0000-0000906F0000}"/>
    <cellStyle name="Normal 5 4 4 5 2" xfId="13139" xr:uid="{00000000-0005-0000-0000-0000916F0000}"/>
    <cellStyle name="Normal 5 4 4 5 2 2" xfId="23390" xr:uid="{00000000-0005-0000-0000-0000926F0000}"/>
    <cellStyle name="Normal 5 4 4 5 2 2 2" xfId="48943" xr:uid="{00000000-0005-0000-0000-0000936F0000}"/>
    <cellStyle name="Normal 5 4 4 5 2 3" xfId="38694" xr:uid="{00000000-0005-0000-0000-0000946F0000}"/>
    <cellStyle name="Normal 5 4 4 5 3" xfId="9560" xr:uid="{00000000-0005-0000-0000-0000956F0000}"/>
    <cellStyle name="Normal 5 4 4 5 3 2" xfId="35117" xr:uid="{00000000-0005-0000-0000-0000966F0000}"/>
    <cellStyle name="Normal 5 4 4 5 4" xfId="18383" xr:uid="{00000000-0005-0000-0000-0000976F0000}"/>
    <cellStyle name="Normal 5 4 4 5 4 2" xfId="43936" xr:uid="{00000000-0005-0000-0000-0000986F0000}"/>
    <cellStyle name="Normal 5 4 4 5 5" xfId="29873" xr:uid="{00000000-0005-0000-0000-0000996F0000}"/>
    <cellStyle name="Normal 5 4 4 6" xfId="1573" xr:uid="{00000000-0005-0000-0000-00009A6F0000}"/>
    <cellStyle name="Normal 5 4 4 6 2" xfId="10950" xr:uid="{00000000-0005-0000-0000-00009B6F0000}"/>
    <cellStyle name="Normal 5 4 4 6 2 2" xfId="36505" xr:uid="{00000000-0005-0000-0000-00009C6F0000}"/>
    <cellStyle name="Normal 5 4 4 6 3" xfId="20954" xr:uid="{00000000-0005-0000-0000-00009D6F0000}"/>
    <cellStyle name="Normal 5 4 4 6 3 2" xfId="46507" xr:uid="{00000000-0005-0000-0000-00009E6F0000}"/>
    <cellStyle name="Normal 5 4 4 6 4" xfId="27437" xr:uid="{00000000-0005-0000-0000-00009F6F0000}"/>
    <cellStyle name="Normal 5 4 4 7" xfId="5757" xr:uid="{00000000-0005-0000-0000-0000A06F0000}"/>
    <cellStyle name="Normal 5 4 4 7 2" xfId="14584" xr:uid="{00000000-0005-0000-0000-0000A16F0000}"/>
    <cellStyle name="Normal 5 4 4 7 2 2" xfId="40139" xr:uid="{00000000-0005-0000-0000-0000A26F0000}"/>
    <cellStyle name="Normal 5 4 4 7 3" xfId="24835" xr:uid="{00000000-0005-0000-0000-0000A36F0000}"/>
    <cellStyle name="Normal 5 4 4 7 3 2" xfId="50388" xr:uid="{00000000-0005-0000-0000-0000A46F0000}"/>
    <cellStyle name="Normal 5 4 4 7 4" xfId="31318" xr:uid="{00000000-0005-0000-0000-0000A56F0000}"/>
    <cellStyle name="Normal 5 4 4 8" xfId="7201" xr:uid="{00000000-0005-0000-0000-0000A66F0000}"/>
    <cellStyle name="Normal 5 4 4 8 2" xfId="19927" xr:uid="{00000000-0005-0000-0000-0000A76F0000}"/>
    <cellStyle name="Normal 5 4 4 8 2 2" xfId="45480" xr:uid="{00000000-0005-0000-0000-0000A86F0000}"/>
    <cellStyle name="Normal 5 4 4 8 3" xfId="32758" xr:uid="{00000000-0005-0000-0000-0000A96F0000}"/>
    <cellStyle name="Normal 5 4 4 9" xfId="15947" xr:uid="{00000000-0005-0000-0000-0000AA6F0000}"/>
    <cellStyle name="Normal 5 4 4 9 2" xfId="41500" xr:uid="{00000000-0005-0000-0000-0000AB6F0000}"/>
    <cellStyle name="Normal 5 4 4_Degree data" xfId="3842" xr:uid="{00000000-0005-0000-0000-0000AC6F0000}"/>
    <cellStyle name="Normal 5 4 5" xfId="322" xr:uid="{00000000-0005-0000-0000-0000AD6F0000}"/>
    <cellStyle name="Normal 5 4 5 10" xfId="26251" xr:uid="{00000000-0005-0000-0000-0000AE6F0000}"/>
    <cellStyle name="Normal 5 4 5 2" xfId="814" xr:uid="{00000000-0005-0000-0000-0000AF6F0000}"/>
    <cellStyle name="Normal 5 4 5 2 2" xfId="3299" xr:uid="{00000000-0005-0000-0000-0000B06F0000}"/>
    <cellStyle name="Normal 5 4 5 2 2 2" xfId="12441" xr:uid="{00000000-0005-0000-0000-0000B16F0000}"/>
    <cellStyle name="Normal 5 4 5 2 2 2 2" xfId="22660" xr:uid="{00000000-0005-0000-0000-0000B26F0000}"/>
    <cellStyle name="Normal 5 4 5 2 2 2 2 2" xfId="48213" xr:uid="{00000000-0005-0000-0000-0000B36F0000}"/>
    <cellStyle name="Normal 5 4 5 2 2 2 3" xfId="37996" xr:uid="{00000000-0005-0000-0000-0000B46F0000}"/>
    <cellStyle name="Normal 5 4 5 2 2 3" xfId="8863" xr:uid="{00000000-0005-0000-0000-0000B56F0000}"/>
    <cellStyle name="Normal 5 4 5 2 2 3 2" xfId="34420" xr:uid="{00000000-0005-0000-0000-0000B66F0000}"/>
    <cellStyle name="Normal 5 4 5 2 2 4" xfId="17653" xr:uid="{00000000-0005-0000-0000-0000B76F0000}"/>
    <cellStyle name="Normal 5 4 5 2 2 4 2" xfId="43206" xr:uid="{00000000-0005-0000-0000-0000B86F0000}"/>
    <cellStyle name="Normal 5 4 5 2 2 5" xfId="29143" xr:uid="{00000000-0005-0000-0000-0000B96F0000}"/>
    <cellStyle name="Normal 5 4 5 2 3" xfId="4628" xr:uid="{00000000-0005-0000-0000-0000BA6F0000}"/>
    <cellStyle name="Normal 5 4 5 2 3 2" xfId="13466" xr:uid="{00000000-0005-0000-0000-0000BB6F0000}"/>
    <cellStyle name="Normal 5 4 5 2 3 2 2" xfId="23717" xr:uid="{00000000-0005-0000-0000-0000BC6F0000}"/>
    <cellStyle name="Normal 5 4 5 2 3 2 2 2" xfId="49270" xr:uid="{00000000-0005-0000-0000-0000BD6F0000}"/>
    <cellStyle name="Normal 5 4 5 2 3 2 3" xfId="39021" xr:uid="{00000000-0005-0000-0000-0000BE6F0000}"/>
    <cellStyle name="Normal 5 4 5 2 3 3" xfId="9887" xr:uid="{00000000-0005-0000-0000-0000BF6F0000}"/>
    <cellStyle name="Normal 5 4 5 2 3 3 2" xfId="35444" xr:uid="{00000000-0005-0000-0000-0000C06F0000}"/>
    <cellStyle name="Normal 5 4 5 2 3 4" xfId="18710" xr:uid="{00000000-0005-0000-0000-0000C16F0000}"/>
    <cellStyle name="Normal 5 4 5 2 3 4 2" xfId="44263" xr:uid="{00000000-0005-0000-0000-0000C26F0000}"/>
    <cellStyle name="Normal 5 4 5 2 3 5" xfId="30200" xr:uid="{00000000-0005-0000-0000-0000C36F0000}"/>
    <cellStyle name="Normal 5 4 5 2 4" xfId="2408" xr:uid="{00000000-0005-0000-0000-0000C46F0000}"/>
    <cellStyle name="Normal 5 4 5 2 4 2" xfId="11773" xr:uid="{00000000-0005-0000-0000-0000C56F0000}"/>
    <cellStyle name="Normal 5 4 5 2 4 2 2" xfId="37328" xr:uid="{00000000-0005-0000-0000-0000C66F0000}"/>
    <cellStyle name="Normal 5 4 5 2 4 3" xfId="21777" xr:uid="{00000000-0005-0000-0000-0000C76F0000}"/>
    <cellStyle name="Normal 5 4 5 2 4 3 2" xfId="47330" xr:uid="{00000000-0005-0000-0000-0000C86F0000}"/>
    <cellStyle name="Normal 5 4 5 2 4 4" xfId="28260" xr:uid="{00000000-0005-0000-0000-0000C96F0000}"/>
    <cellStyle name="Normal 5 4 5 2 5" xfId="6084" xr:uid="{00000000-0005-0000-0000-0000CA6F0000}"/>
    <cellStyle name="Normal 5 4 5 2 5 2" xfId="14911" xr:uid="{00000000-0005-0000-0000-0000CB6F0000}"/>
    <cellStyle name="Normal 5 4 5 2 5 2 2" xfId="40466" xr:uid="{00000000-0005-0000-0000-0000CC6F0000}"/>
    <cellStyle name="Normal 5 4 5 2 5 3" xfId="25162" xr:uid="{00000000-0005-0000-0000-0000CD6F0000}"/>
    <cellStyle name="Normal 5 4 5 2 5 3 2" xfId="50715" xr:uid="{00000000-0005-0000-0000-0000CE6F0000}"/>
    <cellStyle name="Normal 5 4 5 2 5 4" xfId="31645" xr:uid="{00000000-0005-0000-0000-0000CF6F0000}"/>
    <cellStyle name="Normal 5 4 5 2 6" xfId="7529" xr:uid="{00000000-0005-0000-0000-0000D06F0000}"/>
    <cellStyle name="Normal 5 4 5 2 6 2" xfId="20259" xr:uid="{00000000-0005-0000-0000-0000D16F0000}"/>
    <cellStyle name="Normal 5 4 5 2 6 2 2" xfId="45812" xr:uid="{00000000-0005-0000-0000-0000D26F0000}"/>
    <cellStyle name="Normal 5 4 5 2 6 3" xfId="33086" xr:uid="{00000000-0005-0000-0000-0000D36F0000}"/>
    <cellStyle name="Normal 5 4 5 2 7" xfId="16770" xr:uid="{00000000-0005-0000-0000-0000D46F0000}"/>
    <cellStyle name="Normal 5 4 5 2 7 2" xfId="42323" xr:uid="{00000000-0005-0000-0000-0000D56F0000}"/>
    <cellStyle name="Normal 5 4 5 2 8" xfId="26742" xr:uid="{00000000-0005-0000-0000-0000D66F0000}"/>
    <cellStyle name="Normal 5 4 5 3" xfId="1094" xr:uid="{00000000-0005-0000-0000-0000D76F0000}"/>
    <cellStyle name="Normal 5 4 5 3 2" xfId="3523" xr:uid="{00000000-0005-0000-0000-0000D86F0000}"/>
    <cellStyle name="Normal 5 4 5 3 2 2" xfId="12659" xr:uid="{00000000-0005-0000-0000-0000D96F0000}"/>
    <cellStyle name="Normal 5 4 5 3 2 2 2" xfId="22878" xr:uid="{00000000-0005-0000-0000-0000DA6F0000}"/>
    <cellStyle name="Normal 5 4 5 3 2 2 2 2" xfId="48431" xr:uid="{00000000-0005-0000-0000-0000DB6F0000}"/>
    <cellStyle name="Normal 5 4 5 3 2 2 3" xfId="38214" xr:uid="{00000000-0005-0000-0000-0000DC6F0000}"/>
    <cellStyle name="Normal 5 4 5 3 2 3" xfId="9081" xr:uid="{00000000-0005-0000-0000-0000DD6F0000}"/>
    <cellStyle name="Normal 5 4 5 3 2 3 2" xfId="34638" xr:uid="{00000000-0005-0000-0000-0000DE6F0000}"/>
    <cellStyle name="Normal 5 4 5 3 2 4" xfId="17871" xr:uid="{00000000-0005-0000-0000-0000DF6F0000}"/>
    <cellStyle name="Normal 5 4 5 3 2 4 2" xfId="43424" xr:uid="{00000000-0005-0000-0000-0000E06F0000}"/>
    <cellStyle name="Normal 5 4 5 3 2 5" xfId="29361" xr:uid="{00000000-0005-0000-0000-0000E16F0000}"/>
    <cellStyle name="Normal 5 4 5 3 3" xfId="4977" xr:uid="{00000000-0005-0000-0000-0000E26F0000}"/>
    <cellStyle name="Normal 5 4 5 3 3 2" xfId="13814" xr:uid="{00000000-0005-0000-0000-0000E36F0000}"/>
    <cellStyle name="Normal 5 4 5 3 3 2 2" xfId="24065" xr:uid="{00000000-0005-0000-0000-0000E46F0000}"/>
    <cellStyle name="Normal 5 4 5 3 3 2 2 2" xfId="49618" xr:uid="{00000000-0005-0000-0000-0000E56F0000}"/>
    <cellStyle name="Normal 5 4 5 3 3 2 3" xfId="39369" xr:uid="{00000000-0005-0000-0000-0000E66F0000}"/>
    <cellStyle name="Normal 5 4 5 3 3 3" xfId="10235" xr:uid="{00000000-0005-0000-0000-0000E76F0000}"/>
    <cellStyle name="Normal 5 4 5 3 3 3 2" xfId="35792" xr:uid="{00000000-0005-0000-0000-0000E86F0000}"/>
    <cellStyle name="Normal 5 4 5 3 3 4" xfId="19058" xr:uid="{00000000-0005-0000-0000-0000E96F0000}"/>
    <cellStyle name="Normal 5 4 5 3 3 4 2" xfId="44611" xr:uid="{00000000-0005-0000-0000-0000EA6F0000}"/>
    <cellStyle name="Normal 5 4 5 3 3 5" xfId="30548" xr:uid="{00000000-0005-0000-0000-0000EB6F0000}"/>
    <cellStyle name="Normal 5 4 5 3 4" xfId="2576" xr:uid="{00000000-0005-0000-0000-0000EC6F0000}"/>
    <cellStyle name="Normal 5 4 5 3 4 2" xfId="11940" xr:uid="{00000000-0005-0000-0000-0000ED6F0000}"/>
    <cellStyle name="Normal 5 4 5 3 4 2 2" xfId="37495" xr:uid="{00000000-0005-0000-0000-0000EE6F0000}"/>
    <cellStyle name="Normal 5 4 5 3 4 3" xfId="21944" xr:uid="{00000000-0005-0000-0000-0000EF6F0000}"/>
    <cellStyle name="Normal 5 4 5 3 4 3 2" xfId="47497" xr:uid="{00000000-0005-0000-0000-0000F06F0000}"/>
    <cellStyle name="Normal 5 4 5 3 4 4" xfId="28427" xr:uid="{00000000-0005-0000-0000-0000F16F0000}"/>
    <cellStyle name="Normal 5 4 5 3 5" xfId="6432" xr:uid="{00000000-0005-0000-0000-0000F26F0000}"/>
    <cellStyle name="Normal 5 4 5 3 5 2" xfId="15259" xr:uid="{00000000-0005-0000-0000-0000F36F0000}"/>
    <cellStyle name="Normal 5 4 5 3 5 2 2" xfId="40814" xr:uid="{00000000-0005-0000-0000-0000F46F0000}"/>
    <cellStyle name="Normal 5 4 5 3 5 3" xfId="25510" xr:uid="{00000000-0005-0000-0000-0000F56F0000}"/>
    <cellStyle name="Normal 5 4 5 3 5 3 2" xfId="51063" xr:uid="{00000000-0005-0000-0000-0000F66F0000}"/>
    <cellStyle name="Normal 5 4 5 3 5 4" xfId="31993" xr:uid="{00000000-0005-0000-0000-0000F76F0000}"/>
    <cellStyle name="Normal 5 4 5 3 6" xfId="7878" xr:uid="{00000000-0005-0000-0000-0000F86F0000}"/>
    <cellStyle name="Normal 5 4 5 3 6 2" xfId="20477" xr:uid="{00000000-0005-0000-0000-0000F96F0000}"/>
    <cellStyle name="Normal 5 4 5 3 6 2 2" xfId="46030" xr:uid="{00000000-0005-0000-0000-0000FA6F0000}"/>
    <cellStyle name="Normal 5 4 5 3 6 3" xfId="33435" xr:uid="{00000000-0005-0000-0000-0000FB6F0000}"/>
    <cellStyle name="Normal 5 4 5 3 7" xfId="16937" xr:uid="{00000000-0005-0000-0000-0000FC6F0000}"/>
    <cellStyle name="Normal 5 4 5 3 7 2" xfId="42490" xr:uid="{00000000-0005-0000-0000-0000FD6F0000}"/>
    <cellStyle name="Normal 5 4 5 3 8" xfId="26960" xr:uid="{00000000-0005-0000-0000-0000FE6F0000}"/>
    <cellStyle name="Normal 5 4 5 4" xfId="2808" xr:uid="{00000000-0005-0000-0000-0000FF6F0000}"/>
    <cellStyle name="Normal 5 4 5 4 2" xfId="5186" xr:uid="{00000000-0005-0000-0000-000000700000}"/>
    <cellStyle name="Normal 5 4 5 4 2 2" xfId="14023" xr:uid="{00000000-0005-0000-0000-000001700000}"/>
    <cellStyle name="Normal 5 4 5 4 2 2 2" xfId="24274" xr:uid="{00000000-0005-0000-0000-000002700000}"/>
    <cellStyle name="Normal 5 4 5 4 2 2 2 2" xfId="49827" xr:uid="{00000000-0005-0000-0000-000003700000}"/>
    <cellStyle name="Normal 5 4 5 4 2 2 3" xfId="39578" xr:uid="{00000000-0005-0000-0000-000004700000}"/>
    <cellStyle name="Normal 5 4 5 4 2 3" xfId="10444" xr:uid="{00000000-0005-0000-0000-000005700000}"/>
    <cellStyle name="Normal 5 4 5 4 2 3 2" xfId="36001" xr:uid="{00000000-0005-0000-0000-000006700000}"/>
    <cellStyle name="Normal 5 4 5 4 2 4" xfId="19267" xr:uid="{00000000-0005-0000-0000-000007700000}"/>
    <cellStyle name="Normal 5 4 5 4 2 4 2" xfId="44820" xr:uid="{00000000-0005-0000-0000-000008700000}"/>
    <cellStyle name="Normal 5 4 5 4 2 5" xfId="30757" xr:uid="{00000000-0005-0000-0000-000009700000}"/>
    <cellStyle name="Normal 5 4 5 4 3" xfId="6641" xr:uid="{00000000-0005-0000-0000-00000A700000}"/>
    <cellStyle name="Normal 5 4 5 4 3 2" xfId="15468" xr:uid="{00000000-0005-0000-0000-00000B700000}"/>
    <cellStyle name="Normal 5 4 5 4 3 2 2" xfId="41023" xr:uid="{00000000-0005-0000-0000-00000C700000}"/>
    <cellStyle name="Normal 5 4 5 4 3 3" xfId="25719" xr:uid="{00000000-0005-0000-0000-00000D700000}"/>
    <cellStyle name="Normal 5 4 5 4 3 3 2" xfId="51272" xr:uid="{00000000-0005-0000-0000-00000E700000}"/>
    <cellStyle name="Normal 5 4 5 4 3 4" xfId="32202" xr:uid="{00000000-0005-0000-0000-00000F700000}"/>
    <cellStyle name="Normal 5 4 5 4 4" xfId="8087" xr:uid="{00000000-0005-0000-0000-000010700000}"/>
    <cellStyle name="Normal 5 4 5 4 4 2" xfId="22169" xr:uid="{00000000-0005-0000-0000-000011700000}"/>
    <cellStyle name="Normal 5 4 5 4 4 2 2" xfId="47722" xr:uid="{00000000-0005-0000-0000-000012700000}"/>
    <cellStyle name="Normal 5 4 5 4 4 3" xfId="33644" xr:uid="{00000000-0005-0000-0000-000013700000}"/>
    <cellStyle name="Normal 5 4 5 4 5" xfId="17162" xr:uid="{00000000-0005-0000-0000-000014700000}"/>
    <cellStyle name="Normal 5 4 5 4 5 2" xfId="42715" xr:uid="{00000000-0005-0000-0000-000015700000}"/>
    <cellStyle name="Normal 5 4 5 4 6" xfId="28652" xr:uid="{00000000-0005-0000-0000-000016700000}"/>
    <cellStyle name="Normal 5 4 5 5" xfId="4140" xr:uid="{00000000-0005-0000-0000-000017700000}"/>
    <cellStyle name="Normal 5 4 5 5 2" xfId="12978" xr:uid="{00000000-0005-0000-0000-000018700000}"/>
    <cellStyle name="Normal 5 4 5 5 2 2" xfId="23229" xr:uid="{00000000-0005-0000-0000-000019700000}"/>
    <cellStyle name="Normal 5 4 5 5 2 2 2" xfId="48782" xr:uid="{00000000-0005-0000-0000-00001A700000}"/>
    <cellStyle name="Normal 5 4 5 5 2 3" xfId="38533" xr:uid="{00000000-0005-0000-0000-00001B700000}"/>
    <cellStyle name="Normal 5 4 5 5 3" xfId="9399" xr:uid="{00000000-0005-0000-0000-00001C700000}"/>
    <cellStyle name="Normal 5 4 5 5 3 2" xfId="34956" xr:uid="{00000000-0005-0000-0000-00001D700000}"/>
    <cellStyle name="Normal 5 4 5 5 4" xfId="18222" xr:uid="{00000000-0005-0000-0000-00001E700000}"/>
    <cellStyle name="Normal 5 4 5 5 4 2" xfId="43775" xr:uid="{00000000-0005-0000-0000-00001F700000}"/>
    <cellStyle name="Normal 5 4 5 5 5" xfId="29712" xr:uid="{00000000-0005-0000-0000-000020700000}"/>
    <cellStyle name="Normal 5 4 5 6" xfId="1917" xr:uid="{00000000-0005-0000-0000-000021700000}"/>
    <cellStyle name="Normal 5 4 5 6 2" xfId="11282" xr:uid="{00000000-0005-0000-0000-000022700000}"/>
    <cellStyle name="Normal 5 4 5 6 2 2" xfId="36837" xr:uid="{00000000-0005-0000-0000-000023700000}"/>
    <cellStyle name="Normal 5 4 5 6 3" xfId="21286" xr:uid="{00000000-0005-0000-0000-000024700000}"/>
    <cellStyle name="Normal 5 4 5 6 3 2" xfId="46839" xr:uid="{00000000-0005-0000-0000-000025700000}"/>
    <cellStyle name="Normal 5 4 5 6 4" xfId="27769" xr:uid="{00000000-0005-0000-0000-000026700000}"/>
    <cellStyle name="Normal 5 4 5 7" xfId="5598" xr:uid="{00000000-0005-0000-0000-000027700000}"/>
    <cellStyle name="Normal 5 4 5 7 2" xfId="14425" xr:uid="{00000000-0005-0000-0000-000028700000}"/>
    <cellStyle name="Normal 5 4 5 7 2 2" xfId="39980" xr:uid="{00000000-0005-0000-0000-000029700000}"/>
    <cellStyle name="Normal 5 4 5 7 3" xfId="24676" xr:uid="{00000000-0005-0000-0000-00002A700000}"/>
    <cellStyle name="Normal 5 4 5 7 3 2" xfId="50229" xr:uid="{00000000-0005-0000-0000-00002B700000}"/>
    <cellStyle name="Normal 5 4 5 7 4" xfId="31159" xr:uid="{00000000-0005-0000-0000-00002C700000}"/>
    <cellStyle name="Normal 5 4 5 8" xfId="7042" xr:uid="{00000000-0005-0000-0000-00002D700000}"/>
    <cellStyle name="Normal 5 4 5 8 2" xfId="19768" xr:uid="{00000000-0005-0000-0000-00002E700000}"/>
    <cellStyle name="Normal 5 4 5 8 2 2" xfId="45321" xr:uid="{00000000-0005-0000-0000-00002F700000}"/>
    <cellStyle name="Normal 5 4 5 8 3" xfId="32599" xr:uid="{00000000-0005-0000-0000-000030700000}"/>
    <cellStyle name="Normal 5 4 5 9" xfId="16279" xr:uid="{00000000-0005-0000-0000-000031700000}"/>
    <cellStyle name="Normal 5 4 5 9 2" xfId="41832" xr:uid="{00000000-0005-0000-0000-000032700000}"/>
    <cellStyle name="Normal 5 4 5_Degree data" xfId="3921" xr:uid="{00000000-0005-0000-0000-000033700000}"/>
    <cellStyle name="Normal 5 4 6" xfId="808" xr:uid="{00000000-0005-0000-0000-000034700000}"/>
    <cellStyle name="Normal 5 4 6 2" xfId="3293" xr:uid="{00000000-0005-0000-0000-000035700000}"/>
    <cellStyle name="Normal 5 4 6 2 2" xfId="12435" xr:uid="{00000000-0005-0000-0000-000036700000}"/>
    <cellStyle name="Normal 5 4 6 2 2 2" xfId="22654" xr:uid="{00000000-0005-0000-0000-000037700000}"/>
    <cellStyle name="Normal 5 4 6 2 2 2 2" xfId="48207" xr:uid="{00000000-0005-0000-0000-000038700000}"/>
    <cellStyle name="Normal 5 4 6 2 2 3" xfId="37990" xr:uid="{00000000-0005-0000-0000-000039700000}"/>
    <cellStyle name="Normal 5 4 6 2 3" xfId="8857" xr:uid="{00000000-0005-0000-0000-00003A700000}"/>
    <cellStyle name="Normal 5 4 6 2 3 2" xfId="34414" xr:uid="{00000000-0005-0000-0000-00003B700000}"/>
    <cellStyle name="Normal 5 4 6 2 4" xfId="17647" xr:uid="{00000000-0005-0000-0000-00003C700000}"/>
    <cellStyle name="Normal 5 4 6 2 4 2" xfId="43200" xr:uid="{00000000-0005-0000-0000-00003D700000}"/>
    <cellStyle name="Normal 5 4 6 2 5" xfId="29137" xr:uid="{00000000-0005-0000-0000-00003E700000}"/>
    <cellStyle name="Normal 5 4 6 3" xfId="4622" xr:uid="{00000000-0005-0000-0000-00003F700000}"/>
    <cellStyle name="Normal 5 4 6 3 2" xfId="13460" xr:uid="{00000000-0005-0000-0000-000040700000}"/>
    <cellStyle name="Normal 5 4 6 3 2 2" xfId="23711" xr:uid="{00000000-0005-0000-0000-000041700000}"/>
    <cellStyle name="Normal 5 4 6 3 2 2 2" xfId="49264" xr:uid="{00000000-0005-0000-0000-000042700000}"/>
    <cellStyle name="Normal 5 4 6 3 2 3" xfId="39015" xr:uid="{00000000-0005-0000-0000-000043700000}"/>
    <cellStyle name="Normal 5 4 6 3 3" xfId="9881" xr:uid="{00000000-0005-0000-0000-000044700000}"/>
    <cellStyle name="Normal 5 4 6 3 3 2" xfId="35438" xr:uid="{00000000-0005-0000-0000-000045700000}"/>
    <cellStyle name="Normal 5 4 6 3 4" xfId="18704" xr:uid="{00000000-0005-0000-0000-000046700000}"/>
    <cellStyle name="Normal 5 4 6 3 4 2" xfId="44257" xr:uid="{00000000-0005-0000-0000-000047700000}"/>
    <cellStyle name="Normal 5 4 6 3 5" xfId="30194" xr:uid="{00000000-0005-0000-0000-000048700000}"/>
    <cellStyle name="Normal 5 4 6 4" xfId="2402" xr:uid="{00000000-0005-0000-0000-000049700000}"/>
    <cellStyle name="Normal 5 4 6 4 2" xfId="11767" xr:uid="{00000000-0005-0000-0000-00004A700000}"/>
    <cellStyle name="Normal 5 4 6 4 2 2" xfId="37322" xr:uid="{00000000-0005-0000-0000-00004B700000}"/>
    <cellStyle name="Normal 5 4 6 4 3" xfId="21771" xr:uid="{00000000-0005-0000-0000-00004C700000}"/>
    <cellStyle name="Normal 5 4 6 4 3 2" xfId="47324" xr:uid="{00000000-0005-0000-0000-00004D700000}"/>
    <cellStyle name="Normal 5 4 6 4 4" xfId="28254" xr:uid="{00000000-0005-0000-0000-00004E700000}"/>
    <cellStyle name="Normal 5 4 6 5" xfId="6078" xr:uid="{00000000-0005-0000-0000-00004F700000}"/>
    <cellStyle name="Normal 5 4 6 5 2" xfId="14905" xr:uid="{00000000-0005-0000-0000-000050700000}"/>
    <cellStyle name="Normal 5 4 6 5 2 2" xfId="40460" xr:uid="{00000000-0005-0000-0000-000051700000}"/>
    <cellStyle name="Normal 5 4 6 5 3" xfId="25156" xr:uid="{00000000-0005-0000-0000-000052700000}"/>
    <cellStyle name="Normal 5 4 6 5 3 2" xfId="50709" xr:uid="{00000000-0005-0000-0000-000053700000}"/>
    <cellStyle name="Normal 5 4 6 5 4" xfId="31639" xr:uid="{00000000-0005-0000-0000-000054700000}"/>
    <cellStyle name="Normal 5 4 6 6" xfId="7523" xr:uid="{00000000-0005-0000-0000-000055700000}"/>
    <cellStyle name="Normal 5 4 6 6 2" xfId="20253" xr:uid="{00000000-0005-0000-0000-000056700000}"/>
    <cellStyle name="Normal 5 4 6 6 2 2" xfId="45806" xr:uid="{00000000-0005-0000-0000-000057700000}"/>
    <cellStyle name="Normal 5 4 6 6 3" xfId="33080" xr:uid="{00000000-0005-0000-0000-000058700000}"/>
    <cellStyle name="Normal 5 4 6 7" xfId="16764" xr:uid="{00000000-0005-0000-0000-000059700000}"/>
    <cellStyle name="Normal 5 4 6 7 2" xfId="42317" xr:uid="{00000000-0005-0000-0000-00005A700000}"/>
    <cellStyle name="Normal 5 4 6 8" xfId="26736" xr:uid="{00000000-0005-0000-0000-00005B700000}"/>
    <cellStyle name="Normal 5 4 7" xfId="1051" xr:uid="{00000000-0005-0000-0000-00005C700000}"/>
    <cellStyle name="Normal 5 4 7 2" xfId="3480" xr:uid="{00000000-0005-0000-0000-00005D700000}"/>
    <cellStyle name="Normal 5 4 7 2 2" xfId="12616" xr:uid="{00000000-0005-0000-0000-00005E700000}"/>
    <cellStyle name="Normal 5 4 7 2 2 2" xfId="22835" xr:uid="{00000000-0005-0000-0000-00005F700000}"/>
    <cellStyle name="Normal 5 4 7 2 2 2 2" xfId="48388" xr:uid="{00000000-0005-0000-0000-000060700000}"/>
    <cellStyle name="Normal 5 4 7 2 2 3" xfId="38171" xr:uid="{00000000-0005-0000-0000-000061700000}"/>
    <cellStyle name="Normal 5 4 7 2 3" xfId="9038" xr:uid="{00000000-0005-0000-0000-000062700000}"/>
    <cellStyle name="Normal 5 4 7 2 3 2" xfId="34595" xr:uid="{00000000-0005-0000-0000-000063700000}"/>
    <cellStyle name="Normal 5 4 7 2 4" xfId="17828" xr:uid="{00000000-0005-0000-0000-000064700000}"/>
    <cellStyle name="Normal 5 4 7 2 4 2" xfId="43381" xr:uid="{00000000-0005-0000-0000-000065700000}"/>
    <cellStyle name="Normal 5 4 7 2 5" xfId="29318" xr:uid="{00000000-0005-0000-0000-000066700000}"/>
    <cellStyle name="Normal 5 4 7 3" xfId="4971" xr:uid="{00000000-0005-0000-0000-000067700000}"/>
    <cellStyle name="Normal 5 4 7 3 2" xfId="13808" xr:uid="{00000000-0005-0000-0000-000068700000}"/>
    <cellStyle name="Normal 5 4 7 3 2 2" xfId="24059" xr:uid="{00000000-0005-0000-0000-000069700000}"/>
    <cellStyle name="Normal 5 4 7 3 2 2 2" xfId="49612" xr:uid="{00000000-0005-0000-0000-00006A700000}"/>
    <cellStyle name="Normal 5 4 7 3 2 3" xfId="39363" xr:uid="{00000000-0005-0000-0000-00006B700000}"/>
    <cellStyle name="Normal 5 4 7 3 3" xfId="10229" xr:uid="{00000000-0005-0000-0000-00006C700000}"/>
    <cellStyle name="Normal 5 4 7 3 3 2" xfId="35786" xr:uid="{00000000-0005-0000-0000-00006D700000}"/>
    <cellStyle name="Normal 5 4 7 3 4" xfId="19052" xr:uid="{00000000-0005-0000-0000-00006E700000}"/>
    <cellStyle name="Normal 5 4 7 3 4 2" xfId="44605" xr:uid="{00000000-0005-0000-0000-00006F700000}"/>
    <cellStyle name="Normal 5 4 7 3 5" xfId="30542" xr:uid="{00000000-0005-0000-0000-000070700000}"/>
    <cellStyle name="Normal 5 4 7 4" xfId="1752" xr:uid="{00000000-0005-0000-0000-000071700000}"/>
    <cellStyle name="Normal 5 4 7 4 2" xfId="11123" xr:uid="{00000000-0005-0000-0000-000072700000}"/>
    <cellStyle name="Normal 5 4 7 4 2 2" xfId="36678" xr:uid="{00000000-0005-0000-0000-000073700000}"/>
    <cellStyle name="Normal 5 4 7 4 3" xfId="21127" xr:uid="{00000000-0005-0000-0000-000074700000}"/>
    <cellStyle name="Normal 5 4 7 4 3 2" xfId="46680" xr:uid="{00000000-0005-0000-0000-000075700000}"/>
    <cellStyle name="Normal 5 4 7 4 4" xfId="27610" xr:uid="{00000000-0005-0000-0000-000076700000}"/>
    <cellStyle name="Normal 5 4 7 5" xfId="6426" xr:uid="{00000000-0005-0000-0000-000077700000}"/>
    <cellStyle name="Normal 5 4 7 5 2" xfId="15253" xr:uid="{00000000-0005-0000-0000-000078700000}"/>
    <cellStyle name="Normal 5 4 7 5 2 2" xfId="40808" xr:uid="{00000000-0005-0000-0000-000079700000}"/>
    <cellStyle name="Normal 5 4 7 5 3" xfId="25504" xr:uid="{00000000-0005-0000-0000-00007A700000}"/>
    <cellStyle name="Normal 5 4 7 5 3 2" xfId="51057" xr:uid="{00000000-0005-0000-0000-00007B700000}"/>
    <cellStyle name="Normal 5 4 7 5 4" xfId="31987" xr:uid="{00000000-0005-0000-0000-00007C700000}"/>
    <cellStyle name="Normal 5 4 7 6" xfId="7872" xr:uid="{00000000-0005-0000-0000-00007D700000}"/>
    <cellStyle name="Normal 5 4 7 6 2" xfId="20434" xr:uid="{00000000-0005-0000-0000-00007E700000}"/>
    <cellStyle name="Normal 5 4 7 6 2 2" xfId="45987" xr:uid="{00000000-0005-0000-0000-00007F700000}"/>
    <cellStyle name="Normal 5 4 7 6 3" xfId="33429" xr:uid="{00000000-0005-0000-0000-000080700000}"/>
    <cellStyle name="Normal 5 4 7 7" xfId="16120" xr:uid="{00000000-0005-0000-0000-000081700000}"/>
    <cellStyle name="Normal 5 4 7 7 2" xfId="41673" xr:uid="{00000000-0005-0000-0000-000082700000}"/>
    <cellStyle name="Normal 5 4 7 8" xfId="26917" xr:uid="{00000000-0005-0000-0000-000083700000}"/>
    <cellStyle name="Normal 5 4 8" xfId="2650" xr:uid="{00000000-0005-0000-0000-000084700000}"/>
    <cellStyle name="Normal 5 4 8 2" xfId="5143" xr:uid="{00000000-0005-0000-0000-000085700000}"/>
    <cellStyle name="Normal 5 4 8 2 2" xfId="13980" xr:uid="{00000000-0005-0000-0000-000086700000}"/>
    <cellStyle name="Normal 5 4 8 2 2 2" xfId="24231" xr:uid="{00000000-0005-0000-0000-000087700000}"/>
    <cellStyle name="Normal 5 4 8 2 2 2 2" xfId="49784" xr:uid="{00000000-0005-0000-0000-000088700000}"/>
    <cellStyle name="Normal 5 4 8 2 2 3" xfId="39535" xr:uid="{00000000-0005-0000-0000-000089700000}"/>
    <cellStyle name="Normal 5 4 8 2 3" xfId="10401" xr:uid="{00000000-0005-0000-0000-00008A700000}"/>
    <cellStyle name="Normal 5 4 8 2 3 2" xfId="35958" xr:uid="{00000000-0005-0000-0000-00008B700000}"/>
    <cellStyle name="Normal 5 4 8 2 4" xfId="19224" xr:uid="{00000000-0005-0000-0000-00008C700000}"/>
    <cellStyle name="Normal 5 4 8 2 4 2" xfId="44777" xr:uid="{00000000-0005-0000-0000-00008D700000}"/>
    <cellStyle name="Normal 5 4 8 2 5" xfId="30714" xr:uid="{00000000-0005-0000-0000-00008E700000}"/>
    <cellStyle name="Normal 5 4 8 3" xfId="6598" xr:uid="{00000000-0005-0000-0000-00008F700000}"/>
    <cellStyle name="Normal 5 4 8 3 2" xfId="15425" xr:uid="{00000000-0005-0000-0000-000090700000}"/>
    <cellStyle name="Normal 5 4 8 3 2 2" xfId="40980" xr:uid="{00000000-0005-0000-0000-000091700000}"/>
    <cellStyle name="Normal 5 4 8 3 3" xfId="25676" xr:uid="{00000000-0005-0000-0000-000092700000}"/>
    <cellStyle name="Normal 5 4 8 3 3 2" xfId="51229" xr:uid="{00000000-0005-0000-0000-000093700000}"/>
    <cellStyle name="Normal 5 4 8 3 4" xfId="32159" xr:uid="{00000000-0005-0000-0000-000094700000}"/>
    <cellStyle name="Normal 5 4 8 4" xfId="8044" xr:uid="{00000000-0005-0000-0000-000095700000}"/>
    <cellStyle name="Normal 5 4 8 4 2" xfId="22011" xr:uid="{00000000-0005-0000-0000-000096700000}"/>
    <cellStyle name="Normal 5 4 8 4 2 2" xfId="47564" xr:uid="{00000000-0005-0000-0000-000097700000}"/>
    <cellStyle name="Normal 5 4 8 4 3" xfId="33601" xr:uid="{00000000-0005-0000-0000-000098700000}"/>
    <cellStyle name="Normal 5 4 8 5" xfId="17004" xr:uid="{00000000-0005-0000-0000-000099700000}"/>
    <cellStyle name="Normal 5 4 8 5 2" xfId="42557" xr:uid="{00000000-0005-0000-0000-00009A700000}"/>
    <cellStyle name="Normal 5 4 8 6" xfId="28494" xr:uid="{00000000-0005-0000-0000-00009B700000}"/>
    <cellStyle name="Normal 5 4 9" xfId="4097" xr:uid="{00000000-0005-0000-0000-00009C700000}"/>
    <cellStyle name="Normal 5 4 9 2" xfId="5555" xr:uid="{00000000-0005-0000-0000-00009D700000}"/>
    <cellStyle name="Normal 5 4 9 2 2" xfId="14382" xr:uid="{00000000-0005-0000-0000-00009E700000}"/>
    <cellStyle name="Normal 5 4 9 2 2 2" xfId="39937" xr:uid="{00000000-0005-0000-0000-00009F700000}"/>
    <cellStyle name="Normal 5 4 9 2 3" xfId="24633" xr:uid="{00000000-0005-0000-0000-0000A0700000}"/>
    <cellStyle name="Normal 5 4 9 2 3 2" xfId="50186" xr:uid="{00000000-0005-0000-0000-0000A1700000}"/>
    <cellStyle name="Normal 5 4 9 2 4" xfId="31116" xr:uid="{00000000-0005-0000-0000-0000A2700000}"/>
    <cellStyle name="Normal 5 4 9 3" xfId="6999" xr:uid="{00000000-0005-0000-0000-0000A3700000}"/>
    <cellStyle name="Normal 5 4 9 3 2" xfId="23186" xr:uid="{00000000-0005-0000-0000-0000A4700000}"/>
    <cellStyle name="Normal 5 4 9 3 2 2" xfId="48739" xr:uid="{00000000-0005-0000-0000-0000A5700000}"/>
    <cellStyle name="Normal 5 4 9 3 3" xfId="32556" xr:uid="{00000000-0005-0000-0000-0000A6700000}"/>
    <cellStyle name="Normal 5 4 9 4" xfId="18179" xr:uid="{00000000-0005-0000-0000-0000A7700000}"/>
    <cellStyle name="Normal 5 4 9 4 2" xfId="43732" xr:uid="{00000000-0005-0000-0000-0000A8700000}"/>
    <cellStyle name="Normal 5 4 9 5" xfId="29669" xr:uid="{00000000-0005-0000-0000-0000A9700000}"/>
    <cellStyle name="Normal 5 4_Degree data" xfId="3820" xr:uid="{00000000-0005-0000-0000-0000AA700000}"/>
    <cellStyle name="Normal 5 5" xfId="134" xr:uid="{00000000-0005-0000-0000-0000AB700000}"/>
    <cellStyle name="Normal 5 5 10" xfId="1402" xr:uid="{00000000-0005-0000-0000-0000AC700000}"/>
    <cellStyle name="Normal 5 5 10 2" xfId="10779" xr:uid="{00000000-0005-0000-0000-0000AD700000}"/>
    <cellStyle name="Normal 5 5 10 2 2" xfId="36334" xr:uid="{00000000-0005-0000-0000-0000AE700000}"/>
    <cellStyle name="Normal 5 5 10 3" xfId="20783" xr:uid="{00000000-0005-0000-0000-0000AF700000}"/>
    <cellStyle name="Normal 5 5 10 3 2" xfId="46336" xr:uid="{00000000-0005-0000-0000-0000B0700000}"/>
    <cellStyle name="Normal 5 5 10 4" xfId="27266" xr:uid="{00000000-0005-0000-0000-0000B1700000}"/>
    <cellStyle name="Normal 5 5 11" xfId="5513" xr:uid="{00000000-0005-0000-0000-0000B2700000}"/>
    <cellStyle name="Normal 5 5 11 2" xfId="14340" xr:uid="{00000000-0005-0000-0000-0000B3700000}"/>
    <cellStyle name="Normal 5 5 11 2 2" xfId="39895" xr:uid="{00000000-0005-0000-0000-0000B4700000}"/>
    <cellStyle name="Normal 5 5 11 3" xfId="24591" xr:uid="{00000000-0005-0000-0000-0000B5700000}"/>
    <cellStyle name="Normal 5 5 11 3 2" xfId="50144" xr:uid="{00000000-0005-0000-0000-0000B6700000}"/>
    <cellStyle name="Normal 5 5 11 4" xfId="31074" xr:uid="{00000000-0005-0000-0000-0000B7700000}"/>
    <cellStyle name="Normal 5 5 12" xfId="6953" xr:uid="{00000000-0005-0000-0000-0000B8700000}"/>
    <cellStyle name="Normal 5 5 12 2" xfId="19598" xr:uid="{00000000-0005-0000-0000-0000B9700000}"/>
    <cellStyle name="Normal 5 5 12 2 2" xfId="45151" xr:uid="{00000000-0005-0000-0000-0000BA700000}"/>
    <cellStyle name="Normal 5 5 12 3" xfId="32511" xr:uid="{00000000-0005-0000-0000-0000BB700000}"/>
    <cellStyle name="Normal 5 5 13" xfId="15776" xr:uid="{00000000-0005-0000-0000-0000BC700000}"/>
    <cellStyle name="Normal 5 5 13 2" xfId="41329" xr:uid="{00000000-0005-0000-0000-0000BD700000}"/>
    <cellStyle name="Normal 5 5 14" xfId="26081" xr:uid="{00000000-0005-0000-0000-0000BE700000}"/>
    <cellStyle name="Normal 5 5 2" xfId="184" xr:uid="{00000000-0005-0000-0000-0000BF700000}"/>
    <cellStyle name="Normal 5 5 2 10" xfId="7132" xr:uid="{00000000-0005-0000-0000-0000C0700000}"/>
    <cellStyle name="Normal 5 5 2 10 2" xfId="19641" xr:uid="{00000000-0005-0000-0000-0000C1700000}"/>
    <cellStyle name="Normal 5 5 2 10 2 2" xfId="45194" xr:uid="{00000000-0005-0000-0000-0000C2700000}"/>
    <cellStyle name="Normal 5 5 2 10 3" xfId="32689" xr:uid="{00000000-0005-0000-0000-0000C3700000}"/>
    <cellStyle name="Normal 5 5 2 11" xfId="15878" xr:uid="{00000000-0005-0000-0000-0000C4700000}"/>
    <cellStyle name="Normal 5 5 2 11 2" xfId="41431" xr:uid="{00000000-0005-0000-0000-0000C5700000}"/>
    <cellStyle name="Normal 5 5 2 12" xfId="26124" xr:uid="{00000000-0005-0000-0000-0000C6700000}"/>
    <cellStyle name="Normal 5 5 2 2" xfId="512" xr:uid="{00000000-0005-0000-0000-0000C7700000}"/>
    <cellStyle name="Normal 5 5 2 2 10" xfId="26441" xr:uid="{00000000-0005-0000-0000-0000C8700000}"/>
    <cellStyle name="Normal 5 5 2 2 2" xfId="817" xr:uid="{00000000-0005-0000-0000-0000C9700000}"/>
    <cellStyle name="Normal 5 5 2 2 2 2" xfId="3302" xr:uid="{00000000-0005-0000-0000-0000CA700000}"/>
    <cellStyle name="Normal 5 5 2 2 2 2 2" xfId="12444" xr:uid="{00000000-0005-0000-0000-0000CB700000}"/>
    <cellStyle name="Normal 5 5 2 2 2 2 2 2" xfId="22663" xr:uid="{00000000-0005-0000-0000-0000CC700000}"/>
    <cellStyle name="Normal 5 5 2 2 2 2 2 2 2" xfId="48216" xr:uid="{00000000-0005-0000-0000-0000CD700000}"/>
    <cellStyle name="Normal 5 5 2 2 2 2 2 3" xfId="37999" xr:uid="{00000000-0005-0000-0000-0000CE700000}"/>
    <cellStyle name="Normal 5 5 2 2 2 2 3" xfId="8866" xr:uid="{00000000-0005-0000-0000-0000CF700000}"/>
    <cellStyle name="Normal 5 5 2 2 2 2 3 2" xfId="34423" xr:uid="{00000000-0005-0000-0000-0000D0700000}"/>
    <cellStyle name="Normal 5 5 2 2 2 2 4" xfId="17656" xr:uid="{00000000-0005-0000-0000-0000D1700000}"/>
    <cellStyle name="Normal 5 5 2 2 2 2 4 2" xfId="43209" xr:uid="{00000000-0005-0000-0000-0000D2700000}"/>
    <cellStyle name="Normal 5 5 2 2 2 2 5" xfId="29146" xr:uid="{00000000-0005-0000-0000-0000D3700000}"/>
    <cellStyle name="Normal 5 5 2 2 2 3" xfId="4631" xr:uid="{00000000-0005-0000-0000-0000D4700000}"/>
    <cellStyle name="Normal 5 5 2 2 2 3 2" xfId="13469" xr:uid="{00000000-0005-0000-0000-0000D5700000}"/>
    <cellStyle name="Normal 5 5 2 2 2 3 2 2" xfId="23720" xr:uid="{00000000-0005-0000-0000-0000D6700000}"/>
    <cellStyle name="Normal 5 5 2 2 2 3 2 2 2" xfId="49273" xr:uid="{00000000-0005-0000-0000-0000D7700000}"/>
    <cellStyle name="Normal 5 5 2 2 2 3 2 3" xfId="39024" xr:uid="{00000000-0005-0000-0000-0000D8700000}"/>
    <cellStyle name="Normal 5 5 2 2 2 3 3" xfId="9890" xr:uid="{00000000-0005-0000-0000-0000D9700000}"/>
    <cellStyle name="Normal 5 5 2 2 2 3 3 2" xfId="35447" xr:uid="{00000000-0005-0000-0000-0000DA700000}"/>
    <cellStyle name="Normal 5 5 2 2 2 3 4" xfId="18713" xr:uid="{00000000-0005-0000-0000-0000DB700000}"/>
    <cellStyle name="Normal 5 5 2 2 2 3 4 2" xfId="44266" xr:uid="{00000000-0005-0000-0000-0000DC700000}"/>
    <cellStyle name="Normal 5 5 2 2 2 3 5" xfId="30203" xr:uid="{00000000-0005-0000-0000-0000DD700000}"/>
    <cellStyle name="Normal 5 5 2 2 2 4" xfId="2411" xr:uid="{00000000-0005-0000-0000-0000DE700000}"/>
    <cellStyle name="Normal 5 5 2 2 2 4 2" xfId="11776" xr:uid="{00000000-0005-0000-0000-0000DF700000}"/>
    <cellStyle name="Normal 5 5 2 2 2 4 2 2" xfId="37331" xr:uid="{00000000-0005-0000-0000-0000E0700000}"/>
    <cellStyle name="Normal 5 5 2 2 2 4 3" xfId="21780" xr:uid="{00000000-0005-0000-0000-0000E1700000}"/>
    <cellStyle name="Normal 5 5 2 2 2 4 3 2" xfId="47333" xr:uid="{00000000-0005-0000-0000-0000E2700000}"/>
    <cellStyle name="Normal 5 5 2 2 2 4 4" xfId="28263" xr:uid="{00000000-0005-0000-0000-0000E3700000}"/>
    <cellStyle name="Normal 5 5 2 2 2 5" xfId="6087" xr:uid="{00000000-0005-0000-0000-0000E4700000}"/>
    <cellStyle name="Normal 5 5 2 2 2 5 2" xfId="14914" xr:uid="{00000000-0005-0000-0000-0000E5700000}"/>
    <cellStyle name="Normal 5 5 2 2 2 5 2 2" xfId="40469" xr:uid="{00000000-0005-0000-0000-0000E6700000}"/>
    <cellStyle name="Normal 5 5 2 2 2 5 3" xfId="25165" xr:uid="{00000000-0005-0000-0000-0000E7700000}"/>
    <cellStyle name="Normal 5 5 2 2 2 5 3 2" xfId="50718" xr:uid="{00000000-0005-0000-0000-0000E8700000}"/>
    <cellStyle name="Normal 5 5 2 2 2 5 4" xfId="31648" xr:uid="{00000000-0005-0000-0000-0000E9700000}"/>
    <cellStyle name="Normal 5 5 2 2 2 6" xfId="7532" xr:uid="{00000000-0005-0000-0000-0000EA700000}"/>
    <cellStyle name="Normal 5 5 2 2 2 6 2" xfId="20262" xr:uid="{00000000-0005-0000-0000-0000EB700000}"/>
    <cellStyle name="Normal 5 5 2 2 2 6 2 2" xfId="45815" xr:uid="{00000000-0005-0000-0000-0000EC700000}"/>
    <cellStyle name="Normal 5 5 2 2 2 6 3" xfId="33089" xr:uid="{00000000-0005-0000-0000-0000ED700000}"/>
    <cellStyle name="Normal 5 5 2 2 2 7" xfId="16773" xr:uid="{00000000-0005-0000-0000-0000EE700000}"/>
    <cellStyle name="Normal 5 5 2 2 2 7 2" xfId="42326" xr:uid="{00000000-0005-0000-0000-0000EF700000}"/>
    <cellStyle name="Normal 5 5 2 2 2 8" xfId="26745" xr:uid="{00000000-0005-0000-0000-0000F0700000}"/>
    <cellStyle name="Normal 5 5 2 2 3" xfId="1284" xr:uid="{00000000-0005-0000-0000-0000F1700000}"/>
    <cellStyle name="Normal 5 5 2 2 3 2" xfId="3713" xr:uid="{00000000-0005-0000-0000-0000F2700000}"/>
    <cellStyle name="Normal 5 5 2 2 3 2 2" xfId="12849" xr:uid="{00000000-0005-0000-0000-0000F3700000}"/>
    <cellStyle name="Normal 5 5 2 2 3 2 2 2" xfId="23068" xr:uid="{00000000-0005-0000-0000-0000F4700000}"/>
    <cellStyle name="Normal 5 5 2 2 3 2 2 2 2" xfId="48621" xr:uid="{00000000-0005-0000-0000-0000F5700000}"/>
    <cellStyle name="Normal 5 5 2 2 3 2 2 3" xfId="38404" xr:uid="{00000000-0005-0000-0000-0000F6700000}"/>
    <cellStyle name="Normal 5 5 2 2 3 2 3" xfId="9270" xr:uid="{00000000-0005-0000-0000-0000F7700000}"/>
    <cellStyle name="Normal 5 5 2 2 3 2 3 2" xfId="34827" xr:uid="{00000000-0005-0000-0000-0000F8700000}"/>
    <cellStyle name="Normal 5 5 2 2 3 2 4" xfId="18061" xr:uid="{00000000-0005-0000-0000-0000F9700000}"/>
    <cellStyle name="Normal 5 5 2 2 3 2 4 2" xfId="43614" xr:uid="{00000000-0005-0000-0000-0000FA700000}"/>
    <cellStyle name="Normal 5 5 2 2 3 2 5" xfId="29551" xr:uid="{00000000-0005-0000-0000-0000FB700000}"/>
    <cellStyle name="Normal 5 5 2 2 3 3" xfId="4980" xr:uid="{00000000-0005-0000-0000-0000FC700000}"/>
    <cellStyle name="Normal 5 5 2 2 3 3 2" xfId="13817" xr:uid="{00000000-0005-0000-0000-0000FD700000}"/>
    <cellStyle name="Normal 5 5 2 2 3 3 2 2" xfId="24068" xr:uid="{00000000-0005-0000-0000-0000FE700000}"/>
    <cellStyle name="Normal 5 5 2 2 3 3 2 2 2" xfId="49621" xr:uid="{00000000-0005-0000-0000-0000FF700000}"/>
    <cellStyle name="Normal 5 5 2 2 3 3 2 3" xfId="39372" xr:uid="{00000000-0005-0000-0000-000000710000}"/>
    <cellStyle name="Normal 5 5 2 2 3 3 3" xfId="10238" xr:uid="{00000000-0005-0000-0000-000001710000}"/>
    <cellStyle name="Normal 5 5 2 2 3 3 3 2" xfId="35795" xr:uid="{00000000-0005-0000-0000-000002710000}"/>
    <cellStyle name="Normal 5 5 2 2 3 3 4" xfId="19061" xr:uid="{00000000-0005-0000-0000-000003710000}"/>
    <cellStyle name="Normal 5 5 2 2 3 3 4 2" xfId="44614" xr:uid="{00000000-0005-0000-0000-000004710000}"/>
    <cellStyle name="Normal 5 5 2 2 3 3 5" xfId="30551" xr:uid="{00000000-0005-0000-0000-000005710000}"/>
    <cellStyle name="Normal 5 5 2 2 3 4" xfId="2107" xr:uid="{00000000-0005-0000-0000-000006710000}"/>
    <cellStyle name="Normal 5 5 2 2 3 4 2" xfId="11472" xr:uid="{00000000-0005-0000-0000-000007710000}"/>
    <cellStyle name="Normal 5 5 2 2 3 4 2 2" xfId="37027" xr:uid="{00000000-0005-0000-0000-000008710000}"/>
    <cellStyle name="Normal 5 5 2 2 3 4 3" xfId="21476" xr:uid="{00000000-0005-0000-0000-000009710000}"/>
    <cellStyle name="Normal 5 5 2 2 3 4 3 2" xfId="47029" xr:uid="{00000000-0005-0000-0000-00000A710000}"/>
    <cellStyle name="Normal 5 5 2 2 3 4 4" xfId="27959" xr:uid="{00000000-0005-0000-0000-00000B710000}"/>
    <cellStyle name="Normal 5 5 2 2 3 5" xfId="6435" xr:uid="{00000000-0005-0000-0000-00000C710000}"/>
    <cellStyle name="Normal 5 5 2 2 3 5 2" xfId="15262" xr:uid="{00000000-0005-0000-0000-00000D710000}"/>
    <cellStyle name="Normal 5 5 2 2 3 5 2 2" xfId="40817" xr:uid="{00000000-0005-0000-0000-00000E710000}"/>
    <cellStyle name="Normal 5 5 2 2 3 5 3" xfId="25513" xr:uid="{00000000-0005-0000-0000-00000F710000}"/>
    <cellStyle name="Normal 5 5 2 2 3 5 3 2" xfId="51066" xr:uid="{00000000-0005-0000-0000-000010710000}"/>
    <cellStyle name="Normal 5 5 2 2 3 5 4" xfId="31996" xr:uid="{00000000-0005-0000-0000-000011710000}"/>
    <cellStyle name="Normal 5 5 2 2 3 6" xfId="7881" xr:uid="{00000000-0005-0000-0000-000012710000}"/>
    <cellStyle name="Normal 5 5 2 2 3 6 2" xfId="20667" xr:uid="{00000000-0005-0000-0000-000013710000}"/>
    <cellStyle name="Normal 5 5 2 2 3 6 2 2" xfId="46220" xr:uid="{00000000-0005-0000-0000-000014710000}"/>
    <cellStyle name="Normal 5 5 2 2 3 6 3" xfId="33438" xr:uid="{00000000-0005-0000-0000-000015710000}"/>
    <cellStyle name="Normal 5 5 2 2 3 7" xfId="16469" xr:uid="{00000000-0005-0000-0000-000016710000}"/>
    <cellStyle name="Normal 5 5 2 2 3 7 2" xfId="42022" xr:uid="{00000000-0005-0000-0000-000017710000}"/>
    <cellStyle name="Normal 5 5 2 2 3 8" xfId="27150" xr:uid="{00000000-0005-0000-0000-000018710000}"/>
    <cellStyle name="Normal 5 5 2 2 4" xfId="2998" xr:uid="{00000000-0005-0000-0000-000019710000}"/>
    <cellStyle name="Normal 5 5 2 2 4 2" xfId="5376" xr:uid="{00000000-0005-0000-0000-00001A710000}"/>
    <cellStyle name="Normal 5 5 2 2 4 2 2" xfId="14213" xr:uid="{00000000-0005-0000-0000-00001B710000}"/>
    <cellStyle name="Normal 5 5 2 2 4 2 2 2" xfId="24464" xr:uid="{00000000-0005-0000-0000-00001C710000}"/>
    <cellStyle name="Normal 5 5 2 2 4 2 2 2 2" xfId="50017" xr:uid="{00000000-0005-0000-0000-00001D710000}"/>
    <cellStyle name="Normal 5 5 2 2 4 2 2 3" xfId="39768" xr:uid="{00000000-0005-0000-0000-00001E710000}"/>
    <cellStyle name="Normal 5 5 2 2 4 2 3" xfId="10634" xr:uid="{00000000-0005-0000-0000-00001F710000}"/>
    <cellStyle name="Normal 5 5 2 2 4 2 3 2" xfId="36191" xr:uid="{00000000-0005-0000-0000-000020710000}"/>
    <cellStyle name="Normal 5 5 2 2 4 2 4" xfId="19457" xr:uid="{00000000-0005-0000-0000-000021710000}"/>
    <cellStyle name="Normal 5 5 2 2 4 2 4 2" xfId="45010" xr:uid="{00000000-0005-0000-0000-000022710000}"/>
    <cellStyle name="Normal 5 5 2 2 4 2 5" xfId="30947" xr:uid="{00000000-0005-0000-0000-000023710000}"/>
    <cellStyle name="Normal 5 5 2 2 4 3" xfId="6831" xr:uid="{00000000-0005-0000-0000-000024710000}"/>
    <cellStyle name="Normal 5 5 2 2 4 3 2" xfId="15658" xr:uid="{00000000-0005-0000-0000-000025710000}"/>
    <cellStyle name="Normal 5 5 2 2 4 3 2 2" xfId="41213" xr:uid="{00000000-0005-0000-0000-000026710000}"/>
    <cellStyle name="Normal 5 5 2 2 4 3 3" xfId="25909" xr:uid="{00000000-0005-0000-0000-000027710000}"/>
    <cellStyle name="Normal 5 5 2 2 4 3 3 2" xfId="51462" xr:uid="{00000000-0005-0000-0000-000028710000}"/>
    <cellStyle name="Normal 5 5 2 2 4 3 4" xfId="32392" xr:uid="{00000000-0005-0000-0000-000029710000}"/>
    <cellStyle name="Normal 5 5 2 2 4 4" xfId="8277" xr:uid="{00000000-0005-0000-0000-00002A710000}"/>
    <cellStyle name="Normal 5 5 2 2 4 4 2" xfId="22359" xr:uid="{00000000-0005-0000-0000-00002B710000}"/>
    <cellStyle name="Normal 5 5 2 2 4 4 2 2" xfId="47912" xr:uid="{00000000-0005-0000-0000-00002C710000}"/>
    <cellStyle name="Normal 5 5 2 2 4 4 3" xfId="33834" xr:uid="{00000000-0005-0000-0000-00002D710000}"/>
    <cellStyle name="Normal 5 5 2 2 4 5" xfId="17352" xr:uid="{00000000-0005-0000-0000-00002E710000}"/>
    <cellStyle name="Normal 5 5 2 2 4 5 2" xfId="42905" xr:uid="{00000000-0005-0000-0000-00002F710000}"/>
    <cellStyle name="Normal 5 5 2 2 4 6" xfId="28842" xr:uid="{00000000-0005-0000-0000-000030710000}"/>
    <cellStyle name="Normal 5 5 2 2 5" xfId="4332" xr:uid="{00000000-0005-0000-0000-000031710000}"/>
    <cellStyle name="Normal 5 5 2 2 5 2" xfId="13170" xr:uid="{00000000-0005-0000-0000-000032710000}"/>
    <cellStyle name="Normal 5 5 2 2 5 2 2" xfId="23421" xr:uid="{00000000-0005-0000-0000-000033710000}"/>
    <cellStyle name="Normal 5 5 2 2 5 2 2 2" xfId="48974" xr:uid="{00000000-0005-0000-0000-000034710000}"/>
    <cellStyle name="Normal 5 5 2 2 5 2 3" xfId="38725" xr:uid="{00000000-0005-0000-0000-000035710000}"/>
    <cellStyle name="Normal 5 5 2 2 5 3" xfId="9591" xr:uid="{00000000-0005-0000-0000-000036710000}"/>
    <cellStyle name="Normal 5 5 2 2 5 3 2" xfId="35148" xr:uid="{00000000-0005-0000-0000-000037710000}"/>
    <cellStyle name="Normal 5 5 2 2 5 4" xfId="18414" xr:uid="{00000000-0005-0000-0000-000038710000}"/>
    <cellStyle name="Normal 5 5 2 2 5 4 2" xfId="43967" xr:uid="{00000000-0005-0000-0000-000039710000}"/>
    <cellStyle name="Normal 5 5 2 2 5 5" xfId="29904" xr:uid="{00000000-0005-0000-0000-00003A710000}"/>
    <cellStyle name="Normal 5 5 2 2 6" xfId="1604" xr:uid="{00000000-0005-0000-0000-00003B710000}"/>
    <cellStyle name="Normal 5 5 2 2 6 2" xfId="10981" xr:uid="{00000000-0005-0000-0000-00003C710000}"/>
    <cellStyle name="Normal 5 5 2 2 6 2 2" xfId="36536" xr:uid="{00000000-0005-0000-0000-00003D710000}"/>
    <cellStyle name="Normal 5 5 2 2 6 3" xfId="20985" xr:uid="{00000000-0005-0000-0000-00003E710000}"/>
    <cellStyle name="Normal 5 5 2 2 6 3 2" xfId="46538" xr:uid="{00000000-0005-0000-0000-00003F710000}"/>
    <cellStyle name="Normal 5 5 2 2 6 4" xfId="27468" xr:uid="{00000000-0005-0000-0000-000040710000}"/>
    <cellStyle name="Normal 5 5 2 2 7" xfId="5788" xr:uid="{00000000-0005-0000-0000-000041710000}"/>
    <cellStyle name="Normal 5 5 2 2 7 2" xfId="14615" xr:uid="{00000000-0005-0000-0000-000042710000}"/>
    <cellStyle name="Normal 5 5 2 2 7 2 2" xfId="40170" xr:uid="{00000000-0005-0000-0000-000043710000}"/>
    <cellStyle name="Normal 5 5 2 2 7 3" xfId="24866" xr:uid="{00000000-0005-0000-0000-000044710000}"/>
    <cellStyle name="Normal 5 5 2 2 7 3 2" xfId="50419" xr:uid="{00000000-0005-0000-0000-000045710000}"/>
    <cellStyle name="Normal 5 5 2 2 7 4" xfId="31349" xr:uid="{00000000-0005-0000-0000-000046710000}"/>
    <cellStyle name="Normal 5 5 2 2 8" xfId="7232" xr:uid="{00000000-0005-0000-0000-000047710000}"/>
    <cellStyle name="Normal 5 5 2 2 8 2" xfId="19958" xr:uid="{00000000-0005-0000-0000-000048710000}"/>
    <cellStyle name="Normal 5 5 2 2 8 2 2" xfId="45511" xr:uid="{00000000-0005-0000-0000-000049710000}"/>
    <cellStyle name="Normal 5 5 2 2 8 3" xfId="32789" xr:uid="{00000000-0005-0000-0000-00004A710000}"/>
    <cellStyle name="Normal 5 5 2 2 9" xfId="15978" xr:uid="{00000000-0005-0000-0000-00004B710000}"/>
    <cellStyle name="Normal 5 5 2 2 9 2" xfId="41531" xr:uid="{00000000-0005-0000-0000-00004C710000}"/>
    <cellStyle name="Normal 5 5 2 2_Degree data" xfId="3896" xr:uid="{00000000-0005-0000-0000-00004D710000}"/>
    <cellStyle name="Normal 5 5 2 3" xfId="412" xr:uid="{00000000-0005-0000-0000-00004E710000}"/>
    <cellStyle name="Normal 5 5 2 3 2" xfId="2898" xr:uid="{00000000-0005-0000-0000-00004F710000}"/>
    <cellStyle name="Normal 5 5 2 3 2 2" xfId="12186" xr:uid="{00000000-0005-0000-0000-000050710000}"/>
    <cellStyle name="Normal 5 5 2 3 2 2 2" xfId="22259" xr:uid="{00000000-0005-0000-0000-000051710000}"/>
    <cellStyle name="Normal 5 5 2 3 2 2 2 2" xfId="47812" xr:uid="{00000000-0005-0000-0000-000052710000}"/>
    <cellStyle name="Normal 5 5 2 3 2 2 3" xfId="37741" xr:uid="{00000000-0005-0000-0000-000053710000}"/>
    <cellStyle name="Normal 5 5 2 3 2 3" xfId="8442" xr:uid="{00000000-0005-0000-0000-000054710000}"/>
    <cellStyle name="Normal 5 5 2 3 2 3 2" xfId="33999" xr:uid="{00000000-0005-0000-0000-000055710000}"/>
    <cellStyle name="Normal 5 5 2 3 2 4" xfId="17252" xr:uid="{00000000-0005-0000-0000-000056710000}"/>
    <cellStyle name="Normal 5 5 2 3 2 4 2" xfId="42805" xr:uid="{00000000-0005-0000-0000-000057710000}"/>
    <cellStyle name="Normal 5 5 2 3 2 5" xfId="28742" xr:uid="{00000000-0005-0000-0000-000058710000}"/>
    <cellStyle name="Normal 5 5 2 3 3" xfId="4630" xr:uid="{00000000-0005-0000-0000-000059710000}"/>
    <cellStyle name="Normal 5 5 2 3 3 2" xfId="13468" xr:uid="{00000000-0005-0000-0000-00005A710000}"/>
    <cellStyle name="Normal 5 5 2 3 3 2 2" xfId="23719" xr:uid="{00000000-0005-0000-0000-00005B710000}"/>
    <cellStyle name="Normal 5 5 2 3 3 2 2 2" xfId="49272" xr:uid="{00000000-0005-0000-0000-00005C710000}"/>
    <cellStyle name="Normal 5 5 2 3 3 2 3" xfId="39023" xr:uid="{00000000-0005-0000-0000-00005D710000}"/>
    <cellStyle name="Normal 5 5 2 3 3 3" xfId="9889" xr:uid="{00000000-0005-0000-0000-00005E710000}"/>
    <cellStyle name="Normal 5 5 2 3 3 3 2" xfId="35446" xr:uid="{00000000-0005-0000-0000-00005F710000}"/>
    <cellStyle name="Normal 5 5 2 3 3 4" xfId="18712" xr:uid="{00000000-0005-0000-0000-000060710000}"/>
    <cellStyle name="Normal 5 5 2 3 3 4 2" xfId="44265" xr:uid="{00000000-0005-0000-0000-000061710000}"/>
    <cellStyle name="Normal 5 5 2 3 3 5" xfId="30202" xr:uid="{00000000-0005-0000-0000-000062710000}"/>
    <cellStyle name="Normal 5 5 2 3 4" xfId="2007" xr:uid="{00000000-0005-0000-0000-000063710000}"/>
    <cellStyle name="Normal 5 5 2 3 4 2" xfId="11372" xr:uid="{00000000-0005-0000-0000-000064710000}"/>
    <cellStyle name="Normal 5 5 2 3 4 2 2" xfId="36927" xr:uid="{00000000-0005-0000-0000-000065710000}"/>
    <cellStyle name="Normal 5 5 2 3 4 3" xfId="21376" xr:uid="{00000000-0005-0000-0000-000066710000}"/>
    <cellStyle name="Normal 5 5 2 3 4 3 2" xfId="46929" xr:uid="{00000000-0005-0000-0000-000067710000}"/>
    <cellStyle name="Normal 5 5 2 3 4 4" xfId="27859" xr:uid="{00000000-0005-0000-0000-000068710000}"/>
    <cellStyle name="Normal 5 5 2 3 5" xfId="6086" xr:uid="{00000000-0005-0000-0000-000069710000}"/>
    <cellStyle name="Normal 5 5 2 3 5 2" xfId="14913" xr:uid="{00000000-0005-0000-0000-00006A710000}"/>
    <cellStyle name="Normal 5 5 2 3 5 2 2" xfId="40468" xr:uid="{00000000-0005-0000-0000-00006B710000}"/>
    <cellStyle name="Normal 5 5 2 3 5 3" xfId="25164" xr:uid="{00000000-0005-0000-0000-00006C710000}"/>
    <cellStyle name="Normal 5 5 2 3 5 3 2" xfId="50717" xr:uid="{00000000-0005-0000-0000-00006D710000}"/>
    <cellStyle name="Normal 5 5 2 3 5 4" xfId="31647" xr:uid="{00000000-0005-0000-0000-00006E710000}"/>
    <cellStyle name="Normal 5 5 2 3 6" xfId="7531" xr:uid="{00000000-0005-0000-0000-00006F710000}"/>
    <cellStyle name="Normal 5 5 2 3 6 2" xfId="19858" xr:uid="{00000000-0005-0000-0000-000070710000}"/>
    <cellStyle name="Normal 5 5 2 3 6 2 2" xfId="45411" xr:uid="{00000000-0005-0000-0000-000071710000}"/>
    <cellStyle name="Normal 5 5 2 3 6 3" xfId="33088" xr:uid="{00000000-0005-0000-0000-000072710000}"/>
    <cellStyle name="Normal 5 5 2 3 7" xfId="16369" xr:uid="{00000000-0005-0000-0000-000073710000}"/>
    <cellStyle name="Normal 5 5 2 3 7 2" xfId="41922" xr:uid="{00000000-0005-0000-0000-000074710000}"/>
    <cellStyle name="Normal 5 5 2 3 8" xfId="26341" xr:uid="{00000000-0005-0000-0000-000075710000}"/>
    <cellStyle name="Normal 5 5 2 4" xfId="816" xr:uid="{00000000-0005-0000-0000-000076710000}"/>
    <cellStyle name="Normal 5 5 2 4 2" xfId="3301" xr:uid="{00000000-0005-0000-0000-000077710000}"/>
    <cellStyle name="Normal 5 5 2 4 2 2" xfId="12443" xr:uid="{00000000-0005-0000-0000-000078710000}"/>
    <cellStyle name="Normal 5 5 2 4 2 2 2" xfId="22662" xr:uid="{00000000-0005-0000-0000-000079710000}"/>
    <cellStyle name="Normal 5 5 2 4 2 2 2 2" xfId="48215" xr:uid="{00000000-0005-0000-0000-00007A710000}"/>
    <cellStyle name="Normal 5 5 2 4 2 2 3" xfId="37998" xr:uid="{00000000-0005-0000-0000-00007B710000}"/>
    <cellStyle name="Normal 5 5 2 4 2 3" xfId="8865" xr:uid="{00000000-0005-0000-0000-00007C710000}"/>
    <cellStyle name="Normal 5 5 2 4 2 3 2" xfId="34422" xr:uid="{00000000-0005-0000-0000-00007D710000}"/>
    <cellStyle name="Normal 5 5 2 4 2 4" xfId="17655" xr:uid="{00000000-0005-0000-0000-00007E710000}"/>
    <cellStyle name="Normal 5 5 2 4 2 4 2" xfId="43208" xr:uid="{00000000-0005-0000-0000-00007F710000}"/>
    <cellStyle name="Normal 5 5 2 4 2 5" xfId="29145" xr:uid="{00000000-0005-0000-0000-000080710000}"/>
    <cellStyle name="Normal 5 5 2 4 3" xfId="4979" xr:uid="{00000000-0005-0000-0000-000081710000}"/>
    <cellStyle name="Normal 5 5 2 4 3 2" xfId="13816" xr:uid="{00000000-0005-0000-0000-000082710000}"/>
    <cellStyle name="Normal 5 5 2 4 3 2 2" xfId="24067" xr:uid="{00000000-0005-0000-0000-000083710000}"/>
    <cellStyle name="Normal 5 5 2 4 3 2 2 2" xfId="49620" xr:uid="{00000000-0005-0000-0000-000084710000}"/>
    <cellStyle name="Normal 5 5 2 4 3 2 3" xfId="39371" xr:uid="{00000000-0005-0000-0000-000085710000}"/>
    <cellStyle name="Normal 5 5 2 4 3 3" xfId="10237" xr:uid="{00000000-0005-0000-0000-000086710000}"/>
    <cellStyle name="Normal 5 5 2 4 3 3 2" xfId="35794" xr:uid="{00000000-0005-0000-0000-000087710000}"/>
    <cellStyle name="Normal 5 5 2 4 3 4" xfId="19060" xr:uid="{00000000-0005-0000-0000-000088710000}"/>
    <cellStyle name="Normal 5 5 2 4 3 4 2" xfId="44613" xr:uid="{00000000-0005-0000-0000-000089710000}"/>
    <cellStyle name="Normal 5 5 2 4 3 5" xfId="30550" xr:uid="{00000000-0005-0000-0000-00008A710000}"/>
    <cellStyle name="Normal 5 5 2 4 4" xfId="2410" xr:uid="{00000000-0005-0000-0000-00008B710000}"/>
    <cellStyle name="Normal 5 5 2 4 4 2" xfId="11775" xr:uid="{00000000-0005-0000-0000-00008C710000}"/>
    <cellStyle name="Normal 5 5 2 4 4 2 2" xfId="37330" xr:uid="{00000000-0005-0000-0000-00008D710000}"/>
    <cellStyle name="Normal 5 5 2 4 4 3" xfId="21779" xr:uid="{00000000-0005-0000-0000-00008E710000}"/>
    <cellStyle name="Normal 5 5 2 4 4 3 2" xfId="47332" xr:uid="{00000000-0005-0000-0000-00008F710000}"/>
    <cellStyle name="Normal 5 5 2 4 4 4" xfId="28262" xr:uid="{00000000-0005-0000-0000-000090710000}"/>
    <cellStyle name="Normal 5 5 2 4 5" xfId="6434" xr:uid="{00000000-0005-0000-0000-000091710000}"/>
    <cellStyle name="Normal 5 5 2 4 5 2" xfId="15261" xr:uid="{00000000-0005-0000-0000-000092710000}"/>
    <cellStyle name="Normal 5 5 2 4 5 2 2" xfId="40816" xr:uid="{00000000-0005-0000-0000-000093710000}"/>
    <cellStyle name="Normal 5 5 2 4 5 3" xfId="25512" xr:uid="{00000000-0005-0000-0000-000094710000}"/>
    <cellStyle name="Normal 5 5 2 4 5 3 2" xfId="51065" xr:uid="{00000000-0005-0000-0000-000095710000}"/>
    <cellStyle name="Normal 5 5 2 4 5 4" xfId="31995" xr:uid="{00000000-0005-0000-0000-000096710000}"/>
    <cellStyle name="Normal 5 5 2 4 6" xfId="7880" xr:uid="{00000000-0005-0000-0000-000097710000}"/>
    <cellStyle name="Normal 5 5 2 4 6 2" xfId="20261" xr:uid="{00000000-0005-0000-0000-000098710000}"/>
    <cellStyle name="Normal 5 5 2 4 6 2 2" xfId="45814" xr:uid="{00000000-0005-0000-0000-000099710000}"/>
    <cellStyle name="Normal 5 5 2 4 6 3" xfId="33437" xr:uid="{00000000-0005-0000-0000-00009A710000}"/>
    <cellStyle name="Normal 5 5 2 4 7" xfId="16772" xr:uid="{00000000-0005-0000-0000-00009B710000}"/>
    <cellStyle name="Normal 5 5 2 4 7 2" xfId="42325" xr:uid="{00000000-0005-0000-0000-00009C710000}"/>
    <cellStyle name="Normal 5 5 2 4 8" xfId="26744" xr:uid="{00000000-0005-0000-0000-00009D710000}"/>
    <cellStyle name="Normal 5 5 2 5" xfId="1184" xr:uid="{00000000-0005-0000-0000-00009E710000}"/>
    <cellStyle name="Normal 5 5 2 5 2" xfId="3613" xr:uid="{00000000-0005-0000-0000-00009F710000}"/>
    <cellStyle name="Normal 5 5 2 5 2 2" xfId="12749" xr:uid="{00000000-0005-0000-0000-0000A0710000}"/>
    <cellStyle name="Normal 5 5 2 5 2 2 2" xfId="22968" xr:uid="{00000000-0005-0000-0000-0000A1710000}"/>
    <cellStyle name="Normal 5 5 2 5 2 2 2 2" xfId="48521" xr:uid="{00000000-0005-0000-0000-0000A2710000}"/>
    <cellStyle name="Normal 5 5 2 5 2 2 3" xfId="38304" xr:uid="{00000000-0005-0000-0000-0000A3710000}"/>
    <cellStyle name="Normal 5 5 2 5 2 3" xfId="9170" xr:uid="{00000000-0005-0000-0000-0000A4710000}"/>
    <cellStyle name="Normal 5 5 2 5 2 3 2" xfId="34727" xr:uid="{00000000-0005-0000-0000-0000A5710000}"/>
    <cellStyle name="Normal 5 5 2 5 2 4" xfId="17961" xr:uid="{00000000-0005-0000-0000-0000A6710000}"/>
    <cellStyle name="Normal 5 5 2 5 2 4 2" xfId="43514" xr:uid="{00000000-0005-0000-0000-0000A7710000}"/>
    <cellStyle name="Normal 5 5 2 5 2 5" xfId="29451" xr:uid="{00000000-0005-0000-0000-0000A8710000}"/>
    <cellStyle name="Normal 5 5 2 5 3" xfId="5276" xr:uid="{00000000-0005-0000-0000-0000A9710000}"/>
    <cellStyle name="Normal 5 5 2 5 3 2" xfId="14113" xr:uid="{00000000-0005-0000-0000-0000AA710000}"/>
    <cellStyle name="Normal 5 5 2 5 3 2 2" xfId="24364" xr:uid="{00000000-0005-0000-0000-0000AB710000}"/>
    <cellStyle name="Normal 5 5 2 5 3 2 2 2" xfId="49917" xr:uid="{00000000-0005-0000-0000-0000AC710000}"/>
    <cellStyle name="Normal 5 5 2 5 3 2 3" xfId="39668" xr:uid="{00000000-0005-0000-0000-0000AD710000}"/>
    <cellStyle name="Normal 5 5 2 5 3 3" xfId="10534" xr:uid="{00000000-0005-0000-0000-0000AE710000}"/>
    <cellStyle name="Normal 5 5 2 5 3 3 2" xfId="36091" xr:uid="{00000000-0005-0000-0000-0000AF710000}"/>
    <cellStyle name="Normal 5 5 2 5 3 4" xfId="19357" xr:uid="{00000000-0005-0000-0000-0000B0710000}"/>
    <cellStyle name="Normal 5 5 2 5 3 4 2" xfId="44910" xr:uid="{00000000-0005-0000-0000-0000B1710000}"/>
    <cellStyle name="Normal 5 5 2 5 3 5" xfId="30847" xr:uid="{00000000-0005-0000-0000-0000B2710000}"/>
    <cellStyle name="Normal 5 5 2 5 4" xfId="1786" xr:uid="{00000000-0005-0000-0000-0000B3710000}"/>
    <cellStyle name="Normal 5 5 2 5 4 2" xfId="11155" xr:uid="{00000000-0005-0000-0000-0000B4710000}"/>
    <cellStyle name="Normal 5 5 2 5 4 2 2" xfId="36710" xr:uid="{00000000-0005-0000-0000-0000B5710000}"/>
    <cellStyle name="Normal 5 5 2 5 4 3" xfId="21159" xr:uid="{00000000-0005-0000-0000-0000B6710000}"/>
    <cellStyle name="Normal 5 5 2 5 4 3 2" xfId="46712" xr:uid="{00000000-0005-0000-0000-0000B7710000}"/>
    <cellStyle name="Normal 5 5 2 5 4 4" xfId="27642" xr:uid="{00000000-0005-0000-0000-0000B8710000}"/>
    <cellStyle name="Normal 5 5 2 5 5" xfId="6731" xr:uid="{00000000-0005-0000-0000-0000B9710000}"/>
    <cellStyle name="Normal 5 5 2 5 5 2" xfId="15558" xr:uid="{00000000-0005-0000-0000-0000BA710000}"/>
    <cellStyle name="Normal 5 5 2 5 5 2 2" xfId="41113" xr:uid="{00000000-0005-0000-0000-0000BB710000}"/>
    <cellStyle name="Normal 5 5 2 5 5 3" xfId="25809" xr:uid="{00000000-0005-0000-0000-0000BC710000}"/>
    <cellStyle name="Normal 5 5 2 5 5 3 2" xfId="51362" xr:uid="{00000000-0005-0000-0000-0000BD710000}"/>
    <cellStyle name="Normal 5 5 2 5 5 4" xfId="32292" xr:uid="{00000000-0005-0000-0000-0000BE710000}"/>
    <cellStyle name="Normal 5 5 2 5 6" xfId="8177" xr:uid="{00000000-0005-0000-0000-0000BF710000}"/>
    <cellStyle name="Normal 5 5 2 5 6 2" xfId="20567" xr:uid="{00000000-0005-0000-0000-0000C0710000}"/>
    <cellStyle name="Normal 5 5 2 5 6 2 2" xfId="46120" xr:uid="{00000000-0005-0000-0000-0000C1710000}"/>
    <cellStyle name="Normal 5 5 2 5 6 3" xfId="33734" xr:uid="{00000000-0005-0000-0000-0000C2710000}"/>
    <cellStyle name="Normal 5 5 2 5 7" xfId="16152" xr:uid="{00000000-0005-0000-0000-0000C3710000}"/>
    <cellStyle name="Normal 5 5 2 5 7 2" xfId="41705" xr:uid="{00000000-0005-0000-0000-0000C4710000}"/>
    <cellStyle name="Normal 5 5 2 5 8" xfId="27050" xr:uid="{00000000-0005-0000-0000-0000C5710000}"/>
    <cellStyle name="Normal 5 5 2 6" xfId="2681" xr:uid="{00000000-0005-0000-0000-0000C6710000}"/>
    <cellStyle name="Normal 5 5 2 6 2" xfId="11998" xr:uid="{00000000-0005-0000-0000-0000C7710000}"/>
    <cellStyle name="Normal 5 5 2 6 2 2" xfId="22042" xr:uid="{00000000-0005-0000-0000-0000C8710000}"/>
    <cellStyle name="Normal 5 5 2 6 2 2 2" xfId="47595" xr:uid="{00000000-0005-0000-0000-0000C9710000}"/>
    <cellStyle name="Normal 5 5 2 6 2 3" xfId="37553" xr:uid="{00000000-0005-0000-0000-0000CA710000}"/>
    <cellStyle name="Normal 5 5 2 6 3" xfId="8418" xr:uid="{00000000-0005-0000-0000-0000CB710000}"/>
    <cellStyle name="Normal 5 5 2 6 3 2" xfId="33975" xr:uid="{00000000-0005-0000-0000-0000CC710000}"/>
    <cellStyle name="Normal 5 5 2 6 4" xfId="17035" xr:uid="{00000000-0005-0000-0000-0000CD710000}"/>
    <cellStyle name="Normal 5 5 2 6 4 2" xfId="42588" xr:uid="{00000000-0005-0000-0000-0000CE710000}"/>
    <cellStyle name="Normal 5 5 2 6 5" xfId="28525" xr:uid="{00000000-0005-0000-0000-0000CF710000}"/>
    <cellStyle name="Normal 5 5 2 7" xfId="4232" xr:uid="{00000000-0005-0000-0000-0000D0710000}"/>
    <cellStyle name="Normal 5 5 2 7 2" xfId="13070" xr:uid="{00000000-0005-0000-0000-0000D1710000}"/>
    <cellStyle name="Normal 5 5 2 7 2 2" xfId="23321" xr:uid="{00000000-0005-0000-0000-0000D2710000}"/>
    <cellStyle name="Normal 5 5 2 7 2 2 2" xfId="48874" xr:uid="{00000000-0005-0000-0000-0000D3710000}"/>
    <cellStyle name="Normal 5 5 2 7 2 3" xfId="38625" xr:uid="{00000000-0005-0000-0000-0000D4710000}"/>
    <cellStyle name="Normal 5 5 2 7 3" xfId="9491" xr:uid="{00000000-0005-0000-0000-0000D5710000}"/>
    <cellStyle name="Normal 5 5 2 7 3 2" xfId="35048" xr:uid="{00000000-0005-0000-0000-0000D6710000}"/>
    <cellStyle name="Normal 5 5 2 7 4" xfId="18314" xr:uid="{00000000-0005-0000-0000-0000D7710000}"/>
    <cellStyle name="Normal 5 5 2 7 4 2" xfId="43867" xr:uid="{00000000-0005-0000-0000-0000D8710000}"/>
    <cellStyle name="Normal 5 5 2 7 5" xfId="29804" xr:uid="{00000000-0005-0000-0000-0000D9710000}"/>
    <cellStyle name="Normal 5 5 2 8" xfId="1504" xr:uid="{00000000-0005-0000-0000-0000DA710000}"/>
    <cellStyle name="Normal 5 5 2 8 2" xfId="10881" xr:uid="{00000000-0005-0000-0000-0000DB710000}"/>
    <cellStyle name="Normal 5 5 2 8 2 2" xfId="36436" xr:uid="{00000000-0005-0000-0000-0000DC710000}"/>
    <cellStyle name="Normal 5 5 2 8 3" xfId="20885" xr:uid="{00000000-0005-0000-0000-0000DD710000}"/>
    <cellStyle name="Normal 5 5 2 8 3 2" xfId="46438" xr:uid="{00000000-0005-0000-0000-0000DE710000}"/>
    <cellStyle name="Normal 5 5 2 8 4" xfId="27368" xr:uid="{00000000-0005-0000-0000-0000DF710000}"/>
    <cellStyle name="Normal 5 5 2 9" xfId="5688" xr:uid="{00000000-0005-0000-0000-0000E0710000}"/>
    <cellStyle name="Normal 5 5 2 9 2" xfId="14515" xr:uid="{00000000-0005-0000-0000-0000E1710000}"/>
    <cellStyle name="Normal 5 5 2 9 2 2" xfId="40070" xr:uid="{00000000-0005-0000-0000-0000E2710000}"/>
    <cellStyle name="Normal 5 5 2 9 3" xfId="24766" xr:uid="{00000000-0005-0000-0000-0000E3710000}"/>
    <cellStyle name="Normal 5 5 2 9 3 2" xfId="50319" xr:uid="{00000000-0005-0000-0000-0000E4710000}"/>
    <cellStyle name="Normal 5 5 2 9 4" xfId="31249" xr:uid="{00000000-0005-0000-0000-0000E5710000}"/>
    <cellStyle name="Normal 5 5 2_Degree data" xfId="3882" xr:uid="{00000000-0005-0000-0000-0000E6710000}"/>
    <cellStyle name="Normal 5 5 3" xfId="251" xr:uid="{00000000-0005-0000-0000-0000E7710000}"/>
    <cellStyle name="Normal 5 5 3 10" xfId="7089" xr:uid="{00000000-0005-0000-0000-0000E8710000}"/>
    <cellStyle name="Normal 5 5 3 10 2" xfId="19703" xr:uid="{00000000-0005-0000-0000-0000E9710000}"/>
    <cellStyle name="Normal 5 5 3 10 2 2" xfId="45256" xr:uid="{00000000-0005-0000-0000-0000EA710000}"/>
    <cellStyle name="Normal 5 5 3 10 3" xfId="32646" xr:uid="{00000000-0005-0000-0000-0000EB710000}"/>
    <cellStyle name="Normal 5 5 3 11" xfId="15835" xr:uid="{00000000-0005-0000-0000-0000EC710000}"/>
    <cellStyle name="Normal 5 5 3 11 2" xfId="41388" xr:uid="{00000000-0005-0000-0000-0000ED710000}"/>
    <cellStyle name="Normal 5 5 3 12" xfId="26186" xr:uid="{00000000-0005-0000-0000-0000EE710000}"/>
    <cellStyle name="Normal 5 5 3 2" xfId="574" xr:uid="{00000000-0005-0000-0000-0000EF710000}"/>
    <cellStyle name="Normal 5 5 3 2 10" xfId="26503" xr:uid="{00000000-0005-0000-0000-0000F0710000}"/>
    <cellStyle name="Normal 5 5 3 2 2" xfId="819" xr:uid="{00000000-0005-0000-0000-0000F1710000}"/>
    <cellStyle name="Normal 5 5 3 2 2 2" xfId="3304" xr:uid="{00000000-0005-0000-0000-0000F2710000}"/>
    <cellStyle name="Normal 5 5 3 2 2 2 2" xfId="12446" xr:uid="{00000000-0005-0000-0000-0000F3710000}"/>
    <cellStyle name="Normal 5 5 3 2 2 2 2 2" xfId="22665" xr:uid="{00000000-0005-0000-0000-0000F4710000}"/>
    <cellStyle name="Normal 5 5 3 2 2 2 2 2 2" xfId="48218" xr:uid="{00000000-0005-0000-0000-0000F5710000}"/>
    <cellStyle name="Normal 5 5 3 2 2 2 2 3" xfId="38001" xr:uid="{00000000-0005-0000-0000-0000F6710000}"/>
    <cellStyle name="Normal 5 5 3 2 2 2 3" xfId="8868" xr:uid="{00000000-0005-0000-0000-0000F7710000}"/>
    <cellStyle name="Normal 5 5 3 2 2 2 3 2" xfId="34425" xr:uid="{00000000-0005-0000-0000-0000F8710000}"/>
    <cellStyle name="Normal 5 5 3 2 2 2 4" xfId="17658" xr:uid="{00000000-0005-0000-0000-0000F9710000}"/>
    <cellStyle name="Normal 5 5 3 2 2 2 4 2" xfId="43211" xr:uid="{00000000-0005-0000-0000-0000FA710000}"/>
    <cellStyle name="Normal 5 5 3 2 2 2 5" xfId="29148" xr:uid="{00000000-0005-0000-0000-0000FB710000}"/>
    <cellStyle name="Normal 5 5 3 2 2 3" xfId="4633" xr:uid="{00000000-0005-0000-0000-0000FC710000}"/>
    <cellStyle name="Normal 5 5 3 2 2 3 2" xfId="13471" xr:uid="{00000000-0005-0000-0000-0000FD710000}"/>
    <cellStyle name="Normal 5 5 3 2 2 3 2 2" xfId="23722" xr:uid="{00000000-0005-0000-0000-0000FE710000}"/>
    <cellStyle name="Normal 5 5 3 2 2 3 2 2 2" xfId="49275" xr:uid="{00000000-0005-0000-0000-0000FF710000}"/>
    <cellStyle name="Normal 5 5 3 2 2 3 2 3" xfId="39026" xr:uid="{00000000-0005-0000-0000-000000720000}"/>
    <cellStyle name="Normal 5 5 3 2 2 3 3" xfId="9892" xr:uid="{00000000-0005-0000-0000-000001720000}"/>
    <cellStyle name="Normal 5 5 3 2 2 3 3 2" xfId="35449" xr:uid="{00000000-0005-0000-0000-000002720000}"/>
    <cellStyle name="Normal 5 5 3 2 2 3 4" xfId="18715" xr:uid="{00000000-0005-0000-0000-000003720000}"/>
    <cellStyle name="Normal 5 5 3 2 2 3 4 2" xfId="44268" xr:uid="{00000000-0005-0000-0000-000004720000}"/>
    <cellStyle name="Normal 5 5 3 2 2 3 5" xfId="30205" xr:uid="{00000000-0005-0000-0000-000005720000}"/>
    <cellStyle name="Normal 5 5 3 2 2 4" xfId="2413" xr:uid="{00000000-0005-0000-0000-000006720000}"/>
    <cellStyle name="Normal 5 5 3 2 2 4 2" xfId="11778" xr:uid="{00000000-0005-0000-0000-000007720000}"/>
    <cellStyle name="Normal 5 5 3 2 2 4 2 2" xfId="37333" xr:uid="{00000000-0005-0000-0000-000008720000}"/>
    <cellStyle name="Normal 5 5 3 2 2 4 3" xfId="21782" xr:uid="{00000000-0005-0000-0000-000009720000}"/>
    <cellStyle name="Normal 5 5 3 2 2 4 3 2" xfId="47335" xr:uid="{00000000-0005-0000-0000-00000A720000}"/>
    <cellStyle name="Normal 5 5 3 2 2 4 4" xfId="28265" xr:uid="{00000000-0005-0000-0000-00000B720000}"/>
    <cellStyle name="Normal 5 5 3 2 2 5" xfId="6089" xr:uid="{00000000-0005-0000-0000-00000C720000}"/>
    <cellStyle name="Normal 5 5 3 2 2 5 2" xfId="14916" xr:uid="{00000000-0005-0000-0000-00000D720000}"/>
    <cellStyle name="Normal 5 5 3 2 2 5 2 2" xfId="40471" xr:uid="{00000000-0005-0000-0000-00000E720000}"/>
    <cellStyle name="Normal 5 5 3 2 2 5 3" xfId="25167" xr:uid="{00000000-0005-0000-0000-00000F720000}"/>
    <cellStyle name="Normal 5 5 3 2 2 5 3 2" xfId="50720" xr:uid="{00000000-0005-0000-0000-000010720000}"/>
    <cellStyle name="Normal 5 5 3 2 2 5 4" xfId="31650" xr:uid="{00000000-0005-0000-0000-000011720000}"/>
    <cellStyle name="Normal 5 5 3 2 2 6" xfId="7534" xr:uid="{00000000-0005-0000-0000-000012720000}"/>
    <cellStyle name="Normal 5 5 3 2 2 6 2" xfId="20264" xr:uid="{00000000-0005-0000-0000-000013720000}"/>
    <cellStyle name="Normal 5 5 3 2 2 6 2 2" xfId="45817" xr:uid="{00000000-0005-0000-0000-000014720000}"/>
    <cellStyle name="Normal 5 5 3 2 2 6 3" xfId="33091" xr:uid="{00000000-0005-0000-0000-000015720000}"/>
    <cellStyle name="Normal 5 5 3 2 2 7" xfId="16775" xr:uid="{00000000-0005-0000-0000-000016720000}"/>
    <cellStyle name="Normal 5 5 3 2 2 7 2" xfId="42328" xr:uid="{00000000-0005-0000-0000-000017720000}"/>
    <cellStyle name="Normal 5 5 3 2 2 8" xfId="26747" xr:uid="{00000000-0005-0000-0000-000018720000}"/>
    <cellStyle name="Normal 5 5 3 2 3" xfId="1346" xr:uid="{00000000-0005-0000-0000-000019720000}"/>
    <cellStyle name="Normal 5 5 3 2 3 2" xfId="3775" xr:uid="{00000000-0005-0000-0000-00001A720000}"/>
    <cellStyle name="Normal 5 5 3 2 3 2 2" xfId="12911" xr:uid="{00000000-0005-0000-0000-00001B720000}"/>
    <cellStyle name="Normal 5 5 3 2 3 2 2 2" xfId="23130" xr:uid="{00000000-0005-0000-0000-00001C720000}"/>
    <cellStyle name="Normal 5 5 3 2 3 2 2 2 2" xfId="48683" xr:uid="{00000000-0005-0000-0000-00001D720000}"/>
    <cellStyle name="Normal 5 5 3 2 3 2 2 3" xfId="38466" xr:uid="{00000000-0005-0000-0000-00001E720000}"/>
    <cellStyle name="Normal 5 5 3 2 3 2 3" xfId="9332" xr:uid="{00000000-0005-0000-0000-00001F720000}"/>
    <cellStyle name="Normal 5 5 3 2 3 2 3 2" xfId="34889" xr:uid="{00000000-0005-0000-0000-000020720000}"/>
    <cellStyle name="Normal 5 5 3 2 3 2 4" xfId="18123" xr:uid="{00000000-0005-0000-0000-000021720000}"/>
    <cellStyle name="Normal 5 5 3 2 3 2 4 2" xfId="43676" xr:uid="{00000000-0005-0000-0000-000022720000}"/>
    <cellStyle name="Normal 5 5 3 2 3 2 5" xfId="29613" xr:uid="{00000000-0005-0000-0000-000023720000}"/>
    <cellStyle name="Normal 5 5 3 2 3 3" xfId="4982" xr:uid="{00000000-0005-0000-0000-000024720000}"/>
    <cellStyle name="Normal 5 5 3 2 3 3 2" xfId="13819" xr:uid="{00000000-0005-0000-0000-000025720000}"/>
    <cellStyle name="Normal 5 5 3 2 3 3 2 2" xfId="24070" xr:uid="{00000000-0005-0000-0000-000026720000}"/>
    <cellStyle name="Normal 5 5 3 2 3 3 2 2 2" xfId="49623" xr:uid="{00000000-0005-0000-0000-000027720000}"/>
    <cellStyle name="Normal 5 5 3 2 3 3 2 3" xfId="39374" xr:uid="{00000000-0005-0000-0000-000028720000}"/>
    <cellStyle name="Normal 5 5 3 2 3 3 3" xfId="10240" xr:uid="{00000000-0005-0000-0000-000029720000}"/>
    <cellStyle name="Normal 5 5 3 2 3 3 3 2" xfId="35797" xr:uid="{00000000-0005-0000-0000-00002A720000}"/>
    <cellStyle name="Normal 5 5 3 2 3 3 4" xfId="19063" xr:uid="{00000000-0005-0000-0000-00002B720000}"/>
    <cellStyle name="Normal 5 5 3 2 3 3 4 2" xfId="44616" xr:uid="{00000000-0005-0000-0000-00002C720000}"/>
    <cellStyle name="Normal 5 5 3 2 3 3 5" xfId="30553" xr:uid="{00000000-0005-0000-0000-00002D720000}"/>
    <cellStyle name="Normal 5 5 3 2 3 4" xfId="2169" xr:uid="{00000000-0005-0000-0000-00002E720000}"/>
    <cellStyle name="Normal 5 5 3 2 3 4 2" xfId="11534" xr:uid="{00000000-0005-0000-0000-00002F720000}"/>
    <cellStyle name="Normal 5 5 3 2 3 4 2 2" xfId="37089" xr:uid="{00000000-0005-0000-0000-000030720000}"/>
    <cellStyle name="Normal 5 5 3 2 3 4 3" xfId="21538" xr:uid="{00000000-0005-0000-0000-000031720000}"/>
    <cellStyle name="Normal 5 5 3 2 3 4 3 2" xfId="47091" xr:uid="{00000000-0005-0000-0000-000032720000}"/>
    <cellStyle name="Normal 5 5 3 2 3 4 4" xfId="28021" xr:uid="{00000000-0005-0000-0000-000033720000}"/>
    <cellStyle name="Normal 5 5 3 2 3 5" xfId="6437" xr:uid="{00000000-0005-0000-0000-000034720000}"/>
    <cellStyle name="Normal 5 5 3 2 3 5 2" xfId="15264" xr:uid="{00000000-0005-0000-0000-000035720000}"/>
    <cellStyle name="Normal 5 5 3 2 3 5 2 2" xfId="40819" xr:uid="{00000000-0005-0000-0000-000036720000}"/>
    <cellStyle name="Normal 5 5 3 2 3 5 3" xfId="25515" xr:uid="{00000000-0005-0000-0000-000037720000}"/>
    <cellStyle name="Normal 5 5 3 2 3 5 3 2" xfId="51068" xr:uid="{00000000-0005-0000-0000-000038720000}"/>
    <cellStyle name="Normal 5 5 3 2 3 5 4" xfId="31998" xr:uid="{00000000-0005-0000-0000-000039720000}"/>
    <cellStyle name="Normal 5 5 3 2 3 6" xfId="7883" xr:uid="{00000000-0005-0000-0000-00003A720000}"/>
    <cellStyle name="Normal 5 5 3 2 3 6 2" xfId="20729" xr:uid="{00000000-0005-0000-0000-00003B720000}"/>
    <cellStyle name="Normal 5 5 3 2 3 6 2 2" xfId="46282" xr:uid="{00000000-0005-0000-0000-00003C720000}"/>
    <cellStyle name="Normal 5 5 3 2 3 6 3" xfId="33440" xr:uid="{00000000-0005-0000-0000-00003D720000}"/>
    <cellStyle name="Normal 5 5 3 2 3 7" xfId="16531" xr:uid="{00000000-0005-0000-0000-00003E720000}"/>
    <cellStyle name="Normal 5 5 3 2 3 7 2" xfId="42084" xr:uid="{00000000-0005-0000-0000-00003F720000}"/>
    <cellStyle name="Normal 5 5 3 2 3 8" xfId="27212" xr:uid="{00000000-0005-0000-0000-000040720000}"/>
    <cellStyle name="Normal 5 5 3 2 4" xfId="3060" xr:uid="{00000000-0005-0000-0000-000041720000}"/>
    <cellStyle name="Normal 5 5 3 2 4 2" xfId="5438" xr:uid="{00000000-0005-0000-0000-000042720000}"/>
    <cellStyle name="Normal 5 5 3 2 4 2 2" xfId="14275" xr:uid="{00000000-0005-0000-0000-000043720000}"/>
    <cellStyle name="Normal 5 5 3 2 4 2 2 2" xfId="24526" xr:uid="{00000000-0005-0000-0000-000044720000}"/>
    <cellStyle name="Normal 5 5 3 2 4 2 2 2 2" xfId="50079" xr:uid="{00000000-0005-0000-0000-000045720000}"/>
    <cellStyle name="Normal 5 5 3 2 4 2 2 3" xfId="39830" xr:uid="{00000000-0005-0000-0000-000046720000}"/>
    <cellStyle name="Normal 5 5 3 2 4 2 3" xfId="10696" xr:uid="{00000000-0005-0000-0000-000047720000}"/>
    <cellStyle name="Normal 5 5 3 2 4 2 3 2" xfId="36253" xr:uid="{00000000-0005-0000-0000-000048720000}"/>
    <cellStyle name="Normal 5 5 3 2 4 2 4" xfId="19519" xr:uid="{00000000-0005-0000-0000-000049720000}"/>
    <cellStyle name="Normal 5 5 3 2 4 2 4 2" xfId="45072" xr:uid="{00000000-0005-0000-0000-00004A720000}"/>
    <cellStyle name="Normal 5 5 3 2 4 2 5" xfId="31009" xr:uid="{00000000-0005-0000-0000-00004B720000}"/>
    <cellStyle name="Normal 5 5 3 2 4 3" xfId="6893" xr:uid="{00000000-0005-0000-0000-00004C720000}"/>
    <cellStyle name="Normal 5 5 3 2 4 3 2" xfId="15720" xr:uid="{00000000-0005-0000-0000-00004D720000}"/>
    <cellStyle name="Normal 5 5 3 2 4 3 2 2" xfId="41275" xr:uid="{00000000-0005-0000-0000-00004E720000}"/>
    <cellStyle name="Normal 5 5 3 2 4 3 3" xfId="25971" xr:uid="{00000000-0005-0000-0000-00004F720000}"/>
    <cellStyle name="Normal 5 5 3 2 4 3 3 2" xfId="51524" xr:uid="{00000000-0005-0000-0000-000050720000}"/>
    <cellStyle name="Normal 5 5 3 2 4 3 4" xfId="32454" xr:uid="{00000000-0005-0000-0000-000051720000}"/>
    <cellStyle name="Normal 5 5 3 2 4 4" xfId="8339" xr:uid="{00000000-0005-0000-0000-000052720000}"/>
    <cellStyle name="Normal 5 5 3 2 4 4 2" xfId="22421" xr:uid="{00000000-0005-0000-0000-000053720000}"/>
    <cellStyle name="Normal 5 5 3 2 4 4 2 2" xfId="47974" xr:uid="{00000000-0005-0000-0000-000054720000}"/>
    <cellStyle name="Normal 5 5 3 2 4 4 3" xfId="33896" xr:uid="{00000000-0005-0000-0000-000055720000}"/>
    <cellStyle name="Normal 5 5 3 2 4 5" xfId="17414" xr:uid="{00000000-0005-0000-0000-000056720000}"/>
    <cellStyle name="Normal 5 5 3 2 4 5 2" xfId="42967" xr:uid="{00000000-0005-0000-0000-000057720000}"/>
    <cellStyle name="Normal 5 5 3 2 4 6" xfId="28904" xr:uid="{00000000-0005-0000-0000-000058720000}"/>
    <cellStyle name="Normal 5 5 3 2 5" xfId="4394" xr:uid="{00000000-0005-0000-0000-000059720000}"/>
    <cellStyle name="Normal 5 5 3 2 5 2" xfId="13232" xr:uid="{00000000-0005-0000-0000-00005A720000}"/>
    <cellStyle name="Normal 5 5 3 2 5 2 2" xfId="23483" xr:uid="{00000000-0005-0000-0000-00005B720000}"/>
    <cellStyle name="Normal 5 5 3 2 5 2 2 2" xfId="49036" xr:uid="{00000000-0005-0000-0000-00005C720000}"/>
    <cellStyle name="Normal 5 5 3 2 5 2 3" xfId="38787" xr:uid="{00000000-0005-0000-0000-00005D720000}"/>
    <cellStyle name="Normal 5 5 3 2 5 3" xfId="9653" xr:uid="{00000000-0005-0000-0000-00005E720000}"/>
    <cellStyle name="Normal 5 5 3 2 5 3 2" xfId="35210" xr:uid="{00000000-0005-0000-0000-00005F720000}"/>
    <cellStyle name="Normal 5 5 3 2 5 4" xfId="18476" xr:uid="{00000000-0005-0000-0000-000060720000}"/>
    <cellStyle name="Normal 5 5 3 2 5 4 2" xfId="44029" xr:uid="{00000000-0005-0000-0000-000061720000}"/>
    <cellStyle name="Normal 5 5 3 2 5 5" xfId="29966" xr:uid="{00000000-0005-0000-0000-000062720000}"/>
    <cellStyle name="Normal 5 5 3 2 6" xfId="1666" xr:uid="{00000000-0005-0000-0000-000063720000}"/>
    <cellStyle name="Normal 5 5 3 2 6 2" xfId="11043" xr:uid="{00000000-0005-0000-0000-000064720000}"/>
    <cellStyle name="Normal 5 5 3 2 6 2 2" xfId="36598" xr:uid="{00000000-0005-0000-0000-000065720000}"/>
    <cellStyle name="Normal 5 5 3 2 6 3" xfId="21047" xr:uid="{00000000-0005-0000-0000-000066720000}"/>
    <cellStyle name="Normal 5 5 3 2 6 3 2" xfId="46600" xr:uid="{00000000-0005-0000-0000-000067720000}"/>
    <cellStyle name="Normal 5 5 3 2 6 4" xfId="27530" xr:uid="{00000000-0005-0000-0000-000068720000}"/>
    <cellStyle name="Normal 5 5 3 2 7" xfId="5850" xr:uid="{00000000-0005-0000-0000-000069720000}"/>
    <cellStyle name="Normal 5 5 3 2 7 2" xfId="14677" xr:uid="{00000000-0005-0000-0000-00006A720000}"/>
    <cellStyle name="Normal 5 5 3 2 7 2 2" xfId="40232" xr:uid="{00000000-0005-0000-0000-00006B720000}"/>
    <cellStyle name="Normal 5 5 3 2 7 3" xfId="24928" xr:uid="{00000000-0005-0000-0000-00006C720000}"/>
    <cellStyle name="Normal 5 5 3 2 7 3 2" xfId="50481" xr:uid="{00000000-0005-0000-0000-00006D720000}"/>
    <cellStyle name="Normal 5 5 3 2 7 4" xfId="31411" xr:uid="{00000000-0005-0000-0000-00006E720000}"/>
    <cellStyle name="Normal 5 5 3 2 8" xfId="7294" xr:uid="{00000000-0005-0000-0000-00006F720000}"/>
    <cellStyle name="Normal 5 5 3 2 8 2" xfId="20020" xr:uid="{00000000-0005-0000-0000-000070720000}"/>
    <cellStyle name="Normal 5 5 3 2 8 2 2" xfId="45573" xr:uid="{00000000-0005-0000-0000-000071720000}"/>
    <cellStyle name="Normal 5 5 3 2 8 3" xfId="32851" xr:uid="{00000000-0005-0000-0000-000072720000}"/>
    <cellStyle name="Normal 5 5 3 2 9" xfId="16040" xr:uid="{00000000-0005-0000-0000-000073720000}"/>
    <cellStyle name="Normal 5 5 3 2 9 2" xfId="41593" xr:uid="{00000000-0005-0000-0000-000074720000}"/>
    <cellStyle name="Normal 5 5 3 2_Degree data" xfId="3851" xr:uid="{00000000-0005-0000-0000-000075720000}"/>
    <cellStyle name="Normal 5 5 3 3" xfId="369" xr:uid="{00000000-0005-0000-0000-000076720000}"/>
    <cellStyle name="Normal 5 5 3 3 2" xfId="2855" xr:uid="{00000000-0005-0000-0000-000077720000}"/>
    <cellStyle name="Normal 5 5 3 3 2 2" xfId="12143" xr:uid="{00000000-0005-0000-0000-000078720000}"/>
    <cellStyle name="Normal 5 5 3 3 2 2 2" xfId="22216" xr:uid="{00000000-0005-0000-0000-000079720000}"/>
    <cellStyle name="Normal 5 5 3 3 2 2 2 2" xfId="47769" xr:uid="{00000000-0005-0000-0000-00007A720000}"/>
    <cellStyle name="Normal 5 5 3 3 2 2 3" xfId="37698" xr:uid="{00000000-0005-0000-0000-00007B720000}"/>
    <cellStyle name="Normal 5 5 3 3 2 3" xfId="8462" xr:uid="{00000000-0005-0000-0000-00007C720000}"/>
    <cellStyle name="Normal 5 5 3 3 2 3 2" xfId="34019" xr:uid="{00000000-0005-0000-0000-00007D720000}"/>
    <cellStyle name="Normal 5 5 3 3 2 4" xfId="17209" xr:uid="{00000000-0005-0000-0000-00007E720000}"/>
    <cellStyle name="Normal 5 5 3 3 2 4 2" xfId="42762" xr:uid="{00000000-0005-0000-0000-00007F720000}"/>
    <cellStyle name="Normal 5 5 3 3 2 5" xfId="28699" xr:uid="{00000000-0005-0000-0000-000080720000}"/>
    <cellStyle name="Normal 5 5 3 3 3" xfId="4632" xr:uid="{00000000-0005-0000-0000-000081720000}"/>
    <cellStyle name="Normal 5 5 3 3 3 2" xfId="13470" xr:uid="{00000000-0005-0000-0000-000082720000}"/>
    <cellStyle name="Normal 5 5 3 3 3 2 2" xfId="23721" xr:uid="{00000000-0005-0000-0000-000083720000}"/>
    <cellStyle name="Normal 5 5 3 3 3 2 2 2" xfId="49274" xr:uid="{00000000-0005-0000-0000-000084720000}"/>
    <cellStyle name="Normal 5 5 3 3 3 2 3" xfId="39025" xr:uid="{00000000-0005-0000-0000-000085720000}"/>
    <cellStyle name="Normal 5 5 3 3 3 3" xfId="9891" xr:uid="{00000000-0005-0000-0000-000086720000}"/>
    <cellStyle name="Normal 5 5 3 3 3 3 2" xfId="35448" xr:uid="{00000000-0005-0000-0000-000087720000}"/>
    <cellStyle name="Normal 5 5 3 3 3 4" xfId="18714" xr:uid="{00000000-0005-0000-0000-000088720000}"/>
    <cellStyle name="Normal 5 5 3 3 3 4 2" xfId="44267" xr:uid="{00000000-0005-0000-0000-000089720000}"/>
    <cellStyle name="Normal 5 5 3 3 3 5" xfId="30204" xr:uid="{00000000-0005-0000-0000-00008A720000}"/>
    <cellStyle name="Normal 5 5 3 3 4" xfId="1964" xr:uid="{00000000-0005-0000-0000-00008B720000}"/>
    <cellStyle name="Normal 5 5 3 3 4 2" xfId="11329" xr:uid="{00000000-0005-0000-0000-00008C720000}"/>
    <cellStyle name="Normal 5 5 3 3 4 2 2" xfId="36884" xr:uid="{00000000-0005-0000-0000-00008D720000}"/>
    <cellStyle name="Normal 5 5 3 3 4 3" xfId="21333" xr:uid="{00000000-0005-0000-0000-00008E720000}"/>
    <cellStyle name="Normal 5 5 3 3 4 3 2" xfId="46886" xr:uid="{00000000-0005-0000-0000-00008F720000}"/>
    <cellStyle name="Normal 5 5 3 3 4 4" xfId="27816" xr:uid="{00000000-0005-0000-0000-000090720000}"/>
    <cellStyle name="Normal 5 5 3 3 5" xfId="6088" xr:uid="{00000000-0005-0000-0000-000091720000}"/>
    <cellStyle name="Normal 5 5 3 3 5 2" xfId="14915" xr:uid="{00000000-0005-0000-0000-000092720000}"/>
    <cellStyle name="Normal 5 5 3 3 5 2 2" xfId="40470" xr:uid="{00000000-0005-0000-0000-000093720000}"/>
    <cellStyle name="Normal 5 5 3 3 5 3" xfId="25166" xr:uid="{00000000-0005-0000-0000-000094720000}"/>
    <cellStyle name="Normal 5 5 3 3 5 3 2" xfId="50719" xr:uid="{00000000-0005-0000-0000-000095720000}"/>
    <cellStyle name="Normal 5 5 3 3 5 4" xfId="31649" xr:uid="{00000000-0005-0000-0000-000096720000}"/>
    <cellStyle name="Normal 5 5 3 3 6" xfId="7533" xr:uid="{00000000-0005-0000-0000-000097720000}"/>
    <cellStyle name="Normal 5 5 3 3 6 2" xfId="19815" xr:uid="{00000000-0005-0000-0000-000098720000}"/>
    <cellStyle name="Normal 5 5 3 3 6 2 2" xfId="45368" xr:uid="{00000000-0005-0000-0000-000099720000}"/>
    <cellStyle name="Normal 5 5 3 3 6 3" xfId="33090" xr:uid="{00000000-0005-0000-0000-00009A720000}"/>
    <cellStyle name="Normal 5 5 3 3 7" xfId="16326" xr:uid="{00000000-0005-0000-0000-00009B720000}"/>
    <cellStyle name="Normal 5 5 3 3 7 2" xfId="41879" xr:uid="{00000000-0005-0000-0000-00009C720000}"/>
    <cellStyle name="Normal 5 5 3 3 8" xfId="26298" xr:uid="{00000000-0005-0000-0000-00009D720000}"/>
    <cellStyle name="Normal 5 5 3 4" xfId="818" xr:uid="{00000000-0005-0000-0000-00009E720000}"/>
    <cellStyle name="Normal 5 5 3 4 2" xfId="3303" xr:uid="{00000000-0005-0000-0000-00009F720000}"/>
    <cellStyle name="Normal 5 5 3 4 2 2" xfId="12445" xr:uid="{00000000-0005-0000-0000-0000A0720000}"/>
    <cellStyle name="Normal 5 5 3 4 2 2 2" xfId="22664" xr:uid="{00000000-0005-0000-0000-0000A1720000}"/>
    <cellStyle name="Normal 5 5 3 4 2 2 2 2" xfId="48217" xr:uid="{00000000-0005-0000-0000-0000A2720000}"/>
    <cellStyle name="Normal 5 5 3 4 2 2 3" xfId="38000" xr:uid="{00000000-0005-0000-0000-0000A3720000}"/>
    <cellStyle name="Normal 5 5 3 4 2 3" xfId="8867" xr:uid="{00000000-0005-0000-0000-0000A4720000}"/>
    <cellStyle name="Normal 5 5 3 4 2 3 2" xfId="34424" xr:uid="{00000000-0005-0000-0000-0000A5720000}"/>
    <cellStyle name="Normal 5 5 3 4 2 4" xfId="17657" xr:uid="{00000000-0005-0000-0000-0000A6720000}"/>
    <cellStyle name="Normal 5 5 3 4 2 4 2" xfId="43210" xr:uid="{00000000-0005-0000-0000-0000A7720000}"/>
    <cellStyle name="Normal 5 5 3 4 2 5" xfId="29147" xr:uid="{00000000-0005-0000-0000-0000A8720000}"/>
    <cellStyle name="Normal 5 5 3 4 3" xfId="4981" xr:uid="{00000000-0005-0000-0000-0000A9720000}"/>
    <cellStyle name="Normal 5 5 3 4 3 2" xfId="13818" xr:uid="{00000000-0005-0000-0000-0000AA720000}"/>
    <cellStyle name="Normal 5 5 3 4 3 2 2" xfId="24069" xr:uid="{00000000-0005-0000-0000-0000AB720000}"/>
    <cellStyle name="Normal 5 5 3 4 3 2 2 2" xfId="49622" xr:uid="{00000000-0005-0000-0000-0000AC720000}"/>
    <cellStyle name="Normal 5 5 3 4 3 2 3" xfId="39373" xr:uid="{00000000-0005-0000-0000-0000AD720000}"/>
    <cellStyle name="Normal 5 5 3 4 3 3" xfId="10239" xr:uid="{00000000-0005-0000-0000-0000AE720000}"/>
    <cellStyle name="Normal 5 5 3 4 3 3 2" xfId="35796" xr:uid="{00000000-0005-0000-0000-0000AF720000}"/>
    <cellStyle name="Normal 5 5 3 4 3 4" xfId="19062" xr:uid="{00000000-0005-0000-0000-0000B0720000}"/>
    <cellStyle name="Normal 5 5 3 4 3 4 2" xfId="44615" xr:uid="{00000000-0005-0000-0000-0000B1720000}"/>
    <cellStyle name="Normal 5 5 3 4 3 5" xfId="30552" xr:uid="{00000000-0005-0000-0000-0000B2720000}"/>
    <cellStyle name="Normal 5 5 3 4 4" xfId="2412" xr:uid="{00000000-0005-0000-0000-0000B3720000}"/>
    <cellStyle name="Normal 5 5 3 4 4 2" xfId="11777" xr:uid="{00000000-0005-0000-0000-0000B4720000}"/>
    <cellStyle name="Normal 5 5 3 4 4 2 2" xfId="37332" xr:uid="{00000000-0005-0000-0000-0000B5720000}"/>
    <cellStyle name="Normal 5 5 3 4 4 3" xfId="21781" xr:uid="{00000000-0005-0000-0000-0000B6720000}"/>
    <cellStyle name="Normal 5 5 3 4 4 3 2" xfId="47334" xr:uid="{00000000-0005-0000-0000-0000B7720000}"/>
    <cellStyle name="Normal 5 5 3 4 4 4" xfId="28264" xr:uid="{00000000-0005-0000-0000-0000B8720000}"/>
    <cellStyle name="Normal 5 5 3 4 5" xfId="6436" xr:uid="{00000000-0005-0000-0000-0000B9720000}"/>
    <cellStyle name="Normal 5 5 3 4 5 2" xfId="15263" xr:uid="{00000000-0005-0000-0000-0000BA720000}"/>
    <cellStyle name="Normal 5 5 3 4 5 2 2" xfId="40818" xr:uid="{00000000-0005-0000-0000-0000BB720000}"/>
    <cellStyle name="Normal 5 5 3 4 5 3" xfId="25514" xr:uid="{00000000-0005-0000-0000-0000BC720000}"/>
    <cellStyle name="Normal 5 5 3 4 5 3 2" xfId="51067" xr:uid="{00000000-0005-0000-0000-0000BD720000}"/>
    <cellStyle name="Normal 5 5 3 4 5 4" xfId="31997" xr:uid="{00000000-0005-0000-0000-0000BE720000}"/>
    <cellStyle name="Normal 5 5 3 4 6" xfId="7882" xr:uid="{00000000-0005-0000-0000-0000BF720000}"/>
    <cellStyle name="Normal 5 5 3 4 6 2" xfId="20263" xr:uid="{00000000-0005-0000-0000-0000C0720000}"/>
    <cellStyle name="Normal 5 5 3 4 6 2 2" xfId="45816" xr:uid="{00000000-0005-0000-0000-0000C1720000}"/>
    <cellStyle name="Normal 5 5 3 4 6 3" xfId="33439" xr:uid="{00000000-0005-0000-0000-0000C2720000}"/>
    <cellStyle name="Normal 5 5 3 4 7" xfId="16774" xr:uid="{00000000-0005-0000-0000-0000C3720000}"/>
    <cellStyle name="Normal 5 5 3 4 7 2" xfId="42327" xr:uid="{00000000-0005-0000-0000-0000C4720000}"/>
    <cellStyle name="Normal 5 5 3 4 8" xfId="26746" xr:uid="{00000000-0005-0000-0000-0000C5720000}"/>
    <cellStyle name="Normal 5 5 3 5" xfId="1141" xr:uid="{00000000-0005-0000-0000-0000C6720000}"/>
    <cellStyle name="Normal 5 5 3 5 2" xfId="3570" xr:uid="{00000000-0005-0000-0000-0000C7720000}"/>
    <cellStyle name="Normal 5 5 3 5 2 2" xfId="12706" xr:uid="{00000000-0005-0000-0000-0000C8720000}"/>
    <cellStyle name="Normal 5 5 3 5 2 2 2" xfId="22925" xr:uid="{00000000-0005-0000-0000-0000C9720000}"/>
    <cellStyle name="Normal 5 5 3 5 2 2 2 2" xfId="48478" xr:uid="{00000000-0005-0000-0000-0000CA720000}"/>
    <cellStyle name="Normal 5 5 3 5 2 2 3" xfId="38261" xr:uid="{00000000-0005-0000-0000-0000CB720000}"/>
    <cellStyle name="Normal 5 5 3 5 2 3" xfId="9127" xr:uid="{00000000-0005-0000-0000-0000CC720000}"/>
    <cellStyle name="Normal 5 5 3 5 2 3 2" xfId="34684" xr:uid="{00000000-0005-0000-0000-0000CD720000}"/>
    <cellStyle name="Normal 5 5 3 5 2 4" xfId="17918" xr:uid="{00000000-0005-0000-0000-0000CE720000}"/>
    <cellStyle name="Normal 5 5 3 5 2 4 2" xfId="43471" xr:uid="{00000000-0005-0000-0000-0000CF720000}"/>
    <cellStyle name="Normal 5 5 3 5 2 5" xfId="29408" xr:uid="{00000000-0005-0000-0000-0000D0720000}"/>
    <cellStyle name="Normal 5 5 3 5 3" xfId="5233" xr:uid="{00000000-0005-0000-0000-0000D1720000}"/>
    <cellStyle name="Normal 5 5 3 5 3 2" xfId="14070" xr:uid="{00000000-0005-0000-0000-0000D2720000}"/>
    <cellStyle name="Normal 5 5 3 5 3 2 2" xfId="24321" xr:uid="{00000000-0005-0000-0000-0000D3720000}"/>
    <cellStyle name="Normal 5 5 3 5 3 2 2 2" xfId="49874" xr:uid="{00000000-0005-0000-0000-0000D4720000}"/>
    <cellStyle name="Normal 5 5 3 5 3 2 3" xfId="39625" xr:uid="{00000000-0005-0000-0000-0000D5720000}"/>
    <cellStyle name="Normal 5 5 3 5 3 3" xfId="10491" xr:uid="{00000000-0005-0000-0000-0000D6720000}"/>
    <cellStyle name="Normal 5 5 3 5 3 3 2" xfId="36048" xr:uid="{00000000-0005-0000-0000-0000D7720000}"/>
    <cellStyle name="Normal 5 5 3 5 3 4" xfId="19314" xr:uid="{00000000-0005-0000-0000-0000D8720000}"/>
    <cellStyle name="Normal 5 5 3 5 3 4 2" xfId="44867" xr:uid="{00000000-0005-0000-0000-0000D9720000}"/>
    <cellStyle name="Normal 5 5 3 5 3 5" xfId="30804" xr:uid="{00000000-0005-0000-0000-0000DA720000}"/>
    <cellStyle name="Normal 5 5 3 5 4" xfId="1849" xr:uid="{00000000-0005-0000-0000-0000DB720000}"/>
    <cellStyle name="Normal 5 5 3 5 4 2" xfId="11217" xr:uid="{00000000-0005-0000-0000-0000DC720000}"/>
    <cellStyle name="Normal 5 5 3 5 4 2 2" xfId="36772" xr:uid="{00000000-0005-0000-0000-0000DD720000}"/>
    <cellStyle name="Normal 5 5 3 5 4 3" xfId="21221" xr:uid="{00000000-0005-0000-0000-0000DE720000}"/>
    <cellStyle name="Normal 5 5 3 5 4 3 2" xfId="46774" xr:uid="{00000000-0005-0000-0000-0000DF720000}"/>
    <cellStyle name="Normal 5 5 3 5 4 4" xfId="27704" xr:uid="{00000000-0005-0000-0000-0000E0720000}"/>
    <cellStyle name="Normal 5 5 3 5 5" xfId="6688" xr:uid="{00000000-0005-0000-0000-0000E1720000}"/>
    <cellStyle name="Normal 5 5 3 5 5 2" xfId="15515" xr:uid="{00000000-0005-0000-0000-0000E2720000}"/>
    <cellStyle name="Normal 5 5 3 5 5 2 2" xfId="41070" xr:uid="{00000000-0005-0000-0000-0000E3720000}"/>
    <cellStyle name="Normal 5 5 3 5 5 3" xfId="25766" xr:uid="{00000000-0005-0000-0000-0000E4720000}"/>
    <cellStyle name="Normal 5 5 3 5 5 3 2" xfId="51319" xr:uid="{00000000-0005-0000-0000-0000E5720000}"/>
    <cellStyle name="Normal 5 5 3 5 5 4" xfId="32249" xr:uid="{00000000-0005-0000-0000-0000E6720000}"/>
    <cellStyle name="Normal 5 5 3 5 6" xfId="8134" xr:uid="{00000000-0005-0000-0000-0000E7720000}"/>
    <cellStyle name="Normal 5 5 3 5 6 2" xfId="20524" xr:uid="{00000000-0005-0000-0000-0000E8720000}"/>
    <cellStyle name="Normal 5 5 3 5 6 2 2" xfId="46077" xr:uid="{00000000-0005-0000-0000-0000E9720000}"/>
    <cellStyle name="Normal 5 5 3 5 6 3" xfId="33691" xr:uid="{00000000-0005-0000-0000-0000EA720000}"/>
    <cellStyle name="Normal 5 5 3 5 7" xfId="16214" xr:uid="{00000000-0005-0000-0000-0000EB720000}"/>
    <cellStyle name="Normal 5 5 3 5 7 2" xfId="41767" xr:uid="{00000000-0005-0000-0000-0000EC720000}"/>
    <cellStyle name="Normal 5 5 3 5 8" xfId="27007" xr:uid="{00000000-0005-0000-0000-0000ED720000}"/>
    <cellStyle name="Normal 5 5 3 6" xfId="2743" xr:uid="{00000000-0005-0000-0000-0000EE720000}"/>
    <cellStyle name="Normal 5 5 3 6 2" xfId="12060" xr:uid="{00000000-0005-0000-0000-0000EF720000}"/>
    <cellStyle name="Normal 5 5 3 6 2 2" xfId="22104" xr:uid="{00000000-0005-0000-0000-0000F0720000}"/>
    <cellStyle name="Normal 5 5 3 6 2 2 2" xfId="47657" xr:uid="{00000000-0005-0000-0000-0000F1720000}"/>
    <cellStyle name="Normal 5 5 3 6 2 3" xfId="37615" xr:uid="{00000000-0005-0000-0000-0000F2720000}"/>
    <cellStyle name="Normal 5 5 3 6 3" xfId="8483" xr:uid="{00000000-0005-0000-0000-0000F3720000}"/>
    <cellStyle name="Normal 5 5 3 6 3 2" xfId="34040" xr:uid="{00000000-0005-0000-0000-0000F4720000}"/>
    <cellStyle name="Normal 5 5 3 6 4" xfId="17097" xr:uid="{00000000-0005-0000-0000-0000F5720000}"/>
    <cellStyle name="Normal 5 5 3 6 4 2" xfId="42650" xr:uid="{00000000-0005-0000-0000-0000F6720000}"/>
    <cellStyle name="Normal 5 5 3 6 5" xfId="28587" xr:uid="{00000000-0005-0000-0000-0000F7720000}"/>
    <cellStyle name="Normal 5 5 3 7" xfId="4189" xr:uid="{00000000-0005-0000-0000-0000F8720000}"/>
    <cellStyle name="Normal 5 5 3 7 2" xfId="13027" xr:uid="{00000000-0005-0000-0000-0000F9720000}"/>
    <cellStyle name="Normal 5 5 3 7 2 2" xfId="23278" xr:uid="{00000000-0005-0000-0000-0000FA720000}"/>
    <cellStyle name="Normal 5 5 3 7 2 2 2" xfId="48831" xr:uid="{00000000-0005-0000-0000-0000FB720000}"/>
    <cellStyle name="Normal 5 5 3 7 2 3" xfId="38582" xr:uid="{00000000-0005-0000-0000-0000FC720000}"/>
    <cellStyle name="Normal 5 5 3 7 3" xfId="9448" xr:uid="{00000000-0005-0000-0000-0000FD720000}"/>
    <cellStyle name="Normal 5 5 3 7 3 2" xfId="35005" xr:uid="{00000000-0005-0000-0000-0000FE720000}"/>
    <cellStyle name="Normal 5 5 3 7 4" xfId="18271" xr:uid="{00000000-0005-0000-0000-0000FF720000}"/>
    <cellStyle name="Normal 5 5 3 7 4 2" xfId="43824" xr:uid="{00000000-0005-0000-0000-000000730000}"/>
    <cellStyle name="Normal 5 5 3 7 5" xfId="29761" xr:uid="{00000000-0005-0000-0000-000001730000}"/>
    <cellStyle name="Normal 5 5 3 8" xfId="1461" xr:uid="{00000000-0005-0000-0000-000002730000}"/>
    <cellStyle name="Normal 5 5 3 8 2" xfId="10838" xr:uid="{00000000-0005-0000-0000-000003730000}"/>
    <cellStyle name="Normal 5 5 3 8 2 2" xfId="36393" xr:uid="{00000000-0005-0000-0000-000004730000}"/>
    <cellStyle name="Normal 5 5 3 8 3" xfId="20842" xr:uid="{00000000-0005-0000-0000-000005730000}"/>
    <cellStyle name="Normal 5 5 3 8 3 2" xfId="46395" xr:uid="{00000000-0005-0000-0000-000006730000}"/>
    <cellStyle name="Normal 5 5 3 8 4" xfId="27325" xr:uid="{00000000-0005-0000-0000-000007730000}"/>
    <cellStyle name="Normal 5 5 3 9" xfId="5645" xr:uid="{00000000-0005-0000-0000-000008730000}"/>
    <cellStyle name="Normal 5 5 3 9 2" xfId="14472" xr:uid="{00000000-0005-0000-0000-000009730000}"/>
    <cellStyle name="Normal 5 5 3 9 2 2" xfId="40027" xr:uid="{00000000-0005-0000-0000-00000A730000}"/>
    <cellStyle name="Normal 5 5 3 9 3" xfId="24723" xr:uid="{00000000-0005-0000-0000-00000B730000}"/>
    <cellStyle name="Normal 5 5 3 9 3 2" xfId="50276" xr:uid="{00000000-0005-0000-0000-00000C730000}"/>
    <cellStyle name="Normal 5 5 3 9 4" xfId="31206" xr:uid="{00000000-0005-0000-0000-00000D730000}"/>
    <cellStyle name="Normal 5 5 3_Degree data" xfId="3880" xr:uid="{00000000-0005-0000-0000-00000E730000}"/>
    <cellStyle name="Normal 5 5 4" xfId="469" xr:uid="{00000000-0005-0000-0000-00000F730000}"/>
    <cellStyle name="Normal 5 5 4 10" xfId="26398" xr:uid="{00000000-0005-0000-0000-000010730000}"/>
    <cellStyle name="Normal 5 5 4 2" xfId="820" xr:uid="{00000000-0005-0000-0000-000011730000}"/>
    <cellStyle name="Normal 5 5 4 2 2" xfId="3305" xr:uid="{00000000-0005-0000-0000-000012730000}"/>
    <cellStyle name="Normal 5 5 4 2 2 2" xfId="12447" xr:uid="{00000000-0005-0000-0000-000013730000}"/>
    <cellStyle name="Normal 5 5 4 2 2 2 2" xfId="22666" xr:uid="{00000000-0005-0000-0000-000014730000}"/>
    <cellStyle name="Normal 5 5 4 2 2 2 2 2" xfId="48219" xr:uid="{00000000-0005-0000-0000-000015730000}"/>
    <cellStyle name="Normal 5 5 4 2 2 2 3" xfId="38002" xr:uid="{00000000-0005-0000-0000-000016730000}"/>
    <cellStyle name="Normal 5 5 4 2 2 3" xfId="8869" xr:uid="{00000000-0005-0000-0000-000017730000}"/>
    <cellStyle name="Normal 5 5 4 2 2 3 2" xfId="34426" xr:uid="{00000000-0005-0000-0000-000018730000}"/>
    <cellStyle name="Normal 5 5 4 2 2 4" xfId="17659" xr:uid="{00000000-0005-0000-0000-000019730000}"/>
    <cellStyle name="Normal 5 5 4 2 2 4 2" xfId="43212" xr:uid="{00000000-0005-0000-0000-00001A730000}"/>
    <cellStyle name="Normal 5 5 4 2 2 5" xfId="29149" xr:uid="{00000000-0005-0000-0000-00001B730000}"/>
    <cellStyle name="Normal 5 5 4 2 3" xfId="4634" xr:uid="{00000000-0005-0000-0000-00001C730000}"/>
    <cellStyle name="Normal 5 5 4 2 3 2" xfId="13472" xr:uid="{00000000-0005-0000-0000-00001D730000}"/>
    <cellStyle name="Normal 5 5 4 2 3 2 2" xfId="23723" xr:uid="{00000000-0005-0000-0000-00001E730000}"/>
    <cellStyle name="Normal 5 5 4 2 3 2 2 2" xfId="49276" xr:uid="{00000000-0005-0000-0000-00001F730000}"/>
    <cellStyle name="Normal 5 5 4 2 3 2 3" xfId="39027" xr:uid="{00000000-0005-0000-0000-000020730000}"/>
    <cellStyle name="Normal 5 5 4 2 3 3" xfId="9893" xr:uid="{00000000-0005-0000-0000-000021730000}"/>
    <cellStyle name="Normal 5 5 4 2 3 3 2" xfId="35450" xr:uid="{00000000-0005-0000-0000-000022730000}"/>
    <cellStyle name="Normal 5 5 4 2 3 4" xfId="18716" xr:uid="{00000000-0005-0000-0000-000023730000}"/>
    <cellStyle name="Normal 5 5 4 2 3 4 2" xfId="44269" xr:uid="{00000000-0005-0000-0000-000024730000}"/>
    <cellStyle name="Normal 5 5 4 2 3 5" xfId="30206" xr:uid="{00000000-0005-0000-0000-000025730000}"/>
    <cellStyle name="Normal 5 5 4 2 4" xfId="2414" xr:uid="{00000000-0005-0000-0000-000026730000}"/>
    <cellStyle name="Normal 5 5 4 2 4 2" xfId="11779" xr:uid="{00000000-0005-0000-0000-000027730000}"/>
    <cellStyle name="Normal 5 5 4 2 4 2 2" xfId="37334" xr:uid="{00000000-0005-0000-0000-000028730000}"/>
    <cellStyle name="Normal 5 5 4 2 4 3" xfId="21783" xr:uid="{00000000-0005-0000-0000-000029730000}"/>
    <cellStyle name="Normal 5 5 4 2 4 3 2" xfId="47336" xr:uid="{00000000-0005-0000-0000-00002A730000}"/>
    <cellStyle name="Normal 5 5 4 2 4 4" xfId="28266" xr:uid="{00000000-0005-0000-0000-00002B730000}"/>
    <cellStyle name="Normal 5 5 4 2 5" xfId="6090" xr:uid="{00000000-0005-0000-0000-00002C730000}"/>
    <cellStyle name="Normal 5 5 4 2 5 2" xfId="14917" xr:uid="{00000000-0005-0000-0000-00002D730000}"/>
    <cellStyle name="Normal 5 5 4 2 5 2 2" xfId="40472" xr:uid="{00000000-0005-0000-0000-00002E730000}"/>
    <cellStyle name="Normal 5 5 4 2 5 3" xfId="25168" xr:uid="{00000000-0005-0000-0000-00002F730000}"/>
    <cellStyle name="Normal 5 5 4 2 5 3 2" xfId="50721" xr:uid="{00000000-0005-0000-0000-000030730000}"/>
    <cellStyle name="Normal 5 5 4 2 5 4" xfId="31651" xr:uid="{00000000-0005-0000-0000-000031730000}"/>
    <cellStyle name="Normal 5 5 4 2 6" xfId="7535" xr:uid="{00000000-0005-0000-0000-000032730000}"/>
    <cellStyle name="Normal 5 5 4 2 6 2" xfId="20265" xr:uid="{00000000-0005-0000-0000-000033730000}"/>
    <cellStyle name="Normal 5 5 4 2 6 2 2" xfId="45818" xr:uid="{00000000-0005-0000-0000-000034730000}"/>
    <cellStyle name="Normal 5 5 4 2 6 3" xfId="33092" xr:uid="{00000000-0005-0000-0000-000035730000}"/>
    <cellStyle name="Normal 5 5 4 2 7" xfId="16776" xr:uid="{00000000-0005-0000-0000-000036730000}"/>
    <cellStyle name="Normal 5 5 4 2 7 2" xfId="42329" xr:uid="{00000000-0005-0000-0000-000037730000}"/>
    <cellStyle name="Normal 5 5 4 2 8" xfId="26748" xr:uid="{00000000-0005-0000-0000-000038730000}"/>
    <cellStyle name="Normal 5 5 4 3" xfId="1241" xr:uid="{00000000-0005-0000-0000-000039730000}"/>
    <cellStyle name="Normal 5 5 4 3 2" xfId="3670" xr:uid="{00000000-0005-0000-0000-00003A730000}"/>
    <cellStyle name="Normal 5 5 4 3 2 2" xfId="12806" xr:uid="{00000000-0005-0000-0000-00003B730000}"/>
    <cellStyle name="Normal 5 5 4 3 2 2 2" xfId="23025" xr:uid="{00000000-0005-0000-0000-00003C730000}"/>
    <cellStyle name="Normal 5 5 4 3 2 2 2 2" xfId="48578" xr:uid="{00000000-0005-0000-0000-00003D730000}"/>
    <cellStyle name="Normal 5 5 4 3 2 2 3" xfId="38361" xr:uid="{00000000-0005-0000-0000-00003E730000}"/>
    <cellStyle name="Normal 5 5 4 3 2 3" xfId="9227" xr:uid="{00000000-0005-0000-0000-00003F730000}"/>
    <cellStyle name="Normal 5 5 4 3 2 3 2" xfId="34784" xr:uid="{00000000-0005-0000-0000-000040730000}"/>
    <cellStyle name="Normal 5 5 4 3 2 4" xfId="18018" xr:uid="{00000000-0005-0000-0000-000041730000}"/>
    <cellStyle name="Normal 5 5 4 3 2 4 2" xfId="43571" xr:uid="{00000000-0005-0000-0000-000042730000}"/>
    <cellStyle name="Normal 5 5 4 3 2 5" xfId="29508" xr:uid="{00000000-0005-0000-0000-000043730000}"/>
    <cellStyle name="Normal 5 5 4 3 3" xfId="4983" xr:uid="{00000000-0005-0000-0000-000044730000}"/>
    <cellStyle name="Normal 5 5 4 3 3 2" xfId="13820" xr:uid="{00000000-0005-0000-0000-000045730000}"/>
    <cellStyle name="Normal 5 5 4 3 3 2 2" xfId="24071" xr:uid="{00000000-0005-0000-0000-000046730000}"/>
    <cellStyle name="Normal 5 5 4 3 3 2 2 2" xfId="49624" xr:uid="{00000000-0005-0000-0000-000047730000}"/>
    <cellStyle name="Normal 5 5 4 3 3 2 3" xfId="39375" xr:uid="{00000000-0005-0000-0000-000048730000}"/>
    <cellStyle name="Normal 5 5 4 3 3 3" xfId="10241" xr:uid="{00000000-0005-0000-0000-000049730000}"/>
    <cellStyle name="Normal 5 5 4 3 3 3 2" xfId="35798" xr:uid="{00000000-0005-0000-0000-00004A730000}"/>
    <cellStyle name="Normal 5 5 4 3 3 4" xfId="19064" xr:uid="{00000000-0005-0000-0000-00004B730000}"/>
    <cellStyle name="Normal 5 5 4 3 3 4 2" xfId="44617" xr:uid="{00000000-0005-0000-0000-00004C730000}"/>
    <cellStyle name="Normal 5 5 4 3 3 5" xfId="30554" xr:uid="{00000000-0005-0000-0000-00004D730000}"/>
    <cellStyle name="Normal 5 5 4 3 4" xfId="2064" xr:uid="{00000000-0005-0000-0000-00004E730000}"/>
    <cellStyle name="Normal 5 5 4 3 4 2" xfId="11429" xr:uid="{00000000-0005-0000-0000-00004F730000}"/>
    <cellStyle name="Normal 5 5 4 3 4 2 2" xfId="36984" xr:uid="{00000000-0005-0000-0000-000050730000}"/>
    <cellStyle name="Normal 5 5 4 3 4 3" xfId="21433" xr:uid="{00000000-0005-0000-0000-000051730000}"/>
    <cellStyle name="Normal 5 5 4 3 4 3 2" xfId="46986" xr:uid="{00000000-0005-0000-0000-000052730000}"/>
    <cellStyle name="Normal 5 5 4 3 4 4" xfId="27916" xr:uid="{00000000-0005-0000-0000-000053730000}"/>
    <cellStyle name="Normal 5 5 4 3 5" xfId="6438" xr:uid="{00000000-0005-0000-0000-000054730000}"/>
    <cellStyle name="Normal 5 5 4 3 5 2" xfId="15265" xr:uid="{00000000-0005-0000-0000-000055730000}"/>
    <cellStyle name="Normal 5 5 4 3 5 2 2" xfId="40820" xr:uid="{00000000-0005-0000-0000-000056730000}"/>
    <cellStyle name="Normal 5 5 4 3 5 3" xfId="25516" xr:uid="{00000000-0005-0000-0000-000057730000}"/>
    <cellStyle name="Normal 5 5 4 3 5 3 2" xfId="51069" xr:uid="{00000000-0005-0000-0000-000058730000}"/>
    <cellStyle name="Normal 5 5 4 3 5 4" xfId="31999" xr:uid="{00000000-0005-0000-0000-000059730000}"/>
    <cellStyle name="Normal 5 5 4 3 6" xfId="7884" xr:uid="{00000000-0005-0000-0000-00005A730000}"/>
    <cellStyle name="Normal 5 5 4 3 6 2" xfId="20624" xr:uid="{00000000-0005-0000-0000-00005B730000}"/>
    <cellStyle name="Normal 5 5 4 3 6 2 2" xfId="46177" xr:uid="{00000000-0005-0000-0000-00005C730000}"/>
    <cellStyle name="Normal 5 5 4 3 6 3" xfId="33441" xr:uid="{00000000-0005-0000-0000-00005D730000}"/>
    <cellStyle name="Normal 5 5 4 3 7" xfId="16426" xr:uid="{00000000-0005-0000-0000-00005E730000}"/>
    <cellStyle name="Normal 5 5 4 3 7 2" xfId="41979" xr:uid="{00000000-0005-0000-0000-00005F730000}"/>
    <cellStyle name="Normal 5 5 4 3 8" xfId="27107" xr:uid="{00000000-0005-0000-0000-000060730000}"/>
    <cellStyle name="Normal 5 5 4 4" xfId="2955" xr:uid="{00000000-0005-0000-0000-000061730000}"/>
    <cellStyle name="Normal 5 5 4 4 2" xfId="5333" xr:uid="{00000000-0005-0000-0000-000062730000}"/>
    <cellStyle name="Normal 5 5 4 4 2 2" xfId="14170" xr:uid="{00000000-0005-0000-0000-000063730000}"/>
    <cellStyle name="Normal 5 5 4 4 2 2 2" xfId="24421" xr:uid="{00000000-0005-0000-0000-000064730000}"/>
    <cellStyle name="Normal 5 5 4 4 2 2 2 2" xfId="49974" xr:uid="{00000000-0005-0000-0000-000065730000}"/>
    <cellStyle name="Normal 5 5 4 4 2 2 3" xfId="39725" xr:uid="{00000000-0005-0000-0000-000066730000}"/>
    <cellStyle name="Normal 5 5 4 4 2 3" xfId="10591" xr:uid="{00000000-0005-0000-0000-000067730000}"/>
    <cellStyle name="Normal 5 5 4 4 2 3 2" xfId="36148" xr:uid="{00000000-0005-0000-0000-000068730000}"/>
    <cellStyle name="Normal 5 5 4 4 2 4" xfId="19414" xr:uid="{00000000-0005-0000-0000-000069730000}"/>
    <cellStyle name="Normal 5 5 4 4 2 4 2" xfId="44967" xr:uid="{00000000-0005-0000-0000-00006A730000}"/>
    <cellStyle name="Normal 5 5 4 4 2 5" xfId="30904" xr:uid="{00000000-0005-0000-0000-00006B730000}"/>
    <cellStyle name="Normal 5 5 4 4 3" xfId="6788" xr:uid="{00000000-0005-0000-0000-00006C730000}"/>
    <cellStyle name="Normal 5 5 4 4 3 2" xfId="15615" xr:uid="{00000000-0005-0000-0000-00006D730000}"/>
    <cellStyle name="Normal 5 5 4 4 3 2 2" xfId="41170" xr:uid="{00000000-0005-0000-0000-00006E730000}"/>
    <cellStyle name="Normal 5 5 4 4 3 3" xfId="25866" xr:uid="{00000000-0005-0000-0000-00006F730000}"/>
    <cellStyle name="Normal 5 5 4 4 3 3 2" xfId="51419" xr:uid="{00000000-0005-0000-0000-000070730000}"/>
    <cellStyle name="Normal 5 5 4 4 3 4" xfId="32349" xr:uid="{00000000-0005-0000-0000-000071730000}"/>
    <cellStyle name="Normal 5 5 4 4 4" xfId="8234" xr:uid="{00000000-0005-0000-0000-000072730000}"/>
    <cellStyle name="Normal 5 5 4 4 4 2" xfId="22316" xr:uid="{00000000-0005-0000-0000-000073730000}"/>
    <cellStyle name="Normal 5 5 4 4 4 2 2" xfId="47869" xr:uid="{00000000-0005-0000-0000-000074730000}"/>
    <cellStyle name="Normal 5 5 4 4 4 3" xfId="33791" xr:uid="{00000000-0005-0000-0000-000075730000}"/>
    <cellStyle name="Normal 5 5 4 4 5" xfId="17309" xr:uid="{00000000-0005-0000-0000-000076730000}"/>
    <cellStyle name="Normal 5 5 4 4 5 2" xfId="42862" xr:uid="{00000000-0005-0000-0000-000077730000}"/>
    <cellStyle name="Normal 5 5 4 4 6" xfId="28799" xr:uid="{00000000-0005-0000-0000-000078730000}"/>
    <cellStyle name="Normal 5 5 4 5" xfId="4289" xr:uid="{00000000-0005-0000-0000-000079730000}"/>
    <cellStyle name="Normal 5 5 4 5 2" xfId="13127" xr:uid="{00000000-0005-0000-0000-00007A730000}"/>
    <cellStyle name="Normal 5 5 4 5 2 2" xfId="23378" xr:uid="{00000000-0005-0000-0000-00007B730000}"/>
    <cellStyle name="Normal 5 5 4 5 2 2 2" xfId="48931" xr:uid="{00000000-0005-0000-0000-00007C730000}"/>
    <cellStyle name="Normal 5 5 4 5 2 3" xfId="38682" xr:uid="{00000000-0005-0000-0000-00007D730000}"/>
    <cellStyle name="Normal 5 5 4 5 3" xfId="9548" xr:uid="{00000000-0005-0000-0000-00007E730000}"/>
    <cellStyle name="Normal 5 5 4 5 3 2" xfId="35105" xr:uid="{00000000-0005-0000-0000-00007F730000}"/>
    <cellStyle name="Normal 5 5 4 5 4" xfId="18371" xr:uid="{00000000-0005-0000-0000-000080730000}"/>
    <cellStyle name="Normal 5 5 4 5 4 2" xfId="43924" xr:uid="{00000000-0005-0000-0000-000081730000}"/>
    <cellStyle name="Normal 5 5 4 5 5" xfId="29861" xr:uid="{00000000-0005-0000-0000-000082730000}"/>
    <cellStyle name="Normal 5 5 4 6" xfId="1561" xr:uid="{00000000-0005-0000-0000-000083730000}"/>
    <cellStyle name="Normal 5 5 4 6 2" xfId="10938" xr:uid="{00000000-0005-0000-0000-000084730000}"/>
    <cellStyle name="Normal 5 5 4 6 2 2" xfId="36493" xr:uid="{00000000-0005-0000-0000-000085730000}"/>
    <cellStyle name="Normal 5 5 4 6 3" xfId="20942" xr:uid="{00000000-0005-0000-0000-000086730000}"/>
    <cellStyle name="Normal 5 5 4 6 3 2" xfId="46495" xr:uid="{00000000-0005-0000-0000-000087730000}"/>
    <cellStyle name="Normal 5 5 4 6 4" xfId="27425" xr:uid="{00000000-0005-0000-0000-000088730000}"/>
    <cellStyle name="Normal 5 5 4 7" xfId="5745" xr:uid="{00000000-0005-0000-0000-000089730000}"/>
    <cellStyle name="Normal 5 5 4 7 2" xfId="14572" xr:uid="{00000000-0005-0000-0000-00008A730000}"/>
    <cellStyle name="Normal 5 5 4 7 2 2" xfId="40127" xr:uid="{00000000-0005-0000-0000-00008B730000}"/>
    <cellStyle name="Normal 5 5 4 7 3" xfId="24823" xr:uid="{00000000-0005-0000-0000-00008C730000}"/>
    <cellStyle name="Normal 5 5 4 7 3 2" xfId="50376" xr:uid="{00000000-0005-0000-0000-00008D730000}"/>
    <cellStyle name="Normal 5 5 4 7 4" xfId="31306" xr:uid="{00000000-0005-0000-0000-00008E730000}"/>
    <cellStyle name="Normal 5 5 4 8" xfId="7189" xr:uid="{00000000-0005-0000-0000-00008F730000}"/>
    <cellStyle name="Normal 5 5 4 8 2" xfId="19915" xr:uid="{00000000-0005-0000-0000-000090730000}"/>
    <cellStyle name="Normal 5 5 4 8 2 2" xfId="45468" xr:uid="{00000000-0005-0000-0000-000091730000}"/>
    <cellStyle name="Normal 5 5 4 8 3" xfId="32746" xr:uid="{00000000-0005-0000-0000-000092730000}"/>
    <cellStyle name="Normal 5 5 4 9" xfId="15935" xr:uid="{00000000-0005-0000-0000-000093730000}"/>
    <cellStyle name="Normal 5 5 4 9 2" xfId="41488" xr:uid="{00000000-0005-0000-0000-000094730000}"/>
    <cellStyle name="Normal 5 5 4_Degree data" xfId="3889" xr:uid="{00000000-0005-0000-0000-000095730000}"/>
    <cellStyle name="Normal 5 5 5" xfId="310" xr:uid="{00000000-0005-0000-0000-000096730000}"/>
    <cellStyle name="Normal 5 5 5 2" xfId="2796" xr:uid="{00000000-0005-0000-0000-000097730000}"/>
    <cellStyle name="Normal 5 5 5 2 2" xfId="12100" xr:uid="{00000000-0005-0000-0000-000098730000}"/>
    <cellStyle name="Normal 5 5 5 2 2 2" xfId="22157" xr:uid="{00000000-0005-0000-0000-000099730000}"/>
    <cellStyle name="Normal 5 5 5 2 2 2 2" xfId="47710" xr:uid="{00000000-0005-0000-0000-00009A730000}"/>
    <cellStyle name="Normal 5 5 5 2 2 3" xfId="37655" xr:uid="{00000000-0005-0000-0000-00009B730000}"/>
    <cellStyle name="Normal 5 5 5 2 3" xfId="8604" xr:uid="{00000000-0005-0000-0000-00009C730000}"/>
    <cellStyle name="Normal 5 5 5 2 3 2" xfId="34161" xr:uid="{00000000-0005-0000-0000-00009D730000}"/>
    <cellStyle name="Normal 5 5 5 2 4" xfId="17150" xr:uid="{00000000-0005-0000-0000-00009E730000}"/>
    <cellStyle name="Normal 5 5 5 2 4 2" xfId="42703" xr:uid="{00000000-0005-0000-0000-00009F730000}"/>
    <cellStyle name="Normal 5 5 5 2 5" xfId="28640" xr:uid="{00000000-0005-0000-0000-0000A0730000}"/>
    <cellStyle name="Normal 5 5 5 3" xfId="4629" xr:uid="{00000000-0005-0000-0000-0000A1730000}"/>
    <cellStyle name="Normal 5 5 5 3 2" xfId="13467" xr:uid="{00000000-0005-0000-0000-0000A2730000}"/>
    <cellStyle name="Normal 5 5 5 3 2 2" xfId="23718" xr:uid="{00000000-0005-0000-0000-0000A3730000}"/>
    <cellStyle name="Normal 5 5 5 3 2 2 2" xfId="49271" xr:uid="{00000000-0005-0000-0000-0000A4730000}"/>
    <cellStyle name="Normal 5 5 5 3 2 3" xfId="39022" xr:uid="{00000000-0005-0000-0000-0000A5730000}"/>
    <cellStyle name="Normal 5 5 5 3 3" xfId="9888" xr:uid="{00000000-0005-0000-0000-0000A6730000}"/>
    <cellStyle name="Normal 5 5 5 3 3 2" xfId="35445" xr:uid="{00000000-0005-0000-0000-0000A7730000}"/>
    <cellStyle name="Normal 5 5 5 3 4" xfId="18711" xr:uid="{00000000-0005-0000-0000-0000A8730000}"/>
    <cellStyle name="Normal 5 5 5 3 4 2" xfId="44264" xr:uid="{00000000-0005-0000-0000-0000A9730000}"/>
    <cellStyle name="Normal 5 5 5 3 5" xfId="30201" xr:uid="{00000000-0005-0000-0000-0000AA730000}"/>
    <cellStyle name="Normal 5 5 5 4" xfId="1905" xr:uid="{00000000-0005-0000-0000-0000AB730000}"/>
    <cellStyle name="Normal 5 5 5 4 2" xfId="11270" xr:uid="{00000000-0005-0000-0000-0000AC730000}"/>
    <cellStyle name="Normal 5 5 5 4 2 2" xfId="36825" xr:uid="{00000000-0005-0000-0000-0000AD730000}"/>
    <cellStyle name="Normal 5 5 5 4 3" xfId="21274" xr:uid="{00000000-0005-0000-0000-0000AE730000}"/>
    <cellStyle name="Normal 5 5 5 4 3 2" xfId="46827" xr:uid="{00000000-0005-0000-0000-0000AF730000}"/>
    <cellStyle name="Normal 5 5 5 4 4" xfId="27757" xr:uid="{00000000-0005-0000-0000-0000B0730000}"/>
    <cellStyle name="Normal 5 5 5 5" xfId="6085" xr:uid="{00000000-0005-0000-0000-0000B1730000}"/>
    <cellStyle name="Normal 5 5 5 5 2" xfId="14912" xr:uid="{00000000-0005-0000-0000-0000B2730000}"/>
    <cellStyle name="Normal 5 5 5 5 2 2" xfId="40467" xr:uid="{00000000-0005-0000-0000-0000B3730000}"/>
    <cellStyle name="Normal 5 5 5 5 3" xfId="25163" xr:uid="{00000000-0005-0000-0000-0000B4730000}"/>
    <cellStyle name="Normal 5 5 5 5 3 2" xfId="50716" xr:uid="{00000000-0005-0000-0000-0000B5730000}"/>
    <cellStyle name="Normal 5 5 5 5 4" xfId="31646" xr:uid="{00000000-0005-0000-0000-0000B6730000}"/>
    <cellStyle name="Normal 5 5 5 6" xfId="7530" xr:uid="{00000000-0005-0000-0000-0000B7730000}"/>
    <cellStyle name="Normal 5 5 5 6 2" xfId="19756" xr:uid="{00000000-0005-0000-0000-0000B8730000}"/>
    <cellStyle name="Normal 5 5 5 6 2 2" xfId="45309" xr:uid="{00000000-0005-0000-0000-0000B9730000}"/>
    <cellStyle name="Normal 5 5 5 6 3" xfId="33087" xr:uid="{00000000-0005-0000-0000-0000BA730000}"/>
    <cellStyle name="Normal 5 5 5 7" xfId="16267" xr:uid="{00000000-0005-0000-0000-0000BB730000}"/>
    <cellStyle name="Normal 5 5 5 7 2" xfId="41820" xr:uid="{00000000-0005-0000-0000-0000BC730000}"/>
    <cellStyle name="Normal 5 5 5 8" xfId="26239" xr:uid="{00000000-0005-0000-0000-0000BD730000}"/>
    <cellStyle name="Normal 5 5 6" xfId="815" xr:uid="{00000000-0005-0000-0000-0000BE730000}"/>
    <cellStyle name="Normal 5 5 6 2" xfId="3300" xr:uid="{00000000-0005-0000-0000-0000BF730000}"/>
    <cellStyle name="Normal 5 5 6 2 2" xfId="12442" xr:uid="{00000000-0005-0000-0000-0000C0730000}"/>
    <cellStyle name="Normal 5 5 6 2 2 2" xfId="22661" xr:uid="{00000000-0005-0000-0000-0000C1730000}"/>
    <cellStyle name="Normal 5 5 6 2 2 2 2" xfId="48214" xr:uid="{00000000-0005-0000-0000-0000C2730000}"/>
    <cellStyle name="Normal 5 5 6 2 2 3" xfId="37997" xr:uid="{00000000-0005-0000-0000-0000C3730000}"/>
    <cellStyle name="Normal 5 5 6 2 3" xfId="8864" xr:uid="{00000000-0005-0000-0000-0000C4730000}"/>
    <cellStyle name="Normal 5 5 6 2 3 2" xfId="34421" xr:uid="{00000000-0005-0000-0000-0000C5730000}"/>
    <cellStyle name="Normal 5 5 6 2 4" xfId="17654" xr:uid="{00000000-0005-0000-0000-0000C6730000}"/>
    <cellStyle name="Normal 5 5 6 2 4 2" xfId="43207" xr:uid="{00000000-0005-0000-0000-0000C7730000}"/>
    <cellStyle name="Normal 5 5 6 2 5" xfId="29144" xr:uid="{00000000-0005-0000-0000-0000C8730000}"/>
    <cellStyle name="Normal 5 5 6 3" xfId="4978" xr:uid="{00000000-0005-0000-0000-0000C9730000}"/>
    <cellStyle name="Normal 5 5 6 3 2" xfId="13815" xr:uid="{00000000-0005-0000-0000-0000CA730000}"/>
    <cellStyle name="Normal 5 5 6 3 2 2" xfId="24066" xr:uid="{00000000-0005-0000-0000-0000CB730000}"/>
    <cellStyle name="Normal 5 5 6 3 2 2 2" xfId="49619" xr:uid="{00000000-0005-0000-0000-0000CC730000}"/>
    <cellStyle name="Normal 5 5 6 3 2 3" xfId="39370" xr:uid="{00000000-0005-0000-0000-0000CD730000}"/>
    <cellStyle name="Normal 5 5 6 3 3" xfId="10236" xr:uid="{00000000-0005-0000-0000-0000CE730000}"/>
    <cellStyle name="Normal 5 5 6 3 3 2" xfId="35793" xr:uid="{00000000-0005-0000-0000-0000CF730000}"/>
    <cellStyle name="Normal 5 5 6 3 4" xfId="19059" xr:uid="{00000000-0005-0000-0000-0000D0730000}"/>
    <cellStyle name="Normal 5 5 6 3 4 2" xfId="44612" xr:uid="{00000000-0005-0000-0000-0000D1730000}"/>
    <cellStyle name="Normal 5 5 6 3 5" xfId="30549" xr:uid="{00000000-0005-0000-0000-0000D2730000}"/>
    <cellStyle name="Normal 5 5 6 4" xfId="2409" xr:uid="{00000000-0005-0000-0000-0000D3730000}"/>
    <cellStyle name="Normal 5 5 6 4 2" xfId="11774" xr:uid="{00000000-0005-0000-0000-0000D4730000}"/>
    <cellStyle name="Normal 5 5 6 4 2 2" xfId="37329" xr:uid="{00000000-0005-0000-0000-0000D5730000}"/>
    <cellStyle name="Normal 5 5 6 4 3" xfId="21778" xr:uid="{00000000-0005-0000-0000-0000D6730000}"/>
    <cellStyle name="Normal 5 5 6 4 3 2" xfId="47331" xr:uid="{00000000-0005-0000-0000-0000D7730000}"/>
    <cellStyle name="Normal 5 5 6 4 4" xfId="28261" xr:uid="{00000000-0005-0000-0000-0000D8730000}"/>
    <cellStyle name="Normal 5 5 6 5" xfId="6433" xr:uid="{00000000-0005-0000-0000-0000D9730000}"/>
    <cellStyle name="Normal 5 5 6 5 2" xfId="15260" xr:uid="{00000000-0005-0000-0000-0000DA730000}"/>
    <cellStyle name="Normal 5 5 6 5 2 2" xfId="40815" xr:uid="{00000000-0005-0000-0000-0000DB730000}"/>
    <cellStyle name="Normal 5 5 6 5 3" xfId="25511" xr:uid="{00000000-0005-0000-0000-0000DC730000}"/>
    <cellStyle name="Normal 5 5 6 5 3 2" xfId="51064" xr:uid="{00000000-0005-0000-0000-0000DD730000}"/>
    <cellStyle name="Normal 5 5 6 5 4" xfId="31994" xr:uid="{00000000-0005-0000-0000-0000DE730000}"/>
    <cellStyle name="Normal 5 5 6 6" xfId="7879" xr:uid="{00000000-0005-0000-0000-0000DF730000}"/>
    <cellStyle name="Normal 5 5 6 6 2" xfId="20260" xr:uid="{00000000-0005-0000-0000-0000E0730000}"/>
    <cellStyle name="Normal 5 5 6 6 2 2" xfId="45813" xr:uid="{00000000-0005-0000-0000-0000E1730000}"/>
    <cellStyle name="Normal 5 5 6 6 3" xfId="33436" xr:uid="{00000000-0005-0000-0000-0000E2730000}"/>
    <cellStyle name="Normal 5 5 6 7" xfId="16771" xr:uid="{00000000-0005-0000-0000-0000E3730000}"/>
    <cellStyle name="Normal 5 5 6 7 2" xfId="42324" xr:uid="{00000000-0005-0000-0000-0000E4730000}"/>
    <cellStyle name="Normal 5 5 6 8" xfId="26743" xr:uid="{00000000-0005-0000-0000-0000E5730000}"/>
    <cellStyle name="Normal 5 5 7" xfId="1082" xr:uid="{00000000-0005-0000-0000-0000E6730000}"/>
    <cellStyle name="Normal 5 5 7 2" xfId="3511" xr:uid="{00000000-0005-0000-0000-0000E7730000}"/>
    <cellStyle name="Normal 5 5 7 2 2" xfId="12647" xr:uid="{00000000-0005-0000-0000-0000E8730000}"/>
    <cellStyle name="Normal 5 5 7 2 2 2" xfId="22866" xr:uid="{00000000-0005-0000-0000-0000E9730000}"/>
    <cellStyle name="Normal 5 5 7 2 2 2 2" xfId="48419" xr:uid="{00000000-0005-0000-0000-0000EA730000}"/>
    <cellStyle name="Normal 5 5 7 2 2 3" xfId="38202" xr:uid="{00000000-0005-0000-0000-0000EB730000}"/>
    <cellStyle name="Normal 5 5 7 2 3" xfId="9069" xr:uid="{00000000-0005-0000-0000-0000EC730000}"/>
    <cellStyle name="Normal 5 5 7 2 3 2" xfId="34626" xr:uid="{00000000-0005-0000-0000-0000ED730000}"/>
    <cellStyle name="Normal 5 5 7 2 4" xfId="17859" xr:uid="{00000000-0005-0000-0000-0000EE730000}"/>
    <cellStyle name="Normal 5 5 7 2 4 2" xfId="43412" xr:uid="{00000000-0005-0000-0000-0000EF730000}"/>
    <cellStyle name="Normal 5 5 7 2 5" xfId="29349" xr:uid="{00000000-0005-0000-0000-0000F0730000}"/>
    <cellStyle name="Normal 5 5 7 3" xfId="5174" xr:uid="{00000000-0005-0000-0000-0000F1730000}"/>
    <cellStyle name="Normal 5 5 7 3 2" xfId="14011" xr:uid="{00000000-0005-0000-0000-0000F2730000}"/>
    <cellStyle name="Normal 5 5 7 3 2 2" xfId="24262" xr:uid="{00000000-0005-0000-0000-0000F3730000}"/>
    <cellStyle name="Normal 5 5 7 3 2 2 2" xfId="49815" xr:uid="{00000000-0005-0000-0000-0000F4730000}"/>
    <cellStyle name="Normal 5 5 7 3 2 3" xfId="39566" xr:uid="{00000000-0005-0000-0000-0000F5730000}"/>
    <cellStyle name="Normal 5 5 7 3 3" xfId="10432" xr:uid="{00000000-0005-0000-0000-0000F6730000}"/>
    <cellStyle name="Normal 5 5 7 3 3 2" xfId="35989" xr:uid="{00000000-0005-0000-0000-0000F7730000}"/>
    <cellStyle name="Normal 5 5 7 3 4" xfId="19255" xr:uid="{00000000-0005-0000-0000-0000F8730000}"/>
    <cellStyle name="Normal 5 5 7 3 4 2" xfId="44808" xr:uid="{00000000-0005-0000-0000-0000F9730000}"/>
    <cellStyle name="Normal 5 5 7 3 5" xfId="30745" xr:uid="{00000000-0005-0000-0000-0000FA730000}"/>
    <cellStyle name="Normal 5 5 7 4" xfId="1740" xr:uid="{00000000-0005-0000-0000-0000FB730000}"/>
    <cellStyle name="Normal 5 5 7 4 2" xfId="11111" xr:uid="{00000000-0005-0000-0000-0000FC730000}"/>
    <cellStyle name="Normal 5 5 7 4 2 2" xfId="36666" xr:uid="{00000000-0005-0000-0000-0000FD730000}"/>
    <cellStyle name="Normal 5 5 7 4 3" xfId="21115" xr:uid="{00000000-0005-0000-0000-0000FE730000}"/>
    <cellStyle name="Normal 5 5 7 4 3 2" xfId="46668" xr:uid="{00000000-0005-0000-0000-0000FF730000}"/>
    <cellStyle name="Normal 5 5 7 4 4" xfId="27598" xr:uid="{00000000-0005-0000-0000-000000740000}"/>
    <cellStyle name="Normal 5 5 7 5" xfId="6629" xr:uid="{00000000-0005-0000-0000-000001740000}"/>
    <cellStyle name="Normal 5 5 7 5 2" xfId="15456" xr:uid="{00000000-0005-0000-0000-000002740000}"/>
    <cellStyle name="Normal 5 5 7 5 2 2" xfId="41011" xr:uid="{00000000-0005-0000-0000-000003740000}"/>
    <cellStyle name="Normal 5 5 7 5 3" xfId="25707" xr:uid="{00000000-0005-0000-0000-000004740000}"/>
    <cellStyle name="Normal 5 5 7 5 3 2" xfId="51260" xr:uid="{00000000-0005-0000-0000-000005740000}"/>
    <cellStyle name="Normal 5 5 7 5 4" xfId="32190" xr:uid="{00000000-0005-0000-0000-000006740000}"/>
    <cellStyle name="Normal 5 5 7 6" xfId="8075" xr:uid="{00000000-0005-0000-0000-000007740000}"/>
    <cellStyle name="Normal 5 5 7 6 2" xfId="20465" xr:uid="{00000000-0005-0000-0000-000008740000}"/>
    <cellStyle name="Normal 5 5 7 6 2 2" xfId="46018" xr:uid="{00000000-0005-0000-0000-000009740000}"/>
    <cellStyle name="Normal 5 5 7 6 3" xfId="33632" xr:uid="{00000000-0005-0000-0000-00000A740000}"/>
    <cellStyle name="Normal 5 5 7 7" xfId="16108" xr:uid="{00000000-0005-0000-0000-00000B740000}"/>
    <cellStyle name="Normal 5 5 7 7 2" xfId="41661" xr:uid="{00000000-0005-0000-0000-00000C740000}"/>
    <cellStyle name="Normal 5 5 7 8" xfId="26948" xr:uid="{00000000-0005-0000-0000-00000D740000}"/>
    <cellStyle name="Normal 5 5 8" xfId="2638" xr:uid="{00000000-0005-0000-0000-00000E740000}"/>
    <cellStyle name="Normal 5 5 8 2" xfId="5586" xr:uid="{00000000-0005-0000-0000-00000F740000}"/>
    <cellStyle name="Normal 5 5 8 2 2" xfId="14413" xr:uid="{00000000-0005-0000-0000-000010740000}"/>
    <cellStyle name="Normal 5 5 8 2 2 2" xfId="39968" xr:uid="{00000000-0005-0000-0000-000011740000}"/>
    <cellStyle name="Normal 5 5 8 2 3" xfId="24664" xr:uid="{00000000-0005-0000-0000-000012740000}"/>
    <cellStyle name="Normal 5 5 8 2 3 2" xfId="50217" xr:uid="{00000000-0005-0000-0000-000013740000}"/>
    <cellStyle name="Normal 5 5 8 2 4" xfId="31147" xr:uid="{00000000-0005-0000-0000-000014740000}"/>
    <cellStyle name="Normal 5 5 8 3" xfId="7030" xr:uid="{00000000-0005-0000-0000-000015740000}"/>
    <cellStyle name="Normal 5 5 8 3 2" xfId="21999" xr:uid="{00000000-0005-0000-0000-000016740000}"/>
    <cellStyle name="Normal 5 5 8 3 2 2" xfId="47552" xr:uid="{00000000-0005-0000-0000-000017740000}"/>
    <cellStyle name="Normal 5 5 8 3 3" xfId="32587" xr:uid="{00000000-0005-0000-0000-000018740000}"/>
    <cellStyle name="Normal 5 5 8 4" xfId="16992" xr:uid="{00000000-0005-0000-0000-000019740000}"/>
    <cellStyle name="Normal 5 5 8 4 2" xfId="42545" xr:uid="{00000000-0005-0000-0000-00001A740000}"/>
    <cellStyle name="Normal 5 5 8 5" xfId="28482" xr:uid="{00000000-0005-0000-0000-00001B740000}"/>
    <cellStyle name="Normal 5 5 9" xfId="4128" xr:uid="{00000000-0005-0000-0000-00001C740000}"/>
    <cellStyle name="Normal 5 5 9 2" xfId="12966" xr:uid="{00000000-0005-0000-0000-00001D740000}"/>
    <cellStyle name="Normal 5 5 9 2 2" xfId="23217" xr:uid="{00000000-0005-0000-0000-00001E740000}"/>
    <cellStyle name="Normal 5 5 9 2 2 2" xfId="48770" xr:uid="{00000000-0005-0000-0000-00001F740000}"/>
    <cellStyle name="Normal 5 5 9 2 3" xfId="38521" xr:uid="{00000000-0005-0000-0000-000020740000}"/>
    <cellStyle name="Normal 5 5 9 3" xfId="9387" xr:uid="{00000000-0005-0000-0000-000021740000}"/>
    <cellStyle name="Normal 5 5 9 3 2" xfId="34944" xr:uid="{00000000-0005-0000-0000-000022740000}"/>
    <cellStyle name="Normal 5 5 9 4" xfId="18210" xr:uid="{00000000-0005-0000-0000-000023740000}"/>
    <cellStyle name="Normal 5 5 9 4 2" xfId="43763" xr:uid="{00000000-0005-0000-0000-000024740000}"/>
    <cellStyle name="Normal 5 5 9 5" xfId="29700" xr:uid="{00000000-0005-0000-0000-000025740000}"/>
    <cellStyle name="Normal 5 5_Degree data" xfId="3824" xr:uid="{00000000-0005-0000-0000-000026740000}"/>
    <cellStyle name="Normal 5 6" xfId="175" xr:uid="{00000000-0005-0000-0000-000027740000}"/>
    <cellStyle name="Normal 5 6 10" xfId="7123" xr:uid="{00000000-0005-0000-0000-000028740000}"/>
    <cellStyle name="Normal 5 6 10 2" xfId="19632" xr:uid="{00000000-0005-0000-0000-000029740000}"/>
    <cellStyle name="Normal 5 6 10 2 2" xfId="45185" xr:uid="{00000000-0005-0000-0000-00002A740000}"/>
    <cellStyle name="Normal 5 6 10 3" xfId="32680" xr:uid="{00000000-0005-0000-0000-00002B740000}"/>
    <cellStyle name="Normal 5 6 11" xfId="15869" xr:uid="{00000000-0005-0000-0000-00002C740000}"/>
    <cellStyle name="Normal 5 6 11 2" xfId="41422" xr:uid="{00000000-0005-0000-0000-00002D740000}"/>
    <cellStyle name="Normal 5 6 12" xfId="26115" xr:uid="{00000000-0005-0000-0000-00002E740000}"/>
    <cellStyle name="Normal 5 6 2" xfId="503" xr:uid="{00000000-0005-0000-0000-00002F740000}"/>
    <cellStyle name="Normal 5 6 2 10" xfId="26432" xr:uid="{00000000-0005-0000-0000-000030740000}"/>
    <cellStyle name="Normal 5 6 2 2" xfId="822" xr:uid="{00000000-0005-0000-0000-000031740000}"/>
    <cellStyle name="Normal 5 6 2 2 2" xfId="3307" xr:uid="{00000000-0005-0000-0000-000032740000}"/>
    <cellStyle name="Normal 5 6 2 2 2 2" xfId="12449" xr:uid="{00000000-0005-0000-0000-000033740000}"/>
    <cellStyle name="Normal 5 6 2 2 2 2 2" xfId="22668" xr:uid="{00000000-0005-0000-0000-000034740000}"/>
    <cellStyle name="Normal 5 6 2 2 2 2 2 2" xfId="48221" xr:uid="{00000000-0005-0000-0000-000035740000}"/>
    <cellStyle name="Normal 5 6 2 2 2 2 3" xfId="38004" xr:uid="{00000000-0005-0000-0000-000036740000}"/>
    <cellStyle name="Normal 5 6 2 2 2 3" xfId="8871" xr:uid="{00000000-0005-0000-0000-000037740000}"/>
    <cellStyle name="Normal 5 6 2 2 2 3 2" xfId="34428" xr:uid="{00000000-0005-0000-0000-000038740000}"/>
    <cellStyle name="Normal 5 6 2 2 2 4" xfId="17661" xr:uid="{00000000-0005-0000-0000-000039740000}"/>
    <cellStyle name="Normal 5 6 2 2 2 4 2" xfId="43214" xr:uid="{00000000-0005-0000-0000-00003A740000}"/>
    <cellStyle name="Normal 5 6 2 2 2 5" xfId="29151" xr:uid="{00000000-0005-0000-0000-00003B740000}"/>
    <cellStyle name="Normal 5 6 2 2 3" xfId="4636" xr:uid="{00000000-0005-0000-0000-00003C740000}"/>
    <cellStyle name="Normal 5 6 2 2 3 2" xfId="13474" xr:uid="{00000000-0005-0000-0000-00003D740000}"/>
    <cellStyle name="Normal 5 6 2 2 3 2 2" xfId="23725" xr:uid="{00000000-0005-0000-0000-00003E740000}"/>
    <cellStyle name="Normal 5 6 2 2 3 2 2 2" xfId="49278" xr:uid="{00000000-0005-0000-0000-00003F740000}"/>
    <cellStyle name="Normal 5 6 2 2 3 2 3" xfId="39029" xr:uid="{00000000-0005-0000-0000-000040740000}"/>
    <cellStyle name="Normal 5 6 2 2 3 3" xfId="9895" xr:uid="{00000000-0005-0000-0000-000041740000}"/>
    <cellStyle name="Normal 5 6 2 2 3 3 2" xfId="35452" xr:uid="{00000000-0005-0000-0000-000042740000}"/>
    <cellStyle name="Normal 5 6 2 2 3 4" xfId="18718" xr:uid="{00000000-0005-0000-0000-000043740000}"/>
    <cellStyle name="Normal 5 6 2 2 3 4 2" xfId="44271" xr:uid="{00000000-0005-0000-0000-000044740000}"/>
    <cellStyle name="Normal 5 6 2 2 3 5" xfId="30208" xr:uid="{00000000-0005-0000-0000-000045740000}"/>
    <cellStyle name="Normal 5 6 2 2 4" xfId="2416" xr:uid="{00000000-0005-0000-0000-000046740000}"/>
    <cellStyle name="Normal 5 6 2 2 4 2" xfId="11781" xr:uid="{00000000-0005-0000-0000-000047740000}"/>
    <cellStyle name="Normal 5 6 2 2 4 2 2" xfId="37336" xr:uid="{00000000-0005-0000-0000-000048740000}"/>
    <cellStyle name="Normal 5 6 2 2 4 3" xfId="21785" xr:uid="{00000000-0005-0000-0000-000049740000}"/>
    <cellStyle name="Normal 5 6 2 2 4 3 2" xfId="47338" xr:uid="{00000000-0005-0000-0000-00004A740000}"/>
    <cellStyle name="Normal 5 6 2 2 4 4" xfId="28268" xr:uid="{00000000-0005-0000-0000-00004B740000}"/>
    <cellStyle name="Normal 5 6 2 2 5" xfId="6092" xr:uid="{00000000-0005-0000-0000-00004C740000}"/>
    <cellStyle name="Normal 5 6 2 2 5 2" xfId="14919" xr:uid="{00000000-0005-0000-0000-00004D740000}"/>
    <cellStyle name="Normal 5 6 2 2 5 2 2" xfId="40474" xr:uid="{00000000-0005-0000-0000-00004E740000}"/>
    <cellStyle name="Normal 5 6 2 2 5 3" xfId="25170" xr:uid="{00000000-0005-0000-0000-00004F740000}"/>
    <cellStyle name="Normal 5 6 2 2 5 3 2" xfId="50723" xr:uid="{00000000-0005-0000-0000-000050740000}"/>
    <cellStyle name="Normal 5 6 2 2 5 4" xfId="31653" xr:uid="{00000000-0005-0000-0000-000051740000}"/>
    <cellStyle name="Normal 5 6 2 2 6" xfId="7537" xr:uid="{00000000-0005-0000-0000-000052740000}"/>
    <cellStyle name="Normal 5 6 2 2 6 2" xfId="20267" xr:uid="{00000000-0005-0000-0000-000053740000}"/>
    <cellStyle name="Normal 5 6 2 2 6 2 2" xfId="45820" xr:uid="{00000000-0005-0000-0000-000054740000}"/>
    <cellStyle name="Normal 5 6 2 2 6 3" xfId="33094" xr:uid="{00000000-0005-0000-0000-000055740000}"/>
    <cellStyle name="Normal 5 6 2 2 7" xfId="16778" xr:uid="{00000000-0005-0000-0000-000056740000}"/>
    <cellStyle name="Normal 5 6 2 2 7 2" xfId="42331" xr:uid="{00000000-0005-0000-0000-000057740000}"/>
    <cellStyle name="Normal 5 6 2 2 8" xfId="26750" xr:uid="{00000000-0005-0000-0000-000058740000}"/>
    <cellStyle name="Normal 5 6 2 3" xfId="1275" xr:uid="{00000000-0005-0000-0000-000059740000}"/>
    <cellStyle name="Normal 5 6 2 3 2" xfId="3704" xr:uid="{00000000-0005-0000-0000-00005A740000}"/>
    <cellStyle name="Normal 5 6 2 3 2 2" xfId="12840" xr:uid="{00000000-0005-0000-0000-00005B740000}"/>
    <cellStyle name="Normal 5 6 2 3 2 2 2" xfId="23059" xr:uid="{00000000-0005-0000-0000-00005C740000}"/>
    <cellStyle name="Normal 5 6 2 3 2 2 2 2" xfId="48612" xr:uid="{00000000-0005-0000-0000-00005D740000}"/>
    <cellStyle name="Normal 5 6 2 3 2 2 3" xfId="38395" xr:uid="{00000000-0005-0000-0000-00005E740000}"/>
    <cellStyle name="Normal 5 6 2 3 2 3" xfId="9261" xr:uid="{00000000-0005-0000-0000-00005F740000}"/>
    <cellStyle name="Normal 5 6 2 3 2 3 2" xfId="34818" xr:uid="{00000000-0005-0000-0000-000060740000}"/>
    <cellStyle name="Normal 5 6 2 3 2 4" xfId="18052" xr:uid="{00000000-0005-0000-0000-000061740000}"/>
    <cellStyle name="Normal 5 6 2 3 2 4 2" xfId="43605" xr:uid="{00000000-0005-0000-0000-000062740000}"/>
    <cellStyle name="Normal 5 6 2 3 2 5" xfId="29542" xr:uid="{00000000-0005-0000-0000-000063740000}"/>
    <cellStyle name="Normal 5 6 2 3 3" xfId="4985" xr:uid="{00000000-0005-0000-0000-000064740000}"/>
    <cellStyle name="Normal 5 6 2 3 3 2" xfId="13822" xr:uid="{00000000-0005-0000-0000-000065740000}"/>
    <cellStyle name="Normal 5 6 2 3 3 2 2" xfId="24073" xr:uid="{00000000-0005-0000-0000-000066740000}"/>
    <cellStyle name="Normal 5 6 2 3 3 2 2 2" xfId="49626" xr:uid="{00000000-0005-0000-0000-000067740000}"/>
    <cellStyle name="Normal 5 6 2 3 3 2 3" xfId="39377" xr:uid="{00000000-0005-0000-0000-000068740000}"/>
    <cellStyle name="Normal 5 6 2 3 3 3" xfId="10243" xr:uid="{00000000-0005-0000-0000-000069740000}"/>
    <cellStyle name="Normal 5 6 2 3 3 3 2" xfId="35800" xr:uid="{00000000-0005-0000-0000-00006A740000}"/>
    <cellStyle name="Normal 5 6 2 3 3 4" xfId="19066" xr:uid="{00000000-0005-0000-0000-00006B740000}"/>
    <cellStyle name="Normal 5 6 2 3 3 4 2" xfId="44619" xr:uid="{00000000-0005-0000-0000-00006C740000}"/>
    <cellStyle name="Normal 5 6 2 3 3 5" xfId="30556" xr:uid="{00000000-0005-0000-0000-00006D740000}"/>
    <cellStyle name="Normal 5 6 2 3 4" xfId="2098" xr:uid="{00000000-0005-0000-0000-00006E740000}"/>
    <cellStyle name="Normal 5 6 2 3 4 2" xfId="11463" xr:uid="{00000000-0005-0000-0000-00006F740000}"/>
    <cellStyle name="Normal 5 6 2 3 4 2 2" xfId="37018" xr:uid="{00000000-0005-0000-0000-000070740000}"/>
    <cellStyle name="Normal 5 6 2 3 4 3" xfId="21467" xr:uid="{00000000-0005-0000-0000-000071740000}"/>
    <cellStyle name="Normal 5 6 2 3 4 3 2" xfId="47020" xr:uid="{00000000-0005-0000-0000-000072740000}"/>
    <cellStyle name="Normal 5 6 2 3 4 4" xfId="27950" xr:uid="{00000000-0005-0000-0000-000073740000}"/>
    <cellStyle name="Normal 5 6 2 3 5" xfId="6440" xr:uid="{00000000-0005-0000-0000-000074740000}"/>
    <cellStyle name="Normal 5 6 2 3 5 2" xfId="15267" xr:uid="{00000000-0005-0000-0000-000075740000}"/>
    <cellStyle name="Normal 5 6 2 3 5 2 2" xfId="40822" xr:uid="{00000000-0005-0000-0000-000076740000}"/>
    <cellStyle name="Normal 5 6 2 3 5 3" xfId="25518" xr:uid="{00000000-0005-0000-0000-000077740000}"/>
    <cellStyle name="Normal 5 6 2 3 5 3 2" xfId="51071" xr:uid="{00000000-0005-0000-0000-000078740000}"/>
    <cellStyle name="Normal 5 6 2 3 5 4" xfId="32001" xr:uid="{00000000-0005-0000-0000-000079740000}"/>
    <cellStyle name="Normal 5 6 2 3 6" xfId="7886" xr:uid="{00000000-0005-0000-0000-00007A740000}"/>
    <cellStyle name="Normal 5 6 2 3 6 2" xfId="20658" xr:uid="{00000000-0005-0000-0000-00007B740000}"/>
    <cellStyle name="Normal 5 6 2 3 6 2 2" xfId="46211" xr:uid="{00000000-0005-0000-0000-00007C740000}"/>
    <cellStyle name="Normal 5 6 2 3 6 3" xfId="33443" xr:uid="{00000000-0005-0000-0000-00007D740000}"/>
    <cellStyle name="Normal 5 6 2 3 7" xfId="16460" xr:uid="{00000000-0005-0000-0000-00007E740000}"/>
    <cellStyle name="Normal 5 6 2 3 7 2" xfId="42013" xr:uid="{00000000-0005-0000-0000-00007F740000}"/>
    <cellStyle name="Normal 5 6 2 3 8" xfId="27141" xr:uid="{00000000-0005-0000-0000-000080740000}"/>
    <cellStyle name="Normal 5 6 2 4" xfId="2989" xr:uid="{00000000-0005-0000-0000-000081740000}"/>
    <cellStyle name="Normal 5 6 2 4 2" xfId="5367" xr:uid="{00000000-0005-0000-0000-000082740000}"/>
    <cellStyle name="Normal 5 6 2 4 2 2" xfId="14204" xr:uid="{00000000-0005-0000-0000-000083740000}"/>
    <cellStyle name="Normal 5 6 2 4 2 2 2" xfId="24455" xr:uid="{00000000-0005-0000-0000-000084740000}"/>
    <cellStyle name="Normal 5 6 2 4 2 2 2 2" xfId="50008" xr:uid="{00000000-0005-0000-0000-000085740000}"/>
    <cellStyle name="Normal 5 6 2 4 2 2 3" xfId="39759" xr:uid="{00000000-0005-0000-0000-000086740000}"/>
    <cellStyle name="Normal 5 6 2 4 2 3" xfId="10625" xr:uid="{00000000-0005-0000-0000-000087740000}"/>
    <cellStyle name="Normal 5 6 2 4 2 3 2" xfId="36182" xr:uid="{00000000-0005-0000-0000-000088740000}"/>
    <cellStyle name="Normal 5 6 2 4 2 4" xfId="19448" xr:uid="{00000000-0005-0000-0000-000089740000}"/>
    <cellStyle name="Normal 5 6 2 4 2 4 2" xfId="45001" xr:uid="{00000000-0005-0000-0000-00008A740000}"/>
    <cellStyle name="Normal 5 6 2 4 2 5" xfId="30938" xr:uid="{00000000-0005-0000-0000-00008B740000}"/>
    <cellStyle name="Normal 5 6 2 4 3" xfId="6822" xr:uid="{00000000-0005-0000-0000-00008C740000}"/>
    <cellStyle name="Normal 5 6 2 4 3 2" xfId="15649" xr:uid="{00000000-0005-0000-0000-00008D740000}"/>
    <cellStyle name="Normal 5 6 2 4 3 2 2" xfId="41204" xr:uid="{00000000-0005-0000-0000-00008E740000}"/>
    <cellStyle name="Normal 5 6 2 4 3 3" xfId="25900" xr:uid="{00000000-0005-0000-0000-00008F740000}"/>
    <cellStyle name="Normal 5 6 2 4 3 3 2" xfId="51453" xr:uid="{00000000-0005-0000-0000-000090740000}"/>
    <cellStyle name="Normal 5 6 2 4 3 4" xfId="32383" xr:uid="{00000000-0005-0000-0000-000091740000}"/>
    <cellStyle name="Normal 5 6 2 4 4" xfId="8268" xr:uid="{00000000-0005-0000-0000-000092740000}"/>
    <cellStyle name="Normal 5 6 2 4 4 2" xfId="22350" xr:uid="{00000000-0005-0000-0000-000093740000}"/>
    <cellStyle name="Normal 5 6 2 4 4 2 2" xfId="47903" xr:uid="{00000000-0005-0000-0000-000094740000}"/>
    <cellStyle name="Normal 5 6 2 4 4 3" xfId="33825" xr:uid="{00000000-0005-0000-0000-000095740000}"/>
    <cellStyle name="Normal 5 6 2 4 5" xfId="17343" xr:uid="{00000000-0005-0000-0000-000096740000}"/>
    <cellStyle name="Normal 5 6 2 4 5 2" xfId="42896" xr:uid="{00000000-0005-0000-0000-000097740000}"/>
    <cellStyle name="Normal 5 6 2 4 6" xfId="28833" xr:uid="{00000000-0005-0000-0000-000098740000}"/>
    <cellStyle name="Normal 5 6 2 5" xfId="4323" xr:uid="{00000000-0005-0000-0000-000099740000}"/>
    <cellStyle name="Normal 5 6 2 5 2" xfId="13161" xr:uid="{00000000-0005-0000-0000-00009A740000}"/>
    <cellStyle name="Normal 5 6 2 5 2 2" xfId="23412" xr:uid="{00000000-0005-0000-0000-00009B740000}"/>
    <cellStyle name="Normal 5 6 2 5 2 2 2" xfId="48965" xr:uid="{00000000-0005-0000-0000-00009C740000}"/>
    <cellStyle name="Normal 5 6 2 5 2 3" xfId="38716" xr:uid="{00000000-0005-0000-0000-00009D740000}"/>
    <cellStyle name="Normal 5 6 2 5 3" xfId="9582" xr:uid="{00000000-0005-0000-0000-00009E740000}"/>
    <cellStyle name="Normal 5 6 2 5 3 2" xfId="35139" xr:uid="{00000000-0005-0000-0000-00009F740000}"/>
    <cellStyle name="Normal 5 6 2 5 4" xfId="18405" xr:uid="{00000000-0005-0000-0000-0000A0740000}"/>
    <cellStyle name="Normal 5 6 2 5 4 2" xfId="43958" xr:uid="{00000000-0005-0000-0000-0000A1740000}"/>
    <cellStyle name="Normal 5 6 2 5 5" xfId="29895" xr:uid="{00000000-0005-0000-0000-0000A2740000}"/>
    <cellStyle name="Normal 5 6 2 6" xfId="1595" xr:uid="{00000000-0005-0000-0000-0000A3740000}"/>
    <cellStyle name="Normal 5 6 2 6 2" xfId="10972" xr:uid="{00000000-0005-0000-0000-0000A4740000}"/>
    <cellStyle name="Normal 5 6 2 6 2 2" xfId="36527" xr:uid="{00000000-0005-0000-0000-0000A5740000}"/>
    <cellStyle name="Normal 5 6 2 6 3" xfId="20976" xr:uid="{00000000-0005-0000-0000-0000A6740000}"/>
    <cellStyle name="Normal 5 6 2 6 3 2" xfId="46529" xr:uid="{00000000-0005-0000-0000-0000A7740000}"/>
    <cellStyle name="Normal 5 6 2 6 4" xfId="27459" xr:uid="{00000000-0005-0000-0000-0000A8740000}"/>
    <cellStyle name="Normal 5 6 2 7" xfId="5779" xr:uid="{00000000-0005-0000-0000-0000A9740000}"/>
    <cellStyle name="Normal 5 6 2 7 2" xfId="14606" xr:uid="{00000000-0005-0000-0000-0000AA740000}"/>
    <cellStyle name="Normal 5 6 2 7 2 2" xfId="40161" xr:uid="{00000000-0005-0000-0000-0000AB740000}"/>
    <cellStyle name="Normal 5 6 2 7 3" xfId="24857" xr:uid="{00000000-0005-0000-0000-0000AC740000}"/>
    <cellStyle name="Normal 5 6 2 7 3 2" xfId="50410" xr:uid="{00000000-0005-0000-0000-0000AD740000}"/>
    <cellStyle name="Normal 5 6 2 7 4" xfId="31340" xr:uid="{00000000-0005-0000-0000-0000AE740000}"/>
    <cellStyle name="Normal 5 6 2 8" xfId="7223" xr:uid="{00000000-0005-0000-0000-0000AF740000}"/>
    <cellStyle name="Normal 5 6 2 8 2" xfId="19949" xr:uid="{00000000-0005-0000-0000-0000B0740000}"/>
    <cellStyle name="Normal 5 6 2 8 2 2" xfId="45502" xr:uid="{00000000-0005-0000-0000-0000B1740000}"/>
    <cellStyle name="Normal 5 6 2 8 3" xfId="32780" xr:uid="{00000000-0005-0000-0000-0000B2740000}"/>
    <cellStyle name="Normal 5 6 2 9" xfId="15969" xr:uid="{00000000-0005-0000-0000-0000B3740000}"/>
    <cellStyle name="Normal 5 6 2 9 2" xfId="41522" xr:uid="{00000000-0005-0000-0000-0000B4740000}"/>
    <cellStyle name="Normal 5 6 2_Degree data" xfId="3860" xr:uid="{00000000-0005-0000-0000-0000B5740000}"/>
    <cellStyle name="Normal 5 6 3" xfId="403" xr:uid="{00000000-0005-0000-0000-0000B6740000}"/>
    <cellStyle name="Normal 5 6 3 2" xfId="2889" xr:uid="{00000000-0005-0000-0000-0000B7740000}"/>
    <cellStyle name="Normal 5 6 3 2 2" xfId="12177" xr:uid="{00000000-0005-0000-0000-0000B8740000}"/>
    <cellStyle name="Normal 5 6 3 2 2 2" xfId="22250" xr:uid="{00000000-0005-0000-0000-0000B9740000}"/>
    <cellStyle name="Normal 5 6 3 2 2 2 2" xfId="47803" xr:uid="{00000000-0005-0000-0000-0000BA740000}"/>
    <cellStyle name="Normal 5 6 3 2 2 3" xfId="37732" xr:uid="{00000000-0005-0000-0000-0000BB740000}"/>
    <cellStyle name="Normal 5 6 3 2 3" xfId="8453" xr:uid="{00000000-0005-0000-0000-0000BC740000}"/>
    <cellStyle name="Normal 5 6 3 2 3 2" xfId="34010" xr:uid="{00000000-0005-0000-0000-0000BD740000}"/>
    <cellStyle name="Normal 5 6 3 2 4" xfId="17243" xr:uid="{00000000-0005-0000-0000-0000BE740000}"/>
    <cellStyle name="Normal 5 6 3 2 4 2" xfId="42796" xr:uid="{00000000-0005-0000-0000-0000BF740000}"/>
    <cellStyle name="Normal 5 6 3 2 5" xfId="28733" xr:uid="{00000000-0005-0000-0000-0000C0740000}"/>
    <cellStyle name="Normal 5 6 3 3" xfId="4635" xr:uid="{00000000-0005-0000-0000-0000C1740000}"/>
    <cellStyle name="Normal 5 6 3 3 2" xfId="13473" xr:uid="{00000000-0005-0000-0000-0000C2740000}"/>
    <cellStyle name="Normal 5 6 3 3 2 2" xfId="23724" xr:uid="{00000000-0005-0000-0000-0000C3740000}"/>
    <cellStyle name="Normal 5 6 3 3 2 2 2" xfId="49277" xr:uid="{00000000-0005-0000-0000-0000C4740000}"/>
    <cellStyle name="Normal 5 6 3 3 2 3" xfId="39028" xr:uid="{00000000-0005-0000-0000-0000C5740000}"/>
    <cellStyle name="Normal 5 6 3 3 3" xfId="9894" xr:uid="{00000000-0005-0000-0000-0000C6740000}"/>
    <cellStyle name="Normal 5 6 3 3 3 2" xfId="35451" xr:uid="{00000000-0005-0000-0000-0000C7740000}"/>
    <cellStyle name="Normal 5 6 3 3 4" xfId="18717" xr:uid="{00000000-0005-0000-0000-0000C8740000}"/>
    <cellStyle name="Normal 5 6 3 3 4 2" xfId="44270" xr:uid="{00000000-0005-0000-0000-0000C9740000}"/>
    <cellStyle name="Normal 5 6 3 3 5" xfId="30207" xr:uid="{00000000-0005-0000-0000-0000CA740000}"/>
    <cellStyle name="Normal 5 6 3 4" xfId="1998" xr:uid="{00000000-0005-0000-0000-0000CB740000}"/>
    <cellStyle name="Normal 5 6 3 4 2" xfId="11363" xr:uid="{00000000-0005-0000-0000-0000CC740000}"/>
    <cellStyle name="Normal 5 6 3 4 2 2" xfId="36918" xr:uid="{00000000-0005-0000-0000-0000CD740000}"/>
    <cellStyle name="Normal 5 6 3 4 3" xfId="21367" xr:uid="{00000000-0005-0000-0000-0000CE740000}"/>
    <cellStyle name="Normal 5 6 3 4 3 2" xfId="46920" xr:uid="{00000000-0005-0000-0000-0000CF740000}"/>
    <cellStyle name="Normal 5 6 3 4 4" xfId="27850" xr:uid="{00000000-0005-0000-0000-0000D0740000}"/>
    <cellStyle name="Normal 5 6 3 5" xfId="6091" xr:uid="{00000000-0005-0000-0000-0000D1740000}"/>
    <cellStyle name="Normal 5 6 3 5 2" xfId="14918" xr:uid="{00000000-0005-0000-0000-0000D2740000}"/>
    <cellStyle name="Normal 5 6 3 5 2 2" xfId="40473" xr:uid="{00000000-0005-0000-0000-0000D3740000}"/>
    <cellStyle name="Normal 5 6 3 5 3" xfId="25169" xr:uid="{00000000-0005-0000-0000-0000D4740000}"/>
    <cellStyle name="Normal 5 6 3 5 3 2" xfId="50722" xr:uid="{00000000-0005-0000-0000-0000D5740000}"/>
    <cellStyle name="Normal 5 6 3 5 4" xfId="31652" xr:uid="{00000000-0005-0000-0000-0000D6740000}"/>
    <cellStyle name="Normal 5 6 3 6" xfId="7536" xr:uid="{00000000-0005-0000-0000-0000D7740000}"/>
    <cellStyle name="Normal 5 6 3 6 2" xfId="19849" xr:uid="{00000000-0005-0000-0000-0000D8740000}"/>
    <cellStyle name="Normal 5 6 3 6 2 2" xfId="45402" xr:uid="{00000000-0005-0000-0000-0000D9740000}"/>
    <cellStyle name="Normal 5 6 3 6 3" xfId="33093" xr:uid="{00000000-0005-0000-0000-0000DA740000}"/>
    <cellStyle name="Normal 5 6 3 7" xfId="16360" xr:uid="{00000000-0005-0000-0000-0000DB740000}"/>
    <cellStyle name="Normal 5 6 3 7 2" xfId="41913" xr:uid="{00000000-0005-0000-0000-0000DC740000}"/>
    <cellStyle name="Normal 5 6 3 8" xfId="26332" xr:uid="{00000000-0005-0000-0000-0000DD740000}"/>
    <cellStyle name="Normal 5 6 4" xfId="821" xr:uid="{00000000-0005-0000-0000-0000DE740000}"/>
    <cellStyle name="Normal 5 6 4 2" xfId="3306" xr:uid="{00000000-0005-0000-0000-0000DF740000}"/>
    <cellStyle name="Normal 5 6 4 2 2" xfId="12448" xr:uid="{00000000-0005-0000-0000-0000E0740000}"/>
    <cellStyle name="Normal 5 6 4 2 2 2" xfId="22667" xr:uid="{00000000-0005-0000-0000-0000E1740000}"/>
    <cellStyle name="Normal 5 6 4 2 2 2 2" xfId="48220" xr:uid="{00000000-0005-0000-0000-0000E2740000}"/>
    <cellStyle name="Normal 5 6 4 2 2 3" xfId="38003" xr:uid="{00000000-0005-0000-0000-0000E3740000}"/>
    <cellStyle name="Normal 5 6 4 2 3" xfId="8870" xr:uid="{00000000-0005-0000-0000-0000E4740000}"/>
    <cellStyle name="Normal 5 6 4 2 3 2" xfId="34427" xr:uid="{00000000-0005-0000-0000-0000E5740000}"/>
    <cellStyle name="Normal 5 6 4 2 4" xfId="17660" xr:uid="{00000000-0005-0000-0000-0000E6740000}"/>
    <cellStyle name="Normal 5 6 4 2 4 2" xfId="43213" xr:uid="{00000000-0005-0000-0000-0000E7740000}"/>
    <cellStyle name="Normal 5 6 4 2 5" xfId="29150" xr:uid="{00000000-0005-0000-0000-0000E8740000}"/>
    <cellStyle name="Normal 5 6 4 3" xfId="4984" xr:uid="{00000000-0005-0000-0000-0000E9740000}"/>
    <cellStyle name="Normal 5 6 4 3 2" xfId="13821" xr:uid="{00000000-0005-0000-0000-0000EA740000}"/>
    <cellStyle name="Normal 5 6 4 3 2 2" xfId="24072" xr:uid="{00000000-0005-0000-0000-0000EB740000}"/>
    <cellStyle name="Normal 5 6 4 3 2 2 2" xfId="49625" xr:uid="{00000000-0005-0000-0000-0000EC740000}"/>
    <cellStyle name="Normal 5 6 4 3 2 3" xfId="39376" xr:uid="{00000000-0005-0000-0000-0000ED740000}"/>
    <cellStyle name="Normal 5 6 4 3 3" xfId="10242" xr:uid="{00000000-0005-0000-0000-0000EE740000}"/>
    <cellStyle name="Normal 5 6 4 3 3 2" xfId="35799" xr:uid="{00000000-0005-0000-0000-0000EF740000}"/>
    <cellStyle name="Normal 5 6 4 3 4" xfId="19065" xr:uid="{00000000-0005-0000-0000-0000F0740000}"/>
    <cellStyle name="Normal 5 6 4 3 4 2" xfId="44618" xr:uid="{00000000-0005-0000-0000-0000F1740000}"/>
    <cellStyle name="Normal 5 6 4 3 5" xfId="30555" xr:uid="{00000000-0005-0000-0000-0000F2740000}"/>
    <cellStyle name="Normal 5 6 4 4" xfId="2415" xr:uid="{00000000-0005-0000-0000-0000F3740000}"/>
    <cellStyle name="Normal 5 6 4 4 2" xfId="11780" xr:uid="{00000000-0005-0000-0000-0000F4740000}"/>
    <cellStyle name="Normal 5 6 4 4 2 2" xfId="37335" xr:uid="{00000000-0005-0000-0000-0000F5740000}"/>
    <cellStyle name="Normal 5 6 4 4 3" xfId="21784" xr:uid="{00000000-0005-0000-0000-0000F6740000}"/>
    <cellStyle name="Normal 5 6 4 4 3 2" xfId="47337" xr:uid="{00000000-0005-0000-0000-0000F7740000}"/>
    <cellStyle name="Normal 5 6 4 4 4" xfId="28267" xr:uid="{00000000-0005-0000-0000-0000F8740000}"/>
    <cellStyle name="Normal 5 6 4 5" xfId="6439" xr:uid="{00000000-0005-0000-0000-0000F9740000}"/>
    <cellStyle name="Normal 5 6 4 5 2" xfId="15266" xr:uid="{00000000-0005-0000-0000-0000FA740000}"/>
    <cellStyle name="Normal 5 6 4 5 2 2" xfId="40821" xr:uid="{00000000-0005-0000-0000-0000FB740000}"/>
    <cellStyle name="Normal 5 6 4 5 3" xfId="25517" xr:uid="{00000000-0005-0000-0000-0000FC740000}"/>
    <cellStyle name="Normal 5 6 4 5 3 2" xfId="51070" xr:uid="{00000000-0005-0000-0000-0000FD740000}"/>
    <cellStyle name="Normal 5 6 4 5 4" xfId="32000" xr:uid="{00000000-0005-0000-0000-0000FE740000}"/>
    <cellStyle name="Normal 5 6 4 6" xfId="7885" xr:uid="{00000000-0005-0000-0000-0000FF740000}"/>
    <cellStyle name="Normal 5 6 4 6 2" xfId="20266" xr:uid="{00000000-0005-0000-0000-000000750000}"/>
    <cellStyle name="Normal 5 6 4 6 2 2" xfId="45819" xr:uid="{00000000-0005-0000-0000-000001750000}"/>
    <cellStyle name="Normal 5 6 4 6 3" xfId="33442" xr:uid="{00000000-0005-0000-0000-000002750000}"/>
    <cellStyle name="Normal 5 6 4 7" xfId="16777" xr:uid="{00000000-0005-0000-0000-000003750000}"/>
    <cellStyle name="Normal 5 6 4 7 2" xfId="42330" xr:uid="{00000000-0005-0000-0000-000004750000}"/>
    <cellStyle name="Normal 5 6 4 8" xfId="26749" xr:uid="{00000000-0005-0000-0000-000005750000}"/>
    <cellStyle name="Normal 5 6 5" xfId="1175" xr:uid="{00000000-0005-0000-0000-000006750000}"/>
    <cellStyle name="Normal 5 6 5 2" xfId="3604" xr:uid="{00000000-0005-0000-0000-000007750000}"/>
    <cellStyle name="Normal 5 6 5 2 2" xfId="12740" xr:uid="{00000000-0005-0000-0000-000008750000}"/>
    <cellStyle name="Normal 5 6 5 2 2 2" xfId="22959" xr:uid="{00000000-0005-0000-0000-000009750000}"/>
    <cellStyle name="Normal 5 6 5 2 2 2 2" xfId="48512" xr:uid="{00000000-0005-0000-0000-00000A750000}"/>
    <cellStyle name="Normal 5 6 5 2 2 3" xfId="38295" xr:uid="{00000000-0005-0000-0000-00000B750000}"/>
    <cellStyle name="Normal 5 6 5 2 3" xfId="9161" xr:uid="{00000000-0005-0000-0000-00000C750000}"/>
    <cellStyle name="Normal 5 6 5 2 3 2" xfId="34718" xr:uid="{00000000-0005-0000-0000-00000D750000}"/>
    <cellStyle name="Normal 5 6 5 2 4" xfId="17952" xr:uid="{00000000-0005-0000-0000-00000E750000}"/>
    <cellStyle name="Normal 5 6 5 2 4 2" xfId="43505" xr:uid="{00000000-0005-0000-0000-00000F750000}"/>
    <cellStyle name="Normal 5 6 5 2 5" xfId="29442" xr:uid="{00000000-0005-0000-0000-000010750000}"/>
    <cellStyle name="Normal 5 6 5 3" xfId="5267" xr:uid="{00000000-0005-0000-0000-000011750000}"/>
    <cellStyle name="Normal 5 6 5 3 2" xfId="14104" xr:uid="{00000000-0005-0000-0000-000012750000}"/>
    <cellStyle name="Normal 5 6 5 3 2 2" xfId="24355" xr:uid="{00000000-0005-0000-0000-000013750000}"/>
    <cellStyle name="Normal 5 6 5 3 2 2 2" xfId="49908" xr:uid="{00000000-0005-0000-0000-000014750000}"/>
    <cellStyle name="Normal 5 6 5 3 2 3" xfId="39659" xr:uid="{00000000-0005-0000-0000-000015750000}"/>
    <cellStyle name="Normal 5 6 5 3 3" xfId="10525" xr:uid="{00000000-0005-0000-0000-000016750000}"/>
    <cellStyle name="Normal 5 6 5 3 3 2" xfId="36082" xr:uid="{00000000-0005-0000-0000-000017750000}"/>
    <cellStyle name="Normal 5 6 5 3 4" xfId="19348" xr:uid="{00000000-0005-0000-0000-000018750000}"/>
    <cellStyle name="Normal 5 6 5 3 4 2" xfId="44901" xr:uid="{00000000-0005-0000-0000-000019750000}"/>
    <cellStyle name="Normal 5 6 5 3 5" xfId="30838" xr:uid="{00000000-0005-0000-0000-00001A750000}"/>
    <cellStyle name="Normal 5 6 5 4" xfId="1777" xr:uid="{00000000-0005-0000-0000-00001B750000}"/>
    <cellStyle name="Normal 5 6 5 4 2" xfId="11146" xr:uid="{00000000-0005-0000-0000-00001C750000}"/>
    <cellStyle name="Normal 5 6 5 4 2 2" xfId="36701" xr:uid="{00000000-0005-0000-0000-00001D750000}"/>
    <cellStyle name="Normal 5 6 5 4 3" xfId="21150" xr:uid="{00000000-0005-0000-0000-00001E750000}"/>
    <cellStyle name="Normal 5 6 5 4 3 2" xfId="46703" xr:uid="{00000000-0005-0000-0000-00001F750000}"/>
    <cellStyle name="Normal 5 6 5 4 4" xfId="27633" xr:uid="{00000000-0005-0000-0000-000020750000}"/>
    <cellStyle name="Normal 5 6 5 5" xfId="6722" xr:uid="{00000000-0005-0000-0000-000021750000}"/>
    <cellStyle name="Normal 5 6 5 5 2" xfId="15549" xr:uid="{00000000-0005-0000-0000-000022750000}"/>
    <cellStyle name="Normal 5 6 5 5 2 2" xfId="41104" xr:uid="{00000000-0005-0000-0000-000023750000}"/>
    <cellStyle name="Normal 5 6 5 5 3" xfId="25800" xr:uid="{00000000-0005-0000-0000-000024750000}"/>
    <cellStyle name="Normal 5 6 5 5 3 2" xfId="51353" xr:uid="{00000000-0005-0000-0000-000025750000}"/>
    <cellStyle name="Normal 5 6 5 5 4" xfId="32283" xr:uid="{00000000-0005-0000-0000-000026750000}"/>
    <cellStyle name="Normal 5 6 5 6" xfId="8168" xr:uid="{00000000-0005-0000-0000-000027750000}"/>
    <cellStyle name="Normal 5 6 5 6 2" xfId="20558" xr:uid="{00000000-0005-0000-0000-000028750000}"/>
    <cellStyle name="Normal 5 6 5 6 2 2" xfId="46111" xr:uid="{00000000-0005-0000-0000-000029750000}"/>
    <cellStyle name="Normal 5 6 5 6 3" xfId="33725" xr:uid="{00000000-0005-0000-0000-00002A750000}"/>
    <cellStyle name="Normal 5 6 5 7" xfId="16143" xr:uid="{00000000-0005-0000-0000-00002B750000}"/>
    <cellStyle name="Normal 5 6 5 7 2" xfId="41696" xr:uid="{00000000-0005-0000-0000-00002C750000}"/>
    <cellStyle name="Normal 5 6 5 8" xfId="27041" xr:uid="{00000000-0005-0000-0000-00002D750000}"/>
    <cellStyle name="Normal 5 6 6" xfId="2672" xr:uid="{00000000-0005-0000-0000-00002E750000}"/>
    <cellStyle name="Normal 5 6 6 2" xfId="11989" xr:uid="{00000000-0005-0000-0000-00002F750000}"/>
    <cellStyle name="Normal 5 6 6 2 2" xfId="22033" xr:uid="{00000000-0005-0000-0000-000030750000}"/>
    <cellStyle name="Normal 5 6 6 2 2 2" xfId="47586" xr:uid="{00000000-0005-0000-0000-000031750000}"/>
    <cellStyle name="Normal 5 6 6 2 3" xfId="37544" xr:uid="{00000000-0005-0000-0000-000032750000}"/>
    <cellStyle name="Normal 5 6 6 3" xfId="8566" xr:uid="{00000000-0005-0000-0000-000033750000}"/>
    <cellStyle name="Normal 5 6 6 3 2" xfId="34123" xr:uid="{00000000-0005-0000-0000-000034750000}"/>
    <cellStyle name="Normal 5 6 6 4" xfId="17026" xr:uid="{00000000-0005-0000-0000-000035750000}"/>
    <cellStyle name="Normal 5 6 6 4 2" xfId="42579" xr:uid="{00000000-0005-0000-0000-000036750000}"/>
    <cellStyle name="Normal 5 6 6 5" xfId="28516" xr:uid="{00000000-0005-0000-0000-000037750000}"/>
    <cellStyle name="Normal 5 6 7" xfId="4223" xr:uid="{00000000-0005-0000-0000-000038750000}"/>
    <cellStyle name="Normal 5 6 7 2" xfId="13061" xr:uid="{00000000-0005-0000-0000-000039750000}"/>
    <cellStyle name="Normal 5 6 7 2 2" xfId="23312" xr:uid="{00000000-0005-0000-0000-00003A750000}"/>
    <cellStyle name="Normal 5 6 7 2 2 2" xfId="48865" xr:uid="{00000000-0005-0000-0000-00003B750000}"/>
    <cellStyle name="Normal 5 6 7 2 3" xfId="38616" xr:uid="{00000000-0005-0000-0000-00003C750000}"/>
    <cellStyle name="Normal 5 6 7 3" xfId="9482" xr:uid="{00000000-0005-0000-0000-00003D750000}"/>
    <cellStyle name="Normal 5 6 7 3 2" xfId="35039" xr:uid="{00000000-0005-0000-0000-00003E750000}"/>
    <cellStyle name="Normal 5 6 7 4" xfId="18305" xr:uid="{00000000-0005-0000-0000-00003F750000}"/>
    <cellStyle name="Normal 5 6 7 4 2" xfId="43858" xr:uid="{00000000-0005-0000-0000-000040750000}"/>
    <cellStyle name="Normal 5 6 7 5" xfId="29795" xr:uid="{00000000-0005-0000-0000-000041750000}"/>
    <cellStyle name="Normal 5 6 8" xfId="1495" xr:uid="{00000000-0005-0000-0000-000042750000}"/>
    <cellStyle name="Normal 5 6 8 2" xfId="10872" xr:uid="{00000000-0005-0000-0000-000043750000}"/>
    <cellStyle name="Normal 5 6 8 2 2" xfId="36427" xr:uid="{00000000-0005-0000-0000-000044750000}"/>
    <cellStyle name="Normal 5 6 8 3" xfId="20876" xr:uid="{00000000-0005-0000-0000-000045750000}"/>
    <cellStyle name="Normal 5 6 8 3 2" xfId="46429" xr:uid="{00000000-0005-0000-0000-000046750000}"/>
    <cellStyle name="Normal 5 6 8 4" xfId="27359" xr:uid="{00000000-0005-0000-0000-000047750000}"/>
    <cellStyle name="Normal 5 6 9" xfId="5679" xr:uid="{00000000-0005-0000-0000-000048750000}"/>
    <cellStyle name="Normal 5 6 9 2" xfId="14506" xr:uid="{00000000-0005-0000-0000-000049750000}"/>
    <cellStyle name="Normal 5 6 9 2 2" xfId="40061" xr:uid="{00000000-0005-0000-0000-00004A750000}"/>
    <cellStyle name="Normal 5 6 9 3" xfId="24757" xr:uid="{00000000-0005-0000-0000-00004B750000}"/>
    <cellStyle name="Normal 5 6 9 3 2" xfId="50310" xr:uid="{00000000-0005-0000-0000-00004C750000}"/>
    <cellStyle name="Normal 5 6 9 4" xfId="31240" xr:uid="{00000000-0005-0000-0000-00004D750000}"/>
    <cellStyle name="Normal 5 6_Degree data" xfId="3853" xr:uid="{00000000-0005-0000-0000-00004E750000}"/>
    <cellStyle name="Normal 5 7" xfId="287" xr:uid="{00000000-0005-0000-0000-00004F750000}"/>
    <cellStyle name="Normal 5 7 10" xfId="16074" xr:uid="{00000000-0005-0000-0000-000050750000}"/>
    <cellStyle name="Normal 5 7 10 2" xfId="41627" xr:uid="{00000000-0005-0000-0000-000051750000}"/>
    <cellStyle name="Normal 5 7 11" xfId="26220" xr:uid="{00000000-0005-0000-0000-000052750000}"/>
    <cellStyle name="Normal 5 7 2" xfId="608" xr:uid="{00000000-0005-0000-0000-000053750000}"/>
    <cellStyle name="Normal 5 7 2 2" xfId="3094" xr:uid="{00000000-0005-0000-0000-000054750000}"/>
    <cellStyle name="Normal 5 7 2 2 2" xfId="12237" xr:uid="{00000000-0005-0000-0000-000055750000}"/>
    <cellStyle name="Normal 5 7 2 2 2 2" xfId="22455" xr:uid="{00000000-0005-0000-0000-000056750000}"/>
    <cellStyle name="Normal 5 7 2 2 2 2 2" xfId="48008" xr:uid="{00000000-0005-0000-0000-000057750000}"/>
    <cellStyle name="Normal 5 7 2 2 2 3" xfId="37792" xr:uid="{00000000-0005-0000-0000-000058750000}"/>
    <cellStyle name="Normal 5 7 2 2 3" xfId="8659" xr:uid="{00000000-0005-0000-0000-000059750000}"/>
    <cellStyle name="Normal 5 7 2 2 3 2" xfId="34216" xr:uid="{00000000-0005-0000-0000-00005A750000}"/>
    <cellStyle name="Normal 5 7 2 2 4" xfId="17448" xr:uid="{00000000-0005-0000-0000-00005B750000}"/>
    <cellStyle name="Normal 5 7 2 2 4 2" xfId="43001" xr:uid="{00000000-0005-0000-0000-00005C750000}"/>
    <cellStyle name="Normal 5 7 2 2 5" xfId="28938" xr:uid="{00000000-0005-0000-0000-00005D750000}"/>
    <cellStyle name="Normal 5 7 2 3" xfId="4637" xr:uid="{00000000-0005-0000-0000-00005E750000}"/>
    <cellStyle name="Normal 5 7 2 3 2" xfId="13475" xr:uid="{00000000-0005-0000-0000-00005F750000}"/>
    <cellStyle name="Normal 5 7 2 3 2 2" xfId="23726" xr:uid="{00000000-0005-0000-0000-000060750000}"/>
    <cellStyle name="Normal 5 7 2 3 2 2 2" xfId="49279" xr:uid="{00000000-0005-0000-0000-000061750000}"/>
    <cellStyle name="Normal 5 7 2 3 2 3" xfId="39030" xr:uid="{00000000-0005-0000-0000-000062750000}"/>
    <cellStyle name="Normal 5 7 2 3 3" xfId="9896" xr:uid="{00000000-0005-0000-0000-000063750000}"/>
    <cellStyle name="Normal 5 7 2 3 3 2" xfId="35453" xr:uid="{00000000-0005-0000-0000-000064750000}"/>
    <cellStyle name="Normal 5 7 2 3 4" xfId="18719" xr:uid="{00000000-0005-0000-0000-000065750000}"/>
    <cellStyle name="Normal 5 7 2 3 4 2" xfId="44272" xr:uid="{00000000-0005-0000-0000-000066750000}"/>
    <cellStyle name="Normal 5 7 2 3 5" xfId="30209" xr:uid="{00000000-0005-0000-0000-000067750000}"/>
    <cellStyle name="Normal 5 7 2 4" xfId="2203" xr:uid="{00000000-0005-0000-0000-000068750000}"/>
    <cellStyle name="Normal 5 7 2 4 2" xfId="11568" xr:uid="{00000000-0005-0000-0000-000069750000}"/>
    <cellStyle name="Normal 5 7 2 4 2 2" xfId="37123" xr:uid="{00000000-0005-0000-0000-00006A750000}"/>
    <cellStyle name="Normal 5 7 2 4 3" xfId="21572" xr:uid="{00000000-0005-0000-0000-00006B750000}"/>
    <cellStyle name="Normal 5 7 2 4 3 2" xfId="47125" xr:uid="{00000000-0005-0000-0000-00006C750000}"/>
    <cellStyle name="Normal 5 7 2 4 4" xfId="28055" xr:uid="{00000000-0005-0000-0000-00006D750000}"/>
    <cellStyle name="Normal 5 7 2 5" xfId="6093" xr:uid="{00000000-0005-0000-0000-00006E750000}"/>
    <cellStyle name="Normal 5 7 2 5 2" xfId="14920" xr:uid="{00000000-0005-0000-0000-00006F750000}"/>
    <cellStyle name="Normal 5 7 2 5 2 2" xfId="40475" xr:uid="{00000000-0005-0000-0000-000070750000}"/>
    <cellStyle name="Normal 5 7 2 5 3" xfId="25171" xr:uid="{00000000-0005-0000-0000-000071750000}"/>
    <cellStyle name="Normal 5 7 2 5 3 2" xfId="50724" xr:uid="{00000000-0005-0000-0000-000072750000}"/>
    <cellStyle name="Normal 5 7 2 5 4" xfId="31654" xr:uid="{00000000-0005-0000-0000-000073750000}"/>
    <cellStyle name="Normal 5 7 2 6" xfId="7538" xr:uid="{00000000-0005-0000-0000-000074750000}"/>
    <cellStyle name="Normal 5 7 2 6 2" xfId="20054" xr:uid="{00000000-0005-0000-0000-000075750000}"/>
    <cellStyle name="Normal 5 7 2 6 2 2" xfId="45607" xr:uid="{00000000-0005-0000-0000-000076750000}"/>
    <cellStyle name="Normal 5 7 2 6 3" xfId="33095" xr:uid="{00000000-0005-0000-0000-000077750000}"/>
    <cellStyle name="Normal 5 7 2 7" xfId="16565" xr:uid="{00000000-0005-0000-0000-000078750000}"/>
    <cellStyle name="Normal 5 7 2 7 2" xfId="42118" xr:uid="{00000000-0005-0000-0000-000079750000}"/>
    <cellStyle name="Normal 5 7 2 8" xfId="26537" xr:uid="{00000000-0005-0000-0000-00007A750000}"/>
    <cellStyle name="Normal 5 7 3" xfId="823" xr:uid="{00000000-0005-0000-0000-00007B750000}"/>
    <cellStyle name="Normal 5 7 3 2" xfId="3308" xr:uid="{00000000-0005-0000-0000-00007C750000}"/>
    <cellStyle name="Normal 5 7 3 2 2" xfId="12450" xr:uid="{00000000-0005-0000-0000-00007D750000}"/>
    <cellStyle name="Normal 5 7 3 2 2 2" xfId="22669" xr:uid="{00000000-0005-0000-0000-00007E750000}"/>
    <cellStyle name="Normal 5 7 3 2 2 2 2" xfId="48222" xr:uid="{00000000-0005-0000-0000-00007F750000}"/>
    <cellStyle name="Normal 5 7 3 2 2 3" xfId="38005" xr:uid="{00000000-0005-0000-0000-000080750000}"/>
    <cellStyle name="Normal 5 7 3 2 3" xfId="8872" xr:uid="{00000000-0005-0000-0000-000081750000}"/>
    <cellStyle name="Normal 5 7 3 2 3 2" xfId="34429" xr:uid="{00000000-0005-0000-0000-000082750000}"/>
    <cellStyle name="Normal 5 7 3 2 4" xfId="17662" xr:uid="{00000000-0005-0000-0000-000083750000}"/>
    <cellStyle name="Normal 5 7 3 2 4 2" xfId="43215" xr:uid="{00000000-0005-0000-0000-000084750000}"/>
    <cellStyle name="Normal 5 7 3 2 5" xfId="29152" xr:uid="{00000000-0005-0000-0000-000085750000}"/>
    <cellStyle name="Normal 5 7 3 3" xfId="4986" xr:uid="{00000000-0005-0000-0000-000086750000}"/>
    <cellStyle name="Normal 5 7 3 3 2" xfId="13823" xr:uid="{00000000-0005-0000-0000-000087750000}"/>
    <cellStyle name="Normal 5 7 3 3 2 2" xfId="24074" xr:uid="{00000000-0005-0000-0000-000088750000}"/>
    <cellStyle name="Normal 5 7 3 3 2 2 2" xfId="49627" xr:uid="{00000000-0005-0000-0000-000089750000}"/>
    <cellStyle name="Normal 5 7 3 3 2 3" xfId="39378" xr:uid="{00000000-0005-0000-0000-00008A750000}"/>
    <cellStyle name="Normal 5 7 3 3 3" xfId="10244" xr:uid="{00000000-0005-0000-0000-00008B750000}"/>
    <cellStyle name="Normal 5 7 3 3 3 2" xfId="35801" xr:uid="{00000000-0005-0000-0000-00008C750000}"/>
    <cellStyle name="Normal 5 7 3 3 4" xfId="19067" xr:uid="{00000000-0005-0000-0000-00008D750000}"/>
    <cellStyle name="Normal 5 7 3 3 4 2" xfId="44620" xr:uid="{00000000-0005-0000-0000-00008E750000}"/>
    <cellStyle name="Normal 5 7 3 3 5" xfId="30557" xr:uid="{00000000-0005-0000-0000-00008F750000}"/>
    <cellStyle name="Normal 5 7 3 4" xfId="2417" xr:uid="{00000000-0005-0000-0000-000090750000}"/>
    <cellStyle name="Normal 5 7 3 4 2" xfId="11782" xr:uid="{00000000-0005-0000-0000-000091750000}"/>
    <cellStyle name="Normal 5 7 3 4 2 2" xfId="37337" xr:uid="{00000000-0005-0000-0000-000092750000}"/>
    <cellStyle name="Normal 5 7 3 4 3" xfId="21786" xr:uid="{00000000-0005-0000-0000-000093750000}"/>
    <cellStyle name="Normal 5 7 3 4 3 2" xfId="47339" xr:uid="{00000000-0005-0000-0000-000094750000}"/>
    <cellStyle name="Normal 5 7 3 4 4" xfId="28269" xr:uid="{00000000-0005-0000-0000-000095750000}"/>
    <cellStyle name="Normal 5 7 3 5" xfId="6441" xr:uid="{00000000-0005-0000-0000-000096750000}"/>
    <cellStyle name="Normal 5 7 3 5 2" xfId="15268" xr:uid="{00000000-0005-0000-0000-000097750000}"/>
    <cellStyle name="Normal 5 7 3 5 2 2" xfId="40823" xr:uid="{00000000-0005-0000-0000-000098750000}"/>
    <cellStyle name="Normal 5 7 3 5 3" xfId="25519" xr:uid="{00000000-0005-0000-0000-000099750000}"/>
    <cellStyle name="Normal 5 7 3 5 3 2" xfId="51072" xr:uid="{00000000-0005-0000-0000-00009A750000}"/>
    <cellStyle name="Normal 5 7 3 5 4" xfId="32002" xr:uid="{00000000-0005-0000-0000-00009B750000}"/>
    <cellStyle name="Normal 5 7 3 6" xfId="7887" xr:uid="{00000000-0005-0000-0000-00009C750000}"/>
    <cellStyle name="Normal 5 7 3 6 2" xfId="20268" xr:uid="{00000000-0005-0000-0000-00009D750000}"/>
    <cellStyle name="Normal 5 7 3 6 2 2" xfId="45821" xr:uid="{00000000-0005-0000-0000-00009E750000}"/>
    <cellStyle name="Normal 5 7 3 6 3" xfId="33444" xr:uid="{00000000-0005-0000-0000-00009F750000}"/>
    <cellStyle name="Normal 5 7 3 7" xfId="16779" xr:uid="{00000000-0005-0000-0000-0000A0750000}"/>
    <cellStyle name="Normal 5 7 3 7 2" xfId="42332" xr:uid="{00000000-0005-0000-0000-0000A1750000}"/>
    <cellStyle name="Normal 5 7 3 8" xfId="26751" xr:uid="{00000000-0005-0000-0000-0000A2750000}"/>
    <cellStyle name="Normal 5 7 4" xfId="1380" xr:uid="{00000000-0005-0000-0000-0000A3750000}"/>
    <cellStyle name="Normal 5 7 4 2" xfId="3809" xr:uid="{00000000-0005-0000-0000-0000A4750000}"/>
    <cellStyle name="Normal 5 7 4 2 2" xfId="12945" xr:uid="{00000000-0005-0000-0000-0000A5750000}"/>
    <cellStyle name="Normal 5 7 4 2 2 2" xfId="23164" xr:uid="{00000000-0005-0000-0000-0000A6750000}"/>
    <cellStyle name="Normal 5 7 4 2 2 2 2" xfId="48717" xr:uid="{00000000-0005-0000-0000-0000A7750000}"/>
    <cellStyle name="Normal 5 7 4 2 2 3" xfId="38500" xr:uid="{00000000-0005-0000-0000-0000A8750000}"/>
    <cellStyle name="Normal 5 7 4 2 3" xfId="9366" xr:uid="{00000000-0005-0000-0000-0000A9750000}"/>
    <cellStyle name="Normal 5 7 4 2 3 2" xfId="34923" xr:uid="{00000000-0005-0000-0000-0000AA750000}"/>
    <cellStyle name="Normal 5 7 4 2 4" xfId="18157" xr:uid="{00000000-0005-0000-0000-0000AB750000}"/>
    <cellStyle name="Normal 5 7 4 2 4 2" xfId="43710" xr:uid="{00000000-0005-0000-0000-0000AC750000}"/>
    <cellStyle name="Normal 5 7 4 2 5" xfId="29647" xr:uid="{00000000-0005-0000-0000-0000AD750000}"/>
    <cellStyle name="Normal 5 7 4 3" xfId="5472" xr:uid="{00000000-0005-0000-0000-0000AE750000}"/>
    <cellStyle name="Normal 5 7 4 3 2" xfId="14309" xr:uid="{00000000-0005-0000-0000-0000AF750000}"/>
    <cellStyle name="Normal 5 7 4 3 2 2" xfId="24560" xr:uid="{00000000-0005-0000-0000-0000B0750000}"/>
    <cellStyle name="Normal 5 7 4 3 2 2 2" xfId="50113" xr:uid="{00000000-0005-0000-0000-0000B1750000}"/>
    <cellStyle name="Normal 5 7 4 3 2 3" xfId="39864" xr:uid="{00000000-0005-0000-0000-0000B2750000}"/>
    <cellStyle name="Normal 5 7 4 3 3" xfId="10730" xr:uid="{00000000-0005-0000-0000-0000B3750000}"/>
    <cellStyle name="Normal 5 7 4 3 3 2" xfId="36287" xr:uid="{00000000-0005-0000-0000-0000B4750000}"/>
    <cellStyle name="Normal 5 7 4 3 4" xfId="19553" xr:uid="{00000000-0005-0000-0000-0000B5750000}"/>
    <cellStyle name="Normal 5 7 4 3 4 2" xfId="45106" xr:uid="{00000000-0005-0000-0000-0000B6750000}"/>
    <cellStyle name="Normal 5 7 4 3 5" xfId="31043" xr:uid="{00000000-0005-0000-0000-0000B7750000}"/>
    <cellStyle name="Normal 5 7 4 4" xfId="1883" xr:uid="{00000000-0005-0000-0000-0000B8750000}"/>
    <cellStyle name="Normal 5 7 4 4 2" xfId="11251" xr:uid="{00000000-0005-0000-0000-0000B9750000}"/>
    <cellStyle name="Normal 5 7 4 4 2 2" xfId="36806" xr:uid="{00000000-0005-0000-0000-0000BA750000}"/>
    <cellStyle name="Normal 5 7 4 4 3" xfId="21255" xr:uid="{00000000-0005-0000-0000-0000BB750000}"/>
    <cellStyle name="Normal 5 7 4 4 3 2" xfId="46808" xr:uid="{00000000-0005-0000-0000-0000BC750000}"/>
    <cellStyle name="Normal 5 7 4 4 4" xfId="27738" xr:uid="{00000000-0005-0000-0000-0000BD750000}"/>
    <cellStyle name="Normal 5 7 4 5" xfId="6927" xr:uid="{00000000-0005-0000-0000-0000BE750000}"/>
    <cellStyle name="Normal 5 7 4 5 2" xfId="15754" xr:uid="{00000000-0005-0000-0000-0000BF750000}"/>
    <cellStyle name="Normal 5 7 4 5 2 2" xfId="41309" xr:uid="{00000000-0005-0000-0000-0000C0750000}"/>
    <cellStyle name="Normal 5 7 4 5 3" xfId="26005" xr:uid="{00000000-0005-0000-0000-0000C1750000}"/>
    <cellStyle name="Normal 5 7 4 5 3 2" xfId="51558" xr:uid="{00000000-0005-0000-0000-0000C2750000}"/>
    <cellStyle name="Normal 5 7 4 5 4" xfId="32488" xr:uid="{00000000-0005-0000-0000-0000C3750000}"/>
    <cellStyle name="Normal 5 7 4 6" xfId="8373" xr:uid="{00000000-0005-0000-0000-0000C4750000}"/>
    <cellStyle name="Normal 5 7 4 6 2" xfId="20763" xr:uid="{00000000-0005-0000-0000-0000C5750000}"/>
    <cellStyle name="Normal 5 7 4 6 2 2" xfId="46316" xr:uid="{00000000-0005-0000-0000-0000C6750000}"/>
    <cellStyle name="Normal 5 7 4 6 3" xfId="33930" xr:uid="{00000000-0005-0000-0000-0000C7750000}"/>
    <cellStyle name="Normal 5 7 4 7" xfId="16248" xr:uid="{00000000-0005-0000-0000-0000C8750000}"/>
    <cellStyle name="Normal 5 7 4 7 2" xfId="41801" xr:uid="{00000000-0005-0000-0000-0000C9750000}"/>
    <cellStyle name="Normal 5 7 4 8" xfId="27246" xr:uid="{00000000-0005-0000-0000-0000CA750000}"/>
    <cellStyle name="Normal 5 7 5" xfId="2777" xr:uid="{00000000-0005-0000-0000-0000CB750000}"/>
    <cellStyle name="Normal 5 7 5 2" xfId="12094" xr:uid="{00000000-0005-0000-0000-0000CC750000}"/>
    <cellStyle name="Normal 5 7 5 2 2" xfId="22138" xr:uid="{00000000-0005-0000-0000-0000CD750000}"/>
    <cellStyle name="Normal 5 7 5 2 2 2" xfId="47691" xr:uid="{00000000-0005-0000-0000-0000CE750000}"/>
    <cellStyle name="Normal 5 7 5 2 3" xfId="37649" xr:uid="{00000000-0005-0000-0000-0000CF750000}"/>
    <cellStyle name="Normal 5 7 5 3" xfId="8474" xr:uid="{00000000-0005-0000-0000-0000D0750000}"/>
    <cellStyle name="Normal 5 7 5 3 2" xfId="34031" xr:uid="{00000000-0005-0000-0000-0000D1750000}"/>
    <cellStyle name="Normal 5 7 5 4" xfId="17131" xr:uid="{00000000-0005-0000-0000-0000D2750000}"/>
    <cellStyle name="Normal 5 7 5 4 2" xfId="42684" xr:uid="{00000000-0005-0000-0000-0000D3750000}"/>
    <cellStyle name="Normal 5 7 5 5" xfId="28621" xr:uid="{00000000-0005-0000-0000-0000D4750000}"/>
    <cellStyle name="Normal 5 7 6" xfId="4428" xr:uid="{00000000-0005-0000-0000-0000D5750000}"/>
    <cellStyle name="Normal 5 7 6 2" xfId="13266" xr:uid="{00000000-0005-0000-0000-0000D6750000}"/>
    <cellStyle name="Normal 5 7 6 2 2" xfId="23517" xr:uid="{00000000-0005-0000-0000-0000D7750000}"/>
    <cellStyle name="Normal 5 7 6 2 2 2" xfId="49070" xr:uid="{00000000-0005-0000-0000-0000D8750000}"/>
    <cellStyle name="Normal 5 7 6 2 3" xfId="38821" xr:uid="{00000000-0005-0000-0000-0000D9750000}"/>
    <cellStyle name="Normal 5 7 6 3" xfId="9687" xr:uid="{00000000-0005-0000-0000-0000DA750000}"/>
    <cellStyle name="Normal 5 7 6 3 2" xfId="35244" xr:uid="{00000000-0005-0000-0000-0000DB750000}"/>
    <cellStyle name="Normal 5 7 6 4" xfId="18510" xr:uid="{00000000-0005-0000-0000-0000DC750000}"/>
    <cellStyle name="Normal 5 7 6 4 2" xfId="44063" xr:uid="{00000000-0005-0000-0000-0000DD750000}"/>
    <cellStyle name="Normal 5 7 6 5" xfId="30000" xr:uid="{00000000-0005-0000-0000-0000DE750000}"/>
    <cellStyle name="Normal 5 7 7" xfId="1700" xr:uid="{00000000-0005-0000-0000-0000DF750000}"/>
    <cellStyle name="Normal 5 7 7 2" xfId="11077" xr:uid="{00000000-0005-0000-0000-0000E0750000}"/>
    <cellStyle name="Normal 5 7 7 2 2" xfId="36632" xr:uid="{00000000-0005-0000-0000-0000E1750000}"/>
    <cellStyle name="Normal 5 7 7 3" xfId="21081" xr:uid="{00000000-0005-0000-0000-0000E2750000}"/>
    <cellStyle name="Normal 5 7 7 3 2" xfId="46634" xr:uid="{00000000-0005-0000-0000-0000E3750000}"/>
    <cellStyle name="Normal 5 7 7 4" xfId="27564" xr:uid="{00000000-0005-0000-0000-0000E4750000}"/>
    <cellStyle name="Normal 5 7 8" xfId="5884" xr:uid="{00000000-0005-0000-0000-0000E5750000}"/>
    <cellStyle name="Normal 5 7 8 2" xfId="14711" xr:uid="{00000000-0005-0000-0000-0000E6750000}"/>
    <cellStyle name="Normal 5 7 8 2 2" xfId="40266" xr:uid="{00000000-0005-0000-0000-0000E7750000}"/>
    <cellStyle name="Normal 5 7 8 3" xfId="24962" xr:uid="{00000000-0005-0000-0000-0000E8750000}"/>
    <cellStyle name="Normal 5 7 8 3 2" xfId="50515" xr:uid="{00000000-0005-0000-0000-0000E9750000}"/>
    <cellStyle name="Normal 5 7 8 4" xfId="31445" xr:uid="{00000000-0005-0000-0000-0000EA750000}"/>
    <cellStyle name="Normal 5 7 9" xfId="7328" xr:uid="{00000000-0005-0000-0000-0000EB750000}"/>
    <cellStyle name="Normal 5 7 9 2" xfId="19737" xr:uid="{00000000-0005-0000-0000-0000EC750000}"/>
    <cellStyle name="Normal 5 7 9 2 2" xfId="45290" xr:uid="{00000000-0005-0000-0000-0000ED750000}"/>
    <cellStyle name="Normal 5 7 9 3" xfId="32885" xr:uid="{00000000-0005-0000-0000-0000EE750000}"/>
    <cellStyle name="Normal 5 7_Degree data" xfId="3897" xr:uid="{00000000-0005-0000-0000-0000EF750000}"/>
    <cellStyle name="Normal 5 8" xfId="299" xr:uid="{00000000-0005-0000-0000-0000F0750000}"/>
    <cellStyle name="Normal 5 8 10" xfId="26228" xr:uid="{00000000-0005-0000-0000-0000F1750000}"/>
    <cellStyle name="Normal 5 8 2" xfId="824" xr:uid="{00000000-0005-0000-0000-0000F2750000}"/>
    <cellStyle name="Normal 5 8 2 2" xfId="3309" xr:uid="{00000000-0005-0000-0000-0000F3750000}"/>
    <cellStyle name="Normal 5 8 2 2 2" xfId="12451" xr:uid="{00000000-0005-0000-0000-0000F4750000}"/>
    <cellStyle name="Normal 5 8 2 2 2 2" xfId="22670" xr:uid="{00000000-0005-0000-0000-0000F5750000}"/>
    <cellStyle name="Normal 5 8 2 2 2 2 2" xfId="48223" xr:uid="{00000000-0005-0000-0000-0000F6750000}"/>
    <cellStyle name="Normal 5 8 2 2 2 3" xfId="38006" xr:uid="{00000000-0005-0000-0000-0000F7750000}"/>
    <cellStyle name="Normal 5 8 2 2 3" xfId="8873" xr:uid="{00000000-0005-0000-0000-0000F8750000}"/>
    <cellStyle name="Normal 5 8 2 2 3 2" xfId="34430" xr:uid="{00000000-0005-0000-0000-0000F9750000}"/>
    <cellStyle name="Normal 5 8 2 2 4" xfId="17663" xr:uid="{00000000-0005-0000-0000-0000FA750000}"/>
    <cellStyle name="Normal 5 8 2 2 4 2" xfId="43216" xr:uid="{00000000-0005-0000-0000-0000FB750000}"/>
    <cellStyle name="Normal 5 8 2 2 5" xfId="29153" xr:uid="{00000000-0005-0000-0000-0000FC750000}"/>
    <cellStyle name="Normal 5 8 2 3" xfId="4638" xr:uid="{00000000-0005-0000-0000-0000FD750000}"/>
    <cellStyle name="Normal 5 8 2 3 2" xfId="13476" xr:uid="{00000000-0005-0000-0000-0000FE750000}"/>
    <cellStyle name="Normal 5 8 2 3 2 2" xfId="23727" xr:uid="{00000000-0005-0000-0000-0000FF750000}"/>
    <cellStyle name="Normal 5 8 2 3 2 2 2" xfId="49280" xr:uid="{00000000-0005-0000-0000-000000760000}"/>
    <cellStyle name="Normal 5 8 2 3 2 3" xfId="39031" xr:uid="{00000000-0005-0000-0000-000001760000}"/>
    <cellStyle name="Normal 5 8 2 3 3" xfId="9897" xr:uid="{00000000-0005-0000-0000-000002760000}"/>
    <cellStyle name="Normal 5 8 2 3 3 2" xfId="35454" xr:uid="{00000000-0005-0000-0000-000003760000}"/>
    <cellStyle name="Normal 5 8 2 3 4" xfId="18720" xr:uid="{00000000-0005-0000-0000-000004760000}"/>
    <cellStyle name="Normal 5 8 2 3 4 2" xfId="44273" xr:uid="{00000000-0005-0000-0000-000005760000}"/>
    <cellStyle name="Normal 5 8 2 3 5" xfId="30210" xr:uid="{00000000-0005-0000-0000-000006760000}"/>
    <cellStyle name="Normal 5 8 2 4" xfId="2418" xr:uid="{00000000-0005-0000-0000-000007760000}"/>
    <cellStyle name="Normal 5 8 2 4 2" xfId="11783" xr:uid="{00000000-0005-0000-0000-000008760000}"/>
    <cellStyle name="Normal 5 8 2 4 2 2" xfId="37338" xr:uid="{00000000-0005-0000-0000-000009760000}"/>
    <cellStyle name="Normal 5 8 2 4 3" xfId="21787" xr:uid="{00000000-0005-0000-0000-00000A760000}"/>
    <cellStyle name="Normal 5 8 2 4 3 2" xfId="47340" xr:uid="{00000000-0005-0000-0000-00000B760000}"/>
    <cellStyle name="Normal 5 8 2 4 4" xfId="28270" xr:uid="{00000000-0005-0000-0000-00000C760000}"/>
    <cellStyle name="Normal 5 8 2 5" xfId="6094" xr:uid="{00000000-0005-0000-0000-00000D760000}"/>
    <cellStyle name="Normal 5 8 2 5 2" xfId="14921" xr:uid="{00000000-0005-0000-0000-00000E760000}"/>
    <cellStyle name="Normal 5 8 2 5 2 2" xfId="40476" xr:uid="{00000000-0005-0000-0000-00000F760000}"/>
    <cellStyle name="Normal 5 8 2 5 3" xfId="25172" xr:uid="{00000000-0005-0000-0000-000010760000}"/>
    <cellStyle name="Normal 5 8 2 5 3 2" xfId="50725" xr:uid="{00000000-0005-0000-0000-000011760000}"/>
    <cellStyle name="Normal 5 8 2 5 4" xfId="31655" xr:uid="{00000000-0005-0000-0000-000012760000}"/>
    <cellStyle name="Normal 5 8 2 6" xfId="7539" xr:uid="{00000000-0005-0000-0000-000013760000}"/>
    <cellStyle name="Normal 5 8 2 6 2" xfId="20269" xr:uid="{00000000-0005-0000-0000-000014760000}"/>
    <cellStyle name="Normal 5 8 2 6 2 2" xfId="45822" xr:uid="{00000000-0005-0000-0000-000015760000}"/>
    <cellStyle name="Normal 5 8 2 6 3" xfId="33096" xr:uid="{00000000-0005-0000-0000-000016760000}"/>
    <cellStyle name="Normal 5 8 2 7" xfId="16780" xr:uid="{00000000-0005-0000-0000-000017760000}"/>
    <cellStyle name="Normal 5 8 2 7 2" xfId="42333" xr:uid="{00000000-0005-0000-0000-000018760000}"/>
    <cellStyle name="Normal 5 8 2 8" xfId="26752" xr:uid="{00000000-0005-0000-0000-000019760000}"/>
    <cellStyle name="Normal 5 8 3" xfId="1071" xr:uid="{00000000-0005-0000-0000-00001A760000}"/>
    <cellStyle name="Normal 5 8 3 2" xfId="3500" xr:uid="{00000000-0005-0000-0000-00001B760000}"/>
    <cellStyle name="Normal 5 8 3 2 2" xfId="12636" xr:uid="{00000000-0005-0000-0000-00001C760000}"/>
    <cellStyle name="Normal 5 8 3 2 2 2" xfId="22855" xr:uid="{00000000-0005-0000-0000-00001D760000}"/>
    <cellStyle name="Normal 5 8 3 2 2 2 2" xfId="48408" xr:uid="{00000000-0005-0000-0000-00001E760000}"/>
    <cellStyle name="Normal 5 8 3 2 2 3" xfId="38191" xr:uid="{00000000-0005-0000-0000-00001F760000}"/>
    <cellStyle name="Normal 5 8 3 2 3" xfId="9058" xr:uid="{00000000-0005-0000-0000-000020760000}"/>
    <cellStyle name="Normal 5 8 3 2 3 2" xfId="34615" xr:uid="{00000000-0005-0000-0000-000021760000}"/>
    <cellStyle name="Normal 5 8 3 2 4" xfId="17848" xr:uid="{00000000-0005-0000-0000-000022760000}"/>
    <cellStyle name="Normal 5 8 3 2 4 2" xfId="43401" xr:uid="{00000000-0005-0000-0000-000023760000}"/>
    <cellStyle name="Normal 5 8 3 2 5" xfId="29338" xr:uid="{00000000-0005-0000-0000-000024760000}"/>
    <cellStyle name="Normal 5 8 3 3" xfId="4987" xr:uid="{00000000-0005-0000-0000-000025760000}"/>
    <cellStyle name="Normal 5 8 3 3 2" xfId="13824" xr:uid="{00000000-0005-0000-0000-000026760000}"/>
    <cellStyle name="Normal 5 8 3 3 2 2" xfId="24075" xr:uid="{00000000-0005-0000-0000-000027760000}"/>
    <cellStyle name="Normal 5 8 3 3 2 2 2" xfId="49628" xr:uid="{00000000-0005-0000-0000-000028760000}"/>
    <cellStyle name="Normal 5 8 3 3 2 3" xfId="39379" xr:uid="{00000000-0005-0000-0000-000029760000}"/>
    <cellStyle name="Normal 5 8 3 3 3" xfId="10245" xr:uid="{00000000-0005-0000-0000-00002A760000}"/>
    <cellStyle name="Normal 5 8 3 3 3 2" xfId="35802" xr:uid="{00000000-0005-0000-0000-00002B760000}"/>
    <cellStyle name="Normal 5 8 3 3 4" xfId="19068" xr:uid="{00000000-0005-0000-0000-00002C760000}"/>
    <cellStyle name="Normal 5 8 3 3 4 2" xfId="44621" xr:uid="{00000000-0005-0000-0000-00002D760000}"/>
    <cellStyle name="Normal 5 8 3 3 5" xfId="30558" xr:uid="{00000000-0005-0000-0000-00002E760000}"/>
    <cellStyle name="Normal 5 8 3 4" xfId="2580" xr:uid="{00000000-0005-0000-0000-00002F760000}"/>
    <cellStyle name="Normal 5 8 3 4 2" xfId="11944" xr:uid="{00000000-0005-0000-0000-000030760000}"/>
    <cellStyle name="Normal 5 8 3 4 2 2" xfId="37499" xr:uid="{00000000-0005-0000-0000-000031760000}"/>
    <cellStyle name="Normal 5 8 3 4 3" xfId="21948" xr:uid="{00000000-0005-0000-0000-000032760000}"/>
    <cellStyle name="Normal 5 8 3 4 3 2" xfId="47501" xr:uid="{00000000-0005-0000-0000-000033760000}"/>
    <cellStyle name="Normal 5 8 3 4 4" xfId="28431" xr:uid="{00000000-0005-0000-0000-000034760000}"/>
    <cellStyle name="Normal 5 8 3 5" xfId="6442" xr:uid="{00000000-0005-0000-0000-000035760000}"/>
    <cellStyle name="Normal 5 8 3 5 2" xfId="15269" xr:uid="{00000000-0005-0000-0000-000036760000}"/>
    <cellStyle name="Normal 5 8 3 5 2 2" xfId="40824" xr:uid="{00000000-0005-0000-0000-000037760000}"/>
    <cellStyle name="Normal 5 8 3 5 3" xfId="25520" xr:uid="{00000000-0005-0000-0000-000038760000}"/>
    <cellStyle name="Normal 5 8 3 5 3 2" xfId="51073" xr:uid="{00000000-0005-0000-0000-000039760000}"/>
    <cellStyle name="Normal 5 8 3 5 4" xfId="32003" xr:uid="{00000000-0005-0000-0000-00003A760000}"/>
    <cellStyle name="Normal 5 8 3 6" xfId="7888" xr:uid="{00000000-0005-0000-0000-00003B760000}"/>
    <cellStyle name="Normal 5 8 3 6 2" xfId="20454" xr:uid="{00000000-0005-0000-0000-00003C760000}"/>
    <cellStyle name="Normal 5 8 3 6 2 2" xfId="46007" xr:uid="{00000000-0005-0000-0000-00003D760000}"/>
    <cellStyle name="Normal 5 8 3 6 3" xfId="33445" xr:uid="{00000000-0005-0000-0000-00003E760000}"/>
    <cellStyle name="Normal 5 8 3 7" xfId="16941" xr:uid="{00000000-0005-0000-0000-00003F760000}"/>
    <cellStyle name="Normal 5 8 3 7 2" xfId="42494" xr:uid="{00000000-0005-0000-0000-000040760000}"/>
    <cellStyle name="Normal 5 8 3 8" xfId="26937" xr:uid="{00000000-0005-0000-0000-000041760000}"/>
    <cellStyle name="Normal 5 8 4" xfId="2785" xr:uid="{00000000-0005-0000-0000-000042760000}"/>
    <cellStyle name="Normal 5 8 4 2" xfId="5163" xr:uid="{00000000-0005-0000-0000-000043760000}"/>
    <cellStyle name="Normal 5 8 4 2 2" xfId="14000" xr:uid="{00000000-0005-0000-0000-000044760000}"/>
    <cellStyle name="Normal 5 8 4 2 2 2" xfId="24251" xr:uid="{00000000-0005-0000-0000-000045760000}"/>
    <cellStyle name="Normal 5 8 4 2 2 2 2" xfId="49804" xr:uid="{00000000-0005-0000-0000-000046760000}"/>
    <cellStyle name="Normal 5 8 4 2 2 3" xfId="39555" xr:uid="{00000000-0005-0000-0000-000047760000}"/>
    <cellStyle name="Normal 5 8 4 2 3" xfId="10421" xr:uid="{00000000-0005-0000-0000-000048760000}"/>
    <cellStyle name="Normal 5 8 4 2 3 2" xfId="35978" xr:uid="{00000000-0005-0000-0000-000049760000}"/>
    <cellStyle name="Normal 5 8 4 2 4" xfId="19244" xr:uid="{00000000-0005-0000-0000-00004A760000}"/>
    <cellStyle name="Normal 5 8 4 2 4 2" xfId="44797" xr:uid="{00000000-0005-0000-0000-00004B760000}"/>
    <cellStyle name="Normal 5 8 4 2 5" xfId="30734" xr:uid="{00000000-0005-0000-0000-00004C760000}"/>
    <cellStyle name="Normal 5 8 4 3" xfId="6618" xr:uid="{00000000-0005-0000-0000-00004D760000}"/>
    <cellStyle name="Normal 5 8 4 3 2" xfId="15445" xr:uid="{00000000-0005-0000-0000-00004E760000}"/>
    <cellStyle name="Normal 5 8 4 3 2 2" xfId="41000" xr:uid="{00000000-0005-0000-0000-00004F760000}"/>
    <cellStyle name="Normal 5 8 4 3 3" xfId="25696" xr:uid="{00000000-0005-0000-0000-000050760000}"/>
    <cellStyle name="Normal 5 8 4 3 3 2" xfId="51249" xr:uid="{00000000-0005-0000-0000-000051760000}"/>
    <cellStyle name="Normal 5 8 4 3 4" xfId="32179" xr:uid="{00000000-0005-0000-0000-000052760000}"/>
    <cellStyle name="Normal 5 8 4 4" xfId="8064" xr:uid="{00000000-0005-0000-0000-000053760000}"/>
    <cellStyle name="Normal 5 8 4 4 2" xfId="22146" xr:uid="{00000000-0005-0000-0000-000054760000}"/>
    <cellStyle name="Normal 5 8 4 4 2 2" xfId="47699" xr:uid="{00000000-0005-0000-0000-000055760000}"/>
    <cellStyle name="Normal 5 8 4 4 3" xfId="33621" xr:uid="{00000000-0005-0000-0000-000056760000}"/>
    <cellStyle name="Normal 5 8 4 5" xfId="17139" xr:uid="{00000000-0005-0000-0000-000057760000}"/>
    <cellStyle name="Normal 5 8 4 5 2" xfId="42692" xr:uid="{00000000-0005-0000-0000-000058760000}"/>
    <cellStyle name="Normal 5 8 4 6" xfId="28629" xr:uid="{00000000-0005-0000-0000-000059760000}"/>
    <cellStyle name="Normal 5 8 5" xfId="4117" xr:uid="{00000000-0005-0000-0000-00005A760000}"/>
    <cellStyle name="Normal 5 8 5 2" xfId="12955" xr:uid="{00000000-0005-0000-0000-00005B760000}"/>
    <cellStyle name="Normal 5 8 5 2 2" xfId="23206" xr:uid="{00000000-0005-0000-0000-00005C760000}"/>
    <cellStyle name="Normal 5 8 5 2 2 2" xfId="48759" xr:uid="{00000000-0005-0000-0000-00005D760000}"/>
    <cellStyle name="Normal 5 8 5 2 3" xfId="38510" xr:uid="{00000000-0005-0000-0000-00005E760000}"/>
    <cellStyle name="Normal 5 8 5 3" xfId="9376" xr:uid="{00000000-0005-0000-0000-00005F760000}"/>
    <cellStyle name="Normal 5 8 5 3 2" xfId="34933" xr:uid="{00000000-0005-0000-0000-000060760000}"/>
    <cellStyle name="Normal 5 8 5 4" xfId="18199" xr:uid="{00000000-0005-0000-0000-000061760000}"/>
    <cellStyle name="Normal 5 8 5 4 2" xfId="43752" xr:uid="{00000000-0005-0000-0000-000062760000}"/>
    <cellStyle name="Normal 5 8 5 5" xfId="29689" xr:uid="{00000000-0005-0000-0000-000063760000}"/>
    <cellStyle name="Normal 5 8 6" xfId="1894" xr:uid="{00000000-0005-0000-0000-000064760000}"/>
    <cellStyle name="Normal 5 8 6 2" xfId="11259" xr:uid="{00000000-0005-0000-0000-000065760000}"/>
    <cellStyle name="Normal 5 8 6 2 2" xfId="36814" xr:uid="{00000000-0005-0000-0000-000066760000}"/>
    <cellStyle name="Normal 5 8 6 3" xfId="21263" xr:uid="{00000000-0005-0000-0000-000067760000}"/>
    <cellStyle name="Normal 5 8 6 3 2" xfId="46816" xr:uid="{00000000-0005-0000-0000-000068760000}"/>
    <cellStyle name="Normal 5 8 6 4" xfId="27746" xr:uid="{00000000-0005-0000-0000-000069760000}"/>
    <cellStyle name="Normal 5 8 7" xfId="5575" xr:uid="{00000000-0005-0000-0000-00006A760000}"/>
    <cellStyle name="Normal 5 8 7 2" xfId="14402" xr:uid="{00000000-0005-0000-0000-00006B760000}"/>
    <cellStyle name="Normal 5 8 7 2 2" xfId="39957" xr:uid="{00000000-0005-0000-0000-00006C760000}"/>
    <cellStyle name="Normal 5 8 7 3" xfId="24653" xr:uid="{00000000-0005-0000-0000-00006D760000}"/>
    <cellStyle name="Normal 5 8 7 3 2" xfId="50206" xr:uid="{00000000-0005-0000-0000-00006E760000}"/>
    <cellStyle name="Normal 5 8 7 4" xfId="31136" xr:uid="{00000000-0005-0000-0000-00006F760000}"/>
    <cellStyle name="Normal 5 8 8" xfId="7019" xr:uid="{00000000-0005-0000-0000-000070760000}"/>
    <cellStyle name="Normal 5 8 8 2" xfId="19745" xr:uid="{00000000-0005-0000-0000-000071760000}"/>
    <cellStyle name="Normal 5 8 8 2 2" xfId="45298" xr:uid="{00000000-0005-0000-0000-000072760000}"/>
    <cellStyle name="Normal 5 8 8 3" xfId="32576" xr:uid="{00000000-0005-0000-0000-000073760000}"/>
    <cellStyle name="Normal 5 8 9" xfId="16256" xr:uid="{00000000-0005-0000-0000-000074760000}"/>
    <cellStyle name="Normal 5 8 9 2" xfId="41809" xr:uid="{00000000-0005-0000-0000-000075760000}"/>
    <cellStyle name="Normal 5 8_Degree data" xfId="3930" xr:uid="{00000000-0005-0000-0000-000076760000}"/>
    <cellStyle name="Normal 5 9" xfId="782" xr:uid="{00000000-0005-0000-0000-000077760000}"/>
    <cellStyle name="Normal 5 9 2" xfId="3267" xr:uid="{00000000-0005-0000-0000-000078760000}"/>
    <cellStyle name="Normal 5 9 2 2" xfId="12409" xr:uid="{00000000-0005-0000-0000-000079760000}"/>
    <cellStyle name="Normal 5 9 2 2 2" xfId="22628" xr:uid="{00000000-0005-0000-0000-00007A760000}"/>
    <cellStyle name="Normal 5 9 2 2 2 2" xfId="48181" xr:uid="{00000000-0005-0000-0000-00007B760000}"/>
    <cellStyle name="Normal 5 9 2 2 3" xfId="37964" xr:uid="{00000000-0005-0000-0000-00007C760000}"/>
    <cellStyle name="Normal 5 9 2 3" xfId="8831" xr:uid="{00000000-0005-0000-0000-00007D760000}"/>
    <cellStyle name="Normal 5 9 2 3 2" xfId="34388" xr:uid="{00000000-0005-0000-0000-00007E760000}"/>
    <cellStyle name="Normal 5 9 2 4" xfId="17621" xr:uid="{00000000-0005-0000-0000-00007F760000}"/>
    <cellStyle name="Normal 5 9 2 4 2" xfId="43174" xr:uid="{00000000-0005-0000-0000-000080760000}"/>
    <cellStyle name="Normal 5 9 2 5" xfId="29111" xr:uid="{00000000-0005-0000-0000-000081760000}"/>
    <cellStyle name="Normal 5 9 3" xfId="4596" xr:uid="{00000000-0005-0000-0000-000082760000}"/>
    <cellStyle name="Normal 5 9 3 2" xfId="13434" xr:uid="{00000000-0005-0000-0000-000083760000}"/>
    <cellStyle name="Normal 5 9 3 2 2" xfId="23685" xr:uid="{00000000-0005-0000-0000-000084760000}"/>
    <cellStyle name="Normal 5 9 3 2 2 2" xfId="49238" xr:uid="{00000000-0005-0000-0000-000085760000}"/>
    <cellStyle name="Normal 5 9 3 2 3" xfId="38989" xr:uid="{00000000-0005-0000-0000-000086760000}"/>
    <cellStyle name="Normal 5 9 3 3" xfId="9855" xr:uid="{00000000-0005-0000-0000-000087760000}"/>
    <cellStyle name="Normal 5 9 3 3 2" xfId="35412" xr:uid="{00000000-0005-0000-0000-000088760000}"/>
    <cellStyle name="Normal 5 9 3 4" xfId="18678" xr:uid="{00000000-0005-0000-0000-000089760000}"/>
    <cellStyle name="Normal 5 9 3 4 2" xfId="44231" xr:uid="{00000000-0005-0000-0000-00008A760000}"/>
    <cellStyle name="Normal 5 9 3 5" xfId="30168" xr:uid="{00000000-0005-0000-0000-00008B760000}"/>
    <cellStyle name="Normal 5 9 4" xfId="2376" xr:uid="{00000000-0005-0000-0000-00008C760000}"/>
    <cellStyle name="Normal 5 9 4 2" xfId="11741" xr:uid="{00000000-0005-0000-0000-00008D760000}"/>
    <cellStyle name="Normal 5 9 4 2 2" xfId="37296" xr:uid="{00000000-0005-0000-0000-00008E760000}"/>
    <cellStyle name="Normal 5 9 4 3" xfId="21745" xr:uid="{00000000-0005-0000-0000-00008F760000}"/>
    <cellStyle name="Normal 5 9 4 3 2" xfId="47298" xr:uid="{00000000-0005-0000-0000-000090760000}"/>
    <cellStyle name="Normal 5 9 4 4" xfId="28228" xr:uid="{00000000-0005-0000-0000-000091760000}"/>
    <cellStyle name="Normal 5 9 5" xfId="6052" xr:uid="{00000000-0005-0000-0000-000092760000}"/>
    <cellStyle name="Normal 5 9 5 2" xfId="14879" xr:uid="{00000000-0005-0000-0000-000093760000}"/>
    <cellStyle name="Normal 5 9 5 2 2" xfId="40434" xr:uid="{00000000-0005-0000-0000-000094760000}"/>
    <cellStyle name="Normal 5 9 5 3" xfId="25130" xr:uid="{00000000-0005-0000-0000-000095760000}"/>
    <cellStyle name="Normal 5 9 5 3 2" xfId="50683" xr:uid="{00000000-0005-0000-0000-000096760000}"/>
    <cellStyle name="Normal 5 9 5 4" xfId="31613" xr:uid="{00000000-0005-0000-0000-000097760000}"/>
    <cellStyle name="Normal 5 9 6" xfId="7497" xr:uid="{00000000-0005-0000-0000-000098760000}"/>
    <cellStyle name="Normal 5 9 6 2" xfId="20227" xr:uid="{00000000-0005-0000-0000-000099760000}"/>
    <cellStyle name="Normal 5 9 6 2 2" xfId="45780" xr:uid="{00000000-0005-0000-0000-00009A760000}"/>
    <cellStyle name="Normal 5 9 6 3" xfId="33054" xr:uid="{00000000-0005-0000-0000-00009B760000}"/>
    <cellStyle name="Normal 5 9 7" xfId="16738" xr:uid="{00000000-0005-0000-0000-00009C760000}"/>
    <cellStyle name="Normal 5 9 7 2" xfId="42291" xr:uid="{00000000-0005-0000-0000-00009D760000}"/>
    <cellStyle name="Normal 5 9 8" xfId="26710" xr:uid="{00000000-0005-0000-0000-00009E760000}"/>
    <cellStyle name="Normal 5_Degree data" xfId="3833" xr:uid="{00000000-0005-0000-0000-00009F760000}"/>
    <cellStyle name="Normal 50" xfId="90" xr:uid="{00000000-0005-0000-0000-0000A0760000}"/>
    <cellStyle name="Normal 51" xfId="91" xr:uid="{00000000-0005-0000-0000-0000A1760000}"/>
    <cellStyle name="Normal 510" xfId="26040" xr:uid="{00000000-0005-0000-0000-0000A2760000}"/>
    <cellStyle name="Normal 510 2" xfId="51593" xr:uid="{00000000-0005-0000-0000-0000A3760000}"/>
    <cellStyle name="Normal 511" xfId="26038" xr:uid="{00000000-0005-0000-0000-0000A4760000}"/>
    <cellStyle name="Normal 511 2" xfId="51591" xr:uid="{00000000-0005-0000-0000-0000A5760000}"/>
    <cellStyle name="Normal 512" xfId="26039" xr:uid="{00000000-0005-0000-0000-0000A6760000}"/>
    <cellStyle name="Normal 512 2" xfId="51592" xr:uid="{00000000-0005-0000-0000-0000A7760000}"/>
    <cellStyle name="Normal 514" xfId="26041" xr:uid="{00000000-0005-0000-0000-0000A8760000}"/>
    <cellStyle name="Normal 514 2" xfId="51594" xr:uid="{00000000-0005-0000-0000-0000A9760000}"/>
    <cellStyle name="Normal 515" xfId="26042" xr:uid="{00000000-0005-0000-0000-0000AA760000}"/>
    <cellStyle name="Normal 515 2" xfId="51595" xr:uid="{00000000-0005-0000-0000-0000AB760000}"/>
    <cellStyle name="Normal 516" xfId="26043" xr:uid="{00000000-0005-0000-0000-0000AC760000}"/>
    <cellStyle name="Normal 516 2" xfId="51596" xr:uid="{00000000-0005-0000-0000-0000AD760000}"/>
    <cellStyle name="Normal 517" xfId="26044" xr:uid="{00000000-0005-0000-0000-0000AE760000}"/>
    <cellStyle name="Normal 517 2" xfId="51597" xr:uid="{00000000-0005-0000-0000-0000AF760000}"/>
    <cellStyle name="Normal 518" xfId="26045" xr:uid="{00000000-0005-0000-0000-0000B0760000}"/>
    <cellStyle name="Normal 518 2" xfId="51598" xr:uid="{00000000-0005-0000-0000-0000B1760000}"/>
    <cellStyle name="Normal 52" xfId="86" xr:uid="{00000000-0005-0000-0000-0000B2760000}"/>
    <cellStyle name="Normal 520" xfId="26047" xr:uid="{00000000-0005-0000-0000-0000B3760000}"/>
    <cellStyle name="Normal 520 2" xfId="51600" xr:uid="{00000000-0005-0000-0000-0000B4760000}"/>
    <cellStyle name="Normal 521" xfId="26046" xr:uid="{00000000-0005-0000-0000-0000B5760000}"/>
    <cellStyle name="Normal 521 2" xfId="51599" xr:uid="{00000000-0005-0000-0000-0000B6760000}"/>
    <cellStyle name="Normal 53" xfId="9" xr:uid="{00000000-0005-0000-0000-0000B7760000}"/>
    <cellStyle name="Normal 54" xfId="10" xr:uid="{00000000-0005-0000-0000-0000B8760000}"/>
    <cellStyle name="Normal 55" xfId="11" xr:uid="{00000000-0005-0000-0000-0000B9760000}"/>
    <cellStyle name="Normal 56" xfId="43" xr:uid="{00000000-0005-0000-0000-0000BA760000}"/>
    <cellStyle name="Normal 57" xfId="26" xr:uid="{00000000-0005-0000-0000-0000BB760000}"/>
    <cellStyle name="Normal 57 10" xfId="279" xr:uid="{00000000-0005-0000-0000-0000BC760000}"/>
    <cellStyle name="Normal 57 10 10" xfId="16067" xr:uid="{00000000-0005-0000-0000-0000BD760000}"/>
    <cellStyle name="Normal 57 10 10 2" xfId="41620" xr:uid="{00000000-0005-0000-0000-0000BE760000}"/>
    <cellStyle name="Normal 57 10 11" xfId="26213" xr:uid="{00000000-0005-0000-0000-0000BF760000}"/>
    <cellStyle name="Normal 57 10 2" xfId="601" xr:uid="{00000000-0005-0000-0000-0000C0760000}"/>
    <cellStyle name="Normal 57 10 2 2" xfId="3087" xr:uid="{00000000-0005-0000-0000-0000C1760000}"/>
    <cellStyle name="Normal 57 10 2 2 2" xfId="12230" xr:uid="{00000000-0005-0000-0000-0000C2760000}"/>
    <cellStyle name="Normal 57 10 2 2 2 2" xfId="22448" xr:uid="{00000000-0005-0000-0000-0000C3760000}"/>
    <cellStyle name="Normal 57 10 2 2 2 2 2" xfId="48001" xr:uid="{00000000-0005-0000-0000-0000C4760000}"/>
    <cellStyle name="Normal 57 10 2 2 2 3" xfId="37785" xr:uid="{00000000-0005-0000-0000-0000C5760000}"/>
    <cellStyle name="Normal 57 10 2 2 3" xfId="8652" xr:uid="{00000000-0005-0000-0000-0000C6760000}"/>
    <cellStyle name="Normal 57 10 2 2 3 2" xfId="34209" xr:uid="{00000000-0005-0000-0000-0000C7760000}"/>
    <cellStyle name="Normal 57 10 2 2 4" xfId="17441" xr:uid="{00000000-0005-0000-0000-0000C8760000}"/>
    <cellStyle name="Normal 57 10 2 2 4 2" xfId="42994" xr:uid="{00000000-0005-0000-0000-0000C9760000}"/>
    <cellStyle name="Normal 57 10 2 2 5" xfId="28931" xr:uid="{00000000-0005-0000-0000-0000CA760000}"/>
    <cellStyle name="Normal 57 10 2 3" xfId="4640" xr:uid="{00000000-0005-0000-0000-0000CB760000}"/>
    <cellStyle name="Normal 57 10 2 3 2" xfId="13478" xr:uid="{00000000-0005-0000-0000-0000CC760000}"/>
    <cellStyle name="Normal 57 10 2 3 2 2" xfId="23729" xr:uid="{00000000-0005-0000-0000-0000CD760000}"/>
    <cellStyle name="Normal 57 10 2 3 2 2 2" xfId="49282" xr:uid="{00000000-0005-0000-0000-0000CE760000}"/>
    <cellStyle name="Normal 57 10 2 3 2 3" xfId="39033" xr:uid="{00000000-0005-0000-0000-0000CF760000}"/>
    <cellStyle name="Normal 57 10 2 3 3" xfId="9899" xr:uid="{00000000-0005-0000-0000-0000D0760000}"/>
    <cellStyle name="Normal 57 10 2 3 3 2" xfId="35456" xr:uid="{00000000-0005-0000-0000-0000D1760000}"/>
    <cellStyle name="Normal 57 10 2 3 4" xfId="18722" xr:uid="{00000000-0005-0000-0000-0000D2760000}"/>
    <cellStyle name="Normal 57 10 2 3 4 2" xfId="44275" xr:uid="{00000000-0005-0000-0000-0000D3760000}"/>
    <cellStyle name="Normal 57 10 2 3 5" xfId="30212" xr:uid="{00000000-0005-0000-0000-0000D4760000}"/>
    <cellStyle name="Normal 57 10 2 4" xfId="2196" xr:uid="{00000000-0005-0000-0000-0000D5760000}"/>
    <cellStyle name="Normal 57 10 2 4 2" xfId="11561" xr:uid="{00000000-0005-0000-0000-0000D6760000}"/>
    <cellStyle name="Normal 57 10 2 4 2 2" xfId="37116" xr:uid="{00000000-0005-0000-0000-0000D7760000}"/>
    <cellStyle name="Normal 57 10 2 4 3" xfId="21565" xr:uid="{00000000-0005-0000-0000-0000D8760000}"/>
    <cellStyle name="Normal 57 10 2 4 3 2" xfId="47118" xr:uid="{00000000-0005-0000-0000-0000D9760000}"/>
    <cellStyle name="Normal 57 10 2 4 4" xfId="28048" xr:uid="{00000000-0005-0000-0000-0000DA760000}"/>
    <cellStyle name="Normal 57 10 2 5" xfId="6096" xr:uid="{00000000-0005-0000-0000-0000DB760000}"/>
    <cellStyle name="Normal 57 10 2 5 2" xfId="14923" xr:uid="{00000000-0005-0000-0000-0000DC760000}"/>
    <cellStyle name="Normal 57 10 2 5 2 2" xfId="40478" xr:uid="{00000000-0005-0000-0000-0000DD760000}"/>
    <cellStyle name="Normal 57 10 2 5 3" xfId="25174" xr:uid="{00000000-0005-0000-0000-0000DE760000}"/>
    <cellStyle name="Normal 57 10 2 5 3 2" xfId="50727" xr:uid="{00000000-0005-0000-0000-0000DF760000}"/>
    <cellStyle name="Normal 57 10 2 5 4" xfId="31657" xr:uid="{00000000-0005-0000-0000-0000E0760000}"/>
    <cellStyle name="Normal 57 10 2 6" xfId="7541" xr:uid="{00000000-0005-0000-0000-0000E1760000}"/>
    <cellStyle name="Normal 57 10 2 6 2" xfId="20047" xr:uid="{00000000-0005-0000-0000-0000E2760000}"/>
    <cellStyle name="Normal 57 10 2 6 2 2" xfId="45600" xr:uid="{00000000-0005-0000-0000-0000E3760000}"/>
    <cellStyle name="Normal 57 10 2 6 3" xfId="33098" xr:uid="{00000000-0005-0000-0000-0000E4760000}"/>
    <cellStyle name="Normal 57 10 2 7" xfId="16558" xr:uid="{00000000-0005-0000-0000-0000E5760000}"/>
    <cellStyle name="Normal 57 10 2 7 2" xfId="42111" xr:uid="{00000000-0005-0000-0000-0000E6760000}"/>
    <cellStyle name="Normal 57 10 2 8" xfId="26530" xr:uid="{00000000-0005-0000-0000-0000E7760000}"/>
    <cellStyle name="Normal 57 10 3" xfId="826" xr:uid="{00000000-0005-0000-0000-0000E8760000}"/>
    <cellStyle name="Normal 57 10 3 2" xfId="3311" xr:uid="{00000000-0005-0000-0000-0000E9760000}"/>
    <cellStyle name="Normal 57 10 3 2 2" xfId="12453" xr:uid="{00000000-0005-0000-0000-0000EA760000}"/>
    <cellStyle name="Normal 57 10 3 2 2 2" xfId="22672" xr:uid="{00000000-0005-0000-0000-0000EB760000}"/>
    <cellStyle name="Normal 57 10 3 2 2 2 2" xfId="48225" xr:uid="{00000000-0005-0000-0000-0000EC760000}"/>
    <cellStyle name="Normal 57 10 3 2 2 3" xfId="38008" xr:uid="{00000000-0005-0000-0000-0000ED760000}"/>
    <cellStyle name="Normal 57 10 3 2 3" xfId="8875" xr:uid="{00000000-0005-0000-0000-0000EE760000}"/>
    <cellStyle name="Normal 57 10 3 2 3 2" xfId="34432" xr:uid="{00000000-0005-0000-0000-0000EF760000}"/>
    <cellStyle name="Normal 57 10 3 2 4" xfId="17665" xr:uid="{00000000-0005-0000-0000-0000F0760000}"/>
    <cellStyle name="Normal 57 10 3 2 4 2" xfId="43218" xr:uid="{00000000-0005-0000-0000-0000F1760000}"/>
    <cellStyle name="Normal 57 10 3 2 5" xfId="29155" xr:uid="{00000000-0005-0000-0000-0000F2760000}"/>
    <cellStyle name="Normal 57 10 3 3" xfId="4989" xr:uid="{00000000-0005-0000-0000-0000F3760000}"/>
    <cellStyle name="Normal 57 10 3 3 2" xfId="13826" xr:uid="{00000000-0005-0000-0000-0000F4760000}"/>
    <cellStyle name="Normal 57 10 3 3 2 2" xfId="24077" xr:uid="{00000000-0005-0000-0000-0000F5760000}"/>
    <cellStyle name="Normal 57 10 3 3 2 2 2" xfId="49630" xr:uid="{00000000-0005-0000-0000-0000F6760000}"/>
    <cellStyle name="Normal 57 10 3 3 2 3" xfId="39381" xr:uid="{00000000-0005-0000-0000-0000F7760000}"/>
    <cellStyle name="Normal 57 10 3 3 3" xfId="10247" xr:uid="{00000000-0005-0000-0000-0000F8760000}"/>
    <cellStyle name="Normal 57 10 3 3 3 2" xfId="35804" xr:uid="{00000000-0005-0000-0000-0000F9760000}"/>
    <cellStyle name="Normal 57 10 3 3 4" xfId="19070" xr:uid="{00000000-0005-0000-0000-0000FA760000}"/>
    <cellStyle name="Normal 57 10 3 3 4 2" xfId="44623" xr:uid="{00000000-0005-0000-0000-0000FB760000}"/>
    <cellStyle name="Normal 57 10 3 3 5" xfId="30560" xr:uid="{00000000-0005-0000-0000-0000FC760000}"/>
    <cellStyle name="Normal 57 10 3 4" xfId="2420" xr:uid="{00000000-0005-0000-0000-0000FD760000}"/>
    <cellStyle name="Normal 57 10 3 4 2" xfId="11785" xr:uid="{00000000-0005-0000-0000-0000FE760000}"/>
    <cellStyle name="Normal 57 10 3 4 2 2" xfId="37340" xr:uid="{00000000-0005-0000-0000-0000FF760000}"/>
    <cellStyle name="Normal 57 10 3 4 3" xfId="21789" xr:uid="{00000000-0005-0000-0000-000000770000}"/>
    <cellStyle name="Normal 57 10 3 4 3 2" xfId="47342" xr:uid="{00000000-0005-0000-0000-000001770000}"/>
    <cellStyle name="Normal 57 10 3 4 4" xfId="28272" xr:uid="{00000000-0005-0000-0000-000002770000}"/>
    <cellStyle name="Normal 57 10 3 5" xfId="6444" xr:uid="{00000000-0005-0000-0000-000003770000}"/>
    <cellStyle name="Normal 57 10 3 5 2" xfId="15271" xr:uid="{00000000-0005-0000-0000-000004770000}"/>
    <cellStyle name="Normal 57 10 3 5 2 2" xfId="40826" xr:uid="{00000000-0005-0000-0000-000005770000}"/>
    <cellStyle name="Normal 57 10 3 5 3" xfId="25522" xr:uid="{00000000-0005-0000-0000-000006770000}"/>
    <cellStyle name="Normal 57 10 3 5 3 2" xfId="51075" xr:uid="{00000000-0005-0000-0000-000007770000}"/>
    <cellStyle name="Normal 57 10 3 5 4" xfId="32005" xr:uid="{00000000-0005-0000-0000-000008770000}"/>
    <cellStyle name="Normal 57 10 3 6" xfId="7890" xr:uid="{00000000-0005-0000-0000-000009770000}"/>
    <cellStyle name="Normal 57 10 3 6 2" xfId="20271" xr:uid="{00000000-0005-0000-0000-00000A770000}"/>
    <cellStyle name="Normal 57 10 3 6 2 2" xfId="45824" xr:uid="{00000000-0005-0000-0000-00000B770000}"/>
    <cellStyle name="Normal 57 10 3 6 3" xfId="33447" xr:uid="{00000000-0005-0000-0000-00000C770000}"/>
    <cellStyle name="Normal 57 10 3 7" xfId="16782" xr:uid="{00000000-0005-0000-0000-00000D770000}"/>
    <cellStyle name="Normal 57 10 3 7 2" xfId="42335" xr:uid="{00000000-0005-0000-0000-00000E770000}"/>
    <cellStyle name="Normal 57 10 3 8" xfId="26754" xr:uid="{00000000-0005-0000-0000-00000F770000}"/>
    <cellStyle name="Normal 57 10 4" xfId="1373" xr:uid="{00000000-0005-0000-0000-000010770000}"/>
    <cellStyle name="Normal 57 10 4 2" xfId="3802" xr:uid="{00000000-0005-0000-0000-000011770000}"/>
    <cellStyle name="Normal 57 10 4 2 2" xfId="12938" xr:uid="{00000000-0005-0000-0000-000012770000}"/>
    <cellStyle name="Normal 57 10 4 2 2 2" xfId="23157" xr:uid="{00000000-0005-0000-0000-000013770000}"/>
    <cellStyle name="Normal 57 10 4 2 2 2 2" xfId="48710" xr:uid="{00000000-0005-0000-0000-000014770000}"/>
    <cellStyle name="Normal 57 10 4 2 2 3" xfId="38493" xr:uid="{00000000-0005-0000-0000-000015770000}"/>
    <cellStyle name="Normal 57 10 4 2 3" xfId="9359" xr:uid="{00000000-0005-0000-0000-000016770000}"/>
    <cellStyle name="Normal 57 10 4 2 3 2" xfId="34916" xr:uid="{00000000-0005-0000-0000-000017770000}"/>
    <cellStyle name="Normal 57 10 4 2 4" xfId="18150" xr:uid="{00000000-0005-0000-0000-000018770000}"/>
    <cellStyle name="Normal 57 10 4 2 4 2" xfId="43703" xr:uid="{00000000-0005-0000-0000-000019770000}"/>
    <cellStyle name="Normal 57 10 4 2 5" xfId="29640" xr:uid="{00000000-0005-0000-0000-00001A770000}"/>
    <cellStyle name="Normal 57 10 4 3" xfId="5465" xr:uid="{00000000-0005-0000-0000-00001B770000}"/>
    <cellStyle name="Normal 57 10 4 3 2" xfId="14302" xr:uid="{00000000-0005-0000-0000-00001C770000}"/>
    <cellStyle name="Normal 57 10 4 3 2 2" xfId="24553" xr:uid="{00000000-0005-0000-0000-00001D770000}"/>
    <cellStyle name="Normal 57 10 4 3 2 2 2" xfId="50106" xr:uid="{00000000-0005-0000-0000-00001E770000}"/>
    <cellStyle name="Normal 57 10 4 3 2 3" xfId="39857" xr:uid="{00000000-0005-0000-0000-00001F770000}"/>
    <cellStyle name="Normal 57 10 4 3 3" xfId="10723" xr:uid="{00000000-0005-0000-0000-000020770000}"/>
    <cellStyle name="Normal 57 10 4 3 3 2" xfId="36280" xr:uid="{00000000-0005-0000-0000-000021770000}"/>
    <cellStyle name="Normal 57 10 4 3 4" xfId="19546" xr:uid="{00000000-0005-0000-0000-000022770000}"/>
    <cellStyle name="Normal 57 10 4 3 4 2" xfId="45099" xr:uid="{00000000-0005-0000-0000-000023770000}"/>
    <cellStyle name="Normal 57 10 4 3 5" xfId="31036" xr:uid="{00000000-0005-0000-0000-000024770000}"/>
    <cellStyle name="Normal 57 10 4 4" xfId="1876" xr:uid="{00000000-0005-0000-0000-000025770000}"/>
    <cellStyle name="Normal 57 10 4 4 2" xfId="11244" xr:uid="{00000000-0005-0000-0000-000026770000}"/>
    <cellStyle name="Normal 57 10 4 4 2 2" xfId="36799" xr:uid="{00000000-0005-0000-0000-000027770000}"/>
    <cellStyle name="Normal 57 10 4 4 3" xfId="21248" xr:uid="{00000000-0005-0000-0000-000028770000}"/>
    <cellStyle name="Normal 57 10 4 4 3 2" xfId="46801" xr:uid="{00000000-0005-0000-0000-000029770000}"/>
    <cellStyle name="Normal 57 10 4 4 4" xfId="27731" xr:uid="{00000000-0005-0000-0000-00002A770000}"/>
    <cellStyle name="Normal 57 10 4 5" xfId="6920" xr:uid="{00000000-0005-0000-0000-00002B770000}"/>
    <cellStyle name="Normal 57 10 4 5 2" xfId="15747" xr:uid="{00000000-0005-0000-0000-00002C770000}"/>
    <cellStyle name="Normal 57 10 4 5 2 2" xfId="41302" xr:uid="{00000000-0005-0000-0000-00002D770000}"/>
    <cellStyle name="Normal 57 10 4 5 3" xfId="25998" xr:uid="{00000000-0005-0000-0000-00002E770000}"/>
    <cellStyle name="Normal 57 10 4 5 3 2" xfId="51551" xr:uid="{00000000-0005-0000-0000-00002F770000}"/>
    <cellStyle name="Normal 57 10 4 5 4" xfId="32481" xr:uid="{00000000-0005-0000-0000-000030770000}"/>
    <cellStyle name="Normal 57 10 4 6" xfId="8366" xr:uid="{00000000-0005-0000-0000-000031770000}"/>
    <cellStyle name="Normal 57 10 4 6 2" xfId="20756" xr:uid="{00000000-0005-0000-0000-000032770000}"/>
    <cellStyle name="Normal 57 10 4 6 2 2" xfId="46309" xr:uid="{00000000-0005-0000-0000-000033770000}"/>
    <cellStyle name="Normal 57 10 4 6 3" xfId="33923" xr:uid="{00000000-0005-0000-0000-000034770000}"/>
    <cellStyle name="Normal 57 10 4 7" xfId="16241" xr:uid="{00000000-0005-0000-0000-000035770000}"/>
    <cellStyle name="Normal 57 10 4 7 2" xfId="41794" xr:uid="{00000000-0005-0000-0000-000036770000}"/>
    <cellStyle name="Normal 57 10 4 8" xfId="27239" xr:uid="{00000000-0005-0000-0000-000037770000}"/>
    <cellStyle name="Normal 57 10 5" xfId="2770" xr:uid="{00000000-0005-0000-0000-000038770000}"/>
    <cellStyle name="Normal 57 10 5 2" xfId="12087" xr:uid="{00000000-0005-0000-0000-000039770000}"/>
    <cellStyle name="Normal 57 10 5 2 2" xfId="22131" xr:uid="{00000000-0005-0000-0000-00003A770000}"/>
    <cellStyle name="Normal 57 10 5 2 2 2" xfId="47684" xr:uid="{00000000-0005-0000-0000-00003B770000}"/>
    <cellStyle name="Normal 57 10 5 2 3" xfId="37642" xr:uid="{00000000-0005-0000-0000-00003C770000}"/>
    <cellStyle name="Normal 57 10 5 3" xfId="8429" xr:uid="{00000000-0005-0000-0000-00003D770000}"/>
    <cellStyle name="Normal 57 10 5 3 2" xfId="33986" xr:uid="{00000000-0005-0000-0000-00003E770000}"/>
    <cellStyle name="Normal 57 10 5 4" xfId="17124" xr:uid="{00000000-0005-0000-0000-00003F770000}"/>
    <cellStyle name="Normal 57 10 5 4 2" xfId="42677" xr:uid="{00000000-0005-0000-0000-000040770000}"/>
    <cellStyle name="Normal 57 10 5 5" xfId="28614" xr:uid="{00000000-0005-0000-0000-000041770000}"/>
    <cellStyle name="Normal 57 10 6" xfId="4421" xr:uid="{00000000-0005-0000-0000-000042770000}"/>
    <cellStyle name="Normal 57 10 6 2" xfId="13259" xr:uid="{00000000-0005-0000-0000-000043770000}"/>
    <cellStyle name="Normal 57 10 6 2 2" xfId="23510" xr:uid="{00000000-0005-0000-0000-000044770000}"/>
    <cellStyle name="Normal 57 10 6 2 2 2" xfId="49063" xr:uid="{00000000-0005-0000-0000-000045770000}"/>
    <cellStyle name="Normal 57 10 6 2 3" xfId="38814" xr:uid="{00000000-0005-0000-0000-000046770000}"/>
    <cellStyle name="Normal 57 10 6 3" xfId="9680" xr:uid="{00000000-0005-0000-0000-000047770000}"/>
    <cellStyle name="Normal 57 10 6 3 2" xfId="35237" xr:uid="{00000000-0005-0000-0000-000048770000}"/>
    <cellStyle name="Normal 57 10 6 4" xfId="18503" xr:uid="{00000000-0005-0000-0000-000049770000}"/>
    <cellStyle name="Normal 57 10 6 4 2" xfId="44056" xr:uid="{00000000-0005-0000-0000-00004A770000}"/>
    <cellStyle name="Normal 57 10 6 5" xfId="29993" xr:uid="{00000000-0005-0000-0000-00004B770000}"/>
    <cellStyle name="Normal 57 10 7" xfId="1693" xr:uid="{00000000-0005-0000-0000-00004C770000}"/>
    <cellStyle name="Normal 57 10 7 2" xfId="11070" xr:uid="{00000000-0005-0000-0000-00004D770000}"/>
    <cellStyle name="Normal 57 10 7 2 2" xfId="36625" xr:uid="{00000000-0005-0000-0000-00004E770000}"/>
    <cellStyle name="Normal 57 10 7 3" xfId="21074" xr:uid="{00000000-0005-0000-0000-00004F770000}"/>
    <cellStyle name="Normal 57 10 7 3 2" xfId="46627" xr:uid="{00000000-0005-0000-0000-000050770000}"/>
    <cellStyle name="Normal 57 10 7 4" xfId="27557" xr:uid="{00000000-0005-0000-0000-000051770000}"/>
    <cellStyle name="Normal 57 10 8" xfId="5877" xr:uid="{00000000-0005-0000-0000-000052770000}"/>
    <cellStyle name="Normal 57 10 8 2" xfId="14704" xr:uid="{00000000-0005-0000-0000-000053770000}"/>
    <cellStyle name="Normal 57 10 8 2 2" xfId="40259" xr:uid="{00000000-0005-0000-0000-000054770000}"/>
    <cellStyle name="Normal 57 10 8 3" xfId="24955" xr:uid="{00000000-0005-0000-0000-000055770000}"/>
    <cellStyle name="Normal 57 10 8 3 2" xfId="50508" xr:uid="{00000000-0005-0000-0000-000056770000}"/>
    <cellStyle name="Normal 57 10 8 4" xfId="31438" xr:uid="{00000000-0005-0000-0000-000057770000}"/>
    <cellStyle name="Normal 57 10 9" xfId="7321" xr:uid="{00000000-0005-0000-0000-000058770000}"/>
    <cellStyle name="Normal 57 10 9 2" xfId="19730" xr:uid="{00000000-0005-0000-0000-000059770000}"/>
    <cellStyle name="Normal 57 10 9 2 2" xfId="45283" xr:uid="{00000000-0005-0000-0000-00005A770000}"/>
    <cellStyle name="Normal 57 10 9 3" xfId="32878" xr:uid="{00000000-0005-0000-0000-00005B770000}"/>
    <cellStyle name="Normal 57 10_Degree data" xfId="3932" xr:uid="{00000000-0005-0000-0000-00005C770000}"/>
    <cellStyle name="Normal 57 11" xfId="440" xr:uid="{00000000-0005-0000-0000-00005D770000}"/>
    <cellStyle name="Normal 57 11 10" xfId="26369" xr:uid="{00000000-0005-0000-0000-00005E770000}"/>
    <cellStyle name="Normal 57 11 2" xfId="827" xr:uid="{00000000-0005-0000-0000-00005F770000}"/>
    <cellStyle name="Normal 57 11 2 2" xfId="3312" xr:uid="{00000000-0005-0000-0000-000060770000}"/>
    <cellStyle name="Normal 57 11 2 2 2" xfId="12454" xr:uid="{00000000-0005-0000-0000-000061770000}"/>
    <cellStyle name="Normal 57 11 2 2 2 2" xfId="22673" xr:uid="{00000000-0005-0000-0000-000062770000}"/>
    <cellStyle name="Normal 57 11 2 2 2 2 2" xfId="48226" xr:uid="{00000000-0005-0000-0000-000063770000}"/>
    <cellStyle name="Normal 57 11 2 2 2 3" xfId="38009" xr:uid="{00000000-0005-0000-0000-000064770000}"/>
    <cellStyle name="Normal 57 11 2 2 3" xfId="8876" xr:uid="{00000000-0005-0000-0000-000065770000}"/>
    <cellStyle name="Normal 57 11 2 2 3 2" xfId="34433" xr:uid="{00000000-0005-0000-0000-000066770000}"/>
    <cellStyle name="Normal 57 11 2 2 4" xfId="17666" xr:uid="{00000000-0005-0000-0000-000067770000}"/>
    <cellStyle name="Normal 57 11 2 2 4 2" xfId="43219" xr:uid="{00000000-0005-0000-0000-000068770000}"/>
    <cellStyle name="Normal 57 11 2 2 5" xfId="29156" xr:uid="{00000000-0005-0000-0000-000069770000}"/>
    <cellStyle name="Normal 57 11 2 3" xfId="4641" xr:uid="{00000000-0005-0000-0000-00006A770000}"/>
    <cellStyle name="Normal 57 11 2 3 2" xfId="13479" xr:uid="{00000000-0005-0000-0000-00006B770000}"/>
    <cellStyle name="Normal 57 11 2 3 2 2" xfId="23730" xr:uid="{00000000-0005-0000-0000-00006C770000}"/>
    <cellStyle name="Normal 57 11 2 3 2 2 2" xfId="49283" xr:uid="{00000000-0005-0000-0000-00006D770000}"/>
    <cellStyle name="Normal 57 11 2 3 2 3" xfId="39034" xr:uid="{00000000-0005-0000-0000-00006E770000}"/>
    <cellStyle name="Normal 57 11 2 3 3" xfId="9900" xr:uid="{00000000-0005-0000-0000-00006F770000}"/>
    <cellStyle name="Normal 57 11 2 3 3 2" xfId="35457" xr:uid="{00000000-0005-0000-0000-000070770000}"/>
    <cellStyle name="Normal 57 11 2 3 4" xfId="18723" xr:uid="{00000000-0005-0000-0000-000071770000}"/>
    <cellStyle name="Normal 57 11 2 3 4 2" xfId="44276" xr:uid="{00000000-0005-0000-0000-000072770000}"/>
    <cellStyle name="Normal 57 11 2 3 5" xfId="30213" xr:uid="{00000000-0005-0000-0000-000073770000}"/>
    <cellStyle name="Normal 57 11 2 4" xfId="2421" xr:uid="{00000000-0005-0000-0000-000074770000}"/>
    <cellStyle name="Normal 57 11 2 4 2" xfId="11786" xr:uid="{00000000-0005-0000-0000-000075770000}"/>
    <cellStyle name="Normal 57 11 2 4 2 2" xfId="37341" xr:uid="{00000000-0005-0000-0000-000076770000}"/>
    <cellStyle name="Normal 57 11 2 4 3" xfId="21790" xr:uid="{00000000-0005-0000-0000-000077770000}"/>
    <cellStyle name="Normal 57 11 2 4 3 2" xfId="47343" xr:uid="{00000000-0005-0000-0000-000078770000}"/>
    <cellStyle name="Normal 57 11 2 4 4" xfId="28273" xr:uid="{00000000-0005-0000-0000-000079770000}"/>
    <cellStyle name="Normal 57 11 2 5" xfId="6097" xr:uid="{00000000-0005-0000-0000-00007A770000}"/>
    <cellStyle name="Normal 57 11 2 5 2" xfId="14924" xr:uid="{00000000-0005-0000-0000-00007B770000}"/>
    <cellStyle name="Normal 57 11 2 5 2 2" xfId="40479" xr:uid="{00000000-0005-0000-0000-00007C770000}"/>
    <cellStyle name="Normal 57 11 2 5 3" xfId="25175" xr:uid="{00000000-0005-0000-0000-00007D770000}"/>
    <cellStyle name="Normal 57 11 2 5 3 2" xfId="50728" xr:uid="{00000000-0005-0000-0000-00007E770000}"/>
    <cellStyle name="Normal 57 11 2 5 4" xfId="31658" xr:uid="{00000000-0005-0000-0000-00007F770000}"/>
    <cellStyle name="Normal 57 11 2 6" xfId="7542" xr:uid="{00000000-0005-0000-0000-000080770000}"/>
    <cellStyle name="Normal 57 11 2 6 2" xfId="20272" xr:uid="{00000000-0005-0000-0000-000081770000}"/>
    <cellStyle name="Normal 57 11 2 6 2 2" xfId="45825" xr:uid="{00000000-0005-0000-0000-000082770000}"/>
    <cellStyle name="Normal 57 11 2 6 3" xfId="33099" xr:uid="{00000000-0005-0000-0000-000083770000}"/>
    <cellStyle name="Normal 57 11 2 7" xfId="16783" xr:uid="{00000000-0005-0000-0000-000084770000}"/>
    <cellStyle name="Normal 57 11 2 7 2" xfId="42336" xr:uid="{00000000-0005-0000-0000-000085770000}"/>
    <cellStyle name="Normal 57 11 2 8" xfId="26755" xr:uid="{00000000-0005-0000-0000-000086770000}"/>
    <cellStyle name="Normal 57 11 3" xfId="1212" xr:uid="{00000000-0005-0000-0000-000087770000}"/>
    <cellStyle name="Normal 57 11 3 2" xfId="3641" xr:uid="{00000000-0005-0000-0000-000088770000}"/>
    <cellStyle name="Normal 57 11 3 2 2" xfId="12777" xr:uid="{00000000-0005-0000-0000-000089770000}"/>
    <cellStyle name="Normal 57 11 3 2 2 2" xfId="22996" xr:uid="{00000000-0005-0000-0000-00008A770000}"/>
    <cellStyle name="Normal 57 11 3 2 2 2 2" xfId="48549" xr:uid="{00000000-0005-0000-0000-00008B770000}"/>
    <cellStyle name="Normal 57 11 3 2 2 3" xfId="38332" xr:uid="{00000000-0005-0000-0000-00008C770000}"/>
    <cellStyle name="Normal 57 11 3 2 3" xfId="9198" xr:uid="{00000000-0005-0000-0000-00008D770000}"/>
    <cellStyle name="Normal 57 11 3 2 3 2" xfId="34755" xr:uid="{00000000-0005-0000-0000-00008E770000}"/>
    <cellStyle name="Normal 57 11 3 2 4" xfId="17989" xr:uid="{00000000-0005-0000-0000-00008F770000}"/>
    <cellStyle name="Normal 57 11 3 2 4 2" xfId="43542" xr:uid="{00000000-0005-0000-0000-000090770000}"/>
    <cellStyle name="Normal 57 11 3 2 5" xfId="29479" xr:uid="{00000000-0005-0000-0000-000091770000}"/>
    <cellStyle name="Normal 57 11 3 3" xfId="4990" xr:uid="{00000000-0005-0000-0000-000092770000}"/>
    <cellStyle name="Normal 57 11 3 3 2" xfId="13827" xr:uid="{00000000-0005-0000-0000-000093770000}"/>
    <cellStyle name="Normal 57 11 3 3 2 2" xfId="24078" xr:uid="{00000000-0005-0000-0000-000094770000}"/>
    <cellStyle name="Normal 57 11 3 3 2 2 2" xfId="49631" xr:uid="{00000000-0005-0000-0000-000095770000}"/>
    <cellStyle name="Normal 57 11 3 3 2 3" xfId="39382" xr:uid="{00000000-0005-0000-0000-000096770000}"/>
    <cellStyle name="Normal 57 11 3 3 3" xfId="10248" xr:uid="{00000000-0005-0000-0000-000097770000}"/>
    <cellStyle name="Normal 57 11 3 3 3 2" xfId="35805" xr:uid="{00000000-0005-0000-0000-000098770000}"/>
    <cellStyle name="Normal 57 11 3 3 4" xfId="19071" xr:uid="{00000000-0005-0000-0000-000099770000}"/>
    <cellStyle name="Normal 57 11 3 3 4 2" xfId="44624" xr:uid="{00000000-0005-0000-0000-00009A770000}"/>
    <cellStyle name="Normal 57 11 3 3 5" xfId="30561" xr:uid="{00000000-0005-0000-0000-00009B770000}"/>
    <cellStyle name="Normal 57 11 3 4" xfId="2035" xr:uid="{00000000-0005-0000-0000-00009C770000}"/>
    <cellStyle name="Normal 57 11 3 4 2" xfId="11400" xr:uid="{00000000-0005-0000-0000-00009D770000}"/>
    <cellStyle name="Normal 57 11 3 4 2 2" xfId="36955" xr:uid="{00000000-0005-0000-0000-00009E770000}"/>
    <cellStyle name="Normal 57 11 3 4 3" xfId="21404" xr:uid="{00000000-0005-0000-0000-00009F770000}"/>
    <cellStyle name="Normal 57 11 3 4 3 2" xfId="46957" xr:uid="{00000000-0005-0000-0000-0000A0770000}"/>
    <cellStyle name="Normal 57 11 3 4 4" xfId="27887" xr:uid="{00000000-0005-0000-0000-0000A1770000}"/>
    <cellStyle name="Normal 57 11 3 5" xfId="6445" xr:uid="{00000000-0005-0000-0000-0000A2770000}"/>
    <cellStyle name="Normal 57 11 3 5 2" xfId="15272" xr:uid="{00000000-0005-0000-0000-0000A3770000}"/>
    <cellStyle name="Normal 57 11 3 5 2 2" xfId="40827" xr:uid="{00000000-0005-0000-0000-0000A4770000}"/>
    <cellStyle name="Normal 57 11 3 5 3" xfId="25523" xr:uid="{00000000-0005-0000-0000-0000A5770000}"/>
    <cellStyle name="Normal 57 11 3 5 3 2" xfId="51076" xr:uid="{00000000-0005-0000-0000-0000A6770000}"/>
    <cellStyle name="Normal 57 11 3 5 4" xfId="32006" xr:uid="{00000000-0005-0000-0000-0000A7770000}"/>
    <cellStyle name="Normal 57 11 3 6" xfId="7891" xr:uid="{00000000-0005-0000-0000-0000A8770000}"/>
    <cellStyle name="Normal 57 11 3 6 2" xfId="20595" xr:uid="{00000000-0005-0000-0000-0000A9770000}"/>
    <cellStyle name="Normal 57 11 3 6 2 2" xfId="46148" xr:uid="{00000000-0005-0000-0000-0000AA770000}"/>
    <cellStyle name="Normal 57 11 3 6 3" xfId="33448" xr:uid="{00000000-0005-0000-0000-0000AB770000}"/>
    <cellStyle name="Normal 57 11 3 7" xfId="16397" xr:uid="{00000000-0005-0000-0000-0000AC770000}"/>
    <cellStyle name="Normal 57 11 3 7 2" xfId="41950" xr:uid="{00000000-0005-0000-0000-0000AD770000}"/>
    <cellStyle name="Normal 57 11 3 8" xfId="27078" xr:uid="{00000000-0005-0000-0000-0000AE770000}"/>
    <cellStyle name="Normal 57 11 4" xfId="2926" xr:uid="{00000000-0005-0000-0000-0000AF770000}"/>
    <cellStyle name="Normal 57 11 4 2" xfId="5304" xr:uid="{00000000-0005-0000-0000-0000B0770000}"/>
    <cellStyle name="Normal 57 11 4 2 2" xfId="14141" xr:uid="{00000000-0005-0000-0000-0000B1770000}"/>
    <cellStyle name="Normal 57 11 4 2 2 2" xfId="24392" xr:uid="{00000000-0005-0000-0000-0000B2770000}"/>
    <cellStyle name="Normal 57 11 4 2 2 2 2" xfId="49945" xr:uid="{00000000-0005-0000-0000-0000B3770000}"/>
    <cellStyle name="Normal 57 11 4 2 2 3" xfId="39696" xr:uid="{00000000-0005-0000-0000-0000B4770000}"/>
    <cellStyle name="Normal 57 11 4 2 3" xfId="10562" xr:uid="{00000000-0005-0000-0000-0000B5770000}"/>
    <cellStyle name="Normal 57 11 4 2 3 2" xfId="36119" xr:uid="{00000000-0005-0000-0000-0000B6770000}"/>
    <cellStyle name="Normal 57 11 4 2 4" xfId="19385" xr:uid="{00000000-0005-0000-0000-0000B7770000}"/>
    <cellStyle name="Normal 57 11 4 2 4 2" xfId="44938" xr:uid="{00000000-0005-0000-0000-0000B8770000}"/>
    <cellStyle name="Normal 57 11 4 2 5" xfId="30875" xr:uid="{00000000-0005-0000-0000-0000B9770000}"/>
    <cellStyle name="Normal 57 11 4 3" xfId="6759" xr:uid="{00000000-0005-0000-0000-0000BA770000}"/>
    <cellStyle name="Normal 57 11 4 3 2" xfId="15586" xr:uid="{00000000-0005-0000-0000-0000BB770000}"/>
    <cellStyle name="Normal 57 11 4 3 2 2" xfId="41141" xr:uid="{00000000-0005-0000-0000-0000BC770000}"/>
    <cellStyle name="Normal 57 11 4 3 3" xfId="25837" xr:uid="{00000000-0005-0000-0000-0000BD770000}"/>
    <cellStyle name="Normal 57 11 4 3 3 2" xfId="51390" xr:uid="{00000000-0005-0000-0000-0000BE770000}"/>
    <cellStyle name="Normal 57 11 4 3 4" xfId="32320" xr:uid="{00000000-0005-0000-0000-0000BF770000}"/>
    <cellStyle name="Normal 57 11 4 4" xfId="8205" xr:uid="{00000000-0005-0000-0000-0000C0770000}"/>
    <cellStyle name="Normal 57 11 4 4 2" xfId="22287" xr:uid="{00000000-0005-0000-0000-0000C1770000}"/>
    <cellStyle name="Normal 57 11 4 4 2 2" xfId="47840" xr:uid="{00000000-0005-0000-0000-0000C2770000}"/>
    <cellStyle name="Normal 57 11 4 4 3" xfId="33762" xr:uid="{00000000-0005-0000-0000-0000C3770000}"/>
    <cellStyle name="Normal 57 11 4 5" xfId="17280" xr:uid="{00000000-0005-0000-0000-0000C4770000}"/>
    <cellStyle name="Normal 57 11 4 5 2" xfId="42833" xr:uid="{00000000-0005-0000-0000-0000C5770000}"/>
    <cellStyle name="Normal 57 11 4 6" xfId="28770" xr:uid="{00000000-0005-0000-0000-0000C6770000}"/>
    <cellStyle name="Normal 57 11 5" xfId="4260" xr:uid="{00000000-0005-0000-0000-0000C7770000}"/>
    <cellStyle name="Normal 57 11 5 2" xfId="13098" xr:uid="{00000000-0005-0000-0000-0000C8770000}"/>
    <cellStyle name="Normal 57 11 5 2 2" xfId="23349" xr:uid="{00000000-0005-0000-0000-0000C9770000}"/>
    <cellStyle name="Normal 57 11 5 2 2 2" xfId="48902" xr:uid="{00000000-0005-0000-0000-0000CA770000}"/>
    <cellStyle name="Normal 57 11 5 2 3" xfId="38653" xr:uid="{00000000-0005-0000-0000-0000CB770000}"/>
    <cellStyle name="Normal 57 11 5 3" xfId="9519" xr:uid="{00000000-0005-0000-0000-0000CC770000}"/>
    <cellStyle name="Normal 57 11 5 3 2" xfId="35076" xr:uid="{00000000-0005-0000-0000-0000CD770000}"/>
    <cellStyle name="Normal 57 11 5 4" xfId="18342" xr:uid="{00000000-0005-0000-0000-0000CE770000}"/>
    <cellStyle name="Normal 57 11 5 4 2" xfId="43895" xr:uid="{00000000-0005-0000-0000-0000CF770000}"/>
    <cellStyle name="Normal 57 11 5 5" xfId="29832" xr:uid="{00000000-0005-0000-0000-0000D0770000}"/>
    <cellStyle name="Normal 57 11 6" xfId="1532" xr:uid="{00000000-0005-0000-0000-0000D1770000}"/>
    <cellStyle name="Normal 57 11 6 2" xfId="10909" xr:uid="{00000000-0005-0000-0000-0000D2770000}"/>
    <cellStyle name="Normal 57 11 6 2 2" xfId="36464" xr:uid="{00000000-0005-0000-0000-0000D3770000}"/>
    <cellStyle name="Normal 57 11 6 3" xfId="20913" xr:uid="{00000000-0005-0000-0000-0000D4770000}"/>
    <cellStyle name="Normal 57 11 6 3 2" xfId="46466" xr:uid="{00000000-0005-0000-0000-0000D5770000}"/>
    <cellStyle name="Normal 57 11 6 4" xfId="27396" xr:uid="{00000000-0005-0000-0000-0000D6770000}"/>
    <cellStyle name="Normal 57 11 7" xfId="5716" xr:uid="{00000000-0005-0000-0000-0000D7770000}"/>
    <cellStyle name="Normal 57 11 7 2" xfId="14543" xr:uid="{00000000-0005-0000-0000-0000D8770000}"/>
    <cellStyle name="Normal 57 11 7 2 2" xfId="40098" xr:uid="{00000000-0005-0000-0000-0000D9770000}"/>
    <cellStyle name="Normal 57 11 7 3" xfId="24794" xr:uid="{00000000-0005-0000-0000-0000DA770000}"/>
    <cellStyle name="Normal 57 11 7 3 2" xfId="50347" xr:uid="{00000000-0005-0000-0000-0000DB770000}"/>
    <cellStyle name="Normal 57 11 7 4" xfId="31277" xr:uid="{00000000-0005-0000-0000-0000DC770000}"/>
    <cellStyle name="Normal 57 11 8" xfId="7160" xr:uid="{00000000-0005-0000-0000-0000DD770000}"/>
    <cellStyle name="Normal 57 11 8 2" xfId="19886" xr:uid="{00000000-0005-0000-0000-0000DE770000}"/>
    <cellStyle name="Normal 57 11 8 2 2" xfId="45439" xr:uid="{00000000-0005-0000-0000-0000DF770000}"/>
    <cellStyle name="Normal 57 11 8 3" xfId="32717" xr:uid="{00000000-0005-0000-0000-0000E0770000}"/>
    <cellStyle name="Normal 57 11 9" xfId="15906" xr:uid="{00000000-0005-0000-0000-0000E1770000}"/>
    <cellStyle name="Normal 57 11 9 2" xfId="41459" xr:uid="{00000000-0005-0000-0000-0000E2770000}"/>
    <cellStyle name="Normal 57 11_Degree data" xfId="3933" xr:uid="{00000000-0005-0000-0000-0000E3770000}"/>
    <cellStyle name="Normal 57 12" xfId="295" xr:uid="{00000000-0005-0000-0000-0000E4770000}"/>
    <cellStyle name="Normal 57 12 10" xfId="26224" xr:uid="{00000000-0005-0000-0000-0000E5770000}"/>
    <cellStyle name="Normal 57 12 2" xfId="828" xr:uid="{00000000-0005-0000-0000-0000E6770000}"/>
    <cellStyle name="Normal 57 12 2 2" xfId="3313" xr:uid="{00000000-0005-0000-0000-0000E7770000}"/>
    <cellStyle name="Normal 57 12 2 2 2" xfId="12455" xr:uid="{00000000-0005-0000-0000-0000E8770000}"/>
    <cellStyle name="Normal 57 12 2 2 2 2" xfId="22674" xr:uid="{00000000-0005-0000-0000-0000E9770000}"/>
    <cellStyle name="Normal 57 12 2 2 2 2 2" xfId="48227" xr:uid="{00000000-0005-0000-0000-0000EA770000}"/>
    <cellStyle name="Normal 57 12 2 2 2 3" xfId="38010" xr:uid="{00000000-0005-0000-0000-0000EB770000}"/>
    <cellStyle name="Normal 57 12 2 2 3" xfId="8877" xr:uid="{00000000-0005-0000-0000-0000EC770000}"/>
    <cellStyle name="Normal 57 12 2 2 3 2" xfId="34434" xr:uid="{00000000-0005-0000-0000-0000ED770000}"/>
    <cellStyle name="Normal 57 12 2 2 4" xfId="17667" xr:uid="{00000000-0005-0000-0000-0000EE770000}"/>
    <cellStyle name="Normal 57 12 2 2 4 2" xfId="43220" xr:uid="{00000000-0005-0000-0000-0000EF770000}"/>
    <cellStyle name="Normal 57 12 2 2 5" xfId="29157" xr:uid="{00000000-0005-0000-0000-0000F0770000}"/>
    <cellStyle name="Normal 57 12 2 3" xfId="4642" xr:uid="{00000000-0005-0000-0000-0000F1770000}"/>
    <cellStyle name="Normal 57 12 2 3 2" xfId="13480" xr:uid="{00000000-0005-0000-0000-0000F2770000}"/>
    <cellStyle name="Normal 57 12 2 3 2 2" xfId="23731" xr:uid="{00000000-0005-0000-0000-0000F3770000}"/>
    <cellStyle name="Normal 57 12 2 3 2 2 2" xfId="49284" xr:uid="{00000000-0005-0000-0000-0000F4770000}"/>
    <cellStyle name="Normal 57 12 2 3 2 3" xfId="39035" xr:uid="{00000000-0005-0000-0000-0000F5770000}"/>
    <cellStyle name="Normal 57 12 2 3 3" xfId="9901" xr:uid="{00000000-0005-0000-0000-0000F6770000}"/>
    <cellStyle name="Normal 57 12 2 3 3 2" xfId="35458" xr:uid="{00000000-0005-0000-0000-0000F7770000}"/>
    <cellStyle name="Normal 57 12 2 3 4" xfId="18724" xr:uid="{00000000-0005-0000-0000-0000F8770000}"/>
    <cellStyle name="Normal 57 12 2 3 4 2" xfId="44277" xr:uid="{00000000-0005-0000-0000-0000F9770000}"/>
    <cellStyle name="Normal 57 12 2 3 5" xfId="30214" xr:uid="{00000000-0005-0000-0000-0000FA770000}"/>
    <cellStyle name="Normal 57 12 2 4" xfId="2422" xr:uid="{00000000-0005-0000-0000-0000FB770000}"/>
    <cellStyle name="Normal 57 12 2 4 2" xfId="11787" xr:uid="{00000000-0005-0000-0000-0000FC770000}"/>
    <cellStyle name="Normal 57 12 2 4 2 2" xfId="37342" xr:uid="{00000000-0005-0000-0000-0000FD770000}"/>
    <cellStyle name="Normal 57 12 2 4 3" xfId="21791" xr:uid="{00000000-0005-0000-0000-0000FE770000}"/>
    <cellStyle name="Normal 57 12 2 4 3 2" xfId="47344" xr:uid="{00000000-0005-0000-0000-0000FF770000}"/>
    <cellStyle name="Normal 57 12 2 4 4" xfId="28274" xr:uid="{00000000-0005-0000-0000-000000780000}"/>
    <cellStyle name="Normal 57 12 2 5" xfId="6098" xr:uid="{00000000-0005-0000-0000-000001780000}"/>
    <cellStyle name="Normal 57 12 2 5 2" xfId="14925" xr:uid="{00000000-0005-0000-0000-000002780000}"/>
    <cellStyle name="Normal 57 12 2 5 2 2" xfId="40480" xr:uid="{00000000-0005-0000-0000-000003780000}"/>
    <cellStyle name="Normal 57 12 2 5 3" xfId="25176" xr:uid="{00000000-0005-0000-0000-000004780000}"/>
    <cellStyle name="Normal 57 12 2 5 3 2" xfId="50729" xr:uid="{00000000-0005-0000-0000-000005780000}"/>
    <cellStyle name="Normal 57 12 2 5 4" xfId="31659" xr:uid="{00000000-0005-0000-0000-000006780000}"/>
    <cellStyle name="Normal 57 12 2 6" xfId="7543" xr:uid="{00000000-0005-0000-0000-000007780000}"/>
    <cellStyle name="Normal 57 12 2 6 2" xfId="20273" xr:uid="{00000000-0005-0000-0000-000008780000}"/>
    <cellStyle name="Normal 57 12 2 6 2 2" xfId="45826" xr:uid="{00000000-0005-0000-0000-000009780000}"/>
    <cellStyle name="Normal 57 12 2 6 3" xfId="33100" xr:uid="{00000000-0005-0000-0000-00000A780000}"/>
    <cellStyle name="Normal 57 12 2 7" xfId="16784" xr:uid="{00000000-0005-0000-0000-00000B780000}"/>
    <cellStyle name="Normal 57 12 2 7 2" xfId="42337" xr:uid="{00000000-0005-0000-0000-00000C780000}"/>
    <cellStyle name="Normal 57 12 2 8" xfId="26756" xr:uid="{00000000-0005-0000-0000-00000D780000}"/>
    <cellStyle name="Normal 57 12 3" xfId="1067" xr:uid="{00000000-0005-0000-0000-00000E780000}"/>
    <cellStyle name="Normal 57 12 3 2" xfId="3496" xr:uid="{00000000-0005-0000-0000-00000F780000}"/>
    <cellStyle name="Normal 57 12 3 2 2" xfId="12632" xr:uid="{00000000-0005-0000-0000-000010780000}"/>
    <cellStyle name="Normal 57 12 3 2 2 2" xfId="22851" xr:uid="{00000000-0005-0000-0000-000011780000}"/>
    <cellStyle name="Normal 57 12 3 2 2 2 2" xfId="48404" xr:uid="{00000000-0005-0000-0000-000012780000}"/>
    <cellStyle name="Normal 57 12 3 2 2 3" xfId="38187" xr:uid="{00000000-0005-0000-0000-000013780000}"/>
    <cellStyle name="Normal 57 12 3 2 3" xfId="9054" xr:uid="{00000000-0005-0000-0000-000014780000}"/>
    <cellStyle name="Normal 57 12 3 2 3 2" xfId="34611" xr:uid="{00000000-0005-0000-0000-000015780000}"/>
    <cellStyle name="Normal 57 12 3 2 4" xfId="17844" xr:uid="{00000000-0005-0000-0000-000016780000}"/>
    <cellStyle name="Normal 57 12 3 2 4 2" xfId="43397" xr:uid="{00000000-0005-0000-0000-000017780000}"/>
    <cellStyle name="Normal 57 12 3 2 5" xfId="29334" xr:uid="{00000000-0005-0000-0000-000018780000}"/>
    <cellStyle name="Normal 57 12 3 3" xfId="4991" xr:uid="{00000000-0005-0000-0000-000019780000}"/>
    <cellStyle name="Normal 57 12 3 3 2" xfId="13828" xr:uid="{00000000-0005-0000-0000-00001A780000}"/>
    <cellStyle name="Normal 57 12 3 3 2 2" xfId="24079" xr:uid="{00000000-0005-0000-0000-00001B780000}"/>
    <cellStyle name="Normal 57 12 3 3 2 2 2" xfId="49632" xr:uid="{00000000-0005-0000-0000-00001C780000}"/>
    <cellStyle name="Normal 57 12 3 3 2 3" xfId="39383" xr:uid="{00000000-0005-0000-0000-00001D780000}"/>
    <cellStyle name="Normal 57 12 3 3 3" xfId="10249" xr:uid="{00000000-0005-0000-0000-00001E780000}"/>
    <cellStyle name="Normal 57 12 3 3 3 2" xfId="35806" xr:uid="{00000000-0005-0000-0000-00001F780000}"/>
    <cellStyle name="Normal 57 12 3 3 4" xfId="19072" xr:uid="{00000000-0005-0000-0000-000020780000}"/>
    <cellStyle name="Normal 57 12 3 3 4 2" xfId="44625" xr:uid="{00000000-0005-0000-0000-000021780000}"/>
    <cellStyle name="Normal 57 12 3 3 5" xfId="30562" xr:uid="{00000000-0005-0000-0000-000022780000}"/>
    <cellStyle name="Normal 57 12 3 4" xfId="2574" xr:uid="{00000000-0005-0000-0000-000023780000}"/>
    <cellStyle name="Normal 57 12 3 4 2" xfId="11938" xr:uid="{00000000-0005-0000-0000-000024780000}"/>
    <cellStyle name="Normal 57 12 3 4 2 2" xfId="37493" xr:uid="{00000000-0005-0000-0000-000025780000}"/>
    <cellStyle name="Normal 57 12 3 4 3" xfId="21942" xr:uid="{00000000-0005-0000-0000-000026780000}"/>
    <cellStyle name="Normal 57 12 3 4 3 2" xfId="47495" xr:uid="{00000000-0005-0000-0000-000027780000}"/>
    <cellStyle name="Normal 57 12 3 4 4" xfId="28425" xr:uid="{00000000-0005-0000-0000-000028780000}"/>
    <cellStyle name="Normal 57 12 3 5" xfId="6446" xr:uid="{00000000-0005-0000-0000-000029780000}"/>
    <cellStyle name="Normal 57 12 3 5 2" xfId="15273" xr:uid="{00000000-0005-0000-0000-00002A780000}"/>
    <cellStyle name="Normal 57 12 3 5 2 2" xfId="40828" xr:uid="{00000000-0005-0000-0000-00002B780000}"/>
    <cellStyle name="Normal 57 12 3 5 3" xfId="25524" xr:uid="{00000000-0005-0000-0000-00002C780000}"/>
    <cellStyle name="Normal 57 12 3 5 3 2" xfId="51077" xr:uid="{00000000-0005-0000-0000-00002D780000}"/>
    <cellStyle name="Normal 57 12 3 5 4" xfId="32007" xr:uid="{00000000-0005-0000-0000-00002E780000}"/>
    <cellStyle name="Normal 57 12 3 6" xfId="7892" xr:uid="{00000000-0005-0000-0000-00002F780000}"/>
    <cellStyle name="Normal 57 12 3 6 2" xfId="20450" xr:uid="{00000000-0005-0000-0000-000030780000}"/>
    <cellStyle name="Normal 57 12 3 6 2 2" xfId="46003" xr:uid="{00000000-0005-0000-0000-000031780000}"/>
    <cellStyle name="Normal 57 12 3 6 3" xfId="33449" xr:uid="{00000000-0005-0000-0000-000032780000}"/>
    <cellStyle name="Normal 57 12 3 7" xfId="16935" xr:uid="{00000000-0005-0000-0000-000033780000}"/>
    <cellStyle name="Normal 57 12 3 7 2" xfId="42488" xr:uid="{00000000-0005-0000-0000-000034780000}"/>
    <cellStyle name="Normal 57 12 3 8" xfId="26933" xr:uid="{00000000-0005-0000-0000-000035780000}"/>
    <cellStyle name="Normal 57 12 4" xfId="2781" xr:uid="{00000000-0005-0000-0000-000036780000}"/>
    <cellStyle name="Normal 57 12 4 2" xfId="5159" xr:uid="{00000000-0005-0000-0000-000037780000}"/>
    <cellStyle name="Normal 57 12 4 2 2" xfId="13996" xr:uid="{00000000-0005-0000-0000-000038780000}"/>
    <cellStyle name="Normal 57 12 4 2 2 2" xfId="24247" xr:uid="{00000000-0005-0000-0000-000039780000}"/>
    <cellStyle name="Normal 57 12 4 2 2 2 2" xfId="49800" xr:uid="{00000000-0005-0000-0000-00003A780000}"/>
    <cellStyle name="Normal 57 12 4 2 2 3" xfId="39551" xr:uid="{00000000-0005-0000-0000-00003B780000}"/>
    <cellStyle name="Normal 57 12 4 2 3" xfId="10417" xr:uid="{00000000-0005-0000-0000-00003C780000}"/>
    <cellStyle name="Normal 57 12 4 2 3 2" xfId="35974" xr:uid="{00000000-0005-0000-0000-00003D780000}"/>
    <cellStyle name="Normal 57 12 4 2 4" xfId="19240" xr:uid="{00000000-0005-0000-0000-00003E780000}"/>
    <cellStyle name="Normal 57 12 4 2 4 2" xfId="44793" xr:uid="{00000000-0005-0000-0000-00003F780000}"/>
    <cellStyle name="Normal 57 12 4 2 5" xfId="30730" xr:uid="{00000000-0005-0000-0000-000040780000}"/>
    <cellStyle name="Normal 57 12 4 3" xfId="6614" xr:uid="{00000000-0005-0000-0000-000041780000}"/>
    <cellStyle name="Normal 57 12 4 3 2" xfId="15441" xr:uid="{00000000-0005-0000-0000-000042780000}"/>
    <cellStyle name="Normal 57 12 4 3 2 2" xfId="40996" xr:uid="{00000000-0005-0000-0000-000043780000}"/>
    <cellStyle name="Normal 57 12 4 3 3" xfId="25692" xr:uid="{00000000-0005-0000-0000-000044780000}"/>
    <cellStyle name="Normal 57 12 4 3 3 2" xfId="51245" xr:uid="{00000000-0005-0000-0000-000045780000}"/>
    <cellStyle name="Normal 57 12 4 3 4" xfId="32175" xr:uid="{00000000-0005-0000-0000-000046780000}"/>
    <cellStyle name="Normal 57 12 4 4" xfId="8060" xr:uid="{00000000-0005-0000-0000-000047780000}"/>
    <cellStyle name="Normal 57 12 4 4 2" xfId="22142" xr:uid="{00000000-0005-0000-0000-000048780000}"/>
    <cellStyle name="Normal 57 12 4 4 2 2" xfId="47695" xr:uid="{00000000-0005-0000-0000-000049780000}"/>
    <cellStyle name="Normal 57 12 4 4 3" xfId="33617" xr:uid="{00000000-0005-0000-0000-00004A780000}"/>
    <cellStyle name="Normal 57 12 4 5" xfId="17135" xr:uid="{00000000-0005-0000-0000-00004B780000}"/>
    <cellStyle name="Normal 57 12 4 5 2" xfId="42688" xr:uid="{00000000-0005-0000-0000-00004C780000}"/>
    <cellStyle name="Normal 57 12 4 6" xfId="28625" xr:uid="{00000000-0005-0000-0000-00004D780000}"/>
    <cellStyle name="Normal 57 12 5" xfId="4113" xr:uid="{00000000-0005-0000-0000-00004E780000}"/>
    <cellStyle name="Normal 57 12 5 2" xfId="12951" xr:uid="{00000000-0005-0000-0000-00004F780000}"/>
    <cellStyle name="Normal 57 12 5 2 2" xfId="23202" xr:uid="{00000000-0005-0000-0000-000050780000}"/>
    <cellStyle name="Normal 57 12 5 2 2 2" xfId="48755" xr:uid="{00000000-0005-0000-0000-000051780000}"/>
    <cellStyle name="Normal 57 12 5 2 3" xfId="38506" xr:uid="{00000000-0005-0000-0000-000052780000}"/>
    <cellStyle name="Normal 57 12 5 3" xfId="9372" xr:uid="{00000000-0005-0000-0000-000053780000}"/>
    <cellStyle name="Normal 57 12 5 3 2" xfId="34929" xr:uid="{00000000-0005-0000-0000-000054780000}"/>
    <cellStyle name="Normal 57 12 5 4" xfId="18195" xr:uid="{00000000-0005-0000-0000-000055780000}"/>
    <cellStyle name="Normal 57 12 5 4 2" xfId="43748" xr:uid="{00000000-0005-0000-0000-000056780000}"/>
    <cellStyle name="Normal 57 12 5 5" xfId="29685" xr:uid="{00000000-0005-0000-0000-000057780000}"/>
    <cellStyle name="Normal 57 12 6" xfId="1890" xr:uid="{00000000-0005-0000-0000-000058780000}"/>
    <cellStyle name="Normal 57 12 6 2" xfId="11255" xr:uid="{00000000-0005-0000-0000-000059780000}"/>
    <cellStyle name="Normal 57 12 6 2 2" xfId="36810" xr:uid="{00000000-0005-0000-0000-00005A780000}"/>
    <cellStyle name="Normal 57 12 6 3" xfId="21259" xr:uid="{00000000-0005-0000-0000-00005B780000}"/>
    <cellStyle name="Normal 57 12 6 3 2" xfId="46812" xr:uid="{00000000-0005-0000-0000-00005C780000}"/>
    <cellStyle name="Normal 57 12 6 4" xfId="27742" xr:uid="{00000000-0005-0000-0000-00005D780000}"/>
    <cellStyle name="Normal 57 12 7" xfId="5571" xr:uid="{00000000-0005-0000-0000-00005E780000}"/>
    <cellStyle name="Normal 57 12 7 2" xfId="14398" xr:uid="{00000000-0005-0000-0000-00005F780000}"/>
    <cellStyle name="Normal 57 12 7 2 2" xfId="39953" xr:uid="{00000000-0005-0000-0000-000060780000}"/>
    <cellStyle name="Normal 57 12 7 3" xfId="24649" xr:uid="{00000000-0005-0000-0000-000061780000}"/>
    <cellStyle name="Normal 57 12 7 3 2" xfId="50202" xr:uid="{00000000-0005-0000-0000-000062780000}"/>
    <cellStyle name="Normal 57 12 7 4" xfId="31132" xr:uid="{00000000-0005-0000-0000-000063780000}"/>
    <cellStyle name="Normal 57 12 8" xfId="7015" xr:uid="{00000000-0005-0000-0000-000064780000}"/>
    <cellStyle name="Normal 57 12 8 2" xfId="19741" xr:uid="{00000000-0005-0000-0000-000065780000}"/>
    <cellStyle name="Normal 57 12 8 2 2" xfId="45294" xr:uid="{00000000-0005-0000-0000-000066780000}"/>
    <cellStyle name="Normal 57 12 8 3" xfId="32572" xr:uid="{00000000-0005-0000-0000-000067780000}"/>
    <cellStyle name="Normal 57 12 9" xfId="16252" xr:uid="{00000000-0005-0000-0000-000068780000}"/>
    <cellStyle name="Normal 57 12 9 2" xfId="41805" xr:uid="{00000000-0005-0000-0000-000069780000}"/>
    <cellStyle name="Normal 57 12_Degree data" xfId="3934" xr:uid="{00000000-0005-0000-0000-00006A780000}"/>
    <cellStyle name="Normal 57 13" xfId="825" xr:uid="{00000000-0005-0000-0000-00006B780000}"/>
    <cellStyle name="Normal 57 13 2" xfId="3310" xr:uid="{00000000-0005-0000-0000-00006C780000}"/>
    <cellStyle name="Normal 57 13 2 2" xfId="12452" xr:uid="{00000000-0005-0000-0000-00006D780000}"/>
    <cellStyle name="Normal 57 13 2 2 2" xfId="22671" xr:uid="{00000000-0005-0000-0000-00006E780000}"/>
    <cellStyle name="Normal 57 13 2 2 2 2" xfId="48224" xr:uid="{00000000-0005-0000-0000-00006F780000}"/>
    <cellStyle name="Normal 57 13 2 2 3" xfId="38007" xr:uid="{00000000-0005-0000-0000-000070780000}"/>
    <cellStyle name="Normal 57 13 2 3" xfId="8874" xr:uid="{00000000-0005-0000-0000-000071780000}"/>
    <cellStyle name="Normal 57 13 2 3 2" xfId="34431" xr:uid="{00000000-0005-0000-0000-000072780000}"/>
    <cellStyle name="Normal 57 13 2 4" xfId="17664" xr:uid="{00000000-0005-0000-0000-000073780000}"/>
    <cellStyle name="Normal 57 13 2 4 2" xfId="43217" xr:uid="{00000000-0005-0000-0000-000074780000}"/>
    <cellStyle name="Normal 57 13 2 5" xfId="29154" xr:uid="{00000000-0005-0000-0000-000075780000}"/>
    <cellStyle name="Normal 57 13 3" xfId="4639" xr:uid="{00000000-0005-0000-0000-000076780000}"/>
    <cellStyle name="Normal 57 13 3 2" xfId="13477" xr:uid="{00000000-0005-0000-0000-000077780000}"/>
    <cellStyle name="Normal 57 13 3 2 2" xfId="23728" xr:uid="{00000000-0005-0000-0000-000078780000}"/>
    <cellStyle name="Normal 57 13 3 2 2 2" xfId="49281" xr:uid="{00000000-0005-0000-0000-000079780000}"/>
    <cellStyle name="Normal 57 13 3 2 3" xfId="39032" xr:uid="{00000000-0005-0000-0000-00007A780000}"/>
    <cellStyle name="Normal 57 13 3 3" xfId="9898" xr:uid="{00000000-0005-0000-0000-00007B780000}"/>
    <cellStyle name="Normal 57 13 3 3 2" xfId="35455" xr:uid="{00000000-0005-0000-0000-00007C780000}"/>
    <cellStyle name="Normal 57 13 3 4" xfId="18721" xr:uid="{00000000-0005-0000-0000-00007D780000}"/>
    <cellStyle name="Normal 57 13 3 4 2" xfId="44274" xr:uid="{00000000-0005-0000-0000-00007E780000}"/>
    <cellStyle name="Normal 57 13 3 5" xfId="30211" xr:uid="{00000000-0005-0000-0000-00007F780000}"/>
    <cellStyle name="Normal 57 13 4" xfId="2419" xr:uid="{00000000-0005-0000-0000-000080780000}"/>
    <cellStyle name="Normal 57 13 4 2" xfId="11784" xr:uid="{00000000-0005-0000-0000-000081780000}"/>
    <cellStyle name="Normal 57 13 4 2 2" xfId="37339" xr:uid="{00000000-0005-0000-0000-000082780000}"/>
    <cellStyle name="Normal 57 13 4 3" xfId="21788" xr:uid="{00000000-0005-0000-0000-000083780000}"/>
    <cellStyle name="Normal 57 13 4 3 2" xfId="47341" xr:uid="{00000000-0005-0000-0000-000084780000}"/>
    <cellStyle name="Normal 57 13 4 4" xfId="28271" xr:uid="{00000000-0005-0000-0000-000085780000}"/>
    <cellStyle name="Normal 57 13 5" xfId="6095" xr:uid="{00000000-0005-0000-0000-000086780000}"/>
    <cellStyle name="Normal 57 13 5 2" xfId="14922" xr:uid="{00000000-0005-0000-0000-000087780000}"/>
    <cellStyle name="Normal 57 13 5 2 2" xfId="40477" xr:uid="{00000000-0005-0000-0000-000088780000}"/>
    <cellStyle name="Normal 57 13 5 3" xfId="25173" xr:uid="{00000000-0005-0000-0000-000089780000}"/>
    <cellStyle name="Normal 57 13 5 3 2" xfId="50726" xr:uid="{00000000-0005-0000-0000-00008A780000}"/>
    <cellStyle name="Normal 57 13 5 4" xfId="31656" xr:uid="{00000000-0005-0000-0000-00008B780000}"/>
    <cellStyle name="Normal 57 13 6" xfId="7540" xr:uid="{00000000-0005-0000-0000-00008C780000}"/>
    <cellStyle name="Normal 57 13 6 2" xfId="20270" xr:uid="{00000000-0005-0000-0000-00008D780000}"/>
    <cellStyle name="Normal 57 13 6 2 2" xfId="45823" xr:uid="{00000000-0005-0000-0000-00008E780000}"/>
    <cellStyle name="Normal 57 13 6 3" xfId="33097" xr:uid="{00000000-0005-0000-0000-00008F780000}"/>
    <cellStyle name="Normal 57 13 7" xfId="16781" xr:uid="{00000000-0005-0000-0000-000090780000}"/>
    <cellStyle name="Normal 57 13 7 2" xfId="42334" xr:uid="{00000000-0005-0000-0000-000091780000}"/>
    <cellStyle name="Normal 57 13 8" xfId="26753" xr:uid="{00000000-0005-0000-0000-000092780000}"/>
    <cellStyle name="Normal 57 14" xfId="1037" xr:uid="{00000000-0005-0000-0000-000093780000}"/>
    <cellStyle name="Normal 57 14 2" xfId="3466" xr:uid="{00000000-0005-0000-0000-000094780000}"/>
    <cellStyle name="Normal 57 14 2 2" xfId="12602" xr:uid="{00000000-0005-0000-0000-000095780000}"/>
    <cellStyle name="Normal 57 14 2 2 2" xfId="22821" xr:uid="{00000000-0005-0000-0000-000096780000}"/>
    <cellStyle name="Normal 57 14 2 2 2 2" xfId="48374" xr:uid="{00000000-0005-0000-0000-000097780000}"/>
    <cellStyle name="Normal 57 14 2 2 3" xfId="38157" xr:uid="{00000000-0005-0000-0000-000098780000}"/>
    <cellStyle name="Normal 57 14 2 3" xfId="9024" xr:uid="{00000000-0005-0000-0000-000099780000}"/>
    <cellStyle name="Normal 57 14 2 3 2" xfId="34581" xr:uid="{00000000-0005-0000-0000-00009A780000}"/>
    <cellStyle name="Normal 57 14 2 4" xfId="17814" xr:uid="{00000000-0005-0000-0000-00009B780000}"/>
    <cellStyle name="Normal 57 14 2 4 2" xfId="43367" xr:uid="{00000000-0005-0000-0000-00009C780000}"/>
    <cellStyle name="Normal 57 14 2 5" xfId="29304" xr:uid="{00000000-0005-0000-0000-00009D780000}"/>
    <cellStyle name="Normal 57 14 3" xfId="4988" xr:uid="{00000000-0005-0000-0000-00009E780000}"/>
    <cellStyle name="Normal 57 14 3 2" xfId="13825" xr:uid="{00000000-0005-0000-0000-00009F780000}"/>
    <cellStyle name="Normal 57 14 3 2 2" xfId="24076" xr:uid="{00000000-0005-0000-0000-0000A0780000}"/>
    <cellStyle name="Normal 57 14 3 2 2 2" xfId="49629" xr:uid="{00000000-0005-0000-0000-0000A1780000}"/>
    <cellStyle name="Normal 57 14 3 2 3" xfId="39380" xr:uid="{00000000-0005-0000-0000-0000A2780000}"/>
    <cellStyle name="Normal 57 14 3 3" xfId="10246" xr:uid="{00000000-0005-0000-0000-0000A3780000}"/>
    <cellStyle name="Normal 57 14 3 3 2" xfId="35803" xr:uid="{00000000-0005-0000-0000-0000A4780000}"/>
    <cellStyle name="Normal 57 14 3 4" xfId="19069" xr:uid="{00000000-0005-0000-0000-0000A5780000}"/>
    <cellStyle name="Normal 57 14 3 4 2" xfId="44622" xr:uid="{00000000-0005-0000-0000-0000A6780000}"/>
    <cellStyle name="Normal 57 14 3 5" xfId="30559" xr:uid="{00000000-0005-0000-0000-0000A7780000}"/>
    <cellStyle name="Normal 57 14 4" xfId="1704" xr:uid="{00000000-0005-0000-0000-0000A8780000}"/>
    <cellStyle name="Normal 57 14 4 2" xfId="11081" xr:uid="{00000000-0005-0000-0000-0000A9780000}"/>
    <cellStyle name="Normal 57 14 4 2 2" xfId="36636" xr:uid="{00000000-0005-0000-0000-0000AA780000}"/>
    <cellStyle name="Normal 57 14 4 3" xfId="21085" xr:uid="{00000000-0005-0000-0000-0000AB780000}"/>
    <cellStyle name="Normal 57 14 4 3 2" xfId="46638" xr:uid="{00000000-0005-0000-0000-0000AC780000}"/>
    <cellStyle name="Normal 57 14 4 4" xfId="27568" xr:uid="{00000000-0005-0000-0000-0000AD780000}"/>
    <cellStyle name="Normal 57 14 5" xfId="6443" xr:uid="{00000000-0005-0000-0000-0000AE780000}"/>
    <cellStyle name="Normal 57 14 5 2" xfId="15270" xr:uid="{00000000-0005-0000-0000-0000AF780000}"/>
    <cellStyle name="Normal 57 14 5 2 2" xfId="40825" xr:uid="{00000000-0005-0000-0000-0000B0780000}"/>
    <cellStyle name="Normal 57 14 5 3" xfId="25521" xr:uid="{00000000-0005-0000-0000-0000B1780000}"/>
    <cellStyle name="Normal 57 14 5 3 2" xfId="51074" xr:uid="{00000000-0005-0000-0000-0000B2780000}"/>
    <cellStyle name="Normal 57 14 5 4" xfId="32004" xr:uid="{00000000-0005-0000-0000-0000B3780000}"/>
    <cellStyle name="Normal 57 14 6" xfId="7889" xr:uid="{00000000-0005-0000-0000-0000B4780000}"/>
    <cellStyle name="Normal 57 14 6 2" xfId="20420" xr:uid="{00000000-0005-0000-0000-0000B5780000}"/>
    <cellStyle name="Normal 57 14 6 2 2" xfId="45973" xr:uid="{00000000-0005-0000-0000-0000B6780000}"/>
    <cellStyle name="Normal 57 14 6 3" xfId="33446" xr:uid="{00000000-0005-0000-0000-0000B7780000}"/>
    <cellStyle name="Normal 57 14 7" xfId="16078" xr:uid="{00000000-0005-0000-0000-0000B8780000}"/>
    <cellStyle name="Normal 57 14 7 2" xfId="41631" xr:uid="{00000000-0005-0000-0000-0000B9780000}"/>
    <cellStyle name="Normal 57 14 8" xfId="26903" xr:uid="{00000000-0005-0000-0000-0000BA780000}"/>
    <cellStyle name="Normal 57 15" xfId="2604" xr:uid="{00000000-0005-0000-0000-0000BB780000}"/>
    <cellStyle name="Normal 57 15 2" xfId="5129" xr:uid="{00000000-0005-0000-0000-0000BC780000}"/>
    <cellStyle name="Normal 57 15 2 2" xfId="13966" xr:uid="{00000000-0005-0000-0000-0000BD780000}"/>
    <cellStyle name="Normal 57 15 2 2 2" xfId="24217" xr:uid="{00000000-0005-0000-0000-0000BE780000}"/>
    <cellStyle name="Normal 57 15 2 2 2 2" xfId="49770" xr:uid="{00000000-0005-0000-0000-0000BF780000}"/>
    <cellStyle name="Normal 57 15 2 2 3" xfId="39521" xr:uid="{00000000-0005-0000-0000-0000C0780000}"/>
    <cellStyle name="Normal 57 15 2 3" xfId="10387" xr:uid="{00000000-0005-0000-0000-0000C1780000}"/>
    <cellStyle name="Normal 57 15 2 3 2" xfId="35944" xr:uid="{00000000-0005-0000-0000-0000C2780000}"/>
    <cellStyle name="Normal 57 15 2 4" xfId="19210" xr:uid="{00000000-0005-0000-0000-0000C3780000}"/>
    <cellStyle name="Normal 57 15 2 4 2" xfId="44763" xr:uid="{00000000-0005-0000-0000-0000C4780000}"/>
    <cellStyle name="Normal 57 15 2 5" xfId="30700" xr:uid="{00000000-0005-0000-0000-0000C5780000}"/>
    <cellStyle name="Normal 57 15 3" xfId="6584" xr:uid="{00000000-0005-0000-0000-0000C6780000}"/>
    <cellStyle name="Normal 57 15 3 2" xfId="15411" xr:uid="{00000000-0005-0000-0000-0000C7780000}"/>
    <cellStyle name="Normal 57 15 3 2 2" xfId="40966" xr:uid="{00000000-0005-0000-0000-0000C8780000}"/>
    <cellStyle name="Normal 57 15 3 3" xfId="25662" xr:uid="{00000000-0005-0000-0000-0000C9780000}"/>
    <cellStyle name="Normal 57 15 3 3 2" xfId="51215" xr:uid="{00000000-0005-0000-0000-0000CA780000}"/>
    <cellStyle name="Normal 57 15 3 4" xfId="32145" xr:uid="{00000000-0005-0000-0000-0000CB780000}"/>
    <cellStyle name="Normal 57 15 4" xfId="8030" xr:uid="{00000000-0005-0000-0000-0000CC780000}"/>
    <cellStyle name="Normal 57 15 4 2" xfId="21969" xr:uid="{00000000-0005-0000-0000-0000CD780000}"/>
    <cellStyle name="Normal 57 15 4 2 2" xfId="47522" xr:uid="{00000000-0005-0000-0000-0000CE780000}"/>
    <cellStyle name="Normal 57 15 4 3" xfId="33587" xr:uid="{00000000-0005-0000-0000-0000CF780000}"/>
    <cellStyle name="Normal 57 15 5" xfId="16962" xr:uid="{00000000-0005-0000-0000-0000D0780000}"/>
    <cellStyle name="Normal 57 15 5 2" xfId="42515" xr:uid="{00000000-0005-0000-0000-0000D1780000}"/>
    <cellStyle name="Normal 57 15 6" xfId="28452" xr:uid="{00000000-0005-0000-0000-0000D2780000}"/>
    <cellStyle name="Normal 57 16" xfId="4082" xr:uid="{00000000-0005-0000-0000-0000D3780000}"/>
    <cellStyle name="Normal 57 16 2" xfId="5541" xr:uid="{00000000-0005-0000-0000-0000D4780000}"/>
    <cellStyle name="Normal 57 16 2 2" xfId="14368" xr:uid="{00000000-0005-0000-0000-0000D5780000}"/>
    <cellStyle name="Normal 57 16 2 2 2" xfId="39923" xr:uid="{00000000-0005-0000-0000-0000D6780000}"/>
    <cellStyle name="Normal 57 16 2 3" xfId="24619" xr:uid="{00000000-0005-0000-0000-0000D7780000}"/>
    <cellStyle name="Normal 57 16 2 3 2" xfId="50172" xr:uid="{00000000-0005-0000-0000-0000D8780000}"/>
    <cellStyle name="Normal 57 16 2 4" xfId="31102" xr:uid="{00000000-0005-0000-0000-0000D9780000}"/>
    <cellStyle name="Normal 57 16 3" xfId="6985" xr:uid="{00000000-0005-0000-0000-0000DA780000}"/>
    <cellStyle name="Normal 57 16 3 2" xfId="23171" xr:uid="{00000000-0005-0000-0000-0000DB780000}"/>
    <cellStyle name="Normal 57 16 3 2 2" xfId="48724" xr:uid="{00000000-0005-0000-0000-0000DC780000}"/>
    <cellStyle name="Normal 57 16 3 3" xfId="32542" xr:uid="{00000000-0005-0000-0000-0000DD780000}"/>
    <cellStyle name="Normal 57 16 4" xfId="18164" xr:uid="{00000000-0005-0000-0000-0000DE780000}"/>
    <cellStyle name="Normal 57 16 4 2" xfId="43717" xr:uid="{00000000-0005-0000-0000-0000DF780000}"/>
    <cellStyle name="Normal 57 16 5" xfId="29654" xr:uid="{00000000-0005-0000-0000-0000E0780000}"/>
    <cellStyle name="Normal 57 17" xfId="1387" xr:uid="{00000000-0005-0000-0000-0000E1780000}"/>
    <cellStyle name="Normal 57 17 2" xfId="10764" xr:uid="{00000000-0005-0000-0000-0000E2780000}"/>
    <cellStyle name="Normal 57 17 2 2" xfId="36319" xr:uid="{00000000-0005-0000-0000-0000E3780000}"/>
    <cellStyle name="Normal 57 17 3" xfId="20768" xr:uid="{00000000-0005-0000-0000-0000E4780000}"/>
    <cellStyle name="Normal 57 17 3 2" xfId="46321" xr:uid="{00000000-0005-0000-0000-0000E5780000}"/>
    <cellStyle name="Normal 57 17 4" xfId="27251" xr:uid="{00000000-0005-0000-0000-0000E6780000}"/>
    <cellStyle name="Normal 57 18" xfId="5498" xr:uid="{00000000-0005-0000-0000-0000E7780000}"/>
    <cellStyle name="Normal 57 18 2" xfId="14325" xr:uid="{00000000-0005-0000-0000-0000E8780000}"/>
    <cellStyle name="Normal 57 18 2 2" xfId="39880" xr:uid="{00000000-0005-0000-0000-0000E9780000}"/>
    <cellStyle name="Normal 57 18 3" xfId="24576" xr:uid="{00000000-0005-0000-0000-0000EA780000}"/>
    <cellStyle name="Normal 57 18 3 2" xfId="50129" xr:uid="{00000000-0005-0000-0000-0000EB780000}"/>
    <cellStyle name="Normal 57 18 4" xfId="31059" xr:uid="{00000000-0005-0000-0000-0000EC780000}"/>
    <cellStyle name="Normal 57 19" xfId="6936" xr:uid="{00000000-0005-0000-0000-0000ED780000}"/>
    <cellStyle name="Normal 57 19 2" xfId="19569" xr:uid="{00000000-0005-0000-0000-0000EE780000}"/>
    <cellStyle name="Normal 57 19 2 2" xfId="45122" xr:uid="{00000000-0005-0000-0000-0000EF780000}"/>
    <cellStyle name="Normal 57 19 3" xfId="32494" xr:uid="{00000000-0005-0000-0000-0000F0780000}"/>
    <cellStyle name="Normal 57 2" xfId="36" xr:uid="{00000000-0005-0000-0000-0000F1780000}"/>
    <cellStyle name="Normal 57 20" xfId="15761" xr:uid="{00000000-0005-0000-0000-0000F2780000}"/>
    <cellStyle name="Normal 57 20 2" xfId="41314" xr:uid="{00000000-0005-0000-0000-0000F3780000}"/>
    <cellStyle name="Normal 57 21" xfId="26052" xr:uid="{00000000-0005-0000-0000-0000F4780000}"/>
    <cellStyle name="Normal 57 3" xfId="109" xr:uid="{00000000-0005-0000-0000-0000F5780000}"/>
    <cellStyle name="Normal 57 3 10" xfId="2619" xr:uid="{00000000-0005-0000-0000-0000F6780000}"/>
    <cellStyle name="Normal 57 3 10 2" xfId="5133" xr:uid="{00000000-0005-0000-0000-0000F7780000}"/>
    <cellStyle name="Normal 57 3 10 2 2" xfId="13970" xr:uid="{00000000-0005-0000-0000-0000F8780000}"/>
    <cellStyle name="Normal 57 3 10 2 2 2" xfId="24221" xr:uid="{00000000-0005-0000-0000-0000F9780000}"/>
    <cellStyle name="Normal 57 3 10 2 2 2 2" xfId="49774" xr:uid="{00000000-0005-0000-0000-0000FA780000}"/>
    <cellStyle name="Normal 57 3 10 2 2 3" xfId="39525" xr:uid="{00000000-0005-0000-0000-0000FB780000}"/>
    <cellStyle name="Normal 57 3 10 2 3" xfId="10391" xr:uid="{00000000-0005-0000-0000-0000FC780000}"/>
    <cellStyle name="Normal 57 3 10 2 3 2" xfId="35948" xr:uid="{00000000-0005-0000-0000-0000FD780000}"/>
    <cellStyle name="Normal 57 3 10 2 4" xfId="19214" xr:uid="{00000000-0005-0000-0000-0000FE780000}"/>
    <cellStyle name="Normal 57 3 10 2 4 2" xfId="44767" xr:uid="{00000000-0005-0000-0000-0000FF780000}"/>
    <cellStyle name="Normal 57 3 10 2 5" xfId="30704" xr:uid="{00000000-0005-0000-0000-000000790000}"/>
    <cellStyle name="Normal 57 3 10 3" xfId="6588" xr:uid="{00000000-0005-0000-0000-000001790000}"/>
    <cellStyle name="Normal 57 3 10 3 2" xfId="15415" xr:uid="{00000000-0005-0000-0000-000002790000}"/>
    <cellStyle name="Normal 57 3 10 3 2 2" xfId="40970" xr:uid="{00000000-0005-0000-0000-000003790000}"/>
    <cellStyle name="Normal 57 3 10 3 3" xfId="25666" xr:uid="{00000000-0005-0000-0000-000004790000}"/>
    <cellStyle name="Normal 57 3 10 3 3 2" xfId="51219" xr:uid="{00000000-0005-0000-0000-000005790000}"/>
    <cellStyle name="Normal 57 3 10 3 4" xfId="32149" xr:uid="{00000000-0005-0000-0000-000006790000}"/>
    <cellStyle name="Normal 57 3 10 4" xfId="8034" xr:uid="{00000000-0005-0000-0000-000007790000}"/>
    <cellStyle name="Normal 57 3 10 4 2" xfId="21982" xr:uid="{00000000-0005-0000-0000-000008790000}"/>
    <cellStyle name="Normal 57 3 10 4 2 2" xfId="47535" xr:uid="{00000000-0005-0000-0000-000009790000}"/>
    <cellStyle name="Normal 57 3 10 4 3" xfId="33591" xr:uid="{00000000-0005-0000-0000-00000A790000}"/>
    <cellStyle name="Normal 57 3 10 5" xfId="16975" xr:uid="{00000000-0005-0000-0000-00000B790000}"/>
    <cellStyle name="Normal 57 3 10 5 2" xfId="42528" xr:uid="{00000000-0005-0000-0000-00000C790000}"/>
    <cellStyle name="Normal 57 3 10 6" xfId="28465" xr:uid="{00000000-0005-0000-0000-00000D790000}"/>
    <cellStyle name="Normal 57 3 11" xfId="4086" xr:uid="{00000000-0005-0000-0000-00000E790000}"/>
    <cellStyle name="Normal 57 3 11 2" xfId="5545" xr:uid="{00000000-0005-0000-0000-00000F790000}"/>
    <cellStyle name="Normal 57 3 11 2 2" xfId="14372" xr:uid="{00000000-0005-0000-0000-000010790000}"/>
    <cellStyle name="Normal 57 3 11 2 2 2" xfId="39927" xr:uid="{00000000-0005-0000-0000-000011790000}"/>
    <cellStyle name="Normal 57 3 11 2 3" xfId="24623" xr:uid="{00000000-0005-0000-0000-000012790000}"/>
    <cellStyle name="Normal 57 3 11 2 3 2" xfId="50176" xr:uid="{00000000-0005-0000-0000-000013790000}"/>
    <cellStyle name="Normal 57 3 11 2 4" xfId="31106" xr:uid="{00000000-0005-0000-0000-000014790000}"/>
    <cellStyle name="Normal 57 3 11 3" xfId="6989" xr:uid="{00000000-0005-0000-0000-000015790000}"/>
    <cellStyle name="Normal 57 3 11 3 2" xfId="23175" xr:uid="{00000000-0005-0000-0000-000016790000}"/>
    <cellStyle name="Normal 57 3 11 3 2 2" xfId="48728" xr:uid="{00000000-0005-0000-0000-000017790000}"/>
    <cellStyle name="Normal 57 3 11 3 3" xfId="32546" xr:uid="{00000000-0005-0000-0000-000018790000}"/>
    <cellStyle name="Normal 57 3 11 4" xfId="18168" xr:uid="{00000000-0005-0000-0000-000019790000}"/>
    <cellStyle name="Normal 57 3 11 4 2" xfId="43721" xr:uid="{00000000-0005-0000-0000-00001A790000}"/>
    <cellStyle name="Normal 57 3 11 5" xfId="29658" xr:uid="{00000000-0005-0000-0000-00001B790000}"/>
    <cellStyle name="Normal 57 3 12" xfId="1393" xr:uid="{00000000-0005-0000-0000-00001C790000}"/>
    <cellStyle name="Normal 57 3 12 2" xfId="10770" xr:uid="{00000000-0005-0000-0000-00001D790000}"/>
    <cellStyle name="Normal 57 3 12 2 2" xfId="36325" xr:uid="{00000000-0005-0000-0000-00001E790000}"/>
    <cellStyle name="Normal 57 3 12 3" xfId="20774" xr:uid="{00000000-0005-0000-0000-00001F790000}"/>
    <cellStyle name="Normal 57 3 12 3 2" xfId="46327" xr:uid="{00000000-0005-0000-0000-000020790000}"/>
    <cellStyle name="Normal 57 3 12 4" xfId="27257" xr:uid="{00000000-0005-0000-0000-000021790000}"/>
    <cellStyle name="Normal 57 3 13" xfId="5505" xr:uid="{00000000-0005-0000-0000-000022790000}"/>
    <cellStyle name="Normal 57 3 13 2" xfId="14332" xr:uid="{00000000-0005-0000-0000-000023790000}"/>
    <cellStyle name="Normal 57 3 13 2 2" xfId="39887" xr:uid="{00000000-0005-0000-0000-000024790000}"/>
    <cellStyle name="Normal 57 3 13 3" xfId="24583" xr:uid="{00000000-0005-0000-0000-000025790000}"/>
    <cellStyle name="Normal 57 3 13 3 2" xfId="50136" xr:uid="{00000000-0005-0000-0000-000026790000}"/>
    <cellStyle name="Normal 57 3 13 4" xfId="31066" xr:uid="{00000000-0005-0000-0000-000027790000}"/>
    <cellStyle name="Normal 57 3 14" xfId="6944" xr:uid="{00000000-0005-0000-0000-000028790000}"/>
    <cellStyle name="Normal 57 3 14 2" xfId="19582" xr:uid="{00000000-0005-0000-0000-000029790000}"/>
    <cellStyle name="Normal 57 3 14 2 2" xfId="45135" xr:uid="{00000000-0005-0000-0000-00002A790000}"/>
    <cellStyle name="Normal 57 3 14 3" xfId="32502" xr:uid="{00000000-0005-0000-0000-00002B790000}"/>
    <cellStyle name="Normal 57 3 15" xfId="15767" xr:uid="{00000000-0005-0000-0000-00002C790000}"/>
    <cellStyle name="Normal 57 3 15 2" xfId="41320" xr:uid="{00000000-0005-0000-0000-00002D790000}"/>
    <cellStyle name="Normal 57 3 16" xfId="26065" xr:uid="{00000000-0005-0000-0000-00002E790000}"/>
    <cellStyle name="Normal 57 3 2" xfId="153" xr:uid="{00000000-0005-0000-0000-00002F790000}"/>
    <cellStyle name="Normal 57 3 2 10" xfId="1418" xr:uid="{00000000-0005-0000-0000-000030790000}"/>
    <cellStyle name="Normal 57 3 2 10 2" xfId="10795" xr:uid="{00000000-0005-0000-0000-000031790000}"/>
    <cellStyle name="Normal 57 3 2 10 2 2" xfId="36350" xr:uid="{00000000-0005-0000-0000-000032790000}"/>
    <cellStyle name="Normal 57 3 2 10 3" xfId="20799" xr:uid="{00000000-0005-0000-0000-000033790000}"/>
    <cellStyle name="Normal 57 3 2 10 3 2" xfId="46352" xr:uid="{00000000-0005-0000-0000-000034790000}"/>
    <cellStyle name="Normal 57 3 2 10 4" xfId="27282" xr:uid="{00000000-0005-0000-0000-000035790000}"/>
    <cellStyle name="Normal 57 3 2 11" xfId="5527" xr:uid="{00000000-0005-0000-0000-000036790000}"/>
    <cellStyle name="Normal 57 3 2 11 2" xfId="14354" xr:uid="{00000000-0005-0000-0000-000037790000}"/>
    <cellStyle name="Normal 57 3 2 11 2 2" xfId="39909" xr:uid="{00000000-0005-0000-0000-000038790000}"/>
    <cellStyle name="Normal 57 3 2 11 3" xfId="24605" xr:uid="{00000000-0005-0000-0000-000039790000}"/>
    <cellStyle name="Normal 57 3 2 11 3 2" xfId="50158" xr:uid="{00000000-0005-0000-0000-00003A790000}"/>
    <cellStyle name="Normal 57 3 2 11 4" xfId="31088" xr:uid="{00000000-0005-0000-0000-00003B790000}"/>
    <cellStyle name="Normal 57 3 2 12" xfId="6971" xr:uid="{00000000-0005-0000-0000-00003C790000}"/>
    <cellStyle name="Normal 57 3 2 12 2" xfId="19612" xr:uid="{00000000-0005-0000-0000-00003D790000}"/>
    <cellStyle name="Normal 57 3 2 12 2 2" xfId="45165" xr:uid="{00000000-0005-0000-0000-00003E790000}"/>
    <cellStyle name="Normal 57 3 2 12 3" xfId="32528" xr:uid="{00000000-0005-0000-0000-00003F790000}"/>
    <cellStyle name="Normal 57 3 2 13" xfId="15792" xr:uid="{00000000-0005-0000-0000-000040790000}"/>
    <cellStyle name="Normal 57 3 2 13 2" xfId="41345" xr:uid="{00000000-0005-0000-0000-000041790000}"/>
    <cellStyle name="Normal 57 3 2 14" xfId="26095" xr:uid="{00000000-0005-0000-0000-000042790000}"/>
    <cellStyle name="Normal 57 3 2 2" xfId="200" xr:uid="{00000000-0005-0000-0000-000043790000}"/>
    <cellStyle name="Normal 57 3 2 2 10" xfId="7146" xr:uid="{00000000-0005-0000-0000-000044790000}"/>
    <cellStyle name="Normal 57 3 2 2 10 2" xfId="19655" xr:uid="{00000000-0005-0000-0000-000045790000}"/>
    <cellStyle name="Normal 57 3 2 2 10 2 2" xfId="45208" xr:uid="{00000000-0005-0000-0000-000046790000}"/>
    <cellStyle name="Normal 57 3 2 2 10 3" xfId="32703" xr:uid="{00000000-0005-0000-0000-000047790000}"/>
    <cellStyle name="Normal 57 3 2 2 11" xfId="15892" xr:uid="{00000000-0005-0000-0000-000048790000}"/>
    <cellStyle name="Normal 57 3 2 2 11 2" xfId="41445" xr:uid="{00000000-0005-0000-0000-000049790000}"/>
    <cellStyle name="Normal 57 3 2 2 12" xfId="26138" xr:uid="{00000000-0005-0000-0000-00004A790000}"/>
    <cellStyle name="Normal 57 3 2 2 2" xfId="526" xr:uid="{00000000-0005-0000-0000-00004B790000}"/>
    <cellStyle name="Normal 57 3 2 2 2 10" xfId="26455" xr:uid="{00000000-0005-0000-0000-00004C790000}"/>
    <cellStyle name="Normal 57 3 2 2 2 2" xfId="832" xr:uid="{00000000-0005-0000-0000-00004D790000}"/>
    <cellStyle name="Normal 57 3 2 2 2 2 2" xfId="3317" xr:uid="{00000000-0005-0000-0000-00004E790000}"/>
    <cellStyle name="Normal 57 3 2 2 2 2 2 2" xfId="12459" xr:uid="{00000000-0005-0000-0000-00004F790000}"/>
    <cellStyle name="Normal 57 3 2 2 2 2 2 2 2" xfId="22678" xr:uid="{00000000-0005-0000-0000-000050790000}"/>
    <cellStyle name="Normal 57 3 2 2 2 2 2 2 2 2" xfId="48231" xr:uid="{00000000-0005-0000-0000-000051790000}"/>
    <cellStyle name="Normal 57 3 2 2 2 2 2 2 3" xfId="38014" xr:uid="{00000000-0005-0000-0000-000052790000}"/>
    <cellStyle name="Normal 57 3 2 2 2 2 2 3" xfId="8881" xr:uid="{00000000-0005-0000-0000-000053790000}"/>
    <cellStyle name="Normal 57 3 2 2 2 2 2 3 2" xfId="34438" xr:uid="{00000000-0005-0000-0000-000054790000}"/>
    <cellStyle name="Normal 57 3 2 2 2 2 2 4" xfId="17671" xr:uid="{00000000-0005-0000-0000-000055790000}"/>
    <cellStyle name="Normal 57 3 2 2 2 2 2 4 2" xfId="43224" xr:uid="{00000000-0005-0000-0000-000056790000}"/>
    <cellStyle name="Normal 57 3 2 2 2 2 2 5" xfId="29161" xr:uid="{00000000-0005-0000-0000-000057790000}"/>
    <cellStyle name="Normal 57 3 2 2 2 2 3" xfId="4646" xr:uid="{00000000-0005-0000-0000-000058790000}"/>
    <cellStyle name="Normal 57 3 2 2 2 2 3 2" xfId="13484" xr:uid="{00000000-0005-0000-0000-000059790000}"/>
    <cellStyle name="Normal 57 3 2 2 2 2 3 2 2" xfId="23735" xr:uid="{00000000-0005-0000-0000-00005A790000}"/>
    <cellStyle name="Normal 57 3 2 2 2 2 3 2 2 2" xfId="49288" xr:uid="{00000000-0005-0000-0000-00005B790000}"/>
    <cellStyle name="Normal 57 3 2 2 2 2 3 2 3" xfId="39039" xr:uid="{00000000-0005-0000-0000-00005C790000}"/>
    <cellStyle name="Normal 57 3 2 2 2 2 3 3" xfId="9905" xr:uid="{00000000-0005-0000-0000-00005D790000}"/>
    <cellStyle name="Normal 57 3 2 2 2 2 3 3 2" xfId="35462" xr:uid="{00000000-0005-0000-0000-00005E790000}"/>
    <cellStyle name="Normal 57 3 2 2 2 2 3 4" xfId="18728" xr:uid="{00000000-0005-0000-0000-00005F790000}"/>
    <cellStyle name="Normal 57 3 2 2 2 2 3 4 2" xfId="44281" xr:uid="{00000000-0005-0000-0000-000060790000}"/>
    <cellStyle name="Normal 57 3 2 2 2 2 3 5" xfId="30218" xr:uid="{00000000-0005-0000-0000-000061790000}"/>
    <cellStyle name="Normal 57 3 2 2 2 2 4" xfId="2426" xr:uid="{00000000-0005-0000-0000-000062790000}"/>
    <cellStyle name="Normal 57 3 2 2 2 2 4 2" xfId="11791" xr:uid="{00000000-0005-0000-0000-000063790000}"/>
    <cellStyle name="Normal 57 3 2 2 2 2 4 2 2" xfId="37346" xr:uid="{00000000-0005-0000-0000-000064790000}"/>
    <cellStyle name="Normal 57 3 2 2 2 2 4 3" xfId="21795" xr:uid="{00000000-0005-0000-0000-000065790000}"/>
    <cellStyle name="Normal 57 3 2 2 2 2 4 3 2" xfId="47348" xr:uid="{00000000-0005-0000-0000-000066790000}"/>
    <cellStyle name="Normal 57 3 2 2 2 2 4 4" xfId="28278" xr:uid="{00000000-0005-0000-0000-000067790000}"/>
    <cellStyle name="Normal 57 3 2 2 2 2 5" xfId="6102" xr:uid="{00000000-0005-0000-0000-000068790000}"/>
    <cellStyle name="Normal 57 3 2 2 2 2 5 2" xfId="14929" xr:uid="{00000000-0005-0000-0000-000069790000}"/>
    <cellStyle name="Normal 57 3 2 2 2 2 5 2 2" xfId="40484" xr:uid="{00000000-0005-0000-0000-00006A790000}"/>
    <cellStyle name="Normal 57 3 2 2 2 2 5 3" xfId="25180" xr:uid="{00000000-0005-0000-0000-00006B790000}"/>
    <cellStyle name="Normal 57 3 2 2 2 2 5 3 2" xfId="50733" xr:uid="{00000000-0005-0000-0000-00006C790000}"/>
    <cellStyle name="Normal 57 3 2 2 2 2 5 4" xfId="31663" xr:uid="{00000000-0005-0000-0000-00006D790000}"/>
    <cellStyle name="Normal 57 3 2 2 2 2 6" xfId="7547" xr:uid="{00000000-0005-0000-0000-00006E790000}"/>
    <cellStyle name="Normal 57 3 2 2 2 2 6 2" xfId="20277" xr:uid="{00000000-0005-0000-0000-00006F790000}"/>
    <cellStyle name="Normal 57 3 2 2 2 2 6 2 2" xfId="45830" xr:uid="{00000000-0005-0000-0000-000070790000}"/>
    <cellStyle name="Normal 57 3 2 2 2 2 6 3" xfId="33104" xr:uid="{00000000-0005-0000-0000-000071790000}"/>
    <cellStyle name="Normal 57 3 2 2 2 2 7" xfId="16788" xr:uid="{00000000-0005-0000-0000-000072790000}"/>
    <cellStyle name="Normal 57 3 2 2 2 2 7 2" xfId="42341" xr:uid="{00000000-0005-0000-0000-000073790000}"/>
    <cellStyle name="Normal 57 3 2 2 2 2 8" xfId="26760" xr:uid="{00000000-0005-0000-0000-000074790000}"/>
    <cellStyle name="Normal 57 3 2 2 2 3" xfId="1298" xr:uid="{00000000-0005-0000-0000-000075790000}"/>
    <cellStyle name="Normal 57 3 2 2 2 3 2" xfId="3727" xr:uid="{00000000-0005-0000-0000-000076790000}"/>
    <cellStyle name="Normal 57 3 2 2 2 3 2 2" xfId="12863" xr:uid="{00000000-0005-0000-0000-000077790000}"/>
    <cellStyle name="Normal 57 3 2 2 2 3 2 2 2" xfId="23082" xr:uid="{00000000-0005-0000-0000-000078790000}"/>
    <cellStyle name="Normal 57 3 2 2 2 3 2 2 2 2" xfId="48635" xr:uid="{00000000-0005-0000-0000-000079790000}"/>
    <cellStyle name="Normal 57 3 2 2 2 3 2 2 3" xfId="38418" xr:uid="{00000000-0005-0000-0000-00007A790000}"/>
    <cellStyle name="Normal 57 3 2 2 2 3 2 3" xfId="9284" xr:uid="{00000000-0005-0000-0000-00007B790000}"/>
    <cellStyle name="Normal 57 3 2 2 2 3 2 3 2" xfId="34841" xr:uid="{00000000-0005-0000-0000-00007C790000}"/>
    <cellStyle name="Normal 57 3 2 2 2 3 2 4" xfId="18075" xr:uid="{00000000-0005-0000-0000-00007D790000}"/>
    <cellStyle name="Normal 57 3 2 2 2 3 2 4 2" xfId="43628" xr:uid="{00000000-0005-0000-0000-00007E790000}"/>
    <cellStyle name="Normal 57 3 2 2 2 3 2 5" xfId="29565" xr:uid="{00000000-0005-0000-0000-00007F790000}"/>
    <cellStyle name="Normal 57 3 2 2 2 3 3" xfId="4995" xr:uid="{00000000-0005-0000-0000-000080790000}"/>
    <cellStyle name="Normal 57 3 2 2 2 3 3 2" xfId="13832" xr:uid="{00000000-0005-0000-0000-000081790000}"/>
    <cellStyle name="Normal 57 3 2 2 2 3 3 2 2" xfId="24083" xr:uid="{00000000-0005-0000-0000-000082790000}"/>
    <cellStyle name="Normal 57 3 2 2 2 3 3 2 2 2" xfId="49636" xr:uid="{00000000-0005-0000-0000-000083790000}"/>
    <cellStyle name="Normal 57 3 2 2 2 3 3 2 3" xfId="39387" xr:uid="{00000000-0005-0000-0000-000084790000}"/>
    <cellStyle name="Normal 57 3 2 2 2 3 3 3" xfId="10253" xr:uid="{00000000-0005-0000-0000-000085790000}"/>
    <cellStyle name="Normal 57 3 2 2 2 3 3 3 2" xfId="35810" xr:uid="{00000000-0005-0000-0000-000086790000}"/>
    <cellStyle name="Normal 57 3 2 2 2 3 3 4" xfId="19076" xr:uid="{00000000-0005-0000-0000-000087790000}"/>
    <cellStyle name="Normal 57 3 2 2 2 3 3 4 2" xfId="44629" xr:uid="{00000000-0005-0000-0000-000088790000}"/>
    <cellStyle name="Normal 57 3 2 2 2 3 3 5" xfId="30566" xr:uid="{00000000-0005-0000-0000-000089790000}"/>
    <cellStyle name="Normal 57 3 2 2 2 3 4" xfId="2121" xr:uid="{00000000-0005-0000-0000-00008A790000}"/>
    <cellStyle name="Normal 57 3 2 2 2 3 4 2" xfId="11486" xr:uid="{00000000-0005-0000-0000-00008B790000}"/>
    <cellStyle name="Normal 57 3 2 2 2 3 4 2 2" xfId="37041" xr:uid="{00000000-0005-0000-0000-00008C790000}"/>
    <cellStyle name="Normal 57 3 2 2 2 3 4 3" xfId="21490" xr:uid="{00000000-0005-0000-0000-00008D790000}"/>
    <cellStyle name="Normal 57 3 2 2 2 3 4 3 2" xfId="47043" xr:uid="{00000000-0005-0000-0000-00008E790000}"/>
    <cellStyle name="Normal 57 3 2 2 2 3 4 4" xfId="27973" xr:uid="{00000000-0005-0000-0000-00008F790000}"/>
    <cellStyle name="Normal 57 3 2 2 2 3 5" xfId="6450" xr:uid="{00000000-0005-0000-0000-000090790000}"/>
    <cellStyle name="Normal 57 3 2 2 2 3 5 2" xfId="15277" xr:uid="{00000000-0005-0000-0000-000091790000}"/>
    <cellStyle name="Normal 57 3 2 2 2 3 5 2 2" xfId="40832" xr:uid="{00000000-0005-0000-0000-000092790000}"/>
    <cellStyle name="Normal 57 3 2 2 2 3 5 3" xfId="25528" xr:uid="{00000000-0005-0000-0000-000093790000}"/>
    <cellStyle name="Normal 57 3 2 2 2 3 5 3 2" xfId="51081" xr:uid="{00000000-0005-0000-0000-000094790000}"/>
    <cellStyle name="Normal 57 3 2 2 2 3 5 4" xfId="32011" xr:uid="{00000000-0005-0000-0000-000095790000}"/>
    <cellStyle name="Normal 57 3 2 2 2 3 6" xfId="7896" xr:uid="{00000000-0005-0000-0000-000096790000}"/>
    <cellStyle name="Normal 57 3 2 2 2 3 6 2" xfId="20681" xr:uid="{00000000-0005-0000-0000-000097790000}"/>
    <cellStyle name="Normal 57 3 2 2 2 3 6 2 2" xfId="46234" xr:uid="{00000000-0005-0000-0000-000098790000}"/>
    <cellStyle name="Normal 57 3 2 2 2 3 6 3" xfId="33453" xr:uid="{00000000-0005-0000-0000-000099790000}"/>
    <cellStyle name="Normal 57 3 2 2 2 3 7" xfId="16483" xr:uid="{00000000-0005-0000-0000-00009A790000}"/>
    <cellStyle name="Normal 57 3 2 2 2 3 7 2" xfId="42036" xr:uid="{00000000-0005-0000-0000-00009B790000}"/>
    <cellStyle name="Normal 57 3 2 2 2 3 8" xfId="27164" xr:uid="{00000000-0005-0000-0000-00009C790000}"/>
    <cellStyle name="Normal 57 3 2 2 2 4" xfId="3012" xr:uid="{00000000-0005-0000-0000-00009D790000}"/>
    <cellStyle name="Normal 57 3 2 2 2 4 2" xfId="5390" xr:uid="{00000000-0005-0000-0000-00009E790000}"/>
    <cellStyle name="Normal 57 3 2 2 2 4 2 2" xfId="14227" xr:uid="{00000000-0005-0000-0000-00009F790000}"/>
    <cellStyle name="Normal 57 3 2 2 2 4 2 2 2" xfId="24478" xr:uid="{00000000-0005-0000-0000-0000A0790000}"/>
    <cellStyle name="Normal 57 3 2 2 2 4 2 2 2 2" xfId="50031" xr:uid="{00000000-0005-0000-0000-0000A1790000}"/>
    <cellStyle name="Normal 57 3 2 2 2 4 2 2 3" xfId="39782" xr:uid="{00000000-0005-0000-0000-0000A2790000}"/>
    <cellStyle name="Normal 57 3 2 2 2 4 2 3" xfId="10648" xr:uid="{00000000-0005-0000-0000-0000A3790000}"/>
    <cellStyle name="Normal 57 3 2 2 2 4 2 3 2" xfId="36205" xr:uid="{00000000-0005-0000-0000-0000A4790000}"/>
    <cellStyle name="Normal 57 3 2 2 2 4 2 4" xfId="19471" xr:uid="{00000000-0005-0000-0000-0000A5790000}"/>
    <cellStyle name="Normal 57 3 2 2 2 4 2 4 2" xfId="45024" xr:uid="{00000000-0005-0000-0000-0000A6790000}"/>
    <cellStyle name="Normal 57 3 2 2 2 4 2 5" xfId="30961" xr:uid="{00000000-0005-0000-0000-0000A7790000}"/>
    <cellStyle name="Normal 57 3 2 2 2 4 3" xfId="6845" xr:uid="{00000000-0005-0000-0000-0000A8790000}"/>
    <cellStyle name="Normal 57 3 2 2 2 4 3 2" xfId="15672" xr:uid="{00000000-0005-0000-0000-0000A9790000}"/>
    <cellStyle name="Normal 57 3 2 2 2 4 3 2 2" xfId="41227" xr:uid="{00000000-0005-0000-0000-0000AA790000}"/>
    <cellStyle name="Normal 57 3 2 2 2 4 3 3" xfId="25923" xr:uid="{00000000-0005-0000-0000-0000AB790000}"/>
    <cellStyle name="Normal 57 3 2 2 2 4 3 3 2" xfId="51476" xr:uid="{00000000-0005-0000-0000-0000AC790000}"/>
    <cellStyle name="Normal 57 3 2 2 2 4 3 4" xfId="32406" xr:uid="{00000000-0005-0000-0000-0000AD790000}"/>
    <cellStyle name="Normal 57 3 2 2 2 4 4" xfId="8291" xr:uid="{00000000-0005-0000-0000-0000AE790000}"/>
    <cellStyle name="Normal 57 3 2 2 2 4 4 2" xfId="22373" xr:uid="{00000000-0005-0000-0000-0000AF790000}"/>
    <cellStyle name="Normal 57 3 2 2 2 4 4 2 2" xfId="47926" xr:uid="{00000000-0005-0000-0000-0000B0790000}"/>
    <cellStyle name="Normal 57 3 2 2 2 4 4 3" xfId="33848" xr:uid="{00000000-0005-0000-0000-0000B1790000}"/>
    <cellStyle name="Normal 57 3 2 2 2 4 5" xfId="17366" xr:uid="{00000000-0005-0000-0000-0000B2790000}"/>
    <cellStyle name="Normal 57 3 2 2 2 4 5 2" xfId="42919" xr:uid="{00000000-0005-0000-0000-0000B3790000}"/>
    <cellStyle name="Normal 57 3 2 2 2 4 6" xfId="28856" xr:uid="{00000000-0005-0000-0000-0000B4790000}"/>
    <cellStyle name="Normal 57 3 2 2 2 5" xfId="4346" xr:uid="{00000000-0005-0000-0000-0000B5790000}"/>
    <cellStyle name="Normal 57 3 2 2 2 5 2" xfId="13184" xr:uid="{00000000-0005-0000-0000-0000B6790000}"/>
    <cellStyle name="Normal 57 3 2 2 2 5 2 2" xfId="23435" xr:uid="{00000000-0005-0000-0000-0000B7790000}"/>
    <cellStyle name="Normal 57 3 2 2 2 5 2 2 2" xfId="48988" xr:uid="{00000000-0005-0000-0000-0000B8790000}"/>
    <cellStyle name="Normal 57 3 2 2 2 5 2 3" xfId="38739" xr:uid="{00000000-0005-0000-0000-0000B9790000}"/>
    <cellStyle name="Normal 57 3 2 2 2 5 3" xfId="9605" xr:uid="{00000000-0005-0000-0000-0000BA790000}"/>
    <cellStyle name="Normal 57 3 2 2 2 5 3 2" xfId="35162" xr:uid="{00000000-0005-0000-0000-0000BB790000}"/>
    <cellStyle name="Normal 57 3 2 2 2 5 4" xfId="18428" xr:uid="{00000000-0005-0000-0000-0000BC790000}"/>
    <cellStyle name="Normal 57 3 2 2 2 5 4 2" xfId="43981" xr:uid="{00000000-0005-0000-0000-0000BD790000}"/>
    <cellStyle name="Normal 57 3 2 2 2 5 5" xfId="29918" xr:uid="{00000000-0005-0000-0000-0000BE790000}"/>
    <cellStyle name="Normal 57 3 2 2 2 6" xfId="1618" xr:uid="{00000000-0005-0000-0000-0000BF790000}"/>
    <cellStyle name="Normal 57 3 2 2 2 6 2" xfId="10995" xr:uid="{00000000-0005-0000-0000-0000C0790000}"/>
    <cellStyle name="Normal 57 3 2 2 2 6 2 2" xfId="36550" xr:uid="{00000000-0005-0000-0000-0000C1790000}"/>
    <cellStyle name="Normal 57 3 2 2 2 6 3" xfId="20999" xr:uid="{00000000-0005-0000-0000-0000C2790000}"/>
    <cellStyle name="Normal 57 3 2 2 2 6 3 2" xfId="46552" xr:uid="{00000000-0005-0000-0000-0000C3790000}"/>
    <cellStyle name="Normal 57 3 2 2 2 6 4" xfId="27482" xr:uid="{00000000-0005-0000-0000-0000C4790000}"/>
    <cellStyle name="Normal 57 3 2 2 2 7" xfId="5802" xr:uid="{00000000-0005-0000-0000-0000C5790000}"/>
    <cellStyle name="Normal 57 3 2 2 2 7 2" xfId="14629" xr:uid="{00000000-0005-0000-0000-0000C6790000}"/>
    <cellStyle name="Normal 57 3 2 2 2 7 2 2" xfId="40184" xr:uid="{00000000-0005-0000-0000-0000C7790000}"/>
    <cellStyle name="Normal 57 3 2 2 2 7 3" xfId="24880" xr:uid="{00000000-0005-0000-0000-0000C8790000}"/>
    <cellStyle name="Normal 57 3 2 2 2 7 3 2" xfId="50433" xr:uid="{00000000-0005-0000-0000-0000C9790000}"/>
    <cellStyle name="Normal 57 3 2 2 2 7 4" xfId="31363" xr:uid="{00000000-0005-0000-0000-0000CA790000}"/>
    <cellStyle name="Normal 57 3 2 2 2 8" xfId="7246" xr:uid="{00000000-0005-0000-0000-0000CB790000}"/>
    <cellStyle name="Normal 57 3 2 2 2 8 2" xfId="19972" xr:uid="{00000000-0005-0000-0000-0000CC790000}"/>
    <cellStyle name="Normal 57 3 2 2 2 8 2 2" xfId="45525" xr:uid="{00000000-0005-0000-0000-0000CD790000}"/>
    <cellStyle name="Normal 57 3 2 2 2 8 3" xfId="32803" xr:uid="{00000000-0005-0000-0000-0000CE790000}"/>
    <cellStyle name="Normal 57 3 2 2 2 9" xfId="15992" xr:uid="{00000000-0005-0000-0000-0000CF790000}"/>
    <cellStyle name="Normal 57 3 2 2 2 9 2" xfId="41545" xr:uid="{00000000-0005-0000-0000-0000D0790000}"/>
    <cellStyle name="Normal 57 3 2 2 2_Degree data" xfId="3938" xr:uid="{00000000-0005-0000-0000-0000D1790000}"/>
    <cellStyle name="Normal 57 3 2 2 3" xfId="426" xr:uid="{00000000-0005-0000-0000-0000D2790000}"/>
    <cellStyle name="Normal 57 3 2 2 3 2" xfId="2912" xr:uid="{00000000-0005-0000-0000-0000D3790000}"/>
    <cellStyle name="Normal 57 3 2 2 3 2 2" xfId="12200" xr:uid="{00000000-0005-0000-0000-0000D4790000}"/>
    <cellStyle name="Normal 57 3 2 2 3 2 2 2" xfId="22273" xr:uid="{00000000-0005-0000-0000-0000D5790000}"/>
    <cellStyle name="Normal 57 3 2 2 3 2 2 2 2" xfId="47826" xr:uid="{00000000-0005-0000-0000-0000D6790000}"/>
    <cellStyle name="Normal 57 3 2 2 3 2 2 3" xfId="37755" xr:uid="{00000000-0005-0000-0000-0000D7790000}"/>
    <cellStyle name="Normal 57 3 2 2 3 2 3" xfId="8448" xr:uid="{00000000-0005-0000-0000-0000D8790000}"/>
    <cellStyle name="Normal 57 3 2 2 3 2 3 2" xfId="34005" xr:uid="{00000000-0005-0000-0000-0000D9790000}"/>
    <cellStyle name="Normal 57 3 2 2 3 2 4" xfId="17266" xr:uid="{00000000-0005-0000-0000-0000DA790000}"/>
    <cellStyle name="Normal 57 3 2 2 3 2 4 2" xfId="42819" xr:uid="{00000000-0005-0000-0000-0000DB790000}"/>
    <cellStyle name="Normal 57 3 2 2 3 2 5" xfId="28756" xr:uid="{00000000-0005-0000-0000-0000DC790000}"/>
    <cellStyle name="Normal 57 3 2 2 3 3" xfId="4645" xr:uid="{00000000-0005-0000-0000-0000DD790000}"/>
    <cellStyle name="Normal 57 3 2 2 3 3 2" xfId="13483" xr:uid="{00000000-0005-0000-0000-0000DE790000}"/>
    <cellStyle name="Normal 57 3 2 2 3 3 2 2" xfId="23734" xr:uid="{00000000-0005-0000-0000-0000DF790000}"/>
    <cellStyle name="Normal 57 3 2 2 3 3 2 2 2" xfId="49287" xr:uid="{00000000-0005-0000-0000-0000E0790000}"/>
    <cellStyle name="Normal 57 3 2 2 3 3 2 3" xfId="39038" xr:uid="{00000000-0005-0000-0000-0000E1790000}"/>
    <cellStyle name="Normal 57 3 2 2 3 3 3" xfId="9904" xr:uid="{00000000-0005-0000-0000-0000E2790000}"/>
    <cellStyle name="Normal 57 3 2 2 3 3 3 2" xfId="35461" xr:uid="{00000000-0005-0000-0000-0000E3790000}"/>
    <cellStyle name="Normal 57 3 2 2 3 3 4" xfId="18727" xr:uid="{00000000-0005-0000-0000-0000E4790000}"/>
    <cellStyle name="Normal 57 3 2 2 3 3 4 2" xfId="44280" xr:uid="{00000000-0005-0000-0000-0000E5790000}"/>
    <cellStyle name="Normal 57 3 2 2 3 3 5" xfId="30217" xr:uid="{00000000-0005-0000-0000-0000E6790000}"/>
    <cellStyle name="Normal 57 3 2 2 3 4" xfId="2021" xr:uid="{00000000-0005-0000-0000-0000E7790000}"/>
    <cellStyle name="Normal 57 3 2 2 3 4 2" xfId="11386" xr:uid="{00000000-0005-0000-0000-0000E8790000}"/>
    <cellStyle name="Normal 57 3 2 2 3 4 2 2" xfId="36941" xr:uid="{00000000-0005-0000-0000-0000E9790000}"/>
    <cellStyle name="Normal 57 3 2 2 3 4 3" xfId="21390" xr:uid="{00000000-0005-0000-0000-0000EA790000}"/>
    <cellStyle name="Normal 57 3 2 2 3 4 3 2" xfId="46943" xr:uid="{00000000-0005-0000-0000-0000EB790000}"/>
    <cellStyle name="Normal 57 3 2 2 3 4 4" xfId="27873" xr:uid="{00000000-0005-0000-0000-0000EC790000}"/>
    <cellStyle name="Normal 57 3 2 2 3 5" xfId="6101" xr:uid="{00000000-0005-0000-0000-0000ED790000}"/>
    <cellStyle name="Normal 57 3 2 2 3 5 2" xfId="14928" xr:uid="{00000000-0005-0000-0000-0000EE790000}"/>
    <cellStyle name="Normal 57 3 2 2 3 5 2 2" xfId="40483" xr:uid="{00000000-0005-0000-0000-0000EF790000}"/>
    <cellStyle name="Normal 57 3 2 2 3 5 3" xfId="25179" xr:uid="{00000000-0005-0000-0000-0000F0790000}"/>
    <cellStyle name="Normal 57 3 2 2 3 5 3 2" xfId="50732" xr:uid="{00000000-0005-0000-0000-0000F1790000}"/>
    <cellStyle name="Normal 57 3 2 2 3 5 4" xfId="31662" xr:uid="{00000000-0005-0000-0000-0000F2790000}"/>
    <cellStyle name="Normal 57 3 2 2 3 6" xfId="7546" xr:uid="{00000000-0005-0000-0000-0000F3790000}"/>
    <cellStyle name="Normal 57 3 2 2 3 6 2" xfId="19872" xr:uid="{00000000-0005-0000-0000-0000F4790000}"/>
    <cellStyle name="Normal 57 3 2 2 3 6 2 2" xfId="45425" xr:uid="{00000000-0005-0000-0000-0000F5790000}"/>
    <cellStyle name="Normal 57 3 2 2 3 6 3" xfId="33103" xr:uid="{00000000-0005-0000-0000-0000F6790000}"/>
    <cellStyle name="Normal 57 3 2 2 3 7" xfId="16383" xr:uid="{00000000-0005-0000-0000-0000F7790000}"/>
    <cellStyle name="Normal 57 3 2 2 3 7 2" xfId="41936" xr:uid="{00000000-0005-0000-0000-0000F8790000}"/>
    <cellStyle name="Normal 57 3 2 2 3 8" xfId="26355" xr:uid="{00000000-0005-0000-0000-0000F9790000}"/>
    <cellStyle name="Normal 57 3 2 2 4" xfId="831" xr:uid="{00000000-0005-0000-0000-0000FA790000}"/>
    <cellStyle name="Normal 57 3 2 2 4 2" xfId="3316" xr:uid="{00000000-0005-0000-0000-0000FB790000}"/>
    <cellStyle name="Normal 57 3 2 2 4 2 2" xfId="12458" xr:uid="{00000000-0005-0000-0000-0000FC790000}"/>
    <cellStyle name="Normal 57 3 2 2 4 2 2 2" xfId="22677" xr:uid="{00000000-0005-0000-0000-0000FD790000}"/>
    <cellStyle name="Normal 57 3 2 2 4 2 2 2 2" xfId="48230" xr:uid="{00000000-0005-0000-0000-0000FE790000}"/>
    <cellStyle name="Normal 57 3 2 2 4 2 2 3" xfId="38013" xr:uid="{00000000-0005-0000-0000-0000FF790000}"/>
    <cellStyle name="Normal 57 3 2 2 4 2 3" xfId="8880" xr:uid="{00000000-0005-0000-0000-0000007A0000}"/>
    <cellStyle name="Normal 57 3 2 2 4 2 3 2" xfId="34437" xr:uid="{00000000-0005-0000-0000-0000017A0000}"/>
    <cellStyle name="Normal 57 3 2 2 4 2 4" xfId="17670" xr:uid="{00000000-0005-0000-0000-0000027A0000}"/>
    <cellStyle name="Normal 57 3 2 2 4 2 4 2" xfId="43223" xr:uid="{00000000-0005-0000-0000-0000037A0000}"/>
    <cellStyle name="Normal 57 3 2 2 4 2 5" xfId="29160" xr:uid="{00000000-0005-0000-0000-0000047A0000}"/>
    <cellStyle name="Normal 57 3 2 2 4 3" xfId="4994" xr:uid="{00000000-0005-0000-0000-0000057A0000}"/>
    <cellStyle name="Normal 57 3 2 2 4 3 2" xfId="13831" xr:uid="{00000000-0005-0000-0000-0000067A0000}"/>
    <cellStyle name="Normal 57 3 2 2 4 3 2 2" xfId="24082" xr:uid="{00000000-0005-0000-0000-0000077A0000}"/>
    <cellStyle name="Normal 57 3 2 2 4 3 2 2 2" xfId="49635" xr:uid="{00000000-0005-0000-0000-0000087A0000}"/>
    <cellStyle name="Normal 57 3 2 2 4 3 2 3" xfId="39386" xr:uid="{00000000-0005-0000-0000-0000097A0000}"/>
    <cellStyle name="Normal 57 3 2 2 4 3 3" xfId="10252" xr:uid="{00000000-0005-0000-0000-00000A7A0000}"/>
    <cellStyle name="Normal 57 3 2 2 4 3 3 2" xfId="35809" xr:uid="{00000000-0005-0000-0000-00000B7A0000}"/>
    <cellStyle name="Normal 57 3 2 2 4 3 4" xfId="19075" xr:uid="{00000000-0005-0000-0000-00000C7A0000}"/>
    <cellStyle name="Normal 57 3 2 2 4 3 4 2" xfId="44628" xr:uid="{00000000-0005-0000-0000-00000D7A0000}"/>
    <cellStyle name="Normal 57 3 2 2 4 3 5" xfId="30565" xr:uid="{00000000-0005-0000-0000-00000E7A0000}"/>
    <cellStyle name="Normal 57 3 2 2 4 4" xfId="2425" xr:uid="{00000000-0005-0000-0000-00000F7A0000}"/>
    <cellStyle name="Normal 57 3 2 2 4 4 2" xfId="11790" xr:uid="{00000000-0005-0000-0000-0000107A0000}"/>
    <cellStyle name="Normal 57 3 2 2 4 4 2 2" xfId="37345" xr:uid="{00000000-0005-0000-0000-0000117A0000}"/>
    <cellStyle name="Normal 57 3 2 2 4 4 3" xfId="21794" xr:uid="{00000000-0005-0000-0000-0000127A0000}"/>
    <cellStyle name="Normal 57 3 2 2 4 4 3 2" xfId="47347" xr:uid="{00000000-0005-0000-0000-0000137A0000}"/>
    <cellStyle name="Normal 57 3 2 2 4 4 4" xfId="28277" xr:uid="{00000000-0005-0000-0000-0000147A0000}"/>
    <cellStyle name="Normal 57 3 2 2 4 5" xfId="6449" xr:uid="{00000000-0005-0000-0000-0000157A0000}"/>
    <cellStyle name="Normal 57 3 2 2 4 5 2" xfId="15276" xr:uid="{00000000-0005-0000-0000-0000167A0000}"/>
    <cellStyle name="Normal 57 3 2 2 4 5 2 2" xfId="40831" xr:uid="{00000000-0005-0000-0000-0000177A0000}"/>
    <cellStyle name="Normal 57 3 2 2 4 5 3" xfId="25527" xr:uid="{00000000-0005-0000-0000-0000187A0000}"/>
    <cellStyle name="Normal 57 3 2 2 4 5 3 2" xfId="51080" xr:uid="{00000000-0005-0000-0000-0000197A0000}"/>
    <cellStyle name="Normal 57 3 2 2 4 5 4" xfId="32010" xr:uid="{00000000-0005-0000-0000-00001A7A0000}"/>
    <cellStyle name="Normal 57 3 2 2 4 6" xfId="7895" xr:uid="{00000000-0005-0000-0000-00001B7A0000}"/>
    <cellStyle name="Normal 57 3 2 2 4 6 2" xfId="20276" xr:uid="{00000000-0005-0000-0000-00001C7A0000}"/>
    <cellStyle name="Normal 57 3 2 2 4 6 2 2" xfId="45829" xr:uid="{00000000-0005-0000-0000-00001D7A0000}"/>
    <cellStyle name="Normal 57 3 2 2 4 6 3" xfId="33452" xr:uid="{00000000-0005-0000-0000-00001E7A0000}"/>
    <cellStyle name="Normal 57 3 2 2 4 7" xfId="16787" xr:uid="{00000000-0005-0000-0000-00001F7A0000}"/>
    <cellStyle name="Normal 57 3 2 2 4 7 2" xfId="42340" xr:uid="{00000000-0005-0000-0000-0000207A0000}"/>
    <cellStyle name="Normal 57 3 2 2 4 8" xfId="26759" xr:uid="{00000000-0005-0000-0000-0000217A0000}"/>
    <cellStyle name="Normal 57 3 2 2 5" xfId="1198" xr:uid="{00000000-0005-0000-0000-0000227A0000}"/>
    <cellStyle name="Normal 57 3 2 2 5 2" xfId="3627" xr:uid="{00000000-0005-0000-0000-0000237A0000}"/>
    <cellStyle name="Normal 57 3 2 2 5 2 2" xfId="12763" xr:uid="{00000000-0005-0000-0000-0000247A0000}"/>
    <cellStyle name="Normal 57 3 2 2 5 2 2 2" xfId="22982" xr:uid="{00000000-0005-0000-0000-0000257A0000}"/>
    <cellStyle name="Normal 57 3 2 2 5 2 2 2 2" xfId="48535" xr:uid="{00000000-0005-0000-0000-0000267A0000}"/>
    <cellStyle name="Normal 57 3 2 2 5 2 2 3" xfId="38318" xr:uid="{00000000-0005-0000-0000-0000277A0000}"/>
    <cellStyle name="Normal 57 3 2 2 5 2 3" xfId="9184" xr:uid="{00000000-0005-0000-0000-0000287A0000}"/>
    <cellStyle name="Normal 57 3 2 2 5 2 3 2" xfId="34741" xr:uid="{00000000-0005-0000-0000-0000297A0000}"/>
    <cellStyle name="Normal 57 3 2 2 5 2 4" xfId="17975" xr:uid="{00000000-0005-0000-0000-00002A7A0000}"/>
    <cellStyle name="Normal 57 3 2 2 5 2 4 2" xfId="43528" xr:uid="{00000000-0005-0000-0000-00002B7A0000}"/>
    <cellStyle name="Normal 57 3 2 2 5 2 5" xfId="29465" xr:uid="{00000000-0005-0000-0000-00002C7A0000}"/>
    <cellStyle name="Normal 57 3 2 2 5 3" xfId="5290" xr:uid="{00000000-0005-0000-0000-00002D7A0000}"/>
    <cellStyle name="Normal 57 3 2 2 5 3 2" xfId="14127" xr:uid="{00000000-0005-0000-0000-00002E7A0000}"/>
    <cellStyle name="Normal 57 3 2 2 5 3 2 2" xfId="24378" xr:uid="{00000000-0005-0000-0000-00002F7A0000}"/>
    <cellStyle name="Normal 57 3 2 2 5 3 2 2 2" xfId="49931" xr:uid="{00000000-0005-0000-0000-0000307A0000}"/>
    <cellStyle name="Normal 57 3 2 2 5 3 2 3" xfId="39682" xr:uid="{00000000-0005-0000-0000-0000317A0000}"/>
    <cellStyle name="Normal 57 3 2 2 5 3 3" xfId="10548" xr:uid="{00000000-0005-0000-0000-0000327A0000}"/>
    <cellStyle name="Normal 57 3 2 2 5 3 3 2" xfId="36105" xr:uid="{00000000-0005-0000-0000-0000337A0000}"/>
    <cellStyle name="Normal 57 3 2 2 5 3 4" xfId="19371" xr:uid="{00000000-0005-0000-0000-0000347A0000}"/>
    <cellStyle name="Normal 57 3 2 2 5 3 4 2" xfId="44924" xr:uid="{00000000-0005-0000-0000-0000357A0000}"/>
    <cellStyle name="Normal 57 3 2 2 5 3 5" xfId="30861" xr:uid="{00000000-0005-0000-0000-0000367A0000}"/>
    <cellStyle name="Normal 57 3 2 2 5 4" xfId="1801" xr:uid="{00000000-0005-0000-0000-0000377A0000}"/>
    <cellStyle name="Normal 57 3 2 2 5 4 2" xfId="11169" xr:uid="{00000000-0005-0000-0000-0000387A0000}"/>
    <cellStyle name="Normal 57 3 2 2 5 4 2 2" xfId="36724" xr:uid="{00000000-0005-0000-0000-0000397A0000}"/>
    <cellStyle name="Normal 57 3 2 2 5 4 3" xfId="21173" xr:uid="{00000000-0005-0000-0000-00003A7A0000}"/>
    <cellStyle name="Normal 57 3 2 2 5 4 3 2" xfId="46726" xr:uid="{00000000-0005-0000-0000-00003B7A0000}"/>
    <cellStyle name="Normal 57 3 2 2 5 4 4" xfId="27656" xr:uid="{00000000-0005-0000-0000-00003C7A0000}"/>
    <cellStyle name="Normal 57 3 2 2 5 5" xfId="6745" xr:uid="{00000000-0005-0000-0000-00003D7A0000}"/>
    <cellStyle name="Normal 57 3 2 2 5 5 2" xfId="15572" xr:uid="{00000000-0005-0000-0000-00003E7A0000}"/>
    <cellStyle name="Normal 57 3 2 2 5 5 2 2" xfId="41127" xr:uid="{00000000-0005-0000-0000-00003F7A0000}"/>
    <cellStyle name="Normal 57 3 2 2 5 5 3" xfId="25823" xr:uid="{00000000-0005-0000-0000-0000407A0000}"/>
    <cellStyle name="Normal 57 3 2 2 5 5 3 2" xfId="51376" xr:uid="{00000000-0005-0000-0000-0000417A0000}"/>
    <cellStyle name="Normal 57 3 2 2 5 5 4" xfId="32306" xr:uid="{00000000-0005-0000-0000-0000427A0000}"/>
    <cellStyle name="Normal 57 3 2 2 5 6" xfId="8191" xr:uid="{00000000-0005-0000-0000-0000437A0000}"/>
    <cellStyle name="Normal 57 3 2 2 5 6 2" xfId="20581" xr:uid="{00000000-0005-0000-0000-0000447A0000}"/>
    <cellStyle name="Normal 57 3 2 2 5 6 2 2" xfId="46134" xr:uid="{00000000-0005-0000-0000-0000457A0000}"/>
    <cellStyle name="Normal 57 3 2 2 5 6 3" xfId="33748" xr:uid="{00000000-0005-0000-0000-0000467A0000}"/>
    <cellStyle name="Normal 57 3 2 2 5 7" xfId="16166" xr:uid="{00000000-0005-0000-0000-0000477A0000}"/>
    <cellStyle name="Normal 57 3 2 2 5 7 2" xfId="41719" xr:uid="{00000000-0005-0000-0000-0000487A0000}"/>
    <cellStyle name="Normal 57 3 2 2 5 8" xfId="27064" xr:uid="{00000000-0005-0000-0000-0000497A0000}"/>
    <cellStyle name="Normal 57 3 2 2 6" xfId="2695" xr:uid="{00000000-0005-0000-0000-00004A7A0000}"/>
    <cellStyle name="Normal 57 3 2 2 6 2" xfId="12012" xr:uid="{00000000-0005-0000-0000-00004B7A0000}"/>
    <cellStyle name="Normal 57 3 2 2 6 2 2" xfId="22056" xr:uid="{00000000-0005-0000-0000-00004C7A0000}"/>
    <cellStyle name="Normal 57 3 2 2 6 2 2 2" xfId="47609" xr:uid="{00000000-0005-0000-0000-00004D7A0000}"/>
    <cellStyle name="Normal 57 3 2 2 6 2 3" xfId="37567" xr:uid="{00000000-0005-0000-0000-00004E7A0000}"/>
    <cellStyle name="Normal 57 3 2 2 6 3" xfId="8492" xr:uid="{00000000-0005-0000-0000-00004F7A0000}"/>
    <cellStyle name="Normal 57 3 2 2 6 3 2" xfId="34049" xr:uid="{00000000-0005-0000-0000-0000507A0000}"/>
    <cellStyle name="Normal 57 3 2 2 6 4" xfId="17049" xr:uid="{00000000-0005-0000-0000-0000517A0000}"/>
    <cellStyle name="Normal 57 3 2 2 6 4 2" xfId="42602" xr:uid="{00000000-0005-0000-0000-0000527A0000}"/>
    <cellStyle name="Normal 57 3 2 2 6 5" xfId="28539" xr:uid="{00000000-0005-0000-0000-0000537A0000}"/>
    <cellStyle name="Normal 57 3 2 2 7" xfId="4246" xr:uid="{00000000-0005-0000-0000-0000547A0000}"/>
    <cellStyle name="Normal 57 3 2 2 7 2" xfId="13084" xr:uid="{00000000-0005-0000-0000-0000557A0000}"/>
    <cellStyle name="Normal 57 3 2 2 7 2 2" xfId="23335" xr:uid="{00000000-0005-0000-0000-0000567A0000}"/>
    <cellStyle name="Normal 57 3 2 2 7 2 2 2" xfId="48888" xr:uid="{00000000-0005-0000-0000-0000577A0000}"/>
    <cellStyle name="Normal 57 3 2 2 7 2 3" xfId="38639" xr:uid="{00000000-0005-0000-0000-0000587A0000}"/>
    <cellStyle name="Normal 57 3 2 2 7 3" xfId="9505" xr:uid="{00000000-0005-0000-0000-0000597A0000}"/>
    <cellStyle name="Normal 57 3 2 2 7 3 2" xfId="35062" xr:uid="{00000000-0005-0000-0000-00005A7A0000}"/>
    <cellStyle name="Normal 57 3 2 2 7 4" xfId="18328" xr:uid="{00000000-0005-0000-0000-00005B7A0000}"/>
    <cellStyle name="Normal 57 3 2 2 7 4 2" xfId="43881" xr:uid="{00000000-0005-0000-0000-00005C7A0000}"/>
    <cellStyle name="Normal 57 3 2 2 7 5" xfId="29818" xr:uid="{00000000-0005-0000-0000-00005D7A0000}"/>
    <cellStyle name="Normal 57 3 2 2 8" xfId="1518" xr:uid="{00000000-0005-0000-0000-00005E7A0000}"/>
    <cellStyle name="Normal 57 3 2 2 8 2" xfId="10895" xr:uid="{00000000-0005-0000-0000-00005F7A0000}"/>
    <cellStyle name="Normal 57 3 2 2 8 2 2" xfId="36450" xr:uid="{00000000-0005-0000-0000-0000607A0000}"/>
    <cellStyle name="Normal 57 3 2 2 8 3" xfId="20899" xr:uid="{00000000-0005-0000-0000-0000617A0000}"/>
    <cellStyle name="Normal 57 3 2 2 8 3 2" xfId="46452" xr:uid="{00000000-0005-0000-0000-0000627A0000}"/>
    <cellStyle name="Normal 57 3 2 2 8 4" xfId="27382" xr:uid="{00000000-0005-0000-0000-0000637A0000}"/>
    <cellStyle name="Normal 57 3 2 2 9" xfId="5702" xr:uid="{00000000-0005-0000-0000-0000647A0000}"/>
    <cellStyle name="Normal 57 3 2 2 9 2" xfId="14529" xr:uid="{00000000-0005-0000-0000-0000657A0000}"/>
    <cellStyle name="Normal 57 3 2 2 9 2 2" xfId="40084" xr:uid="{00000000-0005-0000-0000-0000667A0000}"/>
    <cellStyle name="Normal 57 3 2 2 9 3" xfId="24780" xr:uid="{00000000-0005-0000-0000-0000677A0000}"/>
    <cellStyle name="Normal 57 3 2 2 9 3 2" xfId="50333" xr:uid="{00000000-0005-0000-0000-0000687A0000}"/>
    <cellStyle name="Normal 57 3 2 2 9 4" xfId="31263" xr:uid="{00000000-0005-0000-0000-0000697A0000}"/>
    <cellStyle name="Normal 57 3 2 2_Degree data" xfId="3937" xr:uid="{00000000-0005-0000-0000-00006A7A0000}"/>
    <cellStyle name="Normal 57 3 2 3" xfId="265" xr:uid="{00000000-0005-0000-0000-00006B7A0000}"/>
    <cellStyle name="Normal 57 3 2 3 10" xfId="7103" xr:uid="{00000000-0005-0000-0000-00006C7A0000}"/>
    <cellStyle name="Normal 57 3 2 3 10 2" xfId="19716" xr:uid="{00000000-0005-0000-0000-00006D7A0000}"/>
    <cellStyle name="Normal 57 3 2 3 10 2 2" xfId="45269" xr:uid="{00000000-0005-0000-0000-00006E7A0000}"/>
    <cellStyle name="Normal 57 3 2 3 10 3" xfId="32660" xr:uid="{00000000-0005-0000-0000-00006F7A0000}"/>
    <cellStyle name="Normal 57 3 2 3 11" xfId="15849" xr:uid="{00000000-0005-0000-0000-0000707A0000}"/>
    <cellStyle name="Normal 57 3 2 3 11 2" xfId="41402" xr:uid="{00000000-0005-0000-0000-0000717A0000}"/>
    <cellStyle name="Normal 57 3 2 3 12" xfId="26199" xr:uid="{00000000-0005-0000-0000-0000727A0000}"/>
    <cellStyle name="Normal 57 3 2 3 2" xfId="587" xr:uid="{00000000-0005-0000-0000-0000737A0000}"/>
    <cellStyle name="Normal 57 3 2 3 2 10" xfId="26516" xr:uid="{00000000-0005-0000-0000-0000747A0000}"/>
    <cellStyle name="Normal 57 3 2 3 2 2" xfId="834" xr:uid="{00000000-0005-0000-0000-0000757A0000}"/>
    <cellStyle name="Normal 57 3 2 3 2 2 2" xfId="3319" xr:uid="{00000000-0005-0000-0000-0000767A0000}"/>
    <cellStyle name="Normal 57 3 2 3 2 2 2 2" xfId="12461" xr:uid="{00000000-0005-0000-0000-0000777A0000}"/>
    <cellStyle name="Normal 57 3 2 3 2 2 2 2 2" xfId="22680" xr:uid="{00000000-0005-0000-0000-0000787A0000}"/>
    <cellStyle name="Normal 57 3 2 3 2 2 2 2 2 2" xfId="48233" xr:uid="{00000000-0005-0000-0000-0000797A0000}"/>
    <cellStyle name="Normal 57 3 2 3 2 2 2 2 3" xfId="38016" xr:uid="{00000000-0005-0000-0000-00007A7A0000}"/>
    <cellStyle name="Normal 57 3 2 3 2 2 2 3" xfId="8883" xr:uid="{00000000-0005-0000-0000-00007B7A0000}"/>
    <cellStyle name="Normal 57 3 2 3 2 2 2 3 2" xfId="34440" xr:uid="{00000000-0005-0000-0000-00007C7A0000}"/>
    <cellStyle name="Normal 57 3 2 3 2 2 2 4" xfId="17673" xr:uid="{00000000-0005-0000-0000-00007D7A0000}"/>
    <cellStyle name="Normal 57 3 2 3 2 2 2 4 2" xfId="43226" xr:uid="{00000000-0005-0000-0000-00007E7A0000}"/>
    <cellStyle name="Normal 57 3 2 3 2 2 2 5" xfId="29163" xr:uid="{00000000-0005-0000-0000-00007F7A0000}"/>
    <cellStyle name="Normal 57 3 2 3 2 2 3" xfId="4648" xr:uid="{00000000-0005-0000-0000-0000807A0000}"/>
    <cellStyle name="Normal 57 3 2 3 2 2 3 2" xfId="13486" xr:uid="{00000000-0005-0000-0000-0000817A0000}"/>
    <cellStyle name="Normal 57 3 2 3 2 2 3 2 2" xfId="23737" xr:uid="{00000000-0005-0000-0000-0000827A0000}"/>
    <cellStyle name="Normal 57 3 2 3 2 2 3 2 2 2" xfId="49290" xr:uid="{00000000-0005-0000-0000-0000837A0000}"/>
    <cellStyle name="Normal 57 3 2 3 2 2 3 2 3" xfId="39041" xr:uid="{00000000-0005-0000-0000-0000847A0000}"/>
    <cellStyle name="Normal 57 3 2 3 2 2 3 3" xfId="9907" xr:uid="{00000000-0005-0000-0000-0000857A0000}"/>
    <cellStyle name="Normal 57 3 2 3 2 2 3 3 2" xfId="35464" xr:uid="{00000000-0005-0000-0000-0000867A0000}"/>
    <cellStyle name="Normal 57 3 2 3 2 2 3 4" xfId="18730" xr:uid="{00000000-0005-0000-0000-0000877A0000}"/>
    <cellStyle name="Normal 57 3 2 3 2 2 3 4 2" xfId="44283" xr:uid="{00000000-0005-0000-0000-0000887A0000}"/>
    <cellStyle name="Normal 57 3 2 3 2 2 3 5" xfId="30220" xr:uid="{00000000-0005-0000-0000-0000897A0000}"/>
    <cellStyle name="Normal 57 3 2 3 2 2 4" xfId="2428" xr:uid="{00000000-0005-0000-0000-00008A7A0000}"/>
    <cellStyle name="Normal 57 3 2 3 2 2 4 2" xfId="11793" xr:uid="{00000000-0005-0000-0000-00008B7A0000}"/>
    <cellStyle name="Normal 57 3 2 3 2 2 4 2 2" xfId="37348" xr:uid="{00000000-0005-0000-0000-00008C7A0000}"/>
    <cellStyle name="Normal 57 3 2 3 2 2 4 3" xfId="21797" xr:uid="{00000000-0005-0000-0000-00008D7A0000}"/>
    <cellStyle name="Normal 57 3 2 3 2 2 4 3 2" xfId="47350" xr:uid="{00000000-0005-0000-0000-00008E7A0000}"/>
    <cellStyle name="Normal 57 3 2 3 2 2 4 4" xfId="28280" xr:uid="{00000000-0005-0000-0000-00008F7A0000}"/>
    <cellStyle name="Normal 57 3 2 3 2 2 5" xfId="6104" xr:uid="{00000000-0005-0000-0000-0000907A0000}"/>
    <cellStyle name="Normal 57 3 2 3 2 2 5 2" xfId="14931" xr:uid="{00000000-0005-0000-0000-0000917A0000}"/>
    <cellStyle name="Normal 57 3 2 3 2 2 5 2 2" xfId="40486" xr:uid="{00000000-0005-0000-0000-0000927A0000}"/>
    <cellStyle name="Normal 57 3 2 3 2 2 5 3" xfId="25182" xr:uid="{00000000-0005-0000-0000-0000937A0000}"/>
    <cellStyle name="Normal 57 3 2 3 2 2 5 3 2" xfId="50735" xr:uid="{00000000-0005-0000-0000-0000947A0000}"/>
    <cellStyle name="Normal 57 3 2 3 2 2 5 4" xfId="31665" xr:uid="{00000000-0005-0000-0000-0000957A0000}"/>
    <cellStyle name="Normal 57 3 2 3 2 2 6" xfId="7549" xr:uid="{00000000-0005-0000-0000-0000967A0000}"/>
    <cellStyle name="Normal 57 3 2 3 2 2 6 2" xfId="20279" xr:uid="{00000000-0005-0000-0000-0000977A0000}"/>
    <cellStyle name="Normal 57 3 2 3 2 2 6 2 2" xfId="45832" xr:uid="{00000000-0005-0000-0000-0000987A0000}"/>
    <cellStyle name="Normal 57 3 2 3 2 2 6 3" xfId="33106" xr:uid="{00000000-0005-0000-0000-0000997A0000}"/>
    <cellStyle name="Normal 57 3 2 3 2 2 7" xfId="16790" xr:uid="{00000000-0005-0000-0000-00009A7A0000}"/>
    <cellStyle name="Normal 57 3 2 3 2 2 7 2" xfId="42343" xr:uid="{00000000-0005-0000-0000-00009B7A0000}"/>
    <cellStyle name="Normal 57 3 2 3 2 2 8" xfId="26762" xr:uid="{00000000-0005-0000-0000-00009C7A0000}"/>
    <cellStyle name="Normal 57 3 2 3 2 3" xfId="1359" xr:uid="{00000000-0005-0000-0000-00009D7A0000}"/>
    <cellStyle name="Normal 57 3 2 3 2 3 2" xfId="3788" xr:uid="{00000000-0005-0000-0000-00009E7A0000}"/>
    <cellStyle name="Normal 57 3 2 3 2 3 2 2" xfId="12924" xr:uid="{00000000-0005-0000-0000-00009F7A0000}"/>
    <cellStyle name="Normal 57 3 2 3 2 3 2 2 2" xfId="23143" xr:uid="{00000000-0005-0000-0000-0000A07A0000}"/>
    <cellStyle name="Normal 57 3 2 3 2 3 2 2 2 2" xfId="48696" xr:uid="{00000000-0005-0000-0000-0000A17A0000}"/>
    <cellStyle name="Normal 57 3 2 3 2 3 2 2 3" xfId="38479" xr:uid="{00000000-0005-0000-0000-0000A27A0000}"/>
    <cellStyle name="Normal 57 3 2 3 2 3 2 3" xfId="9345" xr:uid="{00000000-0005-0000-0000-0000A37A0000}"/>
    <cellStyle name="Normal 57 3 2 3 2 3 2 3 2" xfId="34902" xr:uid="{00000000-0005-0000-0000-0000A47A0000}"/>
    <cellStyle name="Normal 57 3 2 3 2 3 2 4" xfId="18136" xr:uid="{00000000-0005-0000-0000-0000A57A0000}"/>
    <cellStyle name="Normal 57 3 2 3 2 3 2 4 2" xfId="43689" xr:uid="{00000000-0005-0000-0000-0000A67A0000}"/>
    <cellStyle name="Normal 57 3 2 3 2 3 2 5" xfId="29626" xr:uid="{00000000-0005-0000-0000-0000A77A0000}"/>
    <cellStyle name="Normal 57 3 2 3 2 3 3" xfId="4997" xr:uid="{00000000-0005-0000-0000-0000A87A0000}"/>
    <cellStyle name="Normal 57 3 2 3 2 3 3 2" xfId="13834" xr:uid="{00000000-0005-0000-0000-0000A97A0000}"/>
    <cellStyle name="Normal 57 3 2 3 2 3 3 2 2" xfId="24085" xr:uid="{00000000-0005-0000-0000-0000AA7A0000}"/>
    <cellStyle name="Normal 57 3 2 3 2 3 3 2 2 2" xfId="49638" xr:uid="{00000000-0005-0000-0000-0000AB7A0000}"/>
    <cellStyle name="Normal 57 3 2 3 2 3 3 2 3" xfId="39389" xr:uid="{00000000-0005-0000-0000-0000AC7A0000}"/>
    <cellStyle name="Normal 57 3 2 3 2 3 3 3" xfId="10255" xr:uid="{00000000-0005-0000-0000-0000AD7A0000}"/>
    <cellStyle name="Normal 57 3 2 3 2 3 3 3 2" xfId="35812" xr:uid="{00000000-0005-0000-0000-0000AE7A0000}"/>
    <cellStyle name="Normal 57 3 2 3 2 3 3 4" xfId="19078" xr:uid="{00000000-0005-0000-0000-0000AF7A0000}"/>
    <cellStyle name="Normal 57 3 2 3 2 3 3 4 2" xfId="44631" xr:uid="{00000000-0005-0000-0000-0000B07A0000}"/>
    <cellStyle name="Normal 57 3 2 3 2 3 3 5" xfId="30568" xr:uid="{00000000-0005-0000-0000-0000B17A0000}"/>
    <cellStyle name="Normal 57 3 2 3 2 3 4" xfId="2182" xr:uid="{00000000-0005-0000-0000-0000B27A0000}"/>
    <cellStyle name="Normal 57 3 2 3 2 3 4 2" xfId="11547" xr:uid="{00000000-0005-0000-0000-0000B37A0000}"/>
    <cellStyle name="Normal 57 3 2 3 2 3 4 2 2" xfId="37102" xr:uid="{00000000-0005-0000-0000-0000B47A0000}"/>
    <cellStyle name="Normal 57 3 2 3 2 3 4 3" xfId="21551" xr:uid="{00000000-0005-0000-0000-0000B57A0000}"/>
    <cellStyle name="Normal 57 3 2 3 2 3 4 3 2" xfId="47104" xr:uid="{00000000-0005-0000-0000-0000B67A0000}"/>
    <cellStyle name="Normal 57 3 2 3 2 3 4 4" xfId="28034" xr:uid="{00000000-0005-0000-0000-0000B77A0000}"/>
    <cellStyle name="Normal 57 3 2 3 2 3 5" xfId="6452" xr:uid="{00000000-0005-0000-0000-0000B87A0000}"/>
    <cellStyle name="Normal 57 3 2 3 2 3 5 2" xfId="15279" xr:uid="{00000000-0005-0000-0000-0000B97A0000}"/>
    <cellStyle name="Normal 57 3 2 3 2 3 5 2 2" xfId="40834" xr:uid="{00000000-0005-0000-0000-0000BA7A0000}"/>
    <cellStyle name="Normal 57 3 2 3 2 3 5 3" xfId="25530" xr:uid="{00000000-0005-0000-0000-0000BB7A0000}"/>
    <cellStyle name="Normal 57 3 2 3 2 3 5 3 2" xfId="51083" xr:uid="{00000000-0005-0000-0000-0000BC7A0000}"/>
    <cellStyle name="Normal 57 3 2 3 2 3 5 4" xfId="32013" xr:uid="{00000000-0005-0000-0000-0000BD7A0000}"/>
    <cellStyle name="Normal 57 3 2 3 2 3 6" xfId="7898" xr:uid="{00000000-0005-0000-0000-0000BE7A0000}"/>
    <cellStyle name="Normal 57 3 2 3 2 3 6 2" xfId="20742" xr:uid="{00000000-0005-0000-0000-0000BF7A0000}"/>
    <cellStyle name="Normal 57 3 2 3 2 3 6 2 2" xfId="46295" xr:uid="{00000000-0005-0000-0000-0000C07A0000}"/>
    <cellStyle name="Normal 57 3 2 3 2 3 6 3" xfId="33455" xr:uid="{00000000-0005-0000-0000-0000C17A0000}"/>
    <cellStyle name="Normal 57 3 2 3 2 3 7" xfId="16544" xr:uid="{00000000-0005-0000-0000-0000C27A0000}"/>
    <cellStyle name="Normal 57 3 2 3 2 3 7 2" xfId="42097" xr:uid="{00000000-0005-0000-0000-0000C37A0000}"/>
    <cellStyle name="Normal 57 3 2 3 2 3 8" xfId="27225" xr:uid="{00000000-0005-0000-0000-0000C47A0000}"/>
    <cellStyle name="Normal 57 3 2 3 2 4" xfId="3073" xr:uid="{00000000-0005-0000-0000-0000C57A0000}"/>
    <cellStyle name="Normal 57 3 2 3 2 4 2" xfId="5451" xr:uid="{00000000-0005-0000-0000-0000C67A0000}"/>
    <cellStyle name="Normal 57 3 2 3 2 4 2 2" xfId="14288" xr:uid="{00000000-0005-0000-0000-0000C77A0000}"/>
    <cellStyle name="Normal 57 3 2 3 2 4 2 2 2" xfId="24539" xr:uid="{00000000-0005-0000-0000-0000C87A0000}"/>
    <cellStyle name="Normal 57 3 2 3 2 4 2 2 2 2" xfId="50092" xr:uid="{00000000-0005-0000-0000-0000C97A0000}"/>
    <cellStyle name="Normal 57 3 2 3 2 4 2 2 3" xfId="39843" xr:uid="{00000000-0005-0000-0000-0000CA7A0000}"/>
    <cellStyle name="Normal 57 3 2 3 2 4 2 3" xfId="10709" xr:uid="{00000000-0005-0000-0000-0000CB7A0000}"/>
    <cellStyle name="Normal 57 3 2 3 2 4 2 3 2" xfId="36266" xr:uid="{00000000-0005-0000-0000-0000CC7A0000}"/>
    <cellStyle name="Normal 57 3 2 3 2 4 2 4" xfId="19532" xr:uid="{00000000-0005-0000-0000-0000CD7A0000}"/>
    <cellStyle name="Normal 57 3 2 3 2 4 2 4 2" xfId="45085" xr:uid="{00000000-0005-0000-0000-0000CE7A0000}"/>
    <cellStyle name="Normal 57 3 2 3 2 4 2 5" xfId="31022" xr:uid="{00000000-0005-0000-0000-0000CF7A0000}"/>
    <cellStyle name="Normal 57 3 2 3 2 4 3" xfId="6906" xr:uid="{00000000-0005-0000-0000-0000D07A0000}"/>
    <cellStyle name="Normal 57 3 2 3 2 4 3 2" xfId="15733" xr:uid="{00000000-0005-0000-0000-0000D17A0000}"/>
    <cellStyle name="Normal 57 3 2 3 2 4 3 2 2" xfId="41288" xr:uid="{00000000-0005-0000-0000-0000D27A0000}"/>
    <cellStyle name="Normal 57 3 2 3 2 4 3 3" xfId="25984" xr:uid="{00000000-0005-0000-0000-0000D37A0000}"/>
    <cellStyle name="Normal 57 3 2 3 2 4 3 3 2" xfId="51537" xr:uid="{00000000-0005-0000-0000-0000D47A0000}"/>
    <cellStyle name="Normal 57 3 2 3 2 4 3 4" xfId="32467" xr:uid="{00000000-0005-0000-0000-0000D57A0000}"/>
    <cellStyle name="Normal 57 3 2 3 2 4 4" xfId="8352" xr:uid="{00000000-0005-0000-0000-0000D67A0000}"/>
    <cellStyle name="Normal 57 3 2 3 2 4 4 2" xfId="22434" xr:uid="{00000000-0005-0000-0000-0000D77A0000}"/>
    <cellStyle name="Normal 57 3 2 3 2 4 4 2 2" xfId="47987" xr:uid="{00000000-0005-0000-0000-0000D87A0000}"/>
    <cellStyle name="Normal 57 3 2 3 2 4 4 3" xfId="33909" xr:uid="{00000000-0005-0000-0000-0000D97A0000}"/>
    <cellStyle name="Normal 57 3 2 3 2 4 5" xfId="17427" xr:uid="{00000000-0005-0000-0000-0000DA7A0000}"/>
    <cellStyle name="Normal 57 3 2 3 2 4 5 2" xfId="42980" xr:uid="{00000000-0005-0000-0000-0000DB7A0000}"/>
    <cellStyle name="Normal 57 3 2 3 2 4 6" xfId="28917" xr:uid="{00000000-0005-0000-0000-0000DC7A0000}"/>
    <cellStyle name="Normal 57 3 2 3 2 5" xfId="4407" xr:uid="{00000000-0005-0000-0000-0000DD7A0000}"/>
    <cellStyle name="Normal 57 3 2 3 2 5 2" xfId="13245" xr:uid="{00000000-0005-0000-0000-0000DE7A0000}"/>
    <cellStyle name="Normal 57 3 2 3 2 5 2 2" xfId="23496" xr:uid="{00000000-0005-0000-0000-0000DF7A0000}"/>
    <cellStyle name="Normal 57 3 2 3 2 5 2 2 2" xfId="49049" xr:uid="{00000000-0005-0000-0000-0000E07A0000}"/>
    <cellStyle name="Normal 57 3 2 3 2 5 2 3" xfId="38800" xr:uid="{00000000-0005-0000-0000-0000E17A0000}"/>
    <cellStyle name="Normal 57 3 2 3 2 5 3" xfId="9666" xr:uid="{00000000-0005-0000-0000-0000E27A0000}"/>
    <cellStyle name="Normal 57 3 2 3 2 5 3 2" xfId="35223" xr:uid="{00000000-0005-0000-0000-0000E37A0000}"/>
    <cellStyle name="Normal 57 3 2 3 2 5 4" xfId="18489" xr:uid="{00000000-0005-0000-0000-0000E47A0000}"/>
    <cellStyle name="Normal 57 3 2 3 2 5 4 2" xfId="44042" xr:uid="{00000000-0005-0000-0000-0000E57A0000}"/>
    <cellStyle name="Normal 57 3 2 3 2 5 5" xfId="29979" xr:uid="{00000000-0005-0000-0000-0000E67A0000}"/>
    <cellStyle name="Normal 57 3 2 3 2 6" xfId="1679" xr:uid="{00000000-0005-0000-0000-0000E77A0000}"/>
    <cellStyle name="Normal 57 3 2 3 2 6 2" xfId="11056" xr:uid="{00000000-0005-0000-0000-0000E87A0000}"/>
    <cellStyle name="Normal 57 3 2 3 2 6 2 2" xfId="36611" xr:uid="{00000000-0005-0000-0000-0000E97A0000}"/>
    <cellStyle name="Normal 57 3 2 3 2 6 3" xfId="21060" xr:uid="{00000000-0005-0000-0000-0000EA7A0000}"/>
    <cellStyle name="Normal 57 3 2 3 2 6 3 2" xfId="46613" xr:uid="{00000000-0005-0000-0000-0000EB7A0000}"/>
    <cellStyle name="Normal 57 3 2 3 2 6 4" xfId="27543" xr:uid="{00000000-0005-0000-0000-0000EC7A0000}"/>
    <cellStyle name="Normal 57 3 2 3 2 7" xfId="5863" xr:uid="{00000000-0005-0000-0000-0000ED7A0000}"/>
    <cellStyle name="Normal 57 3 2 3 2 7 2" xfId="14690" xr:uid="{00000000-0005-0000-0000-0000EE7A0000}"/>
    <cellStyle name="Normal 57 3 2 3 2 7 2 2" xfId="40245" xr:uid="{00000000-0005-0000-0000-0000EF7A0000}"/>
    <cellStyle name="Normal 57 3 2 3 2 7 3" xfId="24941" xr:uid="{00000000-0005-0000-0000-0000F07A0000}"/>
    <cellStyle name="Normal 57 3 2 3 2 7 3 2" xfId="50494" xr:uid="{00000000-0005-0000-0000-0000F17A0000}"/>
    <cellStyle name="Normal 57 3 2 3 2 7 4" xfId="31424" xr:uid="{00000000-0005-0000-0000-0000F27A0000}"/>
    <cellStyle name="Normal 57 3 2 3 2 8" xfId="7307" xr:uid="{00000000-0005-0000-0000-0000F37A0000}"/>
    <cellStyle name="Normal 57 3 2 3 2 8 2" xfId="20033" xr:uid="{00000000-0005-0000-0000-0000F47A0000}"/>
    <cellStyle name="Normal 57 3 2 3 2 8 2 2" xfId="45586" xr:uid="{00000000-0005-0000-0000-0000F57A0000}"/>
    <cellStyle name="Normal 57 3 2 3 2 8 3" xfId="32864" xr:uid="{00000000-0005-0000-0000-0000F67A0000}"/>
    <cellStyle name="Normal 57 3 2 3 2 9" xfId="16053" xr:uid="{00000000-0005-0000-0000-0000F77A0000}"/>
    <cellStyle name="Normal 57 3 2 3 2 9 2" xfId="41606" xr:uid="{00000000-0005-0000-0000-0000F87A0000}"/>
    <cellStyle name="Normal 57 3 2 3 2_Degree data" xfId="3940" xr:uid="{00000000-0005-0000-0000-0000F97A0000}"/>
    <cellStyle name="Normal 57 3 2 3 3" xfId="383" xr:uid="{00000000-0005-0000-0000-0000FA7A0000}"/>
    <cellStyle name="Normal 57 3 2 3 3 2" xfId="2869" xr:uid="{00000000-0005-0000-0000-0000FB7A0000}"/>
    <cellStyle name="Normal 57 3 2 3 3 2 2" xfId="12157" xr:uid="{00000000-0005-0000-0000-0000FC7A0000}"/>
    <cellStyle name="Normal 57 3 2 3 3 2 2 2" xfId="22230" xr:uid="{00000000-0005-0000-0000-0000FD7A0000}"/>
    <cellStyle name="Normal 57 3 2 3 3 2 2 2 2" xfId="47783" xr:uid="{00000000-0005-0000-0000-0000FE7A0000}"/>
    <cellStyle name="Normal 57 3 2 3 3 2 2 3" xfId="37712" xr:uid="{00000000-0005-0000-0000-0000FF7A0000}"/>
    <cellStyle name="Normal 57 3 2 3 3 2 3" xfId="8521" xr:uid="{00000000-0005-0000-0000-0000007B0000}"/>
    <cellStyle name="Normal 57 3 2 3 3 2 3 2" xfId="34078" xr:uid="{00000000-0005-0000-0000-0000017B0000}"/>
    <cellStyle name="Normal 57 3 2 3 3 2 4" xfId="17223" xr:uid="{00000000-0005-0000-0000-0000027B0000}"/>
    <cellStyle name="Normal 57 3 2 3 3 2 4 2" xfId="42776" xr:uid="{00000000-0005-0000-0000-0000037B0000}"/>
    <cellStyle name="Normal 57 3 2 3 3 2 5" xfId="28713" xr:uid="{00000000-0005-0000-0000-0000047B0000}"/>
    <cellStyle name="Normal 57 3 2 3 3 3" xfId="4647" xr:uid="{00000000-0005-0000-0000-0000057B0000}"/>
    <cellStyle name="Normal 57 3 2 3 3 3 2" xfId="13485" xr:uid="{00000000-0005-0000-0000-0000067B0000}"/>
    <cellStyle name="Normal 57 3 2 3 3 3 2 2" xfId="23736" xr:uid="{00000000-0005-0000-0000-0000077B0000}"/>
    <cellStyle name="Normal 57 3 2 3 3 3 2 2 2" xfId="49289" xr:uid="{00000000-0005-0000-0000-0000087B0000}"/>
    <cellStyle name="Normal 57 3 2 3 3 3 2 3" xfId="39040" xr:uid="{00000000-0005-0000-0000-0000097B0000}"/>
    <cellStyle name="Normal 57 3 2 3 3 3 3" xfId="9906" xr:uid="{00000000-0005-0000-0000-00000A7B0000}"/>
    <cellStyle name="Normal 57 3 2 3 3 3 3 2" xfId="35463" xr:uid="{00000000-0005-0000-0000-00000B7B0000}"/>
    <cellStyle name="Normal 57 3 2 3 3 3 4" xfId="18729" xr:uid="{00000000-0005-0000-0000-00000C7B0000}"/>
    <cellStyle name="Normal 57 3 2 3 3 3 4 2" xfId="44282" xr:uid="{00000000-0005-0000-0000-00000D7B0000}"/>
    <cellStyle name="Normal 57 3 2 3 3 3 5" xfId="30219" xr:uid="{00000000-0005-0000-0000-00000E7B0000}"/>
    <cellStyle name="Normal 57 3 2 3 3 4" xfId="1978" xr:uid="{00000000-0005-0000-0000-00000F7B0000}"/>
    <cellStyle name="Normal 57 3 2 3 3 4 2" xfId="11343" xr:uid="{00000000-0005-0000-0000-0000107B0000}"/>
    <cellStyle name="Normal 57 3 2 3 3 4 2 2" xfId="36898" xr:uid="{00000000-0005-0000-0000-0000117B0000}"/>
    <cellStyle name="Normal 57 3 2 3 3 4 3" xfId="21347" xr:uid="{00000000-0005-0000-0000-0000127B0000}"/>
    <cellStyle name="Normal 57 3 2 3 3 4 3 2" xfId="46900" xr:uid="{00000000-0005-0000-0000-0000137B0000}"/>
    <cellStyle name="Normal 57 3 2 3 3 4 4" xfId="27830" xr:uid="{00000000-0005-0000-0000-0000147B0000}"/>
    <cellStyle name="Normal 57 3 2 3 3 5" xfId="6103" xr:uid="{00000000-0005-0000-0000-0000157B0000}"/>
    <cellStyle name="Normal 57 3 2 3 3 5 2" xfId="14930" xr:uid="{00000000-0005-0000-0000-0000167B0000}"/>
    <cellStyle name="Normal 57 3 2 3 3 5 2 2" xfId="40485" xr:uid="{00000000-0005-0000-0000-0000177B0000}"/>
    <cellStyle name="Normal 57 3 2 3 3 5 3" xfId="25181" xr:uid="{00000000-0005-0000-0000-0000187B0000}"/>
    <cellStyle name="Normal 57 3 2 3 3 5 3 2" xfId="50734" xr:uid="{00000000-0005-0000-0000-0000197B0000}"/>
    <cellStyle name="Normal 57 3 2 3 3 5 4" xfId="31664" xr:uid="{00000000-0005-0000-0000-00001A7B0000}"/>
    <cellStyle name="Normal 57 3 2 3 3 6" xfId="7548" xr:uid="{00000000-0005-0000-0000-00001B7B0000}"/>
    <cellStyle name="Normal 57 3 2 3 3 6 2" xfId="19829" xr:uid="{00000000-0005-0000-0000-00001C7B0000}"/>
    <cellStyle name="Normal 57 3 2 3 3 6 2 2" xfId="45382" xr:uid="{00000000-0005-0000-0000-00001D7B0000}"/>
    <cellStyle name="Normal 57 3 2 3 3 6 3" xfId="33105" xr:uid="{00000000-0005-0000-0000-00001E7B0000}"/>
    <cellStyle name="Normal 57 3 2 3 3 7" xfId="16340" xr:uid="{00000000-0005-0000-0000-00001F7B0000}"/>
    <cellStyle name="Normal 57 3 2 3 3 7 2" xfId="41893" xr:uid="{00000000-0005-0000-0000-0000207B0000}"/>
    <cellStyle name="Normal 57 3 2 3 3 8" xfId="26312" xr:uid="{00000000-0005-0000-0000-0000217B0000}"/>
    <cellStyle name="Normal 57 3 2 3 4" xfId="833" xr:uid="{00000000-0005-0000-0000-0000227B0000}"/>
    <cellStyle name="Normal 57 3 2 3 4 2" xfId="3318" xr:uid="{00000000-0005-0000-0000-0000237B0000}"/>
    <cellStyle name="Normal 57 3 2 3 4 2 2" xfId="12460" xr:uid="{00000000-0005-0000-0000-0000247B0000}"/>
    <cellStyle name="Normal 57 3 2 3 4 2 2 2" xfId="22679" xr:uid="{00000000-0005-0000-0000-0000257B0000}"/>
    <cellStyle name="Normal 57 3 2 3 4 2 2 2 2" xfId="48232" xr:uid="{00000000-0005-0000-0000-0000267B0000}"/>
    <cellStyle name="Normal 57 3 2 3 4 2 2 3" xfId="38015" xr:uid="{00000000-0005-0000-0000-0000277B0000}"/>
    <cellStyle name="Normal 57 3 2 3 4 2 3" xfId="8882" xr:uid="{00000000-0005-0000-0000-0000287B0000}"/>
    <cellStyle name="Normal 57 3 2 3 4 2 3 2" xfId="34439" xr:uid="{00000000-0005-0000-0000-0000297B0000}"/>
    <cellStyle name="Normal 57 3 2 3 4 2 4" xfId="17672" xr:uid="{00000000-0005-0000-0000-00002A7B0000}"/>
    <cellStyle name="Normal 57 3 2 3 4 2 4 2" xfId="43225" xr:uid="{00000000-0005-0000-0000-00002B7B0000}"/>
    <cellStyle name="Normal 57 3 2 3 4 2 5" xfId="29162" xr:uid="{00000000-0005-0000-0000-00002C7B0000}"/>
    <cellStyle name="Normal 57 3 2 3 4 3" xfId="4996" xr:uid="{00000000-0005-0000-0000-00002D7B0000}"/>
    <cellStyle name="Normal 57 3 2 3 4 3 2" xfId="13833" xr:uid="{00000000-0005-0000-0000-00002E7B0000}"/>
    <cellStyle name="Normal 57 3 2 3 4 3 2 2" xfId="24084" xr:uid="{00000000-0005-0000-0000-00002F7B0000}"/>
    <cellStyle name="Normal 57 3 2 3 4 3 2 2 2" xfId="49637" xr:uid="{00000000-0005-0000-0000-0000307B0000}"/>
    <cellStyle name="Normal 57 3 2 3 4 3 2 3" xfId="39388" xr:uid="{00000000-0005-0000-0000-0000317B0000}"/>
    <cellStyle name="Normal 57 3 2 3 4 3 3" xfId="10254" xr:uid="{00000000-0005-0000-0000-0000327B0000}"/>
    <cellStyle name="Normal 57 3 2 3 4 3 3 2" xfId="35811" xr:uid="{00000000-0005-0000-0000-0000337B0000}"/>
    <cellStyle name="Normal 57 3 2 3 4 3 4" xfId="19077" xr:uid="{00000000-0005-0000-0000-0000347B0000}"/>
    <cellStyle name="Normal 57 3 2 3 4 3 4 2" xfId="44630" xr:uid="{00000000-0005-0000-0000-0000357B0000}"/>
    <cellStyle name="Normal 57 3 2 3 4 3 5" xfId="30567" xr:uid="{00000000-0005-0000-0000-0000367B0000}"/>
    <cellStyle name="Normal 57 3 2 3 4 4" xfId="2427" xr:uid="{00000000-0005-0000-0000-0000377B0000}"/>
    <cellStyle name="Normal 57 3 2 3 4 4 2" xfId="11792" xr:uid="{00000000-0005-0000-0000-0000387B0000}"/>
    <cellStyle name="Normal 57 3 2 3 4 4 2 2" xfId="37347" xr:uid="{00000000-0005-0000-0000-0000397B0000}"/>
    <cellStyle name="Normal 57 3 2 3 4 4 3" xfId="21796" xr:uid="{00000000-0005-0000-0000-00003A7B0000}"/>
    <cellStyle name="Normal 57 3 2 3 4 4 3 2" xfId="47349" xr:uid="{00000000-0005-0000-0000-00003B7B0000}"/>
    <cellStyle name="Normal 57 3 2 3 4 4 4" xfId="28279" xr:uid="{00000000-0005-0000-0000-00003C7B0000}"/>
    <cellStyle name="Normal 57 3 2 3 4 5" xfId="6451" xr:uid="{00000000-0005-0000-0000-00003D7B0000}"/>
    <cellStyle name="Normal 57 3 2 3 4 5 2" xfId="15278" xr:uid="{00000000-0005-0000-0000-00003E7B0000}"/>
    <cellStyle name="Normal 57 3 2 3 4 5 2 2" xfId="40833" xr:uid="{00000000-0005-0000-0000-00003F7B0000}"/>
    <cellStyle name="Normal 57 3 2 3 4 5 3" xfId="25529" xr:uid="{00000000-0005-0000-0000-0000407B0000}"/>
    <cellStyle name="Normal 57 3 2 3 4 5 3 2" xfId="51082" xr:uid="{00000000-0005-0000-0000-0000417B0000}"/>
    <cellStyle name="Normal 57 3 2 3 4 5 4" xfId="32012" xr:uid="{00000000-0005-0000-0000-0000427B0000}"/>
    <cellStyle name="Normal 57 3 2 3 4 6" xfId="7897" xr:uid="{00000000-0005-0000-0000-0000437B0000}"/>
    <cellStyle name="Normal 57 3 2 3 4 6 2" xfId="20278" xr:uid="{00000000-0005-0000-0000-0000447B0000}"/>
    <cellStyle name="Normal 57 3 2 3 4 6 2 2" xfId="45831" xr:uid="{00000000-0005-0000-0000-0000457B0000}"/>
    <cellStyle name="Normal 57 3 2 3 4 6 3" xfId="33454" xr:uid="{00000000-0005-0000-0000-0000467B0000}"/>
    <cellStyle name="Normal 57 3 2 3 4 7" xfId="16789" xr:uid="{00000000-0005-0000-0000-0000477B0000}"/>
    <cellStyle name="Normal 57 3 2 3 4 7 2" xfId="42342" xr:uid="{00000000-0005-0000-0000-0000487B0000}"/>
    <cellStyle name="Normal 57 3 2 3 4 8" xfId="26761" xr:uid="{00000000-0005-0000-0000-0000497B0000}"/>
    <cellStyle name="Normal 57 3 2 3 5" xfId="1155" xr:uid="{00000000-0005-0000-0000-00004A7B0000}"/>
    <cellStyle name="Normal 57 3 2 3 5 2" xfId="3584" xr:uid="{00000000-0005-0000-0000-00004B7B0000}"/>
    <cellStyle name="Normal 57 3 2 3 5 2 2" xfId="12720" xr:uid="{00000000-0005-0000-0000-00004C7B0000}"/>
    <cellStyle name="Normal 57 3 2 3 5 2 2 2" xfId="22939" xr:uid="{00000000-0005-0000-0000-00004D7B0000}"/>
    <cellStyle name="Normal 57 3 2 3 5 2 2 2 2" xfId="48492" xr:uid="{00000000-0005-0000-0000-00004E7B0000}"/>
    <cellStyle name="Normal 57 3 2 3 5 2 2 3" xfId="38275" xr:uid="{00000000-0005-0000-0000-00004F7B0000}"/>
    <cellStyle name="Normal 57 3 2 3 5 2 3" xfId="9141" xr:uid="{00000000-0005-0000-0000-0000507B0000}"/>
    <cellStyle name="Normal 57 3 2 3 5 2 3 2" xfId="34698" xr:uid="{00000000-0005-0000-0000-0000517B0000}"/>
    <cellStyle name="Normal 57 3 2 3 5 2 4" xfId="17932" xr:uid="{00000000-0005-0000-0000-0000527B0000}"/>
    <cellStyle name="Normal 57 3 2 3 5 2 4 2" xfId="43485" xr:uid="{00000000-0005-0000-0000-0000537B0000}"/>
    <cellStyle name="Normal 57 3 2 3 5 2 5" xfId="29422" xr:uid="{00000000-0005-0000-0000-0000547B0000}"/>
    <cellStyle name="Normal 57 3 2 3 5 3" xfId="5247" xr:uid="{00000000-0005-0000-0000-0000557B0000}"/>
    <cellStyle name="Normal 57 3 2 3 5 3 2" xfId="14084" xr:uid="{00000000-0005-0000-0000-0000567B0000}"/>
    <cellStyle name="Normal 57 3 2 3 5 3 2 2" xfId="24335" xr:uid="{00000000-0005-0000-0000-0000577B0000}"/>
    <cellStyle name="Normal 57 3 2 3 5 3 2 2 2" xfId="49888" xr:uid="{00000000-0005-0000-0000-0000587B0000}"/>
    <cellStyle name="Normal 57 3 2 3 5 3 2 3" xfId="39639" xr:uid="{00000000-0005-0000-0000-0000597B0000}"/>
    <cellStyle name="Normal 57 3 2 3 5 3 3" xfId="10505" xr:uid="{00000000-0005-0000-0000-00005A7B0000}"/>
    <cellStyle name="Normal 57 3 2 3 5 3 3 2" xfId="36062" xr:uid="{00000000-0005-0000-0000-00005B7B0000}"/>
    <cellStyle name="Normal 57 3 2 3 5 3 4" xfId="19328" xr:uid="{00000000-0005-0000-0000-00005C7B0000}"/>
    <cellStyle name="Normal 57 3 2 3 5 3 4 2" xfId="44881" xr:uid="{00000000-0005-0000-0000-00005D7B0000}"/>
    <cellStyle name="Normal 57 3 2 3 5 3 5" xfId="30818" xr:uid="{00000000-0005-0000-0000-00005E7B0000}"/>
    <cellStyle name="Normal 57 3 2 3 5 4" xfId="1862" xr:uid="{00000000-0005-0000-0000-00005F7B0000}"/>
    <cellStyle name="Normal 57 3 2 3 5 4 2" xfId="11230" xr:uid="{00000000-0005-0000-0000-0000607B0000}"/>
    <cellStyle name="Normal 57 3 2 3 5 4 2 2" xfId="36785" xr:uid="{00000000-0005-0000-0000-0000617B0000}"/>
    <cellStyle name="Normal 57 3 2 3 5 4 3" xfId="21234" xr:uid="{00000000-0005-0000-0000-0000627B0000}"/>
    <cellStyle name="Normal 57 3 2 3 5 4 3 2" xfId="46787" xr:uid="{00000000-0005-0000-0000-0000637B0000}"/>
    <cellStyle name="Normal 57 3 2 3 5 4 4" xfId="27717" xr:uid="{00000000-0005-0000-0000-0000647B0000}"/>
    <cellStyle name="Normal 57 3 2 3 5 5" xfId="6702" xr:uid="{00000000-0005-0000-0000-0000657B0000}"/>
    <cellStyle name="Normal 57 3 2 3 5 5 2" xfId="15529" xr:uid="{00000000-0005-0000-0000-0000667B0000}"/>
    <cellStyle name="Normal 57 3 2 3 5 5 2 2" xfId="41084" xr:uid="{00000000-0005-0000-0000-0000677B0000}"/>
    <cellStyle name="Normal 57 3 2 3 5 5 3" xfId="25780" xr:uid="{00000000-0005-0000-0000-0000687B0000}"/>
    <cellStyle name="Normal 57 3 2 3 5 5 3 2" xfId="51333" xr:uid="{00000000-0005-0000-0000-0000697B0000}"/>
    <cellStyle name="Normal 57 3 2 3 5 5 4" xfId="32263" xr:uid="{00000000-0005-0000-0000-00006A7B0000}"/>
    <cellStyle name="Normal 57 3 2 3 5 6" xfId="8148" xr:uid="{00000000-0005-0000-0000-00006B7B0000}"/>
    <cellStyle name="Normal 57 3 2 3 5 6 2" xfId="20538" xr:uid="{00000000-0005-0000-0000-00006C7B0000}"/>
    <cellStyle name="Normal 57 3 2 3 5 6 2 2" xfId="46091" xr:uid="{00000000-0005-0000-0000-00006D7B0000}"/>
    <cellStyle name="Normal 57 3 2 3 5 6 3" xfId="33705" xr:uid="{00000000-0005-0000-0000-00006E7B0000}"/>
    <cellStyle name="Normal 57 3 2 3 5 7" xfId="16227" xr:uid="{00000000-0005-0000-0000-00006F7B0000}"/>
    <cellStyle name="Normal 57 3 2 3 5 7 2" xfId="41780" xr:uid="{00000000-0005-0000-0000-0000707B0000}"/>
    <cellStyle name="Normal 57 3 2 3 5 8" xfId="27021" xr:uid="{00000000-0005-0000-0000-0000717B0000}"/>
    <cellStyle name="Normal 57 3 2 3 6" xfId="2756" xr:uid="{00000000-0005-0000-0000-0000727B0000}"/>
    <cellStyle name="Normal 57 3 2 3 6 2" xfId="12073" xr:uid="{00000000-0005-0000-0000-0000737B0000}"/>
    <cellStyle name="Normal 57 3 2 3 6 2 2" xfId="22117" xr:uid="{00000000-0005-0000-0000-0000747B0000}"/>
    <cellStyle name="Normal 57 3 2 3 6 2 2 2" xfId="47670" xr:uid="{00000000-0005-0000-0000-0000757B0000}"/>
    <cellStyle name="Normal 57 3 2 3 6 2 3" xfId="37628" xr:uid="{00000000-0005-0000-0000-0000767B0000}"/>
    <cellStyle name="Normal 57 3 2 3 6 3" xfId="8609" xr:uid="{00000000-0005-0000-0000-0000777B0000}"/>
    <cellStyle name="Normal 57 3 2 3 6 3 2" xfId="34166" xr:uid="{00000000-0005-0000-0000-0000787B0000}"/>
    <cellStyle name="Normal 57 3 2 3 6 4" xfId="17110" xr:uid="{00000000-0005-0000-0000-0000797B0000}"/>
    <cellStyle name="Normal 57 3 2 3 6 4 2" xfId="42663" xr:uid="{00000000-0005-0000-0000-00007A7B0000}"/>
    <cellStyle name="Normal 57 3 2 3 6 5" xfId="28600" xr:uid="{00000000-0005-0000-0000-00007B7B0000}"/>
    <cellStyle name="Normal 57 3 2 3 7" xfId="4203" xr:uid="{00000000-0005-0000-0000-00007C7B0000}"/>
    <cellStyle name="Normal 57 3 2 3 7 2" xfId="13041" xr:uid="{00000000-0005-0000-0000-00007D7B0000}"/>
    <cellStyle name="Normal 57 3 2 3 7 2 2" xfId="23292" xr:uid="{00000000-0005-0000-0000-00007E7B0000}"/>
    <cellStyle name="Normal 57 3 2 3 7 2 2 2" xfId="48845" xr:uid="{00000000-0005-0000-0000-00007F7B0000}"/>
    <cellStyle name="Normal 57 3 2 3 7 2 3" xfId="38596" xr:uid="{00000000-0005-0000-0000-0000807B0000}"/>
    <cellStyle name="Normal 57 3 2 3 7 3" xfId="9462" xr:uid="{00000000-0005-0000-0000-0000817B0000}"/>
    <cellStyle name="Normal 57 3 2 3 7 3 2" xfId="35019" xr:uid="{00000000-0005-0000-0000-0000827B0000}"/>
    <cellStyle name="Normal 57 3 2 3 7 4" xfId="18285" xr:uid="{00000000-0005-0000-0000-0000837B0000}"/>
    <cellStyle name="Normal 57 3 2 3 7 4 2" xfId="43838" xr:uid="{00000000-0005-0000-0000-0000847B0000}"/>
    <cellStyle name="Normal 57 3 2 3 7 5" xfId="29775" xr:uid="{00000000-0005-0000-0000-0000857B0000}"/>
    <cellStyle name="Normal 57 3 2 3 8" xfId="1475" xr:uid="{00000000-0005-0000-0000-0000867B0000}"/>
    <cellStyle name="Normal 57 3 2 3 8 2" xfId="10852" xr:uid="{00000000-0005-0000-0000-0000877B0000}"/>
    <cellStyle name="Normal 57 3 2 3 8 2 2" xfId="36407" xr:uid="{00000000-0005-0000-0000-0000887B0000}"/>
    <cellStyle name="Normal 57 3 2 3 8 3" xfId="20856" xr:uid="{00000000-0005-0000-0000-0000897B0000}"/>
    <cellStyle name="Normal 57 3 2 3 8 3 2" xfId="46409" xr:uid="{00000000-0005-0000-0000-00008A7B0000}"/>
    <cellStyle name="Normal 57 3 2 3 8 4" xfId="27339" xr:uid="{00000000-0005-0000-0000-00008B7B0000}"/>
    <cellStyle name="Normal 57 3 2 3 9" xfId="5659" xr:uid="{00000000-0005-0000-0000-00008C7B0000}"/>
    <cellStyle name="Normal 57 3 2 3 9 2" xfId="14486" xr:uid="{00000000-0005-0000-0000-00008D7B0000}"/>
    <cellStyle name="Normal 57 3 2 3 9 2 2" xfId="40041" xr:uid="{00000000-0005-0000-0000-00008E7B0000}"/>
    <cellStyle name="Normal 57 3 2 3 9 3" xfId="24737" xr:uid="{00000000-0005-0000-0000-00008F7B0000}"/>
    <cellStyle name="Normal 57 3 2 3 9 3 2" xfId="50290" xr:uid="{00000000-0005-0000-0000-0000907B0000}"/>
    <cellStyle name="Normal 57 3 2 3 9 4" xfId="31220" xr:uid="{00000000-0005-0000-0000-0000917B0000}"/>
    <cellStyle name="Normal 57 3 2 3_Degree data" xfId="3939" xr:uid="{00000000-0005-0000-0000-0000927B0000}"/>
    <cellStyle name="Normal 57 3 2 4" xfId="483" xr:uid="{00000000-0005-0000-0000-0000937B0000}"/>
    <cellStyle name="Normal 57 3 2 4 10" xfId="26412" xr:uid="{00000000-0005-0000-0000-0000947B0000}"/>
    <cellStyle name="Normal 57 3 2 4 2" xfId="835" xr:uid="{00000000-0005-0000-0000-0000957B0000}"/>
    <cellStyle name="Normal 57 3 2 4 2 2" xfId="3320" xr:uid="{00000000-0005-0000-0000-0000967B0000}"/>
    <cellStyle name="Normal 57 3 2 4 2 2 2" xfId="12462" xr:uid="{00000000-0005-0000-0000-0000977B0000}"/>
    <cellStyle name="Normal 57 3 2 4 2 2 2 2" xfId="22681" xr:uid="{00000000-0005-0000-0000-0000987B0000}"/>
    <cellStyle name="Normal 57 3 2 4 2 2 2 2 2" xfId="48234" xr:uid="{00000000-0005-0000-0000-0000997B0000}"/>
    <cellStyle name="Normal 57 3 2 4 2 2 2 3" xfId="38017" xr:uid="{00000000-0005-0000-0000-00009A7B0000}"/>
    <cellStyle name="Normal 57 3 2 4 2 2 3" xfId="8884" xr:uid="{00000000-0005-0000-0000-00009B7B0000}"/>
    <cellStyle name="Normal 57 3 2 4 2 2 3 2" xfId="34441" xr:uid="{00000000-0005-0000-0000-00009C7B0000}"/>
    <cellStyle name="Normal 57 3 2 4 2 2 4" xfId="17674" xr:uid="{00000000-0005-0000-0000-00009D7B0000}"/>
    <cellStyle name="Normal 57 3 2 4 2 2 4 2" xfId="43227" xr:uid="{00000000-0005-0000-0000-00009E7B0000}"/>
    <cellStyle name="Normal 57 3 2 4 2 2 5" xfId="29164" xr:uid="{00000000-0005-0000-0000-00009F7B0000}"/>
    <cellStyle name="Normal 57 3 2 4 2 3" xfId="4649" xr:uid="{00000000-0005-0000-0000-0000A07B0000}"/>
    <cellStyle name="Normal 57 3 2 4 2 3 2" xfId="13487" xr:uid="{00000000-0005-0000-0000-0000A17B0000}"/>
    <cellStyle name="Normal 57 3 2 4 2 3 2 2" xfId="23738" xr:uid="{00000000-0005-0000-0000-0000A27B0000}"/>
    <cellStyle name="Normal 57 3 2 4 2 3 2 2 2" xfId="49291" xr:uid="{00000000-0005-0000-0000-0000A37B0000}"/>
    <cellStyle name="Normal 57 3 2 4 2 3 2 3" xfId="39042" xr:uid="{00000000-0005-0000-0000-0000A47B0000}"/>
    <cellStyle name="Normal 57 3 2 4 2 3 3" xfId="9908" xr:uid="{00000000-0005-0000-0000-0000A57B0000}"/>
    <cellStyle name="Normal 57 3 2 4 2 3 3 2" xfId="35465" xr:uid="{00000000-0005-0000-0000-0000A67B0000}"/>
    <cellStyle name="Normal 57 3 2 4 2 3 4" xfId="18731" xr:uid="{00000000-0005-0000-0000-0000A77B0000}"/>
    <cellStyle name="Normal 57 3 2 4 2 3 4 2" xfId="44284" xr:uid="{00000000-0005-0000-0000-0000A87B0000}"/>
    <cellStyle name="Normal 57 3 2 4 2 3 5" xfId="30221" xr:uid="{00000000-0005-0000-0000-0000A97B0000}"/>
    <cellStyle name="Normal 57 3 2 4 2 4" xfId="2429" xr:uid="{00000000-0005-0000-0000-0000AA7B0000}"/>
    <cellStyle name="Normal 57 3 2 4 2 4 2" xfId="11794" xr:uid="{00000000-0005-0000-0000-0000AB7B0000}"/>
    <cellStyle name="Normal 57 3 2 4 2 4 2 2" xfId="37349" xr:uid="{00000000-0005-0000-0000-0000AC7B0000}"/>
    <cellStyle name="Normal 57 3 2 4 2 4 3" xfId="21798" xr:uid="{00000000-0005-0000-0000-0000AD7B0000}"/>
    <cellStyle name="Normal 57 3 2 4 2 4 3 2" xfId="47351" xr:uid="{00000000-0005-0000-0000-0000AE7B0000}"/>
    <cellStyle name="Normal 57 3 2 4 2 4 4" xfId="28281" xr:uid="{00000000-0005-0000-0000-0000AF7B0000}"/>
    <cellStyle name="Normal 57 3 2 4 2 5" xfId="6105" xr:uid="{00000000-0005-0000-0000-0000B07B0000}"/>
    <cellStyle name="Normal 57 3 2 4 2 5 2" xfId="14932" xr:uid="{00000000-0005-0000-0000-0000B17B0000}"/>
    <cellStyle name="Normal 57 3 2 4 2 5 2 2" xfId="40487" xr:uid="{00000000-0005-0000-0000-0000B27B0000}"/>
    <cellStyle name="Normal 57 3 2 4 2 5 3" xfId="25183" xr:uid="{00000000-0005-0000-0000-0000B37B0000}"/>
    <cellStyle name="Normal 57 3 2 4 2 5 3 2" xfId="50736" xr:uid="{00000000-0005-0000-0000-0000B47B0000}"/>
    <cellStyle name="Normal 57 3 2 4 2 5 4" xfId="31666" xr:uid="{00000000-0005-0000-0000-0000B57B0000}"/>
    <cellStyle name="Normal 57 3 2 4 2 6" xfId="7550" xr:uid="{00000000-0005-0000-0000-0000B67B0000}"/>
    <cellStyle name="Normal 57 3 2 4 2 6 2" xfId="20280" xr:uid="{00000000-0005-0000-0000-0000B77B0000}"/>
    <cellStyle name="Normal 57 3 2 4 2 6 2 2" xfId="45833" xr:uid="{00000000-0005-0000-0000-0000B87B0000}"/>
    <cellStyle name="Normal 57 3 2 4 2 6 3" xfId="33107" xr:uid="{00000000-0005-0000-0000-0000B97B0000}"/>
    <cellStyle name="Normal 57 3 2 4 2 7" xfId="16791" xr:uid="{00000000-0005-0000-0000-0000BA7B0000}"/>
    <cellStyle name="Normal 57 3 2 4 2 7 2" xfId="42344" xr:uid="{00000000-0005-0000-0000-0000BB7B0000}"/>
    <cellStyle name="Normal 57 3 2 4 2 8" xfId="26763" xr:uid="{00000000-0005-0000-0000-0000BC7B0000}"/>
    <cellStyle name="Normal 57 3 2 4 3" xfId="1255" xr:uid="{00000000-0005-0000-0000-0000BD7B0000}"/>
    <cellStyle name="Normal 57 3 2 4 3 2" xfId="3684" xr:uid="{00000000-0005-0000-0000-0000BE7B0000}"/>
    <cellStyle name="Normal 57 3 2 4 3 2 2" xfId="12820" xr:uid="{00000000-0005-0000-0000-0000BF7B0000}"/>
    <cellStyle name="Normal 57 3 2 4 3 2 2 2" xfId="23039" xr:uid="{00000000-0005-0000-0000-0000C07B0000}"/>
    <cellStyle name="Normal 57 3 2 4 3 2 2 2 2" xfId="48592" xr:uid="{00000000-0005-0000-0000-0000C17B0000}"/>
    <cellStyle name="Normal 57 3 2 4 3 2 2 3" xfId="38375" xr:uid="{00000000-0005-0000-0000-0000C27B0000}"/>
    <cellStyle name="Normal 57 3 2 4 3 2 3" xfId="9241" xr:uid="{00000000-0005-0000-0000-0000C37B0000}"/>
    <cellStyle name="Normal 57 3 2 4 3 2 3 2" xfId="34798" xr:uid="{00000000-0005-0000-0000-0000C47B0000}"/>
    <cellStyle name="Normal 57 3 2 4 3 2 4" xfId="18032" xr:uid="{00000000-0005-0000-0000-0000C57B0000}"/>
    <cellStyle name="Normal 57 3 2 4 3 2 4 2" xfId="43585" xr:uid="{00000000-0005-0000-0000-0000C67B0000}"/>
    <cellStyle name="Normal 57 3 2 4 3 2 5" xfId="29522" xr:uid="{00000000-0005-0000-0000-0000C77B0000}"/>
    <cellStyle name="Normal 57 3 2 4 3 3" xfId="4998" xr:uid="{00000000-0005-0000-0000-0000C87B0000}"/>
    <cellStyle name="Normal 57 3 2 4 3 3 2" xfId="13835" xr:uid="{00000000-0005-0000-0000-0000C97B0000}"/>
    <cellStyle name="Normal 57 3 2 4 3 3 2 2" xfId="24086" xr:uid="{00000000-0005-0000-0000-0000CA7B0000}"/>
    <cellStyle name="Normal 57 3 2 4 3 3 2 2 2" xfId="49639" xr:uid="{00000000-0005-0000-0000-0000CB7B0000}"/>
    <cellStyle name="Normal 57 3 2 4 3 3 2 3" xfId="39390" xr:uid="{00000000-0005-0000-0000-0000CC7B0000}"/>
    <cellStyle name="Normal 57 3 2 4 3 3 3" xfId="10256" xr:uid="{00000000-0005-0000-0000-0000CD7B0000}"/>
    <cellStyle name="Normal 57 3 2 4 3 3 3 2" xfId="35813" xr:uid="{00000000-0005-0000-0000-0000CE7B0000}"/>
    <cellStyle name="Normal 57 3 2 4 3 3 4" xfId="19079" xr:uid="{00000000-0005-0000-0000-0000CF7B0000}"/>
    <cellStyle name="Normal 57 3 2 4 3 3 4 2" xfId="44632" xr:uid="{00000000-0005-0000-0000-0000D07B0000}"/>
    <cellStyle name="Normal 57 3 2 4 3 3 5" xfId="30569" xr:uid="{00000000-0005-0000-0000-0000D17B0000}"/>
    <cellStyle name="Normal 57 3 2 4 3 4" xfId="2078" xr:uid="{00000000-0005-0000-0000-0000D27B0000}"/>
    <cellStyle name="Normal 57 3 2 4 3 4 2" xfId="11443" xr:uid="{00000000-0005-0000-0000-0000D37B0000}"/>
    <cellStyle name="Normal 57 3 2 4 3 4 2 2" xfId="36998" xr:uid="{00000000-0005-0000-0000-0000D47B0000}"/>
    <cellStyle name="Normal 57 3 2 4 3 4 3" xfId="21447" xr:uid="{00000000-0005-0000-0000-0000D57B0000}"/>
    <cellStyle name="Normal 57 3 2 4 3 4 3 2" xfId="47000" xr:uid="{00000000-0005-0000-0000-0000D67B0000}"/>
    <cellStyle name="Normal 57 3 2 4 3 4 4" xfId="27930" xr:uid="{00000000-0005-0000-0000-0000D77B0000}"/>
    <cellStyle name="Normal 57 3 2 4 3 5" xfId="6453" xr:uid="{00000000-0005-0000-0000-0000D87B0000}"/>
    <cellStyle name="Normal 57 3 2 4 3 5 2" xfId="15280" xr:uid="{00000000-0005-0000-0000-0000D97B0000}"/>
    <cellStyle name="Normal 57 3 2 4 3 5 2 2" xfId="40835" xr:uid="{00000000-0005-0000-0000-0000DA7B0000}"/>
    <cellStyle name="Normal 57 3 2 4 3 5 3" xfId="25531" xr:uid="{00000000-0005-0000-0000-0000DB7B0000}"/>
    <cellStyle name="Normal 57 3 2 4 3 5 3 2" xfId="51084" xr:uid="{00000000-0005-0000-0000-0000DC7B0000}"/>
    <cellStyle name="Normal 57 3 2 4 3 5 4" xfId="32014" xr:uid="{00000000-0005-0000-0000-0000DD7B0000}"/>
    <cellStyle name="Normal 57 3 2 4 3 6" xfId="7899" xr:uid="{00000000-0005-0000-0000-0000DE7B0000}"/>
    <cellStyle name="Normal 57 3 2 4 3 6 2" xfId="20638" xr:uid="{00000000-0005-0000-0000-0000DF7B0000}"/>
    <cellStyle name="Normal 57 3 2 4 3 6 2 2" xfId="46191" xr:uid="{00000000-0005-0000-0000-0000E07B0000}"/>
    <cellStyle name="Normal 57 3 2 4 3 6 3" xfId="33456" xr:uid="{00000000-0005-0000-0000-0000E17B0000}"/>
    <cellStyle name="Normal 57 3 2 4 3 7" xfId="16440" xr:uid="{00000000-0005-0000-0000-0000E27B0000}"/>
    <cellStyle name="Normal 57 3 2 4 3 7 2" xfId="41993" xr:uid="{00000000-0005-0000-0000-0000E37B0000}"/>
    <cellStyle name="Normal 57 3 2 4 3 8" xfId="27121" xr:uid="{00000000-0005-0000-0000-0000E47B0000}"/>
    <cellStyle name="Normal 57 3 2 4 4" xfId="2969" xr:uid="{00000000-0005-0000-0000-0000E57B0000}"/>
    <cellStyle name="Normal 57 3 2 4 4 2" xfId="5347" xr:uid="{00000000-0005-0000-0000-0000E67B0000}"/>
    <cellStyle name="Normal 57 3 2 4 4 2 2" xfId="14184" xr:uid="{00000000-0005-0000-0000-0000E77B0000}"/>
    <cellStyle name="Normal 57 3 2 4 4 2 2 2" xfId="24435" xr:uid="{00000000-0005-0000-0000-0000E87B0000}"/>
    <cellStyle name="Normal 57 3 2 4 4 2 2 2 2" xfId="49988" xr:uid="{00000000-0005-0000-0000-0000E97B0000}"/>
    <cellStyle name="Normal 57 3 2 4 4 2 2 3" xfId="39739" xr:uid="{00000000-0005-0000-0000-0000EA7B0000}"/>
    <cellStyle name="Normal 57 3 2 4 4 2 3" xfId="10605" xr:uid="{00000000-0005-0000-0000-0000EB7B0000}"/>
    <cellStyle name="Normal 57 3 2 4 4 2 3 2" xfId="36162" xr:uid="{00000000-0005-0000-0000-0000EC7B0000}"/>
    <cellStyle name="Normal 57 3 2 4 4 2 4" xfId="19428" xr:uid="{00000000-0005-0000-0000-0000ED7B0000}"/>
    <cellStyle name="Normal 57 3 2 4 4 2 4 2" xfId="44981" xr:uid="{00000000-0005-0000-0000-0000EE7B0000}"/>
    <cellStyle name="Normal 57 3 2 4 4 2 5" xfId="30918" xr:uid="{00000000-0005-0000-0000-0000EF7B0000}"/>
    <cellStyle name="Normal 57 3 2 4 4 3" xfId="6802" xr:uid="{00000000-0005-0000-0000-0000F07B0000}"/>
    <cellStyle name="Normal 57 3 2 4 4 3 2" xfId="15629" xr:uid="{00000000-0005-0000-0000-0000F17B0000}"/>
    <cellStyle name="Normal 57 3 2 4 4 3 2 2" xfId="41184" xr:uid="{00000000-0005-0000-0000-0000F27B0000}"/>
    <cellStyle name="Normal 57 3 2 4 4 3 3" xfId="25880" xr:uid="{00000000-0005-0000-0000-0000F37B0000}"/>
    <cellStyle name="Normal 57 3 2 4 4 3 3 2" xfId="51433" xr:uid="{00000000-0005-0000-0000-0000F47B0000}"/>
    <cellStyle name="Normal 57 3 2 4 4 3 4" xfId="32363" xr:uid="{00000000-0005-0000-0000-0000F57B0000}"/>
    <cellStyle name="Normal 57 3 2 4 4 4" xfId="8248" xr:uid="{00000000-0005-0000-0000-0000F67B0000}"/>
    <cellStyle name="Normal 57 3 2 4 4 4 2" xfId="22330" xr:uid="{00000000-0005-0000-0000-0000F77B0000}"/>
    <cellStyle name="Normal 57 3 2 4 4 4 2 2" xfId="47883" xr:uid="{00000000-0005-0000-0000-0000F87B0000}"/>
    <cellStyle name="Normal 57 3 2 4 4 4 3" xfId="33805" xr:uid="{00000000-0005-0000-0000-0000F97B0000}"/>
    <cellStyle name="Normal 57 3 2 4 4 5" xfId="17323" xr:uid="{00000000-0005-0000-0000-0000FA7B0000}"/>
    <cellStyle name="Normal 57 3 2 4 4 5 2" xfId="42876" xr:uid="{00000000-0005-0000-0000-0000FB7B0000}"/>
    <cellStyle name="Normal 57 3 2 4 4 6" xfId="28813" xr:uid="{00000000-0005-0000-0000-0000FC7B0000}"/>
    <cellStyle name="Normal 57 3 2 4 5" xfId="4303" xr:uid="{00000000-0005-0000-0000-0000FD7B0000}"/>
    <cellStyle name="Normal 57 3 2 4 5 2" xfId="13141" xr:uid="{00000000-0005-0000-0000-0000FE7B0000}"/>
    <cellStyle name="Normal 57 3 2 4 5 2 2" xfId="23392" xr:uid="{00000000-0005-0000-0000-0000FF7B0000}"/>
    <cellStyle name="Normal 57 3 2 4 5 2 2 2" xfId="48945" xr:uid="{00000000-0005-0000-0000-0000007C0000}"/>
    <cellStyle name="Normal 57 3 2 4 5 2 3" xfId="38696" xr:uid="{00000000-0005-0000-0000-0000017C0000}"/>
    <cellStyle name="Normal 57 3 2 4 5 3" xfId="9562" xr:uid="{00000000-0005-0000-0000-0000027C0000}"/>
    <cellStyle name="Normal 57 3 2 4 5 3 2" xfId="35119" xr:uid="{00000000-0005-0000-0000-0000037C0000}"/>
    <cellStyle name="Normal 57 3 2 4 5 4" xfId="18385" xr:uid="{00000000-0005-0000-0000-0000047C0000}"/>
    <cellStyle name="Normal 57 3 2 4 5 4 2" xfId="43938" xr:uid="{00000000-0005-0000-0000-0000057C0000}"/>
    <cellStyle name="Normal 57 3 2 4 5 5" xfId="29875" xr:uid="{00000000-0005-0000-0000-0000067C0000}"/>
    <cellStyle name="Normal 57 3 2 4 6" xfId="1575" xr:uid="{00000000-0005-0000-0000-0000077C0000}"/>
    <cellStyle name="Normal 57 3 2 4 6 2" xfId="10952" xr:uid="{00000000-0005-0000-0000-0000087C0000}"/>
    <cellStyle name="Normal 57 3 2 4 6 2 2" xfId="36507" xr:uid="{00000000-0005-0000-0000-0000097C0000}"/>
    <cellStyle name="Normal 57 3 2 4 6 3" xfId="20956" xr:uid="{00000000-0005-0000-0000-00000A7C0000}"/>
    <cellStyle name="Normal 57 3 2 4 6 3 2" xfId="46509" xr:uid="{00000000-0005-0000-0000-00000B7C0000}"/>
    <cellStyle name="Normal 57 3 2 4 6 4" xfId="27439" xr:uid="{00000000-0005-0000-0000-00000C7C0000}"/>
    <cellStyle name="Normal 57 3 2 4 7" xfId="5759" xr:uid="{00000000-0005-0000-0000-00000D7C0000}"/>
    <cellStyle name="Normal 57 3 2 4 7 2" xfId="14586" xr:uid="{00000000-0005-0000-0000-00000E7C0000}"/>
    <cellStyle name="Normal 57 3 2 4 7 2 2" xfId="40141" xr:uid="{00000000-0005-0000-0000-00000F7C0000}"/>
    <cellStyle name="Normal 57 3 2 4 7 3" xfId="24837" xr:uid="{00000000-0005-0000-0000-0000107C0000}"/>
    <cellStyle name="Normal 57 3 2 4 7 3 2" xfId="50390" xr:uid="{00000000-0005-0000-0000-0000117C0000}"/>
    <cellStyle name="Normal 57 3 2 4 7 4" xfId="31320" xr:uid="{00000000-0005-0000-0000-0000127C0000}"/>
    <cellStyle name="Normal 57 3 2 4 8" xfId="7203" xr:uid="{00000000-0005-0000-0000-0000137C0000}"/>
    <cellStyle name="Normal 57 3 2 4 8 2" xfId="19929" xr:uid="{00000000-0005-0000-0000-0000147C0000}"/>
    <cellStyle name="Normal 57 3 2 4 8 2 2" xfId="45482" xr:uid="{00000000-0005-0000-0000-0000157C0000}"/>
    <cellStyle name="Normal 57 3 2 4 8 3" xfId="32760" xr:uid="{00000000-0005-0000-0000-0000167C0000}"/>
    <cellStyle name="Normal 57 3 2 4 9" xfId="15949" xr:uid="{00000000-0005-0000-0000-0000177C0000}"/>
    <cellStyle name="Normal 57 3 2 4 9 2" xfId="41502" xr:uid="{00000000-0005-0000-0000-0000187C0000}"/>
    <cellStyle name="Normal 57 3 2 4_Degree data" xfId="3941" xr:uid="{00000000-0005-0000-0000-0000197C0000}"/>
    <cellStyle name="Normal 57 3 2 5" xfId="326" xr:uid="{00000000-0005-0000-0000-00001A7C0000}"/>
    <cellStyle name="Normal 57 3 2 5 10" xfId="26255" xr:uid="{00000000-0005-0000-0000-00001B7C0000}"/>
    <cellStyle name="Normal 57 3 2 5 2" xfId="836" xr:uid="{00000000-0005-0000-0000-00001C7C0000}"/>
    <cellStyle name="Normal 57 3 2 5 2 2" xfId="3321" xr:uid="{00000000-0005-0000-0000-00001D7C0000}"/>
    <cellStyle name="Normal 57 3 2 5 2 2 2" xfId="12463" xr:uid="{00000000-0005-0000-0000-00001E7C0000}"/>
    <cellStyle name="Normal 57 3 2 5 2 2 2 2" xfId="22682" xr:uid="{00000000-0005-0000-0000-00001F7C0000}"/>
    <cellStyle name="Normal 57 3 2 5 2 2 2 2 2" xfId="48235" xr:uid="{00000000-0005-0000-0000-0000207C0000}"/>
    <cellStyle name="Normal 57 3 2 5 2 2 2 3" xfId="38018" xr:uid="{00000000-0005-0000-0000-0000217C0000}"/>
    <cellStyle name="Normal 57 3 2 5 2 2 3" xfId="8885" xr:uid="{00000000-0005-0000-0000-0000227C0000}"/>
    <cellStyle name="Normal 57 3 2 5 2 2 3 2" xfId="34442" xr:uid="{00000000-0005-0000-0000-0000237C0000}"/>
    <cellStyle name="Normal 57 3 2 5 2 2 4" xfId="17675" xr:uid="{00000000-0005-0000-0000-0000247C0000}"/>
    <cellStyle name="Normal 57 3 2 5 2 2 4 2" xfId="43228" xr:uid="{00000000-0005-0000-0000-0000257C0000}"/>
    <cellStyle name="Normal 57 3 2 5 2 2 5" xfId="29165" xr:uid="{00000000-0005-0000-0000-0000267C0000}"/>
    <cellStyle name="Normal 57 3 2 5 2 3" xfId="4650" xr:uid="{00000000-0005-0000-0000-0000277C0000}"/>
    <cellStyle name="Normal 57 3 2 5 2 3 2" xfId="13488" xr:uid="{00000000-0005-0000-0000-0000287C0000}"/>
    <cellStyle name="Normal 57 3 2 5 2 3 2 2" xfId="23739" xr:uid="{00000000-0005-0000-0000-0000297C0000}"/>
    <cellStyle name="Normal 57 3 2 5 2 3 2 2 2" xfId="49292" xr:uid="{00000000-0005-0000-0000-00002A7C0000}"/>
    <cellStyle name="Normal 57 3 2 5 2 3 2 3" xfId="39043" xr:uid="{00000000-0005-0000-0000-00002B7C0000}"/>
    <cellStyle name="Normal 57 3 2 5 2 3 3" xfId="9909" xr:uid="{00000000-0005-0000-0000-00002C7C0000}"/>
    <cellStyle name="Normal 57 3 2 5 2 3 3 2" xfId="35466" xr:uid="{00000000-0005-0000-0000-00002D7C0000}"/>
    <cellStyle name="Normal 57 3 2 5 2 3 4" xfId="18732" xr:uid="{00000000-0005-0000-0000-00002E7C0000}"/>
    <cellStyle name="Normal 57 3 2 5 2 3 4 2" xfId="44285" xr:uid="{00000000-0005-0000-0000-00002F7C0000}"/>
    <cellStyle name="Normal 57 3 2 5 2 3 5" xfId="30222" xr:uid="{00000000-0005-0000-0000-0000307C0000}"/>
    <cellStyle name="Normal 57 3 2 5 2 4" xfId="2430" xr:uid="{00000000-0005-0000-0000-0000317C0000}"/>
    <cellStyle name="Normal 57 3 2 5 2 4 2" xfId="11795" xr:uid="{00000000-0005-0000-0000-0000327C0000}"/>
    <cellStyle name="Normal 57 3 2 5 2 4 2 2" xfId="37350" xr:uid="{00000000-0005-0000-0000-0000337C0000}"/>
    <cellStyle name="Normal 57 3 2 5 2 4 3" xfId="21799" xr:uid="{00000000-0005-0000-0000-0000347C0000}"/>
    <cellStyle name="Normal 57 3 2 5 2 4 3 2" xfId="47352" xr:uid="{00000000-0005-0000-0000-0000357C0000}"/>
    <cellStyle name="Normal 57 3 2 5 2 4 4" xfId="28282" xr:uid="{00000000-0005-0000-0000-0000367C0000}"/>
    <cellStyle name="Normal 57 3 2 5 2 5" xfId="6106" xr:uid="{00000000-0005-0000-0000-0000377C0000}"/>
    <cellStyle name="Normal 57 3 2 5 2 5 2" xfId="14933" xr:uid="{00000000-0005-0000-0000-0000387C0000}"/>
    <cellStyle name="Normal 57 3 2 5 2 5 2 2" xfId="40488" xr:uid="{00000000-0005-0000-0000-0000397C0000}"/>
    <cellStyle name="Normal 57 3 2 5 2 5 3" xfId="25184" xr:uid="{00000000-0005-0000-0000-00003A7C0000}"/>
    <cellStyle name="Normal 57 3 2 5 2 5 3 2" xfId="50737" xr:uid="{00000000-0005-0000-0000-00003B7C0000}"/>
    <cellStyle name="Normal 57 3 2 5 2 5 4" xfId="31667" xr:uid="{00000000-0005-0000-0000-00003C7C0000}"/>
    <cellStyle name="Normal 57 3 2 5 2 6" xfId="7551" xr:uid="{00000000-0005-0000-0000-00003D7C0000}"/>
    <cellStyle name="Normal 57 3 2 5 2 6 2" xfId="20281" xr:uid="{00000000-0005-0000-0000-00003E7C0000}"/>
    <cellStyle name="Normal 57 3 2 5 2 6 2 2" xfId="45834" xr:uid="{00000000-0005-0000-0000-00003F7C0000}"/>
    <cellStyle name="Normal 57 3 2 5 2 6 3" xfId="33108" xr:uid="{00000000-0005-0000-0000-0000407C0000}"/>
    <cellStyle name="Normal 57 3 2 5 2 7" xfId="16792" xr:uid="{00000000-0005-0000-0000-0000417C0000}"/>
    <cellStyle name="Normal 57 3 2 5 2 7 2" xfId="42345" xr:uid="{00000000-0005-0000-0000-0000427C0000}"/>
    <cellStyle name="Normal 57 3 2 5 2 8" xfId="26764" xr:uid="{00000000-0005-0000-0000-0000437C0000}"/>
    <cellStyle name="Normal 57 3 2 5 3" xfId="1098" xr:uid="{00000000-0005-0000-0000-0000447C0000}"/>
    <cellStyle name="Normal 57 3 2 5 3 2" xfId="3527" xr:uid="{00000000-0005-0000-0000-0000457C0000}"/>
    <cellStyle name="Normal 57 3 2 5 3 2 2" xfId="12663" xr:uid="{00000000-0005-0000-0000-0000467C0000}"/>
    <cellStyle name="Normal 57 3 2 5 3 2 2 2" xfId="22882" xr:uid="{00000000-0005-0000-0000-0000477C0000}"/>
    <cellStyle name="Normal 57 3 2 5 3 2 2 2 2" xfId="48435" xr:uid="{00000000-0005-0000-0000-0000487C0000}"/>
    <cellStyle name="Normal 57 3 2 5 3 2 2 3" xfId="38218" xr:uid="{00000000-0005-0000-0000-0000497C0000}"/>
    <cellStyle name="Normal 57 3 2 5 3 2 3" xfId="9084" xr:uid="{00000000-0005-0000-0000-00004A7C0000}"/>
    <cellStyle name="Normal 57 3 2 5 3 2 3 2" xfId="34641" xr:uid="{00000000-0005-0000-0000-00004B7C0000}"/>
    <cellStyle name="Normal 57 3 2 5 3 2 4" xfId="17875" xr:uid="{00000000-0005-0000-0000-00004C7C0000}"/>
    <cellStyle name="Normal 57 3 2 5 3 2 4 2" xfId="43428" xr:uid="{00000000-0005-0000-0000-00004D7C0000}"/>
    <cellStyle name="Normal 57 3 2 5 3 2 5" xfId="29365" xr:uid="{00000000-0005-0000-0000-00004E7C0000}"/>
    <cellStyle name="Normal 57 3 2 5 3 3" xfId="4999" xr:uid="{00000000-0005-0000-0000-00004F7C0000}"/>
    <cellStyle name="Normal 57 3 2 5 3 3 2" xfId="13836" xr:uid="{00000000-0005-0000-0000-0000507C0000}"/>
    <cellStyle name="Normal 57 3 2 5 3 3 2 2" xfId="24087" xr:uid="{00000000-0005-0000-0000-0000517C0000}"/>
    <cellStyle name="Normal 57 3 2 5 3 3 2 2 2" xfId="49640" xr:uid="{00000000-0005-0000-0000-0000527C0000}"/>
    <cellStyle name="Normal 57 3 2 5 3 3 2 3" xfId="39391" xr:uid="{00000000-0005-0000-0000-0000537C0000}"/>
    <cellStyle name="Normal 57 3 2 5 3 3 3" xfId="10257" xr:uid="{00000000-0005-0000-0000-0000547C0000}"/>
    <cellStyle name="Normal 57 3 2 5 3 3 3 2" xfId="35814" xr:uid="{00000000-0005-0000-0000-0000557C0000}"/>
    <cellStyle name="Normal 57 3 2 5 3 3 4" xfId="19080" xr:uid="{00000000-0005-0000-0000-0000567C0000}"/>
    <cellStyle name="Normal 57 3 2 5 3 3 4 2" xfId="44633" xr:uid="{00000000-0005-0000-0000-0000577C0000}"/>
    <cellStyle name="Normal 57 3 2 5 3 3 5" xfId="30570" xr:uid="{00000000-0005-0000-0000-0000587C0000}"/>
    <cellStyle name="Normal 57 3 2 5 3 4" xfId="2590" xr:uid="{00000000-0005-0000-0000-0000597C0000}"/>
    <cellStyle name="Normal 57 3 2 5 3 4 2" xfId="11954" xr:uid="{00000000-0005-0000-0000-00005A7C0000}"/>
    <cellStyle name="Normal 57 3 2 5 3 4 2 2" xfId="37509" xr:uid="{00000000-0005-0000-0000-00005B7C0000}"/>
    <cellStyle name="Normal 57 3 2 5 3 4 3" xfId="21958" xr:uid="{00000000-0005-0000-0000-00005C7C0000}"/>
    <cellStyle name="Normal 57 3 2 5 3 4 3 2" xfId="47511" xr:uid="{00000000-0005-0000-0000-00005D7C0000}"/>
    <cellStyle name="Normal 57 3 2 5 3 4 4" xfId="28441" xr:uid="{00000000-0005-0000-0000-00005E7C0000}"/>
    <cellStyle name="Normal 57 3 2 5 3 5" xfId="6454" xr:uid="{00000000-0005-0000-0000-00005F7C0000}"/>
    <cellStyle name="Normal 57 3 2 5 3 5 2" xfId="15281" xr:uid="{00000000-0005-0000-0000-0000607C0000}"/>
    <cellStyle name="Normal 57 3 2 5 3 5 2 2" xfId="40836" xr:uid="{00000000-0005-0000-0000-0000617C0000}"/>
    <cellStyle name="Normal 57 3 2 5 3 5 3" xfId="25532" xr:uid="{00000000-0005-0000-0000-0000627C0000}"/>
    <cellStyle name="Normal 57 3 2 5 3 5 3 2" xfId="51085" xr:uid="{00000000-0005-0000-0000-0000637C0000}"/>
    <cellStyle name="Normal 57 3 2 5 3 5 4" xfId="32015" xr:uid="{00000000-0005-0000-0000-0000647C0000}"/>
    <cellStyle name="Normal 57 3 2 5 3 6" xfId="7900" xr:uid="{00000000-0005-0000-0000-0000657C0000}"/>
    <cellStyle name="Normal 57 3 2 5 3 6 2" xfId="20481" xr:uid="{00000000-0005-0000-0000-0000667C0000}"/>
    <cellStyle name="Normal 57 3 2 5 3 6 2 2" xfId="46034" xr:uid="{00000000-0005-0000-0000-0000677C0000}"/>
    <cellStyle name="Normal 57 3 2 5 3 6 3" xfId="33457" xr:uid="{00000000-0005-0000-0000-0000687C0000}"/>
    <cellStyle name="Normal 57 3 2 5 3 7" xfId="16951" xr:uid="{00000000-0005-0000-0000-0000697C0000}"/>
    <cellStyle name="Normal 57 3 2 5 3 7 2" xfId="42504" xr:uid="{00000000-0005-0000-0000-00006A7C0000}"/>
    <cellStyle name="Normal 57 3 2 5 3 8" xfId="26964" xr:uid="{00000000-0005-0000-0000-00006B7C0000}"/>
    <cellStyle name="Normal 57 3 2 5 4" xfId="2812" xr:uid="{00000000-0005-0000-0000-00006C7C0000}"/>
    <cellStyle name="Normal 57 3 2 5 4 2" xfId="5190" xr:uid="{00000000-0005-0000-0000-00006D7C0000}"/>
    <cellStyle name="Normal 57 3 2 5 4 2 2" xfId="14027" xr:uid="{00000000-0005-0000-0000-00006E7C0000}"/>
    <cellStyle name="Normal 57 3 2 5 4 2 2 2" xfId="24278" xr:uid="{00000000-0005-0000-0000-00006F7C0000}"/>
    <cellStyle name="Normal 57 3 2 5 4 2 2 2 2" xfId="49831" xr:uid="{00000000-0005-0000-0000-0000707C0000}"/>
    <cellStyle name="Normal 57 3 2 5 4 2 2 3" xfId="39582" xr:uid="{00000000-0005-0000-0000-0000717C0000}"/>
    <cellStyle name="Normal 57 3 2 5 4 2 3" xfId="10448" xr:uid="{00000000-0005-0000-0000-0000727C0000}"/>
    <cellStyle name="Normal 57 3 2 5 4 2 3 2" xfId="36005" xr:uid="{00000000-0005-0000-0000-0000737C0000}"/>
    <cellStyle name="Normal 57 3 2 5 4 2 4" xfId="19271" xr:uid="{00000000-0005-0000-0000-0000747C0000}"/>
    <cellStyle name="Normal 57 3 2 5 4 2 4 2" xfId="44824" xr:uid="{00000000-0005-0000-0000-0000757C0000}"/>
    <cellStyle name="Normal 57 3 2 5 4 2 5" xfId="30761" xr:uid="{00000000-0005-0000-0000-0000767C0000}"/>
    <cellStyle name="Normal 57 3 2 5 4 3" xfId="6645" xr:uid="{00000000-0005-0000-0000-0000777C0000}"/>
    <cellStyle name="Normal 57 3 2 5 4 3 2" xfId="15472" xr:uid="{00000000-0005-0000-0000-0000787C0000}"/>
    <cellStyle name="Normal 57 3 2 5 4 3 2 2" xfId="41027" xr:uid="{00000000-0005-0000-0000-0000797C0000}"/>
    <cellStyle name="Normal 57 3 2 5 4 3 3" xfId="25723" xr:uid="{00000000-0005-0000-0000-00007A7C0000}"/>
    <cellStyle name="Normal 57 3 2 5 4 3 3 2" xfId="51276" xr:uid="{00000000-0005-0000-0000-00007B7C0000}"/>
    <cellStyle name="Normal 57 3 2 5 4 3 4" xfId="32206" xr:uid="{00000000-0005-0000-0000-00007C7C0000}"/>
    <cellStyle name="Normal 57 3 2 5 4 4" xfId="8091" xr:uid="{00000000-0005-0000-0000-00007D7C0000}"/>
    <cellStyle name="Normal 57 3 2 5 4 4 2" xfId="22173" xr:uid="{00000000-0005-0000-0000-00007E7C0000}"/>
    <cellStyle name="Normal 57 3 2 5 4 4 2 2" xfId="47726" xr:uid="{00000000-0005-0000-0000-00007F7C0000}"/>
    <cellStyle name="Normal 57 3 2 5 4 4 3" xfId="33648" xr:uid="{00000000-0005-0000-0000-0000807C0000}"/>
    <cellStyle name="Normal 57 3 2 5 4 5" xfId="17166" xr:uid="{00000000-0005-0000-0000-0000817C0000}"/>
    <cellStyle name="Normal 57 3 2 5 4 5 2" xfId="42719" xr:uid="{00000000-0005-0000-0000-0000827C0000}"/>
    <cellStyle name="Normal 57 3 2 5 4 6" xfId="28656" xr:uid="{00000000-0005-0000-0000-0000837C0000}"/>
    <cellStyle name="Normal 57 3 2 5 5" xfId="4144" xr:uid="{00000000-0005-0000-0000-0000847C0000}"/>
    <cellStyle name="Normal 57 3 2 5 5 2" xfId="12982" xr:uid="{00000000-0005-0000-0000-0000857C0000}"/>
    <cellStyle name="Normal 57 3 2 5 5 2 2" xfId="23233" xr:uid="{00000000-0005-0000-0000-0000867C0000}"/>
    <cellStyle name="Normal 57 3 2 5 5 2 2 2" xfId="48786" xr:uid="{00000000-0005-0000-0000-0000877C0000}"/>
    <cellStyle name="Normal 57 3 2 5 5 2 3" xfId="38537" xr:uid="{00000000-0005-0000-0000-0000887C0000}"/>
    <cellStyle name="Normal 57 3 2 5 5 3" xfId="9403" xr:uid="{00000000-0005-0000-0000-0000897C0000}"/>
    <cellStyle name="Normal 57 3 2 5 5 3 2" xfId="34960" xr:uid="{00000000-0005-0000-0000-00008A7C0000}"/>
    <cellStyle name="Normal 57 3 2 5 5 4" xfId="18226" xr:uid="{00000000-0005-0000-0000-00008B7C0000}"/>
    <cellStyle name="Normal 57 3 2 5 5 4 2" xfId="43779" xr:uid="{00000000-0005-0000-0000-00008C7C0000}"/>
    <cellStyle name="Normal 57 3 2 5 5 5" xfId="29716" xr:uid="{00000000-0005-0000-0000-00008D7C0000}"/>
    <cellStyle name="Normal 57 3 2 5 6" xfId="1921" xr:uid="{00000000-0005-0000-0000-00008E7C0000}"/>
    <cellStyle name="Normal 57 3 2 5 6 2" xfId="11286" xr:uid="{00000000-0005-0000-0000-00008F7C0000}"/>
    <cellStyle name="Normal 57 3 2 5 6 2 2" xfId="36841" xr:uid="{00000000-0005-0000-0000-0000907C0000}"/>
    <cellStyle name="Normal 57 3 2 5 6 3" xfId="21290" xr:uid="{00000000-0005-0000-0000-0000917C0000}"/>
    <cellStyle name="Normal 57 3 2 5 6 3 2" xfId="46843" xr:uid="{00000000-0005-0000-0000-0000927C0000}"/>
    <cellStyle name="Normal 57 3 2 5 6 4" xfId="27773" xr:uid="{00000000-0005-0000-0000-0000937C0000}"/>
    <cellStyle name="Normal 57 3 2 5 7" xfId="5602" xr:uid="{00000000-0005-0000-0000-0000947C0000}"/>
    <cellStyle name="Normal 57 3 2 5 7 2" xfId="14429" xr:uid="{00000000-0005-0000-0000-0000957C0000}"/>
    <cellStyle name="Normal 57 3 2 5 7 2 2" xfId="39984" xr:uid="{00000000-0005-0000-0000-0000967C0000}"/>
    <cellStyle name="Normal 57 3 2 5 7 3" xfId="24680" xr:uid="{00000000-0005-0000-0000-0000977C0000}"/>
    <cellStyle name="Normal 57 3 2 5 7 3 2" xfId="50233" xr:uid="{00000000-0005-0000-0000-0000987C0000}"/>
    <cellStyle name="Normal 57 3 2 5 7 4" xfId="31163" xr:uid="{00000000-0005-0000-0000-0000997C0000}"/>
    <cellStyle name="Normal 57 3 2 5 8" xfId="7046" xr:uid="{00000000-0005-0000-0000-00009A7C0000}"/>
    <cellStyle name="Normal 57 3 2 5 8 2" xfId="19772" xr:uid="{00000000-0005-0000-0000-00009B7C0000}"/>
    <cellStyle name="Normal 57 3 2 5 8 2 2" xfId="45325" xr:uid="{00000000-0005-0000-0000-00009C7C0000}"/>
    <cellStyle name="Normal 57 3 2 5 8 3" xfId="32603" xr:uid="{00000000-0005-0000-0000-00009D7C0000}"/>
    <cellStyle name="Normal 57 3 2 5 9" xfId="16283" xr:uid="{00000000-0005-0000-0000-00009E7C0000}"/>
    <cellStyle name="Normal 57 3 2 5 9 2" xfId="41836" xr:uid="{00000000-0005-0000-0000-00009F7C0000}"/>
    <cellStyle name="Normal 57 3 2 5_Degree data" xfId="3942" xr:uid="{00000000-0005-0000-0000-0000A07C0000}"/>
    <cellStyle name="Normal 57 3 2 6" xfId="830" xr:uid="{00000000-0005-0000-0000-0000A17C0000}"/>
    <cellStyle name="Normal 57 3 2 6 2" xfId="3315" xr:uid="{00000000-0005-0000-0000-0000A27C0000}"/>
    <cellStyle name="Normal 57 3 2 6 2 2" xfId="12457" xr:uid="{00000000-0005-0000-0000-0000A37C0000}"/>
    <cellStyle name="Normal 57 3 2 6 2 2 2" xfId="22676" xr:uid="{00000000-0005-0000-0000-0000A47C0000}"/>
    <cellStyle name="Normal 57 3 2 6 2 2 2 2" xfId="48229" xr:uid="{00000000-0005-0000-0000-0000A57C0000}"/>
    <cellStyle name="Normal 57 3 2 6 2 2 3" xfId="38012" xr:uid="{00000000-0005-0000-0000-0000A67C0000}"/>
    <cellStyle name="Normal 57 3 2 6 2 3" xfId="8879" xr:uid="{00000000-0005-0000-0000-0000A77C0000}"/>
    <cellStyle name="Normal 57 3 2 6 2 3 2" xfId="34436" xr:uid="{00000000-0005-0000-0000-0000A87C0000}"/>
    <cellStyle name="Normal 57 3 2 6 2 4" xfId="17669" xr:uid="{00000000-0005-0000-0000-0000A97C0000}"/>
    <cellStyle name="Normal 57 3 2 6 2 4 2" xfId="43222" xr:uid="{00000000-0005-0000-0000-0000AA7C0000}"/>
    <cellStyle name="Normal 57 3 2 6 2 5" xfId="29159" xr:uid="{00000000-0005-0000-0000-0000AB7C0000}"/>
    <cellStyle name="Normal 57 3 2 6 3" xfId="4644" xr:uid="{00000000-0005-0000-0000-0000AC7C0000}"/>
    <cellStyle name="Normal 57 3 2 6 3 2" xfId="13482" xr:uid="{00000000-0005-0000-0000-0000AD7C0000}"/>
    <cellStyle name="Normal 57 3 2 6 3 2 2" xfId="23733" xr:uid="{00000000-0005-0000-0000-0000AE7C0000}"/>
    <cellStyle name="Normal 57 3 2 6 3 2 2 2" xfId="49286" xr:uid="{00000000-0005-0000-0000-0000AF7C0000}"/>
    <cellStyle name="Normal 57 3 2 6 3 2 3" xfId="39037" xr:uid="{00000000-0005-0000-0000-0000B07C0000}"/>
    <cellStyle name="Normal 57 3 2 6 3 3" xfId="9903" xr:uid="{00000000-0005-0000-0000-0000B17C0000}"/>
    <cellStyle name="Normal 57 3 2 6 3 3 2" xfId="35460" xr:uid="{00000000-0005-0000-0000-0000B27C0000}"/>
    <cellStyle name="Normal 57 3 2 6 3 4" xfId="18726" xr:uid="{00000000-0005-0000-0000-0000B37C0000}"/>
    <cellStyle name="Normal 57 3 2 6 3 4 2" xfId="44279" xr:uid="{00000000-0005-0000-0000-0000B47C0000}"/>
    <cellStyle name="Normal 57 3 2 6 3 5" xfId="30216" xr:uid="{00000000-0005-0000-0000-0000B57C0000}"/>
    <cellStyle name="Normal 57 3 2 6 4" xfId="2424" xr:uid="{00000000-0005-0000-0000-0000B67C0000}"/>
    <cellStyle name="Normal 57 3 2 6 4 2" xfId="11789" xr:uid="{00000000-0005-0000-0000-0000B77C0000}"/>
    <cellStyle name="Normal 57 3 2 6 4 2 2" xfId="37344" xr:uid="{00000000-0005-0000-0000-0000B87C0000}"/>
    <cellStyle name="Normal 57 3 2 6 4 3" xfId="21793" xr:uid="{00000000-0005-0000-0000-0000B97C0000}"/>
    <cellStyle name="Normal 57 3 2 6 4 3 2" xfId="47346" xr:uid="{00000000-0005-0000-0000-0000BA7C0000}"/>
    <cellStyle name="Normal 57 3 2 6 4 4" xfId="28276" xr:uid="{00000000-0005-0000-0000-0000BB7C0000}"/>
    <cellStyle name="Normal 57 3 2 6 5" xfId="6100" xr:uid="{00000000-0005-0000-0000-0000BC7C0000}"/>
    <cellStyle name="Normal 57 3 2 6 5 2" xfId="14927" xr:uid="{00000000-0005-0000-0000-0000BD7C0000}"/>
    <cellStyle name="Normal 57 3 2 6 5 2 2" xfId="40482" xr:uid="{00000000-0005-0000-0000-0000BE7C0000}"/>
    <cellStyle name="Normal 57 3 2 6 5 3" xfId="25178" xr:uid="{00000000-0005-0000-0000-0000BF7C0000}"/>
    <cellStyle name="Normal 57 3 2 6 5 3 2" xfId="50731" xr:uid="{00000000-0005-0000-0000-0000C07C0000}"/>
    <cellStyle name="Normal 57 3 2 6 5 4" xfId="31661" xr:uid="{00000000-0005-0000-0000-0000C17C0000}"/>
    <cellStyle name="Normal 57 3 2 6 6" xfId="7545" xr:uid="{00000000-0005-0000-0000-0000C27C0000}"/>
    <cellStyle name="Normal 57 3 2 6 6 2" xfId="20275" xr:uid="{00000000-0005-0000-0000-0000C37C0000}"/>
    <cellStyle name="Normal 57 3 2 6 6 2 2" xfId="45828" xr:uid="{00000000-0005-0000-0000-0000C47C0000}"/>
    <cellStyle name="Normal 57 3 2 6 6 3" xfId="33102" xr:uid="{00000000-0005-0000-0000-0000C57C0000}"/>
    <cellStyle name="Normal 57 3 2 6 7" xfId="16786" xr:uid="{00000000-0005-0000-0000-0000C67C0000}"/>
    <cellStyle name="Normal 57 3 2 6 7 2" xfId="42339" xr:uid="{00000000-0005-0000-0000-0000C77C0000}"/>
    <cellStyle name="Normal 57 3 2 6 8" xfId="26758" xr:uid="{00000000-0005-0000-0000-0000C87C0000}"/>
    <cellStyle name="Normal 57 3 2 7" xfId="1053" xr:uid="{00000000-0005-0000-0000-0000C97C0000}"/>
    <cellStyle name="Normal 57 3 2 7 2" xfId="3482" xr:uid="{00000000-0005-0000-0000-0000CA7C0000}"/>
    <cellStyle name="Normal 57 3 2 7 2 2" xfId="12618" xr:uid="{00000000-0005-0000-0000-0000CB7C0000}"/>
    <cellStyle name="Normal 57 3 2 7 2 2 2" xfId="22837" xr:uid="{00000000-0005-0000-0000-0000CC7C0000}"/>
    <cellStyle name="Normal 57 3 2 7 2 2 2 2" xfId="48390" xr:uid="{00000000-0005-0000-0000-0000CD7C0000}"/>
    <cellStyle name="Normal 57 3 2 7 2 2 3" xfId="38173" xr:uid="{00000000-0005-0000-0000-0000CE7C0000}"/>
    <cellStyle name="Normal 57 3 2 7 2 3" xfId="9040" xr:uid="{00000000-0005-0000-0000-0000CF7C0000}"/>
    <cellStyle name="Normal 57 3 2 7 2 3 2" xfId="34597" xr:uid="{00000000-0005-0000-0000-0000D07C0000}"/>
    <cellStyle name="Normal 57 3 2 7 2 4" xfId="17830" xr:uid="{00000000-0005-0000-0000-0000D17C0000}"/>
    <cellStyle name="Normal 57 3 2 7 2 4 2" xfId="43383" xr:uid="{00000000-0005-0000-0000-0000D27C0000}"/>
    <cellStyle name="Normal 57 3 2 7 2 5" xfId="29320" xr:uid="{00000000-0005-0000-0000-0000D37C0000}"/>
    <cellStyle name="Normal 57 3 2 7 3" xfId="4993" xr:uid="{00000000-0005-0000-0000-0000D47C0000}"/>
    <cellStyle name="Normal 57 3 2 7 3 2" xfId="13830" xr:uid="{00000000-0005-0000-0000-0000D57C0000}"/>
    <cellStyle name="Normal 57 3 2 7 3 2 2" xfId="24081" xr:uid="{00000000-0005-0000-0000-0000D67C0000}"/>
    <cellStyle name="Normal 57 3 2 7 3 2 2 2" xfId="49634" xr:uid="{00000000-0005-0000-0000-0000D77C0000}"/>
    <cellStyle name="Normal 57 3 2 7 3 2 3" xfId="39385" xr:uid="{00000000-0005-0000-0000-0000D87C0000}"/>
    <cellStyle name="Normal 57 3 2 7 3 3" xfId="10251" xr:uid="{00000000-0005-0000-0000-0000D97C0000}"/>
    <cellStyle name="Normal 57 3 2 7 3 3 2" xfId="35808" xr:uid="{00000000-0005-0000-0000-0000DA7C0000}"/>
    <cellStyle name="Normal 57 3 2 7 3 4" xfId="19074" xr:uid="{00000000-0005-0000-0000-0000DB7C0000}"/>
    <cellStyle name="Normal 57 3 2 7 3 4 2" xfId="44627" xr:uid="{00000000-0005-0000-0000-0000DC7C0000}"/>
    <cellStyle name="Normal 57 3 2 7 3 5" xfId="30564" xr:uid="{00000000-0005-0000-0000-0000DD7C0000}"/>
    <cellStyle name="Normal 57 3 2 7 4" xfId="1755" xr:uid="{00000000-0005-0000-0000-0000DE7C0000}"/>
    <cellStyle name="Normal 57 3 2 7 4 2" xfId="11126" xr:uid="{00000000-0005-0000-0000-0000DF7C0000}"/>
    <cellStyle name="Normal 57 3 2 7 4 2 2" xfId="36681" xr:uid="{00000000-0005-0000-0000-0000E07C0000}"/>
    <cellStyle name="Normal 57 3 2 7 4 3" xfId="21130" xr:uid="{00000000-0005-0000-0000-0000E17C0000}"/>
    <cellStyle name="Normal 57 3 2 7 4 3 2" xfId="46683" xr:uid="{00000000-0005-0000-0000-0000E27C0000}"/>
    <cellStyle name="Normal 57 3 2 7 4 4" xfId="27613" xr:uid="{00000000-0005-0000-0000-0000E37C0000}"/>
    <cellStyle name="Normal 57 3 2 7 5" xfId="6448" xr:uid="{00000000-0005-0000-0000-0000E47C0000}"/>
    <cellStyle name="Normal 57 3 2 7 5 2" xfId="15275" xr:uid="{00000000-0005-0000-0000-0000E57C0000}"/>
    <cellStyle name="Normal 57 3 2 7 5 2 2" xfId="40830" xr:uid="{00000000-0005-0000-0000-0000E67C0000}"/>
    <cellStyle name="Normal 57 3 2 7 5 3" xfId="25526" xr:uid="{00000000-0005-0000-0000-0000E77C0000}"/>
    <cellStyle name="Normal 57 3 2 7 5 3 2" xfId="51079" xr:uid="{00000000-0005-0000-0000-0000E87C0000}"/>
    <cellStyle name="Normal 57 3 2 7 5 4" xfId="32009" xr:uid="{00000000-0005-0000-0000-0000E97C0000}"/>
    <cellStyle name="Normal 57 3 2 7 6" xfId="7894" xr:uid="{00000000-0005-0000-0000-0000EA7C0000}"/>
    <cellStyle name="Normal 57 3 2 7 6 2" xfId="20436" xr:uid="{00000000-0005-0000-0000-0000EB7C0000}"/>
    <cellStyle name="Normal 57 3 2 7 6 2 2" xfId="45989" xr:uid="{00000000-0005-0000-0000-0000EC7C0000}"/>
    <cellStyle name="Normal 57 3 2 7 6 3" xfId="33451" xr:uid="{00000000-0005-0000-0000-0000ED7C0000}"/>
    <cellStyle name="Normal 57 3 2 7 7" xfId="16123" xr:uid="{00000000-0005-0000-0000-0000EE7C0000}"/>
    <cellStyle name="Normal 57 3 2 7 7 2" xfId="41676" xr:uid="{00000000-0005-0000-0000-0000EF7C0000}"/>
    <cellStyle name="Normal 57 3 2 7 8" xfId="26919" xr:uid="{00000000-0005-0000-0000-0000F07C0000}"/>
    <cellStyle name="Normal 57 3 2 8" xfId="2652" xr:uid="{00000000-0005-0000-0000-0000F17C0000}"/>
    <cellStyle name="Normal 57 3 2 8 2" xfId="5145" xr:uid="{00000000-0005-0000-0000-0000F27C0000}"/>
    <cellStyle name="Normal 57 3 2 8 2 2" xfId="13982" xr:uid="{00000000-0005-0000-0000-0000F37C0000}"/>
    <cellStyle name="Normal 57 3 2 8 2 2 2" xfId="24233" xr:uid="{00000000-0005-0000-0000-0000F47C0000}"/>
    <cellStyle name="Normal 57 3 2 8 2 2 2 2" xfId="49786" xr:uid="{00000000-0005-0000-0000-0000F57C0000}"/>
    <cellStyle name="Normal 57 3 2 8 2 2 3" xfId="39537" xr:uid="{00000000-0005-0000-0000-0000F67C0000}"/>
    <cellStyle name="Normal 57 3 2 8 2 3" xfId="10403" xr:uid="{00000000-0005-0000-0000-0000F77C0000}"/>
    <cellStyle name="Normal 57 3 2 8 2 3 2" xfId="35960" xr:uid="{00000000-0005-0000-0000-0000F87C0000}"/>
    <cellStyle name="Normal 57 3 2 8 2 4" xfId="19226" xr:uid="{00000000-0005-0000-0000-0000F97C0000}"/>
    <cellStyle name="Normal 57 3 2 8 2 4 2" xfId="44779" xr:uid="{00000000-0005-0000-0000-0000FA7C0000}"/>
    <cellStyle name="Normal 57 3 2 8 2 5" xfId="30716" xr:uid="{00000000-0005-0000-0000-0000FB7C0000}"/>
    <cellStyle name="Normal 57 3 2 8 3" xfId="6600" xr:uid="{00000000-0005-0000-0000-0000FC7C0000}"/>
    <cellStyle name="Normal 57 3 2 8 3 2" xfId="15427" xr:uid="{00000000-0005-0000-0000-0000FD7C0000}"/>
    <cellStyle name="Normal 57 3 2 8 3 2 2" xfId="40982" xr:uid="{00000000-0005-0000-0000-0000FE7C0000}"/>
    <cellStyle name="Normal 57 3 2 8 3 3" xfId="25678" xr:uid="{00000000-0005-0000-0000-0000FF7C0000}"/>
    <cellStyle name="Normal 57 3 2 8 3 3 2" xfId="51231" xr:uid="{00000000-0005-0000-0000-0000007D0000}"/>
    <cellStyle name="Normal 57 3 2 8 3 4" xfId="32161" xr:uid="{00000000-0005-0000-0000-0000017D0000}"/>
    <cellStyle name="Normal 57 3 2 8 4" xfId="8046" xr:uid="{00000000-0005-0000-0000-0000027D0000}"/>
    <cellStyle name="Normal 57 3 2 8 4 2" xfId="22013" xr:uid="{00000000-0005-0000-0000-0000037D0000}"/>
    <cellStyle name="Normal 57 3 2 8 4 2 2" xfId="47566" xr:uid="{00000000-0005-0000-0000-0000047D0000}"/>
    <cellStyle name="Normal 57 3 2 8 4 3" xfId="33603" xr:uid="{00000000-0005-0000-0000-0000057D0000}"/>
    <cellStyle name="Normal 57 3 2 8 5" xfId="17006" xr:uid="{00000000-0005-0000-0000-0000067D0000}"/>
    <cellStyle name="Normal 57 3 2 8 5 2" xfId="42559" xr:uid="{00000000-0005-0000-0000-0000077D0000}"/>
    <cellStyle name="Normal 57 3 2 8 6" xfId="28496" xr:uid="{00000000-0005-0000-0000-0000087D0000}"/>
    <cellStyle name="Normal 57 3 2 9" xfId="4099" xr:uid="{00000000-0005-0000-0000-0000097D0000}"/>
    <cellStyle name="Normal 57 3 2 9 2" xfId="5557" xr:uid="{00000000-0005-0000-0000-00000A7D0000}"/>
    <cellStyle name="Normal 57 3 2 9 2 2" xfId="14384" xr:uid="{00000000-0005-0000-0000-00000B7D0000}"/>
    <cellStyle name="Normal 57 3 2 9 2 2 2" xfId="39939" xr:uid="{00000000-0005-0000-0000-00000C7D0000}"/>
    <cellStyle name="Normal 57 3 2 9 2 3" xfId="24635" xr:uid="{00000000-0005-0000-0000-00000D7D0000}"/>
    <cellStyle name="Normal 57 3 2 9 2 3 2" xfId="50188" xr:uid="{00000000-0005-0000-0000-00000E7D0000}"/>
    <cellStyle name="Normal 57 3 2 9 2 4" xfId="31118" xr:uid="{00000000-0005-0000-0000-00000F7D0000}"/>
    <cellStyle name="Normal 57 3 2 9 3" xfId="7001" xr:uid="{00000000-0005-0000-0000-0000107D0000}"/>
    <cellStyle name="Normal 57 3 2 9 3 2" xfId="23188" xr:uid="{00000000-0005-0000-0000-0000117D0000}"/>
    <cellStyle name="Normal 57 3 2 9 3 2 2" xfId="48741" xr:uid="{00000000-0005-0000-0000-0000127D0000}"/>
    <cellStyle name="Normal 57 3 2 9 3 3" xfId="32558" xr:uid="{00000000-0005-0000-0000-0000137D0000}"/>
    <cellStyle name="Normal 57 3 2 9 4" xfId="18181" xr:uid="{00000000-0005-0000-0000-0000147D0000}"/>
    <cellStyle name="Normal 57 3 2 9 4 2" xfId="43734" xr:uid="{00000000-0005-0000-0000-0000157D0000}"/>
    <cellStyle name="Normal 57 3 2 9 5" xfId="29671" xr:uid="{00000000-0005-0000-0000-0000167D0000}"/>
    <cellStyle name="Normal 57 3 2_Degree data" xfId="3936" xr:uid="{00000000-0005-0000-0000-0000177D0000}"/>
    <cellStyle name="Normal 57 3 3" xfId="136" xr:uid="{00000000-0005-0000-0000-0000187D0000}"/>
    <cellStyle name="Normal 57 3 3 10" xfId="1404" xr:uid="{00000000-0005-0000-0000-0000197D0000}"/>
    <cellStyle name="Normal 57 3 3 10 2" xfId="10781" xr:uid="{00000000-0005-0000-0000-00001A7D0000}"/>
    <cellStyle name="Normal 57 3 3 10 2 2" xfId="36336" xr:uid="{00000000-0005-0000-0000-00001B7D0000}"/>
    <cellStyle name="Normal 57 3 3 10 3" xfId="20785" xr:uid="{00000000-0005-0000-0000-00001C7D0000}"/>
    <cellStyle name="Normal 57 3 3 10 3 2" xfId="46338" xr:uid="{00000000-0005-0000-0000-00001D7D0000}"/>
    <cellStyle name="Normal 57 3 3 10 4" xfId="27268" xr:uid="{00000000-0005-0000-0000-00001E7D0000}"/>
    <cellStyle name="Normal 57 3 3 11" xfId="5515" xr:uid="{00000000-0005-0000-0000-00001F7D0000}"/>
    <cellStyle name="Normal 57 3 3 11 2" xfId="14342" xr:uid="{00000000-0005-0000-0000-0000207D0000}"/>
    <cellStyle name="Normal 57 3 3 11 2 2" xfId="39897" xr:uid="{00000000-0005-0000-0000-0000217D0000}"/>
    <cellStyle name="Normal 57 3 3 11 3" xfId="24593" xr:uid="{00000000-0005-0000-0000-0000227D0000}"/>
    <cellStyle name="Normal 57 3 3 11 3 2" xfId="50146" xr:uid="{00000000-0005-0000-0000-0000237D0000}"/>
    <cellStyle name="Normal 57 3 3 11 4" xfId="31076" xr:uid="{00000000-0005-0000-0000-0000247D0000}"/>
    <cellStyle name="Normal 57 3 3 12" xfId="6955" xr:uid="{00000000-0005-0000-0000-0000257D0000}"/>
    <cellStyle name="Normal 57 3 3 12 2" xfId="19600" xr:uid="{00000000-0005-0000-0000-0000267D0000}"/>
    <cellStyle name="Normal 57 3 3 12 2 2" xfId="45153" xr:uid="{00000000-0005-0000-0000-0000277D0000}"/>
    <cellStyle name="Normal 57 3 3 12 3" xfId="32513" xr:uid="{00000000-0005-0000-0000-0000287D0000}"/>
    <cellStyle name="Normal 57 3 3 13" xfId="15778" xr:uid="{00000000-0005-0000-0000-0000297D0000}"/>
    <cellStyle name="Normal 57 3 3 13 2" xfId="41331" xr:uid="{00000000-0005-0000-0000-00002A7D0000}"/>
    <cellStyle name="Normal 57 3 3 14" xfId="26083" xr:uid="{00000000-0005-0000-0000-00002B7D0000}"/>
    <cellStyle name="Normal 57 3 3 2" xfId="186" xr:uid="{00000000-0005-0000-0000-00002C7D0000}"/>
    <cellStyle name="Normal 57 3 3 2 10" xfId="7134" xr:uid="{00000000-0005-0000-0000-00002D7D0000}"/>
    <cellStyle name="Normal 57 3 3 2 10 2" xfId="19643" xr:uid="{00000000-0005-0000-0000-00002E7D0000}"/>
    <cellStyle name="Normal 57 3 3 2 10 2 2" xfId="45196" xr:uid="{00000000-0005-0000-0000-00002F7D0000}"/>
    <cellStyle name="Normal 57 3 3 2 10 3" xfId="32691" xr:uid="{00000000-0005-0000-0000-0000307D0000}"/>
    <cellStyle name="Normal 57 3 3 2 11" xfId="15880" xr:uid="{00000000-0005-0000-0000-0000317D0000}"/>
    <cellStyle name="Normal 57 3 3 2 11 2" xfId="41433" xr:uid="{00000000-0005-0000-0000-0000327D0000}"/>
    <cellStyle name="Normal 57 3 3 2 12" xfId="26126" xr:uid="{00000000-0005-0000-0000-0000337D0000}"/>
    <cellStyle name="Normal 57 3 3 2 2" xfId="514" xr:uid="{00000000-0005-0000-0000-0000347D0000}"/>
    <cellStyle name="Normal 57 3 3 2 2 10" xfId="26443" xr:uid="{00000000-0005-0000-0000-0000357D0000}"/>
    <cellStyle name="Normal 57 3 3 2 2 2" xfId="839" xr:uid="{00000000-0005-0000-0000-0000367D0000}"/>
    <cellStyle name="Normal 57 3 3 2 2 2 2" xfId="3324" xr:uid="{00000000-0005-0000-0000-0000377D0000}"/>
    <cellStyle name="Normal 57 3 3 2 2 2 2 2" xfId="12466" xr:uid="{00000000-0005-0000-0000-0000387D0000}"/>
    <cellStyle name="Normal 57 3 3 2 2 2 2 2 2" xfId="22685" xr:uid="{00000000-0005-0000-0000-0000397D0000}"/>
    <cellStyle name="Normal 57 3 3 2 2 2 2 2 2 2" xfId="48238" xr:uid="{00000000-0005-0000-0000-00003A7D0000}"/>
    <cellStyle name="Normal 57 3 3 2 2 2 2 2 3" xfId="38021" xr:uid="{00000000-0005-0000-0000-00003B7D0000}"/>
    <cellStyle name="Normal 57 3 3 2 2 2 2 3" xfId="8888" xr:uid="{00000000-0005-0000-0000-00003C7D0000}"/>
    <cellStyle name="Normal 57 3 3 2 2 2 2 3 2" xfId="34445" xr:uid="{00000000-0005-0000-0000-00003D7D0000}"/>
    <cellStyle name="Normal 57 3 3 2 2 2 2 4" xfId="17678" xr:uid="{00000000-0005-0000-0000-00003E7D0000}"/>
    <cellStyle name="Normal 57 3 3 2 2 2 2 4 2" xfId="43231" xr:uid="{00000000-0005-0000-0000-00003F7D0000}"/>
    <cellStyle name="Normal 57 3 3 2 2 2 2 5" xfId="29168" xr:uid="{00000000-0005-0000-0000-0000407D0000}"/>
    <cellStyle name="Normal 57 3 3 2 2 2 3" xfId="4653" xr:uid="{00000000-0005-0000-0000-0000417D0000}"/>
    <cellStyle name="Normal 57 3 3 2 2 2 3 2" xfId="13491" xr:uid="{00000000-0005-0000-0000-0000427D0000}"/>
    <cellStyle name="Normal 57 3 3 2 2 2 3 2 2" xfId="23742" xr:uid="{00000000-0005-0000-0000-0000437D0000}"/>
    <cellStyle name="Normal 57 3 3 2 2 2 3 2 2 2" xfId="49295" xr:uid="{00000000-0005-0000-0000-0000447D0000}"/>
    <cellStyle name="Normal 57 3 3 2 2 2 3 2 3" xfId="39046" xr:uid="{00000000-0005-0000-0000-0000457D0000}"/>
    <cellStyle name="Normal 57 3 3 2 2 2 3 3" xfId="9912" xr:uid="{00000000-0005-0000-0000-0000467D0000}"/>
    <cellStyle name="Normal 57 3 3 2 2 2 3 3 2" xfId="35469" xr:uid="{00000000-0005-0000-0000-0000477D0000}"/>
    <cellStyle name="Normal 57 3 3 2 2 2 3 4" xfId="18735" xr:uid="{00000000-0005-0000-0000-0000487D0000}"/>
    <cellStyle name="Normal 57 3 3 2 2 2 3 4 2" xfId="44288" xr:uid="{00000000-0005-0000-0000-0000497D0000}"/>
    <cellStyle name="Normal 57 3 3 2 2 2 3 5" xfId="30225" xr:uid="{00000000-0005-0000-0000-00004A7D0000}"/>
    <cellStyle name="Normal 57 3 3 2 2 2 4" xfId="2433" xr:uid="{00000000-0005-0000-0000-00004B7D0000}"/>
    <cellStyle name="Normal 57 3 3 2 2 2 4 2" xfId="11798" xr:uid="{00000000-0005-0000-0000-00004C7D0000}"/>
    <cellStyle name="Normal 57 3 3 2 2 2 4 2 2" xfId="37353" xr:uid="{00000000-0005-0000-0000-00004D7D0000}"/>
    <cellStyle name="Normal 57 3 3 2 2 2 4 3" xfId="21802" xr:uid="{00000000-0005-0000-0000-00004E7D0000}"/>
    <cellStyle name="Normal 57 3 3 2 2 2 4 3 2" xfId="47355" xr:uid="{00000000-0005-0000-0000-00004F7D0000}"/>
    <cellStyle name="Normal 57 3 3 2 2 2 4 4" xfId="28285" xr:uid="{00000000-0005-0000-0000-0000507D0000}"/>
    <cellStyle name="Normal 57 3 3 2 2 2 5" xfId="6109" xr:uid="{00000000-0005-0000-0000-0000517D0000}"/>
    <cellStyle name="Normal 57 3 3 2 2 2 5 2" xfId="14936" xr:uid="{00000000-0005-0000-0000-0000527D0000}"/>
    <cellStyle name="Normal 57 3 3 2 2 2 5 2 2" xfId="40491" xr:uid="{00000000-0005-0000-0000-0000537D0000}"/>
    <cellStyle name="Normal 57 3 3 2 2 2 5 3" xfId="25187" xr:uid="{00000000-0005-0000-0000-0000547D0000}"/>
    <cellStyle name="Normal 57 3 3 2 2 2 5 3 2" xfId="50740" xr:uid="{00000000-0005-0000-0000-0000557D0000}"/>
    <cellStyle name="Normal 57 3 3 2 2 2 5 4" xfId="31670" xr:uid="{00000000-0005-0000-0000-0000567D0000}"/>
    <cellStyle name="Normal 57 3 3 2 2 2 6" xfId="7554" xr:uid="{00000000-0005-0000-0000-0000577D0000}"/>
    <cellStyle name="Normal 57 3 3 2 2 2 6 2" xfId="20284" xr:uid="{00000000-0005-0000-0000-0000587D0000}"/>
    <cellStyle name="Normal 57 3 3 2 2 2 6 2 2" xfId="45837" xr:uid="{00000000-0005-0000-0000-0000597D0000}"/>
    <cellStyle name="Normal 57 3 3 2 2 2 6 3" xfId="33111" xr:uid="{00000000-0005-0000-0000-00005A7D0000}"/>
    <cellStyle name="Normal 57 3 3 2 2 2 7" xfId="16795" xr:uid="{00000000-0005-0000-0000-00005B7D0000}"/>
    <cellStyle name="Normal 57 3 3 2 2 2 7 2" xfId="42348" xr:uid="{00000000-0005-0000-0000-00005C7D0000}"/>
    <cellStyle name="Normal 57 3 3 2 2 2 8" xfId="26767" xr:uid="{00000000-0005-0000-0000-00005D7D0000}"/>
    <cellStyle name="Normal 57 3 3 2 2 3" xfId="1286" xr:uid="{00000000-0005-0000-0000-00005E7D0000}"/>
    <cellStyle name="Normal 57 3 3 2 2 3 2" xfId="3715" xr:uid="{00000000-0005-0000-0000-00005F7D0000}"/>
    <cellStyle name="Normal 57 3 3 2 2 3 2 2" xfId="12851" xr:uid="{00000000-0005-0000-0000-0000607D0000}"/>
    <cellStyle name="Normal 57 3 3 2 2 3 2 2 2" xfId="23070" xr:uid="{00000000-0005-0000-0000-0000617D0000}"/>
    <cellStyle name="Normal 57 3 3 2 2 3 2 2 2 2" xfId="48623" xr:uid="{00000000-0005-0000-0000-0000627D0000}"/>
    <cellStyle name="Normal 57 3 3 2 2 3 2 2 3" xfId="38406" xr:uid="{00000000-0005-0000-0000-0000637D0000}"/>
    <cellStyle name="Normal 57 3 3 2 2 3 2 3" xfId="9272" xr:uid="{00000000-0005-0000-0000-0000647D0000}"/>
    <cellStyle name="Normal 57 3 3 2 2 3 2 3 2" xfId="34829" xr:uid="{00000000-0005-0000-0000-0000657D0000}"/>
    <cellStyle name="Normal 57 3 3 2 2 3 2 4" xfId="18063" xr:uid="{00000000-0005-0000-0000-0000667D0000}"/>
    <cellStyle name="Normal 57 3 3 2 2 3 2 4 2" xfId="43616" xr:uid="{00000000-0005-0000-0000-0000677D0000}"/>
    <cellStyle name="Normal 57 3 3 2 2 3 2 5" xfId="29553" xr:uid="{00000000-0005-0000-0000-0000687D0000}"/>
    <cellStyle name="Normal 57 3 3 2 2 3 3" xfId="5002" xr:uid="{00000000-0005-0000-0000-0000697D0000}"/>
    <cellStyle name="Normal 57 3 3 2 2 3 3 2" xfId="13839" xr:uid="{00000000-0005-0000-0000-00006A7D0000}"/>
    <cellStyle name="Normal 57 3 3 2 2 3 3 2 2" xfId="24090" xr:uid="{00000000-0005-0000-0000-00006B7D0000}"/>
    <cellStyle name="Normal 57 3 3 2 2 3 3 2 2 2" xfId="49643" xr:uid="{00000000-0005-0000-0000-00006C7D0000}"/>
    <cellStyle name="Normal 57 3 3 2 2 3 3 2 3" xfId="39394" xr:uid="{00000000-0005-0000-0000-00006D7D0000}"/>
    <cellStyle name="Normal 57 3 3 2 2 3 3 3" xfId="10260" xr:uid="{00000000-0005-0000-0000-00006E7D0000}"/>
    <cellStyle name="Normal 57 3 3 2 2 3 3 3 2" xfId="35817" xr:uid="{00000000-0005-0000-0000-00006F7D0000}"/>
    <cellStyle name="Normal 57 3 3 2 2 3 3 4" xfId="19083" xr:uid="{00000000-0005-0000-0000-0000707D0000}"/>
    <cellStyle name="Normal 57 3 3 2 2 3 3 4 2" xfId="44636" xr:uid="{00000000-0005-0000-0000-0000717D0000}"/>
    <cellStyle name="Normal 57 3 3 2 2 3 3 5" xfId="30573" xr:uid="{00000000-0005-0000-0000-0000727D0000}"/>
    <cellStyle name="Normal 57 3 3 2 2 3 4" xfId="2109" xr:uid="{00000000-0005-0000-0000-0000737D0000}"/>
    <cellStyle name="Normal 57 3 3 2 2 3 4 2" xfId="11474" xr:uid="{00000000-0005-0000-0000-0000747D0000}"/>
    <cellStyle name="Normal 57 3 3 2 2 3 4 2 2" xfId="37029" xr:uid="{00000000-0005-0000-0000-0000757D0000}"/>
    <cellStyle name="Normal 57 3 3 2 2 3 4 3" xfId="21478" xr:uid="{00000000-0005-0000-0000-0000767D0000}"/>
    <cellStyle name="Normal 57 3 3 2 2 3 4 3 2" xfId="47031" xr:uid="{00000000-0005-0000-0000-0000777D0000}"/>
    <cellStyle name="Normal 57 3 3 2 2 3 4 4" xfId="27961" xr:uid="{00000000-0005-0000-0000-0000787D0000}"/>
    <cellStyle name="Normal 57 3 3 2 2 3 5" xfId="6457" xr:uid="{00000000-0005-0000-0000-0000797D0000}"/>
    <cellStyle name="Normal 57 3 3 2 2 3 5 2" xfId="15284" xr:uid="{00000000-0005-0000-0000-00007A7D0000}"/>
    <cellStyle name="Normal 57 3 3 2 2 3 5 2 2" xfId="40839" xr:uid="{00000000-0005-0000-0000-00007B7D0000}"/>
    <cellStyle name="Normal 57 3 3 2 2 3 5 3" xfId="25535" xr:uid="{00000000-0005-0000-0000-00007C7D0000}"/>
    <cellStyle name="Normal 57 3 3 2 2 3 5 3 2" xfId="51088" xr:uid="{00000000-0005-0000-0000-00007D7D0000}"/>
    <cellStyle name="Normal 57 3 3 2 2 3 5 4" xfId="32018" xr:uid="{00000000-0005-0000-0000-00007E7D0000}"/>
    <cellStyle name="Normal 57 3 3 2 2 3 6" xfId="7903" xr:uid="{00000000-0005-0000-0000-00007F7D0000}"/>
    <cellStyle name="Normal 57 3 3 2 2 3 6 2" xfId="20669" xr:uid="{00000000-0005-0000-0000-0000807D0000}"/>
    <cellStyle name="Normal 57 3 3 2 2 3 6 2 2" xfId="46222" xr:uid="{00000000-0005-0000-0000-0000817D0000}"/>
    <cellStyle name="Normal 57 3 3 2 2 3 6 3" xfId="33460" xr:uid="{00000000-0005-0000-0000-0000827D0000}"/>
    <cellStyle name="Normal 57 3 3 2 2 3 7" xfId="16471" xr:uid="{00000000-0005-0000-0000-0000837D0000}"/>
    <cellStyle name="Normal 57 3 3 2 2 3 7 2" xfId="42024" xr:uid="{00000000-0005-0000-0000-0000847D0000}"/>
    <cellStyle name="Normal 57 3 3 2 2 3 8" xfId="27152" xr:uid="{00000000-0005-0000-0000-0000857D0000}"/>
    <cellStyle name="Normal 57 3 3 2 2 4" xfId="3000" xr:uid="{00000000-0005-0000-0000-0000867D0000}"/>
    <cellStyle name="Normal 57 3 3 2 2 4 2" xfId="5378" xr:uid="{00000000-0005-0000-0000-0000877D0000}"/>
    <cellStyle name="Normal 57 3 3 2 2 4 2 2" xfId="14215" xr:uid="{00000000-0005-0000-0000-0000887D0000}"/>
    <cellStyle name="Normal 57 3 3 2 2 4 2 2 2" xfId="24466" xr:uid="{00000000-0005-0000-0000-0000897D0000}"/>
    <cellStyle name="Normal 57 3 3 2 2 4 2 2 2 2" xfId="50019" xr:uid="{00000000-0005-0000-0000-00008A7D0000}"/>
    <cellStyle name="Normal 57 3 3 2 2 4 2 2 3" xfId="39770" xr:uid="{00000000-0005-0000-0000-00008B7D0000}"/>
    <cellStyle name="Normal 57 3 3 2 2 4 2 3" xfId="10636" xr:uid="{00000000-0005-0000-0000-00008C7D0000}"/>
    <cellStyle name="Normal 57 3 3 2 2 4 2 3 2" xfId="36193" xr:uid="{00000000-0005-0000-0000-00008D7D0000}"/>
    <cellStyle name="Normal 57 3 3 2 2 4 2 4" xfId="19459" xr:uid="{00000000-0005-0000-0000-00008E7D0000}"/>
    <cellStyle name="Normal 57 3 3 2 2 4 2 4 2" xfId="45012" xr:uid="{00000000-0005-0000-0000-00008F7D0000}"/>
    <cellStyle name="Normal 57 3 3 2 2 4 2 5" xfId="30949" xr:uid="{00000000-0005-0000-0000-0000907D0000}"/>
    <cellStyle name="Normal 57 3 3 2 2 4 3" xfId="6833" xr:uid="{00000000-0005-0000-0000-0000917D0000}"/>
    <cellStyle name="Normal 57 3 3 2 2 4 3 2" xfId="15660" xr:uid="{00000000-0005-0000-0000-0000927D0000}"/>
    <cellStyle name="Normal 57 3 3 2 2 4 3 2 2" xfId="41215" xr:uid="{00000000-0005-0000-0000-0000937D0000}"/>
    <cellStyle name="Normal 57 3 3 2 2 4 3 3" xfId="25911" xr:uid="{00000000-0005-0000-0000-0000947D0000}"/>
    <cellStyle name="Normal 57 3 3 2 2 4 3 3 2" xfId="51464" xr:uid="{00000000-0005-0000-0000-0000957D0000}"/>
    <cellStyle name="Normal 57 3 3 2 2 4 3 4" xfId="32394" xr:uid="{00000000-0005-0000-0000-0000967D0000}"/>
    <cellStyle name="Normal 57 3 3 2 2 4 4" xfId="8279" xr:uid="{00000000-0005-0000-0000-0000977D0000}"/>
    <cellStyle name="Normal 57 3 3 2 2 4 4 2" xfId="22361" xr:uid="{00000000-0005-0000-0000-0000987D0000}"/>
    <cellStyle name="Normal 57 3 3 2 2 4 4 2 2" xfId="47914" xr:uid="{00000000-0005-0000-0000-0000997D0000}"/>
    <cellStyle name="Normal 57 3 3 2 2 4 4 3" xfId="33836" xr:uid="{00000000-0005-0000-0000-00009A7D0000}"/>
    <cellStyle name="Normal 57 3 3 2 2 4 5" xfId="17354" xr:uid="{00000000-0005-0000-0000-00009B7D0000}"/>
    <cellStyle name="Normal 57 3 3 2 2 4 5 2" xfId="42907" xr:uid="{00000000-0005-0000-0000-00009C7D0000}"/>
    <cellStyle name="Normal 57 3 3 2 2 4 6" xfId="28844" xr:uid="{00000000-0005-0000-0000-00009D7D0000}"/>
    <cellStyle name="Normal 57 3 3 2 2 5" xfId="4334" xr:uid="{00000000-0005-0000-0000-00009E7D0000}"/>
    <cellStyle name="Normal 57 3 3 2 2 5 2" xfId="13172" xr:uid="{00000000-0005-0000-0000-00009F7D0000}"/>
    <cellStyle name="Normal 57 3 3 2 2 5 2 2" xfId="23423" xr:uid="{00000000-0005-0000-0000-0000A07D0000}"/>
    <cellStyle name="Normal 57 3 3 2 2 5 2 2 2" xfId="48976" xr:uid="{00000000-0005-0000-0000-0000A17D0000}"/>
    <cellStyle name="Normal 57 3 3 2 2 5 2 3" xfId="38727" xr:uid="{00000000-0005-0000-0000-0000A27D0000}"/>
    <cellStyle name="Normal 57 3 3 2 2 5 3" xfId="9593" xr:uid="{00000000-0005-0000-0000-0000A37D0000}"/>
    <cellStyle name="Normal 57 3 3 2 2 5 3 2" xfId="35150" xr:uid="{00000000-0005-0000-0000-0000A47D0000}"/>
    <cellStyle name="Normal 57 3 3 2 2 5 4" xfId="18416" xr:uid="{00000000-0005-0000-0000-0000A57D0000}"/>
    <cellStyle name="Normal 57 3 3 2 2 5 4 2" xfId="43969" xr:uid="{00000000-0005-0000-0000-0000A67D0000}"/>
    <cellStyle name="Normal 57 3 3 2 2 5 5" xfId="29906" xr:uid="{00000000-0005-0000-0000-0000A77D0000}"/>
    <cellStyle name="Normal 57 3 3 2 2 6" xfId="1606" xr:uid="{00000000-0005-0000-0000-0000A87D0000}"/>
    <cellStyle name="Normal 57 3 3 2 2 6 2" xfId="10983" xr:uid="{00000000-0005-0000-0000-0000A97D0000}"/>
    <cellStyle name="Normal 57 3 3 2 2 6 2 2" xfId="36538" xr:uid="{00000000-0005-0000-0000-0000AA7D0000}"/>
    <cellStyle name="Normal 57 3 3 2 2 6 3" xfId="20987" xr:uid="{00000000-0005-0000-0000-0000AB7D0000}"/>
    <cellStyle name="Normal 57 3 3 2 2 6 3 2" xfId="46540" xr:uid="{00000000-0005-0000-0000-0000AC7D0000}"/>
    <cellStyle name="Normal 57 3 3 2 2 6 4" xfId="27470" xr:uid="{00000000-0005-0000-0000-0000AD7D0000}"/>
    <cellStyle name="Normal 57 3 3 2 2 7" xfId="5790" xr:uid="{00000000-0005-0000-0000-0000AE7D0000}"/>
    <cellStyle name="Normal 57 3 3 2 2 7 2" xfId="14617" xr:uid="{00000000-0005-0000-0000-0000AF7D0000}"/>
    <cellStyle name="Normal 57 3 3 2 2 7 2 2" xfId="40172" xr:uid="{00000000-0005-0000-0000-0000B07D0000}"/>
    <cellStyle name="Normal 57 3 3 2 2 7 3" xfId="24868" xr:uid="{00000000-0005-0000-0000-0000B17D0000}"/>
    <cellStyle name="Normal 57 3 3 2 2 7 3 2" xfId="50421" xr:uid="{00000000-0005-0000-0000-0000B27D0000}"/>
    <cellStyle name="Normal 57 3 3 2 2 7 4" xfId="31351" xr:uid="{00000000-0005-0000-0000-0000B37D0000}"/>
    <cellStyle name="Normal 57 3 3 2 2 8" xfId="7234" xr:uid="{00000000-0005-0000-0000-0000B47D0000}"/>
    <cellStyle name="Normal 57 3 3 2 2 8 2" xfId="19960" xr:uid="{00000000-0005-0000-0000-0000B57D0000}"/>
    <cellStyle name="Normal 57 3 3 2 2 8 2 2" xfId="45513" xr:uid="{00000000-0005-0000-0000-0000B67D0000}"/>
    <cellStyle name="Normal 57 3 3 2 2 8 3" xfId="32791" xr:uid="{00000000-0005-0000-0000-0000B77D0000}"/>
    <cellStyle name="Normal 57 3 3 2 2 9" xfId="15980" xr:uid="{00000000-0005-0000-0000-0000B87D0000}"/>
    <cellStyle name="Normal 57 3 3 2 2 9 2" xfId="41533" xr:uid="{00000000-0005-0000-0000-0000B97D0000}"/>
    <cellStyle name="Normal 57 3 3 2 2_Degree data" xfId="3945" xr:uid="{00000000-0005-0000-0000-0000BA7D0000}"/>
    <cellStyle name="Normal 57 3 3 2 3" xfId="414" xr:uid="{00000000-0005-0000-0000-0000BB7D0000}"/>
    <cellStyle name="Normal 57 3 3 2 3 2" xfId="2900" xr:uid="{00000000-0005-0000-0000-0000BC7D0000}"/>
    <cellStyle name="Normal 57 3 3 2 3 2 2" xfId="12188" xr:uid="{00000000-0005-0000-0000-0000BD7D0000}"/>
    <cellStyle name="Normal 57 3 3 2 3 2 2 2" xfId="22261" xr:uid="{00000000-0005-0000-0000-0000BE7D0000}"/>
    <cellStyle name="Normal 57 3 3 2 3 2 2 2 2" xfId="47814" xr:uid="{00000000-0005-0000-0000-0000BF7D0000}"/>
    <cellStyle name="Normal 57 3 3 2 3 2 2 3" xfId="37743" xr:uid="{00000000-0005-0000-0000-0000C07D0000}"/>
    <cellStyle name="Normal 57 3 3 2 3 2 3" xfId="8511" xr:uid="{00000000-0005-0000-0000-0000C17D0000}"/>
    <cellStyle name="Normal 57 3 3 2 3 2 3 2" xfId="34068" xr:uid="{00000000-0005-0000-0000-0000C27D0000}"/>
    <cellStyle name="Normal 57 3 3 2 3 2 4" xfId="17254" xr:uid="{00000000-0005-0000-0000-0000C37D0000}"/>
    <cellStyle name="Normal 57 3 3 2 3 2 4 2" xfId="42807" xr:uid="{00000000-0005-0000-0000-0000C47D0000}"/>
    <cellStyle name="Normal 57 3 3 2 3 2 5" xfId="28744" xr:uid="{00000000-0005-0000-0000-0000C57D0000}"/>
    <cellStyle name="Normal 57 3 3 2 3 3" xfId="4652" xr:uid="{00000000-0005-0000-0000-0000C67D0000}"/>
    <cellStyle name="Normal 57 3 3 2 3 3 2" xfId="13490" xr:uid="{00000000-0005-0000-0000-0000C77D0000}"/>
    <cellStyle name="Normal 57 3 3 2 3 3 2 2" xfId="23741" xr:uid="{00000000-0005-0000-0000-0000C87D0000}"/>
    <cellStyle name="Normal 57 3 3 2 3 3 2 2 2" xfId="49294" xr:uid="{00000000-0005-0000-0000-0000C97D0000}"/>
    <cellStyle name="Normal 57 3 3 2 3 3 2 3" xfId="39045" xr:uid="{00000000-0005-0000-0000-0000CA7D0000}"/>
    <cellStyle name="Normal 57 3 3 2 3 3 3" xfId="9911" xr:uid="{00000000-0005-0000-0000-0000CB7D0000}"/>
    <cellStyle name="Normal 57 3 3 2 3 3 3 2" xfId="35468" xr:uid="{00000000-0005-0000-0000-0000CC7D0000}"/>
    <cellStyle name="Normal 57 3 3 2 3 3 4" xfId="18734" xr:uid="{00000000-0005-0000-0000-0000CD7D0000}"/>
    <cellStyle name="Normal 57 3 3 2 3 3 4 2" xfId="44287" xr:uid="{00000000-0005-0000-0000-0000CE7D0000}"/>
    <cellStyle name="Normal 57 3 3 2 3 3 5" xfId="30224" xr:uid="{00000000-0005-0000-0000-0000CF7D0000}"/>
    <cellStyle name="Normal 57 3 3 2 3 4" xfId="2009" xr:uid="{00000000-0005-0000-0000-0000D07D0000}"/>
    <cellStyle name="Normal 57 3 3 2 3 4 2" xfId="11374" xr:uid="{00000000-0005-0000-0000-0000D17D0000}"/>
    <cellStyle name="Normal 57 3 3 2 3 4 2 2" xfId="36929" xr:uid="{00000000-0005-0000-0000-0000D27D0000}"/>
    <cellStyle name="Normal 57 3 3 2 3 4 3" xfId="21378" xr:uid="{00000000-0005-0000-0000-0000D37D0000}"/>
    <cellStyle name="Normal 57 3 3 2 3 4 3 2" xfId="46931" xr:uid="{00000000-0005-0000-0000-0000D47D0000}"/>
    <cellStyle name="Normal 57 3 3 2 3 4 4" xfId="27861" xr:uid="{00000000-0005-0000-0000-0000D57D0000}"/>
    <cellStyle name="Normal 57 3 3 2 3 5" xfId="6108" xr:uid="{00000000-0005-0000-0000-0000D67D0000}"/>
    <cellStyle name="Normal 57 3 3 2 3 5 2" xfId="14935" xr:uid="{00000000-0005-0000-0000-0000D77D0000}"/>
    <cellStyle name="Normal 57 3 3 2 3 5 2 2" xfId="40490" xr:uid="{00000000-0005-0000-0000-0000D87D0000}"/>
    <cellStyle name="Normal 57 3 3 2 3 5 3" xfId="25186" xr:uid="{00000000-0005-0000-0000-0000D97D0000}"/>
    <cellStyle name="Normal 57 3 3 2 3 5 3 2" xfId="50739" xr:uid="{00000000-0005-0000-0000-0000DA7D0000}"/>
    <cellStyle name="Normal 57 3 3 2 3 5 4" xfId="31669" xr:uid="{00000000-0005-0000-0000-0000DB7D0000}"/>
    <cellStyle name="Normal 57 3 3 2 3 6" xfId="7553" xr:uid="{00000000-0005-0000-0000-0000DC7D0000}"/>
    <cellStyle name="Normal 57 3 3 2 3 6 2" xfId="19860" xr:uid="{00000000-0005-0000-0000-0000DD7D0000}"/>
    <cellStyle name="Normal 57 3 3 2 3 6 2 2" xfId="45413" xr:uid="{00000000-0005-0000-0000-0000DE7D0000}"/>
    <cellStyle name="Normal 57 3 3 2 3 6 3" xfId="33110" xr:uid="{00000000-0005-0000-0000-0000DF7D0000}"/>
    <cellStyle name="Normal 57 3 3 2 3 7" xfId="16371" xr:uid="{00000000-0005-0000-0000-0000E07D0000}"/>
    <cellStyle name="Normal 57 3 3 2 3 7 2" xfId="41924" xr:uid="{00000000-0005-0000-0000-0000E17D0000}"/>
    <cellStyle name="Normal 57 3 3 2 3 8" xfId="26343" xr:uid="{00000000-0005-0000-0000-0000E27D0000}"/>
    <cellStyle name="Normal 57 3 3 2 4" xfId="838" xr:uid="{00000000-0005-0000-0000-0000E37D0000}"/>
    <cellStyle name="Normal 57 3 3 2 4 2" xfId="3323" xr:uid="{00000000-0005-0000-0000-0000E47D0000}"/>
    <cellStyle name="Normal 57 3 3 2 4 2 2" xfId="12465" xr:uid="{00000000-0005-0000-0000-0000E57D0000}"/>
    <cellStyle name="Normal 57 3 3 2 4 2 2 2" xfId="22684" xr:uid="{00000000-0005-0000-0000-0000E67D0000}"/>
    <cellStyle name="Normal 57 3 3 2 4 2 2 2 2" xfId="48237" xr:uid="{00000000-0005-0000-0000-0000E77D0000}"/>
    <cellStyle name="Normal 57 3 3 2 4 2 2 3" xfId="38020" xr:uid="{00000000-0005-0000-0000-0000E87D0000}"/>
    <cellStyle name="Normal 57 3 3 2 4 2 3" xfId="8887" xr:uid="{00000000-0005-0000-0000-0000E97D0000}"/>
    <cellStyle name="Normal 57 3 3 2 4 2 3 2" xfId="34444" xr:uid="{00000000-0005-0000-0000-0000EA7D0000}"/>
    <cellStyle name="Normal 57 3 3 2 4 2 4" xfId="17677" xr:uid="{00000000-0005-0000-0000-0000EB7D0000}"/>
    <cellStyle name="Normal 57 3 3 2 4 2 4 2" xfId="43230" xr:uid="{00000000-0005-0000-0000-0000EC7D0000}"/>
    <cellStyle name="Normal 57 3 3 2 4 2 5" xfId="29167" xr:uid="{00000000-0005-0000-0000-0000ED7D0000}"/>
    <cellStyle name="Normal 57 3 3 2 4 3" xfId="5001" xr:uid="{00000000-0005-0000-0000-0000EE7D0000}"/>
    <cellStyle name="Normal 57 3 3 2 4 3 2" xfId="13838" xr:uid="{00000000-0005-0000-0000-0000EF7D0000}"/>
    <cellStyle name="Normal 57 3 3 2 4 3 2 2" xfId="24089" xr:uid="{00000000-0005-0000-0000-0000F07D0000}"/>
    <cellStyle name="Normal 57 3 3 2 4 3 2 2 2" xfId="49642" xr:uid="{00000000-0005-0000-0000-0000F17D0000}"/>
    <cellStyle name="Normal 57 3 3 2 4 3 2 3" xfId="39393" xr:uid="{00000000-0005-0000-0000-0000F27D0000}"/>
    <cellStyle name="Normal 57 3 3 2 4 3 3" xfId="10259" xr:uid="{00000000-0005-0000-0000-0000F37D0000}"/>
    <cellStyle name="Normal 57 3 3 2 4 3 3 2" xfId="35816" xr:uid="{00000000-0005-0000-0000-0000F47D0000}"/>
    <cellStyle name="Normal 57 3 3 2 4 3 4" xfId="19082" xr:uid="{00000000-0005-0000-0000-0000F57D0000}"/>
    <cellStyle name="Normal 57 3 3 2 4 3 4 2" xfId="44635" xr:uid="{00000000-0005-0000-0000-0000F67D0000}"/>
    <cellStyle name="Normal 57 3 3 2 4 3 5" xfId="30572" xr:uid="{00000000-0005-0000-0000-0000F77D0000}"/>
    <cellStyle name="Normal 57 3 3 2 4 4" xfId="2432" xr:uid="{00000000-0005-0000-0000-0000F87D0000}"/>
    <cellStyle name="Normal 57 3 3 2 4 4 2" xfId="11797" xr:uid="{00000000-0005-0000-0000-0000F97D0000}"/>
    <cellStyle name="Normal 57 3 3 2 4 4 2 2" xfId="37352" xr:uid="{00000000-0005-0000-0000-0000FA7D0000}"/>
    <cellStyle name="Normal 57 3 3 2 4 4 3" xfId="21801" xr:uid="{00000000-0005-0000-0000-0000FB7D0000}"/>
    <cellStyle name="Normal 57 3 3 2 4 4 3 2" xfId="47354" xr:uid="{00000000-0005-0000-0000-0000FC7D0000}"/>
    <cellStyle name="Normal 57 3 3 2 4 4 4" xfId="28284" xr:uid="{00000000-0005-0000-0000-0000FD7D0000}"/>
    <cellStyle name="Normal 57 3 3 2 4 5" xfId="6456" xr:uid="{00000000-0005-0000-0000-0000FE7D0000}"/>
    <cellStyle name="Normal 57 3 3 2 4 5 2" xfId="15283" xr:uid="{00000000-0005-0000-0000-0000FF7D0000}"/>
    <cellStyle name="Normal 57 3 3 2 4 5 2 2" xfId="40838" xr:uid="{00000000-0005-0000-0000-0000007E0000}"/>
    <cellStyle name="Normal 57 3 3 2 4 5 3" xfId="25534" xr:uid="{00000000-0005-0000-0000-0000017E0000}"/>
    <cellStyle name="Normal 57 3 3 2 4 5 3 2" xfId="51087" xr:uid="{00000000-0005-0000-0000-0000027E0000}"/>
    <cellStyle name="Normal 57 3 3 2 4 5 4" xfId="32017" xr:uid="{00000000-0005-0000-0000-0000037E0000}"/>
    <cellStyle name="Normal 57 3 3 2 4 6" xfId="7902" xr:uid="{00000000-0005-0000-0000-0000047E0000}"/>
    <cellStyle name="Normal 57 3 3 2 4 6 2" xfId="20283" xr:uid="{00000000-0005-0000-0000-0000057E0000}"/>
    <cellStyle name="Normal 57 3 3 2 4 6 2 2" xfId="45836" xr:uid="{00000000-0005-0000-0000-0000067E0000}"/>
    <cellStyle name="Normal 57 3 3 2 4 6 3" xfId="33459" xr:uid="{00000000-0005-0000-0000-0000077E0000}"/>
    <cellStyle name="Normal 57 3 3 2 4 7" xfId="16794" xr:uid="{00000000-0005-0000-0000-0000087E0000}"/>
    <cellStyle name="Normal 57 3 3 2 4 7 2" xfId="42347" xr:uid="{00000000-0005-0000-0000-0000097E0000}"/>
    <cellStyle name="Normal 57 3 3 2 4 8" xfId="26766" xr:uid="{00000000-0005-0000-0000-00000A7E0000}"/>
    <cellStyle name="Normal 57 3 3 2 5" xfId="1186" xr:uid="{00000000-0005-0000-0000-00000B7E0000}"/>
    <cellStyle name="Normal 57 3 3 2 5 2" xfId="3615" xr:uid="{00000000-0005-0000-0000-00000C7E0000}"/>
    <cellStyle name="Normal 57 3 3 2 5 2 2" xfId="12751" xr:uid="{00000000-0005-0000-0000-00000D7E0000}"/>
    <cellStyle name="Normal 57 3 3 2 5 2 2 2" xfId="22970" xr:uid="{00000000-0005-0000-0000-00000E7E0000}"/>
    <cellStyle name="Normal 57 3 3 2 5 2 2 2 2" xfId="48523" xr:uid="{00000000-0005-0000-0000-00000F7E0000}"/>
    <cellStyle name="Normal 57 3 3 2 5 2 2 3" xfId="38306" xr:uid="{00000000-0005-0000-0000-0000107E0000}"/>
    <cellStyle name="Normal 57 3 3 2 5 2 3" xfId="9172" xr:uid="{00000000-0005-0000-0000-0000117E0000}"/>
    <cellStyle name="Normal 57 3 3 2 5 2 3 2" xfId="34729" xr:uid="{00000000-0005-0000-0000-0000127E0000}"/>
    <cellStyle name="Normal 57 3 3 2 5 2 4" xfId="17963" xr:uid="{00000000-0005-0000-0000-0000137E0000}"/>
    <cellStyle name="Normal 57 3 3 2 5 2 4 2" xfId="43516" xr:uid="{00000000-0005-0000-0000-0000147E0000}"/>
    <cellStyle name="Normal 57 3 3 2 5 2 5" xfId="29453" xr:uid="{00000000-0005-0000-0000-0000157E0000}"/>
    <cellStyle name="Normal 57 3 3 2 5 3" xfId="5278" xr:uid="{00000000-0005-0000-0000-0000167E0000}"/>
    <cellStyle name="Normal 57 3 3 2 5 3 2" xfId="14115" xr:uid="{00000000-0005-0000-0000-0000177E0000}"/>
    <cellStyle name="Normal 57 3 3 2 5 3 2 2" xfId="24366" xr:uid="{00000000-0005-0000-0000-0000187E0000}"/>
    <cellStyle name="Normal 57 3 3 2 5 3 2 2 2" xfId="49919" xr:uid="{00000000-0005-0000-0000-0000197E0000}"/>
    <cellStyle name="Normal 57 3 3 2 5 3 2 3" xfId="39670" xr:uid="{00000000-0005-0000-0000-00001A7E0000}"/>
    <cellStyle name="Normal 57 3 3 2 5 3 3" xfId="10536" xr:uid="{00000000-0005-0000-0000-00001B7E0000}"/>
    <cellStyle name="Normal 57 3 3 2 5 3 3 2" xfId="36093" xr:uid="{00000000-0005-0000-0000-00001C7E0000}"/>
    <cellStyle name="Normal 57 3 3 2 5 3 4" xfId="19359" xr:uid="{00000000-0005-0000-0000-00001D7E0000}"/>
    <cellStyle name="Normal 57 3 3 2 5 3 4 2" xfId="44912" xr:uid="{00000000-0005-0000-0000-00001E7E0000}"/>
    <cellStyle name="Normal 57 3 3 2 5 3 5" xfId="30849" xr:uid="{00000000-0005-0000-0000-00001F7E0000}"/>
    <cellStyle name="Normal 57 3 3 2 5 4" xfId="1788" xr:uid="{00000000-0005-0000-0000-0000207E0000}"/>
    <cellStyle name="Normal 57 3 3 2 5 4 2" xfId="11157" xr:uid="{00000000-0005-0000-0000-0000217E0000}"/>
    <cellStyle name="Normal 57 3 3 2 5 4 2 2" xfId="36712" xr:uid="{00000000-0005-0000-0000-0000227E0000}"/>
    <cellStyle name="Normal 57 3 3 2 5 4 3" xfId="21161" xr:uid="{00000000-0005-0000-0000-0000237E0000}"/>
    <cellStyle name="Normal 57 3 3 2 5 4 3 2" xfId="46714" xr:uid="{00000000-0005-0000-0000-0000247E0000}"/>
    <cellStyle name="Normal 57 3 3 2 5 4 4" xfId="27644" xr:uid="{00000000-0005-0000-0000-0000257E0000}"/>
    <cellStyle name="Normal 57 3 3 2 5 5" xfId="6733" xr:uid="{00000000-0005-0000-0000-0000267E0000}"/>
    <cellStyle name="Normal 57 3 3 2 5 5 2" xfId="15560" xr:uid="{00000000-0005-0000-0000-0000277E0000}"/>
    <cellStyle name="Normal 57 3 3 2 5 5 2 2" xfId="41115" xr:uid="{00000000-0005-0000-0000-0000287E0000}"/>
    <cellStyle name="Normal 57 3 3 2 5 5 3" xfId="25811" xr:uid="{00000000-0005-0000-0000-0000297E0000}"/>
    <cellStyle name="Normal 57 3 3 2 5 5 3 2" xfId="51364" xr:uid="{00000000-0005-0000-0000-00002A7E0000}"/>
    <cellStyle name="Normal 57 3 3 2 5 5 4" xfId="32294" xr:uid="{00000000-0005-0000-0000-00002B7E0000}"/>
    <cellStyle name="Normal 57 3 3 2 5 6" xfId="8179" xr:uid="{00000000-0005-0000-0000-00002C7E0000}"/>
    <cellStyle name="Normal 57 3 3 2 5 6 2" xfId="20569" xr:uid="{00000000-0005-0000-0000-00002D7E0000}"/>
    <cellStyle name="Normal 57 3 3 2 5 6 2 2" xfId="46122" xr:uid="{00000000-0005-0000-0000-00002E7E0000}"/>
    <cellStyle name="Normal 57 3 3 2 5 6 3" xfId="33736" xr:uid="{00000000-0005-0000-0000-00002F7E0000}"/>
    <cellStyle name="Normal 57 3 3 2 5 7" xfId="16154" xr:uid="{00000000-0005-0000-0000-0000307E0000}"/>
    <cellStyle name="Normal 57 3 3 2 5 7 2" xfId="41707" xr:uid="{00000000-0005-0000-0000-0000317E0000}"/>
    <cellStyle name="Normal 57 3 3 2 5 8" xfId="27052" xr:uid="{00000000-0005-0000-0000-0000327E0000}"/>
    <cellStyle name="Normal 57 3 3 2 6" xfId="2683" xr:uid="{00000000-0005-0000-0000-0000337E0000}"/>
    <cellStyle name="Normal 57 3 3 2 6 2" xfId="12000" xr:uid="{00000000-0005-0000-0000-0000347E0000}"/>
    <cellStyle name="Normal 57 3 3 2 6 2 2" xfId="22044" xr:uid="{00000000-0005-0000-0000-0000357E0000}"/>
    <cellStyle name="Normal 57 3 3 2 6 2 2 2" xfId="47597" xr:uid="{00000000-0005-0000-0000-0000367E0000}"/>
    <cellStyle name="Normal 57 3 3 2 6 2 3" xfId="37555" xr:uid="{00000000-0005-0000-0000-0000377E0000}"/>
    <cellStyle name="Normal 57 3 3 2 6 3" xfId="8599" xr:uid="{00000000-0005-0000-0000-0000387E0000}"/>
    <cellStyle name="Normal 57 3 3 2 6 3 2" xfId="34156" xr:uid="{00000000-0005-0000-0000-0000397E0000}"/>
    <cellStyle name="Normal 57 3 3 2 6 4" xfId="17037" xr:uid="{00000000-0005-0000-0000-00003A7E0000}"/>
    <cellStyle name="Normal 57 3 3 2 6 4 2" xfId="42590" xr:uid="{00000000-0005-0000-0000-00003B7E0000}"/>
    <cellStyle name="Normal 57 3 3 2 6 5" xfId="28527" xr:uid="{00000000-0005-0000-0000-00003C7E0000}"/>
    <cellStyle name="Normal 57 3 3 2 7" xfId="4234" xr:uid="{00000000-0005-0000-0000-00003D7E0000}"/>
    <cellStyle name="Normal 57 3 3 2 7 2" xfId="13072" xr:uid="{00000000-0005-0000-0000-00003E7E0000}"/>
    <cellStyle name="Normal 57 3 3 2 7 2 2" xfId="23323" xr:uid="{00000000-0005-0000-0000-00003F7E0000}"/>
    <cellStyle name="Normal 57 3 3 2 7 2 2 2" xfId="48876" xr:uid="{00000000-0005-0000-0000-0000407E0000}"/>
    <cellStyle name="Normal 57 3 3 2 7 2 3" xfId="38627" xr:uid="{00000000-0005-0000-0000-0000417E0000}"/>
    <cellStyle name="Normal 57 3 3 2 7 3" xfId="9493" xr:uid="{00000000-0005-0000-0000-0000427E0000}"/>
    <cellStyle name="Normal 57 3 3 2 7 3 2" xfId="35050" xr:uid="{00000000-0005-0000-0000-0000437E0000}"/>
    <cellStyle name="Normal 57 3 3 2 7 4" xfId="18316" xr:uid="{00000000-0005-0000-0000-0000447E0000}"/>
    <cellStyle name="Normal 57 3 3 2 7 4 2" xfId="43869" xr:uid="{00000000-0005-0000-0000-0000457E0000}"/>
    <cellStyle name="Normal 57 3 3 2 7 5" xfId="29806" xr:uid="{00000000-0005-0000-0000-0000467E0000}"/>
    <cellStyle name="Normal 57 3 3 2 8" xfId="1506" xr:uid="{00000000-0005-0000-0000-0000477E0000}"/>
    <cellStyle name="Normal 57 3 3 2 8 2" xfId="10883" xr:uid="{00000000-0005-0000-0000-0000487E0000}"/>
    <cellStyle name="Normal 57 3 3 2 8 2 2" xfId="36438" xr:uid="{00000000-0005-0000-0000-0000497E0000}"/>
    <cellStyle name="Normal 57 3 3 2 8 3" xfId="20887" xr:uid="{00000000-0005-0000-0000-00004A7E0000}"/>
    <cellStyle name="Normal 57 3 3 2 8 3 2" xfId="46440" xr:uid="{00000000-0005-0000-0000-00004B7E0000}"/>
    <cellStyle name="Normal 57 3 3 2 8 4" xfId="27370" xr:uid="{00000000-0005-0000-0000-00004C7E0000}"/>
    <cellStyle name="Normal 57 3 3 2 9" xfId="5690" xr:uid="{00000000-0005-0000-0000-00004D7E0000}"/>
    <cellStyle name="Normal 57 3 3 2 9 2" xfId="14517" xr:uid="{00000000-0005-0000-0000-00004E7E0000}"/>
    <cellStyle name="Normal 57 3 3 2 9 2 2" xfId="40072" xr:uid="{00000000-0005-0000-0000-00004F7E0000}"/>
    <cellStyle name="Normal 57 3 3 2 9 3" xfId="24768" xr:uid="{00000000-0005-0000-0000-0000507E0000}"/>
    <cellStyle name="Normal 57 3 3 2 9 3 2" xfId="50321" xr:uid="{00000000-0005-0000-0000-0000517E0000}"/>
    <cellStyle name="Normal 57 3 3 2 9 4" xfId="31251" xr:uid="{00000000-0005-0000-0000-0000527E0000}"/>
    <cellStyle name="Normal 57 3 3 2_Degree data" xfId="3944" xr:uid="{00000000-0005-0000-0000-0000537E0000}"/>
    <cellStyle name="Normal 57 3 3 3" xfId="253" xr:uid="{00000000-0005-0000-0000-0000547E0000}"/>
    <cellStyle name="Normal 57 3 3 3 10" xfId="7091" xr:uid="{00000000-0005-0000-0000-0000557E0000}"/>
    <cellStyle name="Normal 57 3 3 3 10 2" xfId="19705" xr:uid="{00000000-0005-0000-0000-0000567E0000}"/>
    <cellStyle name="Normal 57 3 3 3 10 2 2" xfId="45258" xr:uid="{00000000-0005-0000-0000-0000577E0000}"/>
    <cellStyle name="Normal 57 3 3 3 10 3" xfId="32648" xr:uid="{00000000-0005-0000-0000-0000587E0000}"/>
    <cellStyle name="Normal 57 3 3 3 11" xfId="15837" xr:uid="{00000000-0005-0000-0000-0000597E0000}"/>
    <cellStyle name="Normal 57 3 3 3 11 2" xfId="41390" xr:uid="{00000000-0005-0000-0000-00005A7E0000}"/>
    <cellStyle name="Normal 57 3 3 3 12" xfId="26188" xr:uid="{00000000-0005-0000-0000-00005B7E0000}"/>
    <cellStyle name="Normal 57 3 3 3 2" xfId="576" xr:uid="{00000000-0005-0000-0000-00005C7E0000}"/>
    <cellStyle name="Normal 57 3 3 3 2 10" xfId="26505" xr:uid="{00000000-0005-0000-0000-00005D7E0000}"/>
    <cellStyle name="Normal 57 3 3 3 2 2" xfId="841" xr:uid="{00000000-0005-0000-0000-00005E7E0000}"/>
    <cellStyle name="Normal 57 3 3 3 2 2 2" xfId="3326" xr:uid="{00000000-0005-0000-0000-00005F7E0000}"/>
    <cellStyle name="Normal 57 3 3 3 2 2 2 2" xfId="12468" xr:uid="{00000000-0005-0000-0000-0000607E0000}"/>
    <cellStyle name="Normal 57 3 3 3 2 2 2 2 2" xfId="22687" xr:uid="{00000000-0005-0000-0000-0000617E0000}"/>
    <cellStyle name="Normal 57 3 3 3 2 2 2 2 2 2" xfId="48240" xr:uid="{00000000-0005-0000-0000-0000627E0000}"/>
    <cellStyle name="Normal 57 3 3 3 2 2 2 2 3" xfId="38023" xr:uid="{00000000-0005-0000-0000-0000637E0000}"/>
    <cellStyle name="Normal 57 3 3 3 2 2 2 3" xfId="8890" xr:uid="{00000000-0005-0000-0000-0000647E0000}"/>
    <cellStyle name="Normal 57 3 3 3 2 2 2 3 2" xfId="34447" xr:uid="{00000000-0005-0000-0000-0000657E0000}"/>
    <cellStyle name="Normal 57 3 3 3 2 2 2 4" xfId="17680" xr:uid="{00000000-0005-0000-0000-0000667E0000}"/>
    <cellStyle name="Normal 57 3 3 3 2 2 2 4 2" xfId="43233" xr:uid="{00000000-0005-0000-0000-0000677E0000}"/>
    <cellStyle name="Normal 57 3 3 3 2 2 2 5" xfId="29170" xr:uid="{00000000-0005-0000-0000-0000687E0000}"/>
    <cellStyle name="Normal 57 3 3 3 2 2 3" xfId="4655" xr:uid="{00000000-0005-0000-0000-0000697E0000}"/>
    <cellStyle name="Normal 57 3 3 3 2 2 3 2" xfId="13493" xr:uid="{00000000-0005-0000-0000-00006A7E0000}"/>
    <cellStyle name="Normal 57 3 3 3 2 2 3 2 2" xfId="23744" xr:uid="{00000000-0005-0000-0000-00006B7E0000}"/>
    <cellStyle name="Normal 57 3 3 3 2 2 3 2 2 2" xfId="49297" xr:uid="{00000000-0005-0000-0000-00006C7E0000}"/>
    <cellStyle name="Normal 57 3 3 3 2 2 3 2 3" xfId="39048" xr:uid="{00000000-0005-0000-0000-00006D7E0000}"/>
    <cellStyle name="Normal 57 3 3 3 2 2 3 3" xfId="9914" xr:uid="{00000000-0005-0000-0000-00006E7E0000}"/>
    <cellStyle name="Normal 57 3 3 3 2 2 3 3 2" xfId="35471" xr:uid="{00000000-0005-0000-0000-00006F7E0000}"/>
    <cellStyle name="Normal 57 3 3 3 2 2 3 4" xfId="18737" xr:uid="{00000000-0005-0000-0000-0000707E0000}"/>
    <cellStyle name="Normal 57 3 3 3 2 2 3 4 2" xfId="44290" xr:uid="{00000000-0005-0000-0000-0000717E0000}"/>
    <cellStyle name="Normal 57 3 3 3 2 2 3 5" xfId="30227" xr:uid="{00000000-0005-0000-0000-0000727E0000}"/>
    <cellStyle name="Normal 57 3 3 3 2 2 4" xfId="2435" xr:uid="{00000000-0005-0000-0000-0000737E0000}"/>
    <cellStyle name="Normal 57 3 3 3 2 2 4 2" xfId="11800" xr:uid="{00000000-0005-0000-0000-0000747E0000}"/>
    <cellStyle name="Normal 57 3 3 3 2 2 4 2 2" xfId="37355" xr:uid="{00000000-0005-0000-0000-0000757E0000}"/>
    <cellStyle name="Normal 57 3 3 3 2 2 4 3" xfId="21804" xr:uid="{00000000-0005-0000-0000-0000767E0000}"/>
    <cellStyle name="Normal 57 3 3 3 2 2 4 3 2" xfId="47357" xr:uid="{00000000-0005-0000-0000-0000777E0000}"/>
    <cellStyle name="Normal 57 3 3 3 2 2 4 4" xfId="28287" xr:uid="{00000000-0005-0000-0000-0000787E0000}"/>
    <cellStyle name="Normal 57 3 3 3 2 2 5" xfId="6111" xr:uid="{00000000-0005-0000-0000-0000797E0000}"/>
    <cellStyle name="Normal 57 3 3 3 2 2 5 2" xfId="14938" xr:uid="{00000000-0005-0000-0000-00007A7E0000}"/>
    <cellStyle name="Normal 57 3 3 3 2 2 5 2 2" xfId="40493" xr:uid="{00000000-0005-0000-0000-00007B7E0000}"/>
    <cellStyle name="Normal 57 3 3 3 2 2 5 3" xfId="25189" xr:uid="{00000000-0005-0000-0000-00007C7E0000}"/>
    <cellStyle name="Normal 57 3 3 3 2 2 5 3 2" xfId="50742" xr:uid="{00000000-0005-0000-0000-00007D7E0000}"/>
    <cellStyle name="Normal 57 3 3 3 2 2 5 4" xfId="31672" xr:uid="{00000000-0005-0000-0000-00007E7E0000}"/>
    <cellStyle name="Normal 57 3 3 3 2 2 6" xfId="7556" xr:uid="{00000000-0005-0000-0000-00007F7E0000}"/>
    <cellStyle name="Normal 57 3 3 3 2 2 6 2" xfId="20286" xr:uid="{00000000-0005-0000-0000-0000807E0000}"/>
    <cellStyle name="Normal 57 3 3 3 2 2 6 2 2" xfId="45839" xr:uid="{00000000-0005-0000-0000-0000817E0000}"/>
    <cellStyle name="Normal 57 3 3 3 2 2 6 3" xfId="33113" xr:uid="{00000000-0005-0000-0000-0000827E0000}"/>
    <cellStyle name="Normal 57 3 3 3 2 2 7" xfId="16797" xr:uid="{00000000-0005-0000-0000-0000837E0000}"/>
    <cellStyle name="Normal 57 3 3 3 2 2 7 2" xfId="42350" xr:uid="{00000000-0005-0000-0000-0000847E0000}"/>
    <cellStyle name="Normal 57 3 3 3 2 2 8" xfId="26769" xr:uid="{00000000-0005-0000-0000-0000857E0000}"/>
    <cellStyle name="Normal 57 3 3 3 2 3" xfId="1348" xr:uid="{00000000-0005-0000-0000-0000867E0000}"/>
    <cellStyle name="Normal 57 3 3 3 2 3 2" xfId="3777" xr:uid="{00000000-0005-0000-0000-0000877E0000}"/>
    <cellStyle name="Normal 57 3 3 3 2 3 2 2" xfId="12913" xr:uid="{00000000-0005-0000-0000-0000887E0000}"/>
    <cellStyle name="Normal 57 3 3 3 2 3 2 2 2" xfId="23132" xr:uid="{00000000-0005-0000-0000-0000897E0000}"/>
    <cellStyle name="Normal 57 3 3 3 2 3 2 2 2 2" xfId="48685" xr:uid="{00000000-0005-0000-0000-00008A7E0000}"/>
    <cellStyle name="Normal 57 3 3 3 2 3 2 2 3" xfId="38468" xr:uid="{00000000-0005-0000-0000-00008B7E0000}"/>
    <cellStyle name="Normal 57 3 3 3 2 3 2 3" xfId="9334" xr:uid="{00000000-0005-0000-0000-00008C7E0000}"/>
    <cellStyle name="Normal 57 3 3 3 2 3 2 3 2" xfId="34891" xr:uid="{00000000-0005-0000-0000-00008D7E0000}"/>
    <cellStyle name="Normal 57 3 3 3 2 3 2 4" xfId="18125" xr:uid="{00000000-0005-0000-0000-00008E7E0000}"/>
    <cellStyle name="Normal 57 3 3 3 2 3 2 4 2" xfId="43678" xr:uid="{00000000-0005-0000-0000-00008F7E0000}"/>
    <cellStyle name="Normal 57 3 3 3 2 3 2 5" xfId="29615" xr:uid="{00000000-0005-0000-0000-0000907E0000}"/>
    <cellStyle name="Normal 57 3 3 3 2 3 3" xfId="5004" xr:uid="{00000000-0005-0000-0000-0000917E0000}"/>
    <cellStyle name="Normal 57 3 3 3 2 3 3 2" xfId="13841" xr:uid="{00000000-0005-0000-0000-0000927E0000}"/>
    <cellStyle name="Normal 57 3 3 3 2 3 3 2 2" xfId="24092" xr:uid="{00000000-0005-0000-0000-0000937E0000}"/>
    <cellStyle name="Normal 57 3 3 3 2 3 3 2 2 2" xfId="49645" xr:uid="{00000000-0005-0000-0000-0000947E0000}"/>
    <cellStyle name="Normal 57 3 3 3 2 3 3 2 3" xfId="39396" xr:uid="{00000000-0005-0000-0000-0000957E0000}"/>
    <cellStyle name="Normal 57 3 3 3 2 3 3 3" xfId="10262" xr:uid="{00000000-0005-0000-0000-0000967E0000}"/>
    <cellStyle name="Normal 57 3 3 3 2 3 3 3 2" xfId="35819" xr:uid="{00000000-0005-0000-0000-0000977E0000}"/>
    <cellStyle name="Normal 57 3 3 3 2 3 3 4" xfId="19085" xr:uid="{00000000-0005-0000-0000-0000987E0000}"/>
    <cellStyle name="Normal 57 3 3 3 2 3 3 4 2" xfId="44638" xr:uid="{00000000-0005-0000-0000-0000997E0000}"/>
    <cellStyle name="Normal 57 3 3 3 2 3 3 5" xfId="30575" xr:uid="{00000000-0005-0000-0000-00009A7E0000}"/>
    <cellStyle name="Normal 57 3 3 3 2 3 4" xfId="2171" xr:uid="{00000000-0005-0000-0000-00009B7E0000}"/>
    <cellStyle name="Normal 57 3 3 3 2 3 4 2" xfId="11536" xr:uid="{00000000-0005-0000-0000-00009C7E0000}"/>
    <cellStyle name="Normal 57 3 3 3 2 3 4 2 2" xfId="37091" xr:uid="{00000000-0005-0000-0000-00009D7E0000}"/>
    <cellStyle name="Normal 57 3 3 3 2 3 4 3" xfId="21540" xr:uid="{00000000-0005-0000-0000-00009E7E0000}"/>
    <cellStyle name="Normal 57 3 3 3 2 3 4 3 2" xfId="47093" xr:uid="{00000000-0005-0000-0000-00009F7E0000}"/>
    <cellStyle name="Normal 57 3 3 3 2 3 4 4" xfId="28023" xr:uid="{00000000-0005-0000-0000-0000A07E0000}"/>
    <cellStyle name="Normal 57 3 3 3 2 3 5" xfId="6459" xr:uid="{00000000-0005-0000-0000-0000A17E0000}"/>
    <cellStyle name="Normal 57 3 3 3 2 3 5 2" xfId="15286" xr:uid="{00000000-0005-0000-0000-0000A27E0000}"/>
    <cellStyle name="Normal 57 3 3 3 2 3 5 2 2" xfId="40841" xr:uid="{00000000-0005-0000-0000-0000A37E0000}"/>
    <cellStyle name="Normal 57 3 3 3 2 3 5 3" xfId="25537" xr:uid="{00000000-0005-0000-0000-0000A47E0000}"/>
    <cellStyle name="Normal 57 3 3 3 2 3 5 3 2" xfId="51090" xr:uid="{00000000-0005-0000-0000-0000A57E0000}"/>
    <cellStyle name="Normal 57 3 3 3 2 3 5 4" xfId="32020" xr:uid="{00000000-0005-0000-0000-0000A67E0000}"/>
    <cellStyle name="Normal 57 3 3 3 2 3 6" xfId="7905" xr:uid="{00000000-0005-0000-0000-0000A77E0000}"/>
    <cellStyle name="Normal 57 3 3 3 2 3 6 2" xfId="20731" xr:uid="{00000000-0005-0000-0000-0000A87E0000}"/>
    <cellStyle name="Normal 57 3 3 3 2 3 6 2 2" xfId="46284" xr:uid="{00000000-0005-0000-0000-0000A97E0000}"/>
    <cellStyle name="Normal 57 3 3 3 2 3 6 3" xfId="33462" xr:uid="{00000000-0005-0000-0000-0000AA7E0000}"/>
    <cellStyle name="Normal 57 3 3 3 2 3 7" xfId="16533" xr:uid="{00000000-0005-0000-0000-0000AB7E0000}"/>
    <cellStyle name="Normal 57 3 3 3 2 3 7 2" xfId="42086" xr:uid="{00000000-0005-0000-0000-0000AC7E0000}"/>
    <cellStyle name="Normal 57 3 3 3 2 3 8" xfId="27214" xr:uid="{00000000-0005-0000-0000-0000AD7E0000}"/>
    <cellStyle name="Normal 57 3 3 3 2 4" xfId="3062" xr:uid="{00000000-0005-0000-0000-0000AE7E0000}"/>
    <cellStyle name="Normal 57 3 3 3 2 4 2" xfId="5440" xr:uid="{00000000-0005-0000-0000-0000AF7E0000}"/>
    <cellStyle name="Normal 57 3 3 3 2 4 2 2" xfId="14277" xr:uid="{00000000-0005-0000-0000-0000B07E0000}"/>
    <cellStyle name="Normal 57 3 3 3 2 4 2 2 2" xfId="24528" xr:uid="{00000000-0005-0000-0000-0000B17E0000}"/>
    <cellStyle name="Normal 57 3 3 3 2 4 2 2 2 2" xfId="50081" xr:uid="{00000000-0005-0000-0000-0000B27E0000}"/>
    <cellStyle name="Normal 57 3 3 3 2 4 2 2 3" xfId="39832" xr:uid="{00000000-0005-0000-0000-0000B37E0000}"/>
    <cellStyle name="Normal 57 3 3 3 2 4 2 3" xfId="10698" xr:uid="{00000000-0005-0000-0000-0000B47E0000}"/>
    <cellStyle name="Normal 57 3 3 3 2 4 2 3 2" xfId="36255" xr:uid="{00000000-0005-0000-0000-0000B57E0000}"/>
    <cellStyle name="Normal 57 3 3 3 2 4 2 4" xfId="19521" xr:uid="{00000000-0005-0000-0000-0000B67E0000}"/>
    <cellStyle name="Normal 57 3 3 3 2 4 2 4 2" xfId="45074" xr:uid="{00000000-0005-0000-0000-0000B77E0000}"/>
    <cellStyle name="Normal 57 3 3 3 2 4 2 5" xfId="31011" xr:uid="{00000000-0005-0000-0000-0000B87E0000}"/>
    <cellStyle name="Normal 57 3 3 3 2 4 3" xfId="6895" xr:uid="{00000000-0005-0000-0000-0000B97E0000}"/>
    <cellStyle name="Normal 57 3 3 3 2 4 3 2" xfId="15722" xr:uid="{00000000-0005-0000-0000-0000BA7E0000}"/>
    <cellStyle name="Normal 57 3 3 3 2 4 3 2 2" xfId="41277" xr:uid="{00000000-0005-0000-0000-0000BB7E0000}"/>
    <cellStyle name="Normal 57 3 3 3 2 4 3 3" xfId="25973" xr:uid="{00000000-0005-0000-0000-0000BC7E0000}"/>
    <cellStyle name="Normal 57 3 3 3 2 4 3 3 2" xfId="51526" xr:uid="{00000000-0005-0000-0000-0000BD7E0000}"/>
    <cellStyle name="Normal 57 3 3 3 2 4 3 4" xfId="32456" xr:uid="{00000000-0005-0000-0000-0000BE7E0000}"/>
    <cellStyle name="Normal 57 3 3 3 2 4 4" xfId="8341" xr:uid="{00000000-0005-0000-0000-0000BF7E0000}"/>
    <cellStyle name="Normal 57 3 3 3 2 4 4 2" xfId="22423" xr:uid="{00000000-0005-0000-0000-0000C07E0000}"/>
    <cellStyle name="Normal 57 3 3 3 2 4 4 2 2" xfId="47976" xr:uid="{00000000-0005-0000-0000-0000C17E0000}"/>
    <cellStyle name="Normal 57 3 3 3 2 4 4 3" xfId="33898" xr:uid="{00000000-0005-0000-0000-0000C27E0000}"/>
    <cellStyle name="Normal 57 3 3 3 2 4 5" xfId="17416" xr:uid="{00000000-0005-0000-0000-0000C37E0000}"/>
    <cellStyle name="Normal 57 3 3 3 2 4 5 2" xfId="42969" xr:uid="{00000000-0005-0000-0000-0000C47E0000}"/>
    <cellStyle name="Normal 57 3 3 3 2 4 6" xfId="28906" xr:uid="{00000000-0005-0000-0000-0000C57E0000}"/>
    <cellStyle name="Normal 57 3 3 3 2 5" xfId="4396" xr:uid="{00000000-0005-0000-0000-0000C67E0000}"/>
    <cellStyle name="Normal 57 3 3 3 2 5 2" xfId="13234" xr:uid="{00000000-0005-0000-0000-0000C77E0000}"/>
    <cellStyle name="Normal 57 3 3 3 2 5 2 2" xfId="23485" xr:uid="{00000000-0005-0000-0000-0000C87E0000}"/>
    <cellStyle name="Normal 57 3 3 3 2 5 2 2 2" xfId="49038" xr:uid="{00000000-0005-0000-0000-0000C97E0000}"/>
    <cellStyle name="Normal 57 3 3 3 2 5 2 3" xfId="38789" xr:uid="{00000000-0005-0000-0000-0000CA7E0000}"/>
    <cellStyle name="Normal 57 3 3 3 2 5 3" xfId="9655" xr:uid="{00000000-0005-0000-0000-0000CB7E0000}"/>
    <cellStyle name="Normal 57 3 3 3 2 5 3 2" xfId="35212" xr:uid="{00000000-0005-0000-0000-0000CC7E0000}"/>
    <cellStyle name="Normal 57 3 3 3 2 5 4" xfId="18478" xr:uid="{00000000-0005-0000-0000-0000CD7E0000}"/>
    <cellStyle name="Normal 57 3 3 3 2 5 4 2" xfId="44031" xr:uid="{00000000-0005-0000-0000-0000CE7E0000}"/>
    <cellStyle name="Normal 57 3 3 3 2 5 5" xfId="29968" xr:uid="{00000000-0005-0000-0000-0000CF7E0000}"/>
    <cellStyle name="Normal 57 3 3 3 2 6" xfId="1668" xr:uid="{00000000-0005-0000-0000-0000D07E0000}"/>
    <cellStyle name="Normal 57 3 3 3 2 6 2" xfId="11045" xr:uid="{00000000-0005-0000-0000-0000D17E0000}"/>
    <cellStyle name="Normal 57 3 3 3 2 6 2 2" xfId="36600" xr:uid="{00000000-0005-0000-0000-0000D27E0000}"/>
    <cellStyle name="Normal 57 3 3 3 2 6 3" xfId="21049" xr:uid="{00000000-0005-0000-0000-0000D37E0000}"/>
    <cellStyle name="Normal 57 3 3 3 2 6 3 2" xfId="46602" xr:uid="{00000000-0005-0000-0000-0000D47E0000}"/>
    <cellStyle name="Normal 57 3 3 3 2 6 4" xfId="27532" xr:uid="{00000000-0005-0000-0000-0000D57E0000}"/>
    <cellStyle name="Normal 57 3 3 3 2 7" xfId="5852" xr:uid="{00000000-0005-0000-0000-0000D67E0000}"/>
    <cellStyle name="Normal 57 3 3 3 2 7 2" xfId="14679" xr:uid="{00000000-0005-0000-0000-0000D77E0000}"/>
    <cellStyle name="Normal 57 3 3 3 2 7 2 2" xfId="40234" xr:uid="{00000000-0005-0000-0000-0000D87E0000}"/>
    <cellStyle name="Normal 57 3 3 3 2 7 3" xfId="24930" xr:uid="{00000000-0005-0000-0000-0000D97E0000}"/>
    <cellStyle name="Normal 57 3 3 3 2 7 3 2" xfId="50483" xr:uid="{00000000-0005-0000-0000-0000DA7E0000}"/>
    <cellStyle name="Normal 57 3 3 3 2 7 4" xfId="31413" xr:uid="{00000000-0005-0000-0000-0000DB7E0000}"/>
    <cellStyle name="Normal 57 3 3 3 2 8" xfId="7296" xr:uid="{00000000-0005-0000-0000-0000DC7E0000}"/>
    <cellStyle name="Normal 57 3 3 3 2 8 2" xfId="20022" xr:uid="{00000000-0005-0000-0000-0000DD7E0000}"/>
    <cellStyle name="Normal 57 3 3 3 2 8 2 2" xfId="45575" xr:uid="{00000000-0005-0000-0000-0000DE7E0000}"/>
    <cellStyle name="Normal 57 3 3 3 2 8 3" xfId="32853" xr:uid="{00000000-0005-0000-0000-0000DF7E0000}"/>
    <cellStyle name="Normal 57 3 3 3 2 9" xfId="16042" xr:uid="{00000000-0005-0000-0000-0000E07E0000}"/>
    <cellStyle name="Normal 57 3 3 3 2 9 2" xfId="41595" xr:uid="{00000000-0005-0000-0000-0000E17E0000}"/>
    <cellStyle name="Normal 57 3 3 3 2_Degree data" xfId="3947" xr:uid="{00000000-0005-0000-0000-0000E27E0000}"/>
    <cellStyle name="Normal 57 3 3 3 3" xfId="371" xr:uid="{00000000-0005-0000-0000-0000E37E0000}"/>
    <cellStyle name="Normal 57 3 3 3 3 2" xfId="2857" xr:uid="{00000000-0005-0000-0000-0000E47E0000}"/>
    <cellStyle name="Normal 57 3 3 3 3 2 2" xfId="12145" xr:uid="{00000000-0005-0000-0000-0000E57E0000}"/>
    <cellStyle name="Normal 57 3 3 3 3 2 2 2" xfId="22218" xr:uid="{00000000-0005-0000-0000-0000E67E0000}"/>
    <cellStyle name="Normal 57 3 3 3 3 2 2 2 2" xfId="47771" xr:uid="{00000000-0005-0000-0000-0000E77E0000}"/>
    <cellStyle name="Normal 57 3 3 3 3 2 2 3" xfId="37700" xr:uid="{00000000-0005-0000-0000-0000E87E0000}"/>
    <cellStyle name="Normal 57 3 3 3 3 2 3" xfId="8592" xr:uid="{00000000-0005-0000-0000-0000E97E0000}"/>
    <cellStyle name="Normal 57 3 3 3 3 2 3 2" xfId="34149" xr:uid="{00000000-0005-0000-0000-0000EA7E0000}"/>
    <cellStyle name="Normal 57 3 3 3 3 2 4" xfId="17211" xr:uid="{00000000-0005-0000-0000-0000EB7E0000}"/>
    <cellStyle name="Normal 57 3 3 3 3 2 4 2" xfId="42764" xr:uid="{00000000-0005-0000-0000-0000EC7E0000}"/>
    <cellStyle name="Normal 57 3 3 3 3 2 5" xfId="28701" xr:uid="{00000000-0005-0000-0000-0000ED7E0000}"/>
    <cellStyle name="Normal 57 3 3 3 3 3" xfId="4654" xr:uid="{00000000-0005-0000-0000-0000EE7E0000}"/>
    <cellStyle name="Normal 57 3 3 3 3 3 2" xfId="13492" xr:uid="{00000000-0005-0000-0000-0000EF7E0000}"/>
    <cellStyle name="Normal 57 3 3 3 3 3 2 2" xfId="23743" xr:uid="{00000000-0005-0000-0000-0000F07E0000}"/>
    <cellStyle name="Normal 57 3 3 3 3 3 2 2 2" xfId="49296" xr:uid="{00000000-0005-0000-0000-0000F17E0000}"/>
    <cellStyle name="Normal 57 3 3 3 3 3 2 3" xfId="39047" xr:uid="{00000000-0005-0000-0000-0000F27E0000}"/>
    <cellStyle name="Normal 57 3 3 3 3 3 3" xfId="9913" xr:uid="{00000000-0005-0000-0000-0000F37E0000}"/>
    <cellStyle name="Normal 57 3 3 3 3 3 3 2" xfId="35470" xr:uid="{00000000-0005-0000-0000-0000F47E0000}"/>
    <cellStyle name="Normal 57 3 3 3 3 3 4" xfId="18736" xr:uid="{00000000-0005-0000-0000-0000F57E0000}"/>
    <cellStyle name="Normal 57 3 3 3 3 3 4 2" xfId="44289" xr:uid="{00000000-0005-0000-0000-0000F67E0000}"/>
    <cellStyle name="Normal 57 3 3 3 3 3 5" xfId="30226" xr:uid="{00000000-0005-0000-0000-0000F77E0000}"/>
    <cellStyle name="Normal 57 3 3 3 3 4" xfId="1966" xr:uid="{00000000-0005-0000-0000-0000F87E0000}"/>
    <cellStyle name="Normal 57 3 3 3 3 4 2" xfId="11331" xr:uid="{00000000-0005-0000-0000-0000F97E0000}"/>
    <cellStyle name="Normal 57 3 3 3 3 4 2 2" xfId="36886" xr:uid="{00000000-0005-0000-0000-0000FA7E0000}"/>
    <cellStyle name="Normal 57 3 3 3 3 4 3" xfId="21335" xr:uid="{00000000-0005-0000-0000-0000FB7E0000}"/>
    <cellStyle name="Normal 57 3 3 3 3 4 3 2" xfId="46888" xr:uid="{00000000-0005-0000-0000-0000FC7E0000}"/>
    <cellStyle name="Normal 57 3 3 3 3 4 4" xfId="27818" xr:uid="{00000000-0005-0000-0000-0000FD7E0000}"/>
    <cellStyle name="Normal 57 3 3 3 3 5" xfId="6110" xr:uid="{00000000-0005-0000-0000-0000FE7E0000}"/>
    <cellStyle name="Normal 57 3 3 3 3 5 2" xfId="14937" xr:uid="{00000000-0005-0000-0000-0000FF7E0000}"/>
    <cellStyle name="Normal 57 3 3 3 3 5 2 2" xfId="40492" xr:uid="{00000000-0005-0000-0000-0000007F0000}"/>
    <cellStyle name="Normal 57 3 3 3 3 5 3" xfId="25188" xr:uid="{00000000-0005-0000-0000-0000017F0000}"/>
    <cellStyle name="Normal 57 3 3 3 3 5 3 2" xfId="50741" xr:uid="{00000000-0005-0000-0000-0000027F0000}"/>
    <cellStyle name="Normal 57 3 3 3 3 5 4" xfId="31671" xr:uid="{00000000-0005-0000-0000-0000037F0000}"/>
    <cellStyle name="Normal 57 3 3 3 3 6" xfId="7555" xr:uid="{00000000-0005-0000-0000-0000047F0000}"/>
    <cellStyle name="Normal 57 3 3 3 3 6 2" xfId="19817" xr:uid="{00000000-0005-0000-0000-0000057F0000}"/>
    <cellStyle name="Normal 57 3 3 3 3 6 2 2" xfId="45370" xr:uid="{00000000-0005-0000-0000-0000067F0000}"/>
    <cellStyle name="Normal 57 3 3 3 3 6 3" xfId="33112" xr:uid="{00000000-0005-0000-0000-0000077F0000}"/>
    <cellStyle name="Normal 57 3 3 3 3 7" xfId="16328" xr:uid="{00000000-0005-0000-0000-0000087F0000}"/>
    <cellStyle name="Normal 57 3 3 3 3 7 2" xfId="41881" xr:uid="{00000000-0005-0000-0000-0000097F0000}"/>
    <cellStyle name="Normal 57 3 3 3 3 8" xfId="26300" xr:uid="{00000000-0005-0000-0000-00000A7F0000}"/>
    <cellStyle name="Normal 57 3 3 3 4" xfId="840" xr:uid="{00000000-0005-0000-0000-00000B7F0000}"/>
    <cellStyle name="Normal 57 3 3 3 4 2" xfId="3325" xr:uid="{00000000-0005-0000-0000-00000C7F0000}"/>
    <cellStyle name="Normal 57 3 3 3 4 2 2" xfId="12467" xr:uid="{00000000-0005-0000-0000-00000D7F0000}"/>
    <cellStyle name="Normal 57 3 3 3 4 2 2 2" xfId="22686" xr:uid="{00000000-0005-0000-0000-00000E7F0000}"/>
    <cellStyle name="Normal 57 3 3 3 4 2 2 2 2" xfId="48239" xr:uid="{00000000-0005-0000-0000-00000F7F0000}"/>
    <cellStyle name="Normal 57 3 3 3 4 2 2 3" xfId="38022" xr:uid="{00000000-0005-0000-0000-0000107F0000}"/>
    <cellStyle name="Normal 57 3 3 3 4 2 3" xfId="8889" xr:uid="{00000000-0005-0000-0000-0000117F0000}"/>
    <cellStyle name="Normal 57 3 3 3 4 2 3 2" xfId="34446" xr:uid="{00000000-0005-0000-0000-0000127F0000}"/>
    <cellStyle name="Normal 57 3 3 3 4 2 4" xfId="17679" xr:uid="{00000000-0005-0000-0000-0000137F0000}"/>
    <cellStyle name="Normal 57 3 3 3 4 2 4 2" xfId="43232" xr:uid="{00000000-0005-0000-0000-0000147F0000}"/>
    <cellStyle name="Normal 57 3 3 3 4 2 5" xfId="29169" xr:uid="{00000000-0005-0000-0000-0000157F0000}"/>
    <cellStyle name="Normal 57 3 3 3 4 3" xfId="5003" xr:uid="{00000000-0005-0000-0000-0000167F0000}"/>
    <cellStyle name="Normal 57 3 3 3 4 3 2" xfId="13840" xr:uid="{00000000-0005-0000-0000-0000177F0000}"/>
    <cellStyle name="Normal 57 3 3 3 4 3 2 2" xfId="24091" xr:uid="{00000000-0005-0000-0000-0000187F0000}"/>
    <cellStyle name="Normal 57 3 3 3 4 3 2 2 2" xfId="49644" xr:uid="{00000000-0005-0000-0000-0000197F0000}"/>
    <cellStyle name="Normal 57 3 3 3 4 3 2 3" xfId="39395" xr:uid="{00000000-0005-0000-0000-00001A7F0000}"/>
    <cellStyle name="Normal 57 3 3 3 4 3 3" xfId="10261" xr:uid="{00000000-0005-0000-0000-00001B7F0000}"/>
    <cellStyle name="Normal 57 3 3 3 4 3 3 2" xfId="35818" xr:uid="{00000000-0005-0000-0000-00001C7F0000}"/>
    <cellStyle name="Normal 57 3 3 3 4 3 4" xfId="19084" xr:uid="{00000000-0005-0000-0000-00001D7F0000}"/>
    <cellStyle name="Normal 57 3 3 3 4 3 4 2" xfId="44637" xr:uid="{00000000-0005-0000-0000-00001E7F0000}"/>
    <cellStyle name="Normal 57 3 3 3 4 3 5" xfId="30574" xr:uid="{00000000-0005-0000-0000-00001F7F0000}"/>
    <cellStyle name="Normal 57 3 3 3 4 4" xfId="2434" xr:uid="{00000000-0005-0000-0000-0000207F0000}"/>
    <cellStyle name="Normal 57 3 3 3 4 4 2" xfId="11799" xr:uid="{00000000-0005-0000-0000-0000217F0000}"/>
    <cellStyle name="Normal 57 3 3 3 4 4 2 2" xfId="37354" xr:uid="{00000000-0005-0000-0000-0000227F0000}"/>
    <cellStyle name="Normal 57 3 3 3 4 4 3" xfId="21803" xr:uid="{00000000-0005-0000-0000-0000237F0000}"/>
    <cellStyle name="Normal 57 3 3 3 4 4 3 2" xfId="47356" xr:uid="{00000000-0005-0000-0000-0000247F0000}"/>
    <cellStyle name="Normal 57 3 3 3 4 4 4" xfId="28286" xr:uid="{00000000-0005-0000-0000-0000257F0000}"/>
    <cellStyle name="Normal 57 3 3 3 4 5" xfId="6458" xr:uid="{00000000-0005-0000-0000-0000267F0000}"/>
    <cellStyle name="Normal 57 3 3 3 4 5 2" xfId="15285" xr:uid="{00000000-0005-0000-0000-0000277F0000}"/>
    <cellStyle name="Normal 57 3 3 3 4 5 2 2" xfId="40840" xr:uid="{00000000-0005-0000-0000-0000287F0000}"/>
    <cellStyle name="Normal 57 3 3 3 4 5 3" xfId="25536" xr:uid="{00000000-0005-0000-0000-0000297F0000}"/>
    <cellStyle name="Normal 57 3 3 3 4 5 3 2" xfId="51089" xr:uid="{00000000-0005-0000-0000-00002A7F0000}"/>
    <cellStyle name="Normal 57 3 3 3 4 5 4" xfId="32019" xr:uid="{00000000-0005-0000-0000-00002B7F0000}"/>
    <cellStyle name="Normal 57 3 3 3 4 6" xfId="7904" xr:uid="{00000000-0005-0000-0000-00002C7F0000}"/>
    <cellStyle name="Normal 57 3 3 3 4 6 2" xfId="20285" xr:uid="{00000000-0005-0000-0000-00002D7F0000}"/>
    <cellStyle name="Normal 57 3 3 3 4 6 2 2" xfId="45838" xr:uid="{00000000-0005-0000-0000-00002E7F0000}"/>
    <cellStyle name="Normal 57 3 3 3 4 6 3" xfId="33461" xr:uid="{00000000-0005-0000-0000-00002F7F0000}"/>
    <cellStyle name="Normal 57 3 3 3 4 7" xfId="16796" xr:uid="{00000000-0005-0000-0000-0000307F0000}"/>
    <cellStyle name="Normal 57 3 3 3 4 7 2" xfId="42349" xr:uid="{00000000-0005-0000-0000-0000317F0000}"/>
    <cellStyle name="Normal 57 3 3 3 4 8" xfId="26768" xr:uid="{00000000-0005-0000-0000-0000327F0000}"/>
    <cellStyle name="Normal 57 3 3 3 5" xfId="1143" xr:uid="{00000000-0005-0000-0000-0000337F0000}"/>
    <cellStyle name="Normal 57 3 3 3 5 2" xfId="3572" xr:uid="{00000000-0005-0000-0000-0000347F0000}"/>
    <cellStyle name="Normal 57 3 3 3 5 2 2" xfId="12708" xr:uid="{00000000-0005-0000-0000-0000357F0000}"/>
    <cellStyle name="Normal 57 3 3 3 5 2 2 2" xfId="22927" xr:uid="{00000000-0005-0000-0000-0000367F0000}"/>
    <cellStyle name="Normal 57 3 3 3 5 2 2 2 2" xfId="48480" xr:uid="{00000000-0005-0000-0000-0000377F0000}"/>
    <cellStyle name="Normal 57 3 3 3 5 2 2 3" xfId="38263" xr:uid="{00000000-0005-0000-0000-0000387F0000}"/>
    <cellStyle name="Normal 57 3 3 3 5 2 3" xfId="9129" xr:uid="{00000000-0005-0000-0000-0000397F0000}"/>
    <cellStyle name="Normal 57 3 3 3 5 2 3 2" xfId="34686" xr:uid="{00000000-0005-0000-0000-00003A7F0000}"/>
    <cellStyle name="Normal 57 3 3 3 5 2 4" xfId="17920" xr:uid="{00000000-0005-0000-0000-00003B7F0000}"/>
    <cellStyle name="Normal 57 3 3 3 5 2 4 2" xfId="43473" xr:uid="{00000000-0005-0000-0000-00003C7F0000}"/>
    <cellStyle name="Normal 57 3 3 3 5 2 5" xfId="29410" xr:uid="{00000000-0005-0000-0000-00003D7F0000}"/>
    <cellStyle name="Normal 57 3 3 3 5 3" xfId="5235" xr:uid="{00000000-0005-0000-0000-00003E7F0000}"/>
    <cellStyle name="Normal 57 3 3 3 5 3 2" xfId="14072" xr:uid="{00000000-0005-0000-0000-00003F7F0000}"/>
    <cellStyle name="Normal 57 3 3 3 5 3 2 2" xfId="24323" xr:uid="{00000000-0005-0000-0000-0000407F0000}"/>
    <cellStyle name="Normal 57 3 3 3 5 3 2 2 2" xfId="49876" xr:uid="{00000000-0005-0000-0000-0000417F0000}"/>
    <cellStyle name="Normal 57 3 3 3 5 3 2 3" xfId="39627" xr:uid="{00000000-0005-0000-0000-0000427F0000}"/>
    <cellStyle name="Normal 57 3 3 3 5 3 3" xfId="10493" xr:uid="{00000000-0005-0000-0000-0000437F0000}"/>
    <cellStyle name="Normal 57 3 3 3 5 3 3 2" xfId="36050" xr:uid="{00000000-0005-0000-0000-0000447F0000}"/>
    <cellStyle name="Normal 57 3 3 3 5 3 4" xfId="19316" xr:uid="{00000000-0005-0000-0000-0000457F0000}"/>
    <cellStyle name="Normal 57 3 3 3 5 3 4 2" xfId="44869" xr:uid="{00000000-0005-0000-0000-0000467F0000}"/>
    <cellStyle name="Normal 57 3 3 3 5 3 5" xfId="30806" xr:uid="{00000000-0005-0000-0000-0000477F0000}"/>
    <cellStyle name="Normal 57 3 3 3 5 4" xfId="1851" xr:uid="{00000000-0005-0000-0000-0000487F0000}"/>
    <cellStyle name="Normal 57 3 3 3 5 4 2" xfId="11219" xr:uid="{00000000-0005-0000-0000-0000497F0000}"/>
    <cellStyle name="Normal 57 3 3 3 5 4 2 2" xfId="36774" xr:uid="{00000000-0005-0000-0000-00004A7F0000}"/>
    <cellStyle name="Normal 57 3 3 3 5 4 3" xfId="21223" xr:uid="{00000000-0005-0000-0000-00004B7F0000}"/>
    <cellStyle name="Normal 57 3 3 3 5 4 3 2" xfId="46776" xr:uid="{00000000-0005-0000-0000-00004C7F0000}"/>
    <cellStyle name="Normal 57 3 3 3 5 4 4" xfId="27706" xr:uid="{00000000-0005-0000-0000-00004D7F0000}"/>
    <cellStyle name="Normal 57 3 3 3 5 5" xfId="6690" xr:uid="{00000000-0005-0000-0000-00004E7F0000}"/>
    <cellStyle name="Normal 57 3 3 3 5 5 2" xfId="15517" xr:uid="{00000000-0005-0000-0000-00004F7F0000}"/>
    <cellStyle name="Normal 57 3 3 3 5 5 2 2" xfId="41072" xr:uid="{00000000-0005-0000-0000-0000507F0000}"/>
    <cellStyle name="Normal 57 3 3 3 5 5 3" xfId="25768" xr:uid="{00000000-0005-0000-0000-0000517F0000}"/>
    <cellStyle name="Normal 57 3 3 3 5 5 3 2" xfId="51321" xr:uid="{00000000-0005-0000-0000-0000527F0000}"/>
    <cellStyle name="Normal 57 3 3 3 5 5 4" xfId="32251" xr:uid="{00000000-0005-0000-0000-0000537F0000}"/>
    <cellStyle name="Normal 57 3 3 3 5 6" xfId="8136" xr:uid="{00000000-0005-0000-0000-0000547F0000}"/>
    <cellStyle name="Normal 57 3 3 3 5 6 2" xfId="20526" xr:uid="{00000000-0005-0000-0000-0000557F0000}"/>
    <cellStyle name="Normal 57 3 3 3 5 6 2 2" xfId="46079" xr:uid="{00000000-0005-0000-0000-0000567F0000}"/>
    <cellStyle name="Normal 57 3 3 3 5 6 3" xfId="33693" xr:uid="{00000000-0005-0000-0000-0000577F0000}"/>
    <cellStyle name="Normal 57 3 3 3 5 7" xfId="16216" xr:uid="{00000000-0005-0000-0000-0000587F0000}"/>
    <cellStyle name="Normal 57 3 3 3 5 7 2" xfId="41769" xr:uid="{00000000-0005-0000-0000-0000597F0000}"/>
    <cellStyle name="Normal 57 3 3 3 5 8" xfId="27009" xr:uid="{00000000-0005-0000-0000-00005A7F0000}"/>
    <cellStyle name="Normal 57 3 3 3 6" xfId="2745" xr:uid="{00000000-0005-0000-0000-00005B7F0000}"/>
    <cellStyle name="Normal 57 3 3 3 6 2" xfId="12062" xr:uid="{00000000-0005-0000-0000-00005C7F0000}"/>
    <cellStyle name="Normal 57 3 3 3 6 2 2" xfId="22106" xr:uid="{00000000-0005-0000-0000-00005D7F0000}"/>
    <cellStyle name="Normal 57 3 3 3 6 2 2 2" xfId="47659" xr:uid="{00000000-0005-0000-0000-00005E7F0000}"/>
    <cellStyle name="Normal 57 3 3 3 6 2 3" xfId="37617" xr:uid="{00000000-0005-0000-0000-00005F7F0000}"/>
    <cellStyle name="Normal 57 3 3 3 6 3" xfId="8597" xr:uid="{00000000-0005-0000-0000-0000607F0000}"/>
    <cellStyle name="Normal 57 3 3 3 6 3 2" xfId="34154" xr:uid="{00000000-0005-0000-0000-0000617F0000}"/>
    <cellStyle name="Normal 57 3 3 3 6 4" xfId="17099" xr:uid="{00000000-0005-0000-0000-0000627F0000}"/>
    <cellStyle name="Normal 57 3 3 3 6 4 2" xfId="42652" xr:uid="{00000000-0005-0000-0000-0000637F0000}"/>
    <cellStyle name="Normal 57 3 3 3 6 5" xfId="28589" xr:uid="{00000000-0005-0000-0000-0000647F0000}"/>
    <cellStyle name="Normal 57 3 3 3 7" xfId="4191" xr:uid="{00000000-0005-0000-0000-0000657F0000}"/>
    <cellStyle name="Normal 57 3 3 3 7 2" xfId="13029" xr:uid="{00000000-0005-0000-0000-0000667F0000}"/>
    <cellStyle name="Normal 57 3 3 3 7 2 2" xfId="23280" xr:uid="{00000000-0005-0000-0000-0000677F0000}"/>
    <cellStyle name="Normal 57 3 3 3 7 2 2 2" xfId="48833" xr:uid="{00000000-0005-0000-0000-0000687F0000}"/>
    <cellStyle name="Normal 57 3 3 3 7 2 3" xfId="38584" xr:uid="{00000000-0005-0000-0000-0000697F0000}"/>
    <cellStyle name="Normal 57 3 3 3 7 3" xfId="9450" xr:uid="{00000000-0005-0000-0000-00006A7F0000}"/>
    <cellStyle name="Normal 57 3 3 3 7 3 2" xfId="35007" xr:uid="{00000000-0005-0000-0000-00006B7F0000}"/>
    <cellStyle name="Normal 57 3 3 3 7 4" xfId="18273" xr:uid="{00000000-0005-0000-0000-00006C7F0000}"/>
    <cellStyle name="Normal 57 3 3 3 7 4 2" xfId="43826" xr:uid="{00000000-0005-0000-0000-00006D7F0000}"/>
    <cellStyle name="Normal 57 3 3 3 7 5" xfId="29763" xr:uid="{00000000-0005-0000-0000-00006E7F0000}"/>
    <cellStyle name="Normal 57 3 3 3 8" xfId="1463" xr:uid="{00000000-0005-0000-0000-00006F7F0000}"/>
    <cellStyle name="Normal 57 3 3 3 8 2" xfId="10840" xr:uid="{00000000-0005-0000-0000-0000707F0000}"/>
    <cellStyle name="Normal 57 3 3 3 8 2 2" xfId="36395" xr:uid="{00000000-0005-0000-0000-0000717F0000}"/>
    <cellStyle name="Normal 57 3 3 3 8 3" xfId="20844" xr:uid="{00000000-0005-0000-0000-0000727F0000}"/>
    <cellStyle name="Normal 57 3 3 3 8 3 2" xfId="46397" xr:uid="{00000000-0005-0000-0000-0000737F0000}"/>
    <cellStyle name="Normal 57 3 3 3 8 4" xfId="27327" xr:uid="{00000000-0005-0000-0000-0000747F0000}"/>
    <cellStyle name="Normal 57 3 3 3 9" xfId="5647" xr:uid="{00000000-0005-0000-0000-0000757F0000}"/>
    <cellStyle name="Normal 57 3 3 3 9 2" xfId="14474" xr:uid="{00000000-0005-0000-0000-0000767F0000}"/>
    <cellStyle name="Normal 57 3 3 3 9 2 2" xfId="40029" xr:uid="{00000000-0005-0000-0000-0000777F0000}"/>
    <cellStyle name="Normal 57 3 3 3 9 3" xfId="24725" xr:uid="{00000000-0005-0000-0000-0000787F0000}"/>
    <cellStyle name="Normal 57 3 3 3 9 3 2" xfId="50278" xr:uid="{00000000-0005-0000-0000-0000797F0000}"/>
    <cellStyle name="Normal 57 3 3 3 9 4" xfId="31208" xr:uid="{00000000-0005-0000-0000-00007A7F0000}"/>
    <cellStyle name="Normal 57 3 3 3_Degree data" xfId="3946" xr:uid="{00000000-0005-0000-0000-00007B7F0000}"/>
    <cellStyle name="Normal 57 3 3 4" xfId="471" xr:uid="{00000000-0005-0000-0000-00007C7F0000}"/>
    <cellStyle name="Normal 57 3 3 4 10" xfId="26400" xr:uid="{00000000-0005-0000-0000-00007D7F0000}"/>
    <cellStyle name="Normal 57 3 3 4 2" xfId="842" xr:uid="{00000000-0005-0000-0000-00007E7F0000}"/>
    <cellStyle name="Normal 57 3 3 4 2 2" xfId="3327" xr:uid="{00000000-0005-0000-0000-00007F7F0000}"/>
    <cellStyle name="Normal 57 3 3 4 2 2 2" xfId="12469" xr:uid="{00000000-0005-0000-0000-0000807F0000}"/>
    <cellStyle name="Normal 57 3 3 4 2 2 2 2" xfId="22688" xr:uid="{00000000-0005-0000-0000-0000817F0000}"/>
    <cellStyle name="Normal 57 3 3 4 2 2 2 2 2" xfId="48241" xr:uid="{00000000-0005-0000-0000-0000827F0000}"/>
    <cellStyle name="Normal 57 3 3 4 2 2 2 3" xfId="38024" xr:uid="{00000000-0005-0000-0000-0000837F0000}"/>
    <cellStyle name="Normal 57 3 3 4 2 2 3" xfId="8891" xr:uid="{00000000-0005-0000-0000-0000847F0000}"/>
    <cellStyle name="Normal 57 3 3 4 2 2 3 2" xfId="34448" xr:uid="{00000000-0005-0000-0000-0000857F0000}"/>
    <cellStyle name="Normal 57 3 3 4 2 2 4" xfId="17681" xr:uid="{00000000-0005-0000-0000-0000867F0000}"/>
    <cellStyle name="Normal 57 3 3 4 2 2 4 2" xfId="43234" xr:uid="{00000000-0005-0000-0000-0000877F0000}"/>
    <cellStyle name="Normal 57 3 3 4 2 2 5" xfId="29171" xr:uid="{00000000-0005-0000-0000-0000887F0000}"/>
    <cellStyle name="Normal 57 3 3 4 2 3" xfId="4656" xr:uid="{00000000-0005-0000-0000-0000897F0000}"/>
    <cellStyle name="Normal 57 3 3 4 2 3 2" xfId="13494" xr:uid="{00000000-0005-0000-0000-00008A7F0000}"/>
    <cellStyle name="Normal 57 3 3 4 2 3 2 2" xfId="23745" xr:uid="{00000000-0005-0000-0000-00008B7F0000}"/>
    <cellStyle name="Normal 57 3 3 4 2 3 2 2 2" xfId="49298" xr:uid="{00000000-0005-0000-0000-00008C7F0000}"/>
    <cellStyle name="Normal 57 3 3 4 2 3 2 3" xfId="39049" xr:uid="{00000000-0005-0000-0000-00008D7F0000}"/>
    <cellStyle name="Normal 57 3 3 4 2 3 3" xfId="9915" xr:uid="{00000000-0005-0000-0000-00008E7F0000}"/>
    <cellStyle name="Normal 57 3 3 4 2 3 3 2" xfId="35472" xr:uid="{00000000-0005-0000-0000-00008F7F0000}"/>
    <cellStyle name="Normal 57 3 3 4 2 3 4" xfId="18738" xr:uid="{00000000-0005-0000-0000-0000907F0000}"/>
    <cellStyle name="Normal 57 3 3 4 2 3 4 2" xfId="44291" xr:uid="{00000000-0005-0000-0000-0000917F0000}"/>
    <cellStyle name="Normal 57 3 3 4 2 3 5" xfId="30228" xr:uid="{00000000-0005-0000-0000-0000927F0000}"/>
    <cellStyle name="Normal 57 3 3 4 2 4" xfId="2436" xr:uid="{00000000-0005-0000-0000-0000937F0000}"/>
    <cellStyle name="Normal 57 3 3 4 2 4 2" xfId="11801" xr:uid="{00000000-0005-0000-0000-0000947F0000}"/>
    <cellStyle name="Normal 57 3 3 4 2 4 2 2" xfId="37356" xr:uid="{00000000-0005-0000-0000-0000957F0000}"/>
    <cellStyle name="Normal 57 3 3 4 2 4 3" xfId="21805" xr:uid="{00000000-0005-0000-0000-0000967F0000}"/>
    <cellStyle name="Normal 57 3 3 4 2 4 3 2" xfId="47358" xr:uid="{00000000-0005-0000-0000-0000977F0000}"/>
    <cellStyle name="Normal 57 3 3 4 2 4 4" xfId="28288" xr:uid="{00000000-0005-0000-0000-0000987F0000}"/>
    <cellStyle name="Normal 57 3 3 4 2 5" xfId="6112" xr:uid="{00000000-0005-0000-0000-0000997F0000}"/>
    <cellStyle name="Normal 57 3 3 4 2 5 2" xfId="14939" xr:uid="{00000000-0005-0000-0000-00009A7F0000}"/>
    <cellStyle name="Normal 57 3 3 4 2 5 2 2" xfId="40494" xr:uid="{00000000-0005-0000-0000-00009B7F0000}"/>
    <cellStyle name="Normal 57 3 3 4 2 5 3" xfId="25190" xr:uid="{00000000-0005-0000-0000-00009C7F0000}"/>
    <cellStyle name="Normal 57 3 3 4 2 5 3 2" xfId="50743" xr:uid="{00000000-0005-0000-0000-00009D7F0000}"/>
    <cellStyle name="Normal 57 3 3 4 2 5 4" xfId="31673" xr:uid="{00000000-0005-0000-0000-00009E7F0000}"/>
    <cellStyle name="Normal 57 3 3 4 2 6" xfId="7557" xr:uid="{00000000-0005-0000-0000-00009F7F0000}"/>
    <cellStyle name="Normal 57 3 3 4 2 6 2" xfId="20287" xr:uid="{00000000-0005-0000-0000-0000A07F0000}"/>
    <cellStyle name="Normal 57 3 3 4 2 6 2 2" xfId="45840" xr:uid="{00000000-0005-0000-0000-0000A17F0000}"/>
    <cellStyle name="Normal 57 3 3 4 2 6 3" xfId="33114" xr:uid="{00000000-0005-0000-0000-0000A27F0000}"/>
    <cellStyle name="Normal 57 3 3 4 2 7" xfId="16798" xr:uid="{00000000-0005-0000-0000-0000A37F0000}"/>
    <cellStyle name="Normal 57 3 3 4 2 7 2" xfId="42351" xr:uid="{00000000-0005-0000-0000-0000A47F0000}"/>
    <cellStyle name="Normal 57 3 3 4 2 8" xfId="26770" xr:uid="{00000000-0005-0000-0000-0000A57F0000}"/>
    <cellStyle name="Normal 57 3 3 4 3" xfId="1243" xr:uid="{00000000-0005-0000-0000-0000A67F0000}"/>
    <cellStyle name="Normal 57 3 3 4 3 2" xfId="3672" xr:uid="{00000000-0005-0000-0000-0000A77F0000}"/>
    <cellStyle name="Normal 57 3 3 4 3 2 2" xfId="12808" xr:uid="{00000000-0005-0000-0000-0000A87F0000}"/>
    <cellStyle name="Normal 57 3 3 4 3 2 2 2" xfId="23027" xr:uid="{00000000-0005-0000-0000-0000A97F0000}"/>
    <cellStyle name="Normal 57 3 3 4 3 2 2 2 2" xfId="48580" xr:uid="{00000000-0005-0000-0000-0000AA7F0000}"/>
    <cellStyle name="Normal 57 3 3 4 3 2 2 3" xfId="38363" xr:uid="{00000000-0005-0000-0000-0000AB7F0000}"/>
    <cellStyle name="Normal 57 3 3 4 3 2 3" xfId="9229" xr:uid="{00000000-0005-0000-0000-0000AC7F0000}"/>
    <cellStyle name="Normal 57 3 3 4 3 2 3 2" xfId="34786" xr:uid="{00000000-0005-0000-0000-0000AD7F0000}"/>
    <cellStyle name="Normal 57 3 3 4 3 2 4" xfId="18020" xr:uid="{00000000-0005-0000-0000-0000AE7F0000}"/>
    <cellStyle name="Normal 57 3 3 4 3 2 4 2" xfId="43573" xr:uid="{00000000-0005-0000-0000-0000AF7F0000}"/>
    <cellStyle name="Normal 57 3 3 4 3 2 5" xfId="29510" xr:uid="{00000000-0005-0000-0000-0000B07F0000}"/>
    <cellStyle name="Normal 57 3 3 4 3 3" xfId="5005" xr:uid="{00000000-0005-0000-0000-0000B17F0000}"/>
    <cellStyle name="Normal 57 3 3 4 3 3 2" xfId="13842" xr:uid="{00000000-0005-0000-0000-0000B27F0000}"/>
    <cellStyle name="Normal 57 3 3 4 3 3 2 2" xfId="24093" xr:uid="{00000000-0005-0000-0000-0000B37F0000}"/>
    <cellStyle name="Normal 57 3 3 4 3 3 2 2 2" xfId="49646" xr:uid="{00000000-0005-0000-0000-0000B47F0000}"/>
    <cellStyle name="Normal 57 3 3 4 3 3 2 3" xfId="39397" xr:uid="{00000000-0005-0000-0000-0000B57F0000}"/>
    <cellStyle name="Normal 57 3 3 4 3 3 3" xfId="10263" xr:uid="{00000000-0005-0000-0000-0000B67F0000}"/>
    <cellStyle name="Normal 57 3 3 4 3 3 3 2" xfId="35820" xr:uid="{00000000-0005-0000-0000-0000B77F0000}"/>
    <cellStyle name="Normal 57 3 3 4 3 3 4" xfId="19086" xr:uid="{00000000-0005-0000-0000-0000B87F0000}"/>
    <cellStyle name="Normal 57 3 3 4 3 3 4 2" xfId="44639" xr:uid="{00000000-0005-0000-0000-0000B97F0000}"/>
    <cellStyle name="Normal 57 3 3 4 3 3 5" xfId="30576" xr:uid="{00000000-0005-0000-0000-0000BA7F0000}"/>
    <cellStyle name="Normal 57 3 3 4 3 4" xfId="2066" xr:uid="{00000000-0005-0000-0000-0000BB7F0000}"/>
    <cellStyle name="Normal 57 3 3 4 3 4 2" xfId="11431" xr:uid="{00000000-0005-0000-0000-0000BC7F0000}"/>
    <cellStyle name="Normal 57 3 3 4 3 4 2 2" xfId="36986" xr:uid="{00000000-0005-0000-0000-0000BD7F0000}"/>
    <cellStyle name="Normal 57 3 3 4 3 4 3" xfId="21435" xr:uid="{00000000-0005-0000-0000-0000BE7F0000}"/>
    <cellStyle name="Normal 57 3 3 4 3 4 3 2" xfId="46988" xr:uid="{00000000-0005-0000-0000-0000BF7F0000}"/>
    <cellStyle name="Normal 57 3 3 4 3 4 4" xfId="27918" xr:uid="{00000000-0005-0000-0000-0000C07F0000}"/>
    <cellStyle name="Normal 57 3 3 4 3 5" xfId="6460" xr:uid="{00000000-0005-0000-0000-0000C17F0000}"/>
    <cellStyle name="Normal 57 3 3 4 3 5 2" xfId="15287" xr:uid="{00000000-0005-0000-0000-0000C27F0000}"/>
    <cellStyle name="Normal 57 3 3 4 3 5 2 2" xfId="40842" xr:uid="{00000000-0005-0000-0000-0000C37F0000}"/>
    <cellStyle name="Normal 57 3 3 4 3 5 3" xfId="25538" xr:uid="{00000000-0005-0000-0000-0000C47F0000}"/>
    <cellStyle name="Normal 57 3 3 4 3 5 3 2" xfId="51091" xr:uid="{00000000-0005-0000-0000-0000C57F0000}"/>
    <cellStyle name="Normal 57 3 3 4 3 5 4" xfId="32021" xr:uid="{00000000-0005-0000-0000-0000C67F0000}"/>
    <cellStyle name="Normal 57 3 3 4 3 6" xfId="7906" xr:uid="{00000000-0005-0000-0000-0000C77F0000}"/>
    <cellStyle name="Normal 57 3 3 4 3 6 2" xfId="20626" xr:uid="{00000000-0005-0000-0000-0000C87F0000}"/>
    <cellStyle name="Normal 57 3 3 4 3 6 2 2" xfId="46179" xr:uid="{00000000-0005-0000-0000-0000C97F0000}"/>
    <cellStyle name="Normal 57 3 3 4 3 6 3" xfId="33463" xr:uid="{00000000-0005-0000-0000-0000CA7F0000}"/>
    <cellStyle name="Normal 57 3 3 4 3 7" xfId="16428" xr:uid="{00000000-0005-0000-0000-0000CB7F0000}"/>
    <cellStyle name="Normal 57 3 3 4 3 7 2" xfId="41981" xr:uid="{00000000-0005-0000-0000-0000CC7F0000}"/>
    <cellStyle name="Normal 57 3 3 4 3 8" xfId="27109" xr:uid="{00000000-0005-0000-0000-0000CD7F0000}"/>
    <cellStyle name="Normal 57 3 3 4 4" xfId="2957" xr:uid="{00000000-0005-0000-0000-0000CE7F0000}"/>
    <cellStyle name="Normal 57 3 3 4 4 2" xfId="5335" xr:uid="{00000000-0005-0000-0000-0000CF7F0000}"/>
    <cellStyle name="Normal 57 3 3 4 4 2 2" xfId="14172" xr:uid="{00000000-0005-0000-0000-0000D07F0000}"/>
    <cellStyle name="Normal 57 3 3 4 4 2 2 2" xfId="24423" xr:uid="{00000000-0005-0000-0000-0000D17F0000}"/>
    <cellStyle name="Normal 57 3 3 4 4 2 2 2 2" xfId="49976" xr:uid="{00000000-0005-0000-0000-0000D27F0000}"/>
    <cellStyle name="Normal 57 3 3 4 4 2 2 3" xfId="39727" xr:uid="{00000000-0005-0000-0000-0000D37F0000}"/>
    <cellStyle name="Normal 57 3 3 4 4 2 3" xfId="10593" xr:uid="{00000000-0005-0000-0000-0000D47F0000}"/>
    <cellStyle name="Normal 57 3 3 4 4 2 3 2" xfId="36150" xr:uid="{00000000-0005-0000-0000-0000D57F0000}"/>
    <cellStyle name="Normal 57 3 3 4 4 2 4" xfId="19416" xr:uid="{00000000-0005-0000-0000-0000D67F0000}"/>
    <cellStyle name="Normal 57 3 3 4 4 2 4 2" xfId="44969" xr:uid="{00000000-0005-0000-0000-0000D77F0000}"/>
    <cellStyle name="Normal 57 3 3 4 4 2 5" xfId="30906" xr:uid="{00000000-0005-0000-0000-0000D87F0000}"/>
    <cellStyle name="Normal 57 3 3 4 4 3" xfId="6790" xr:uid="{00000000-0005-0000-0000-0000D97F0000}"/>
    <cellStyle name="Normal 57 3 3 4 4 3 2" xfId="15617" xr:uid="{00000000-0005-0000-0000-0000DA7F0000}"/>
    <cellStyle name="Normal 57 3 3 4 4 3 2 2" xfId="41172" xr:uid="{00000000-0005-0000-0000-0000DB7F0000}"/>
    <cellStyle name="Normal 57 3 3 4 4 3 3" xfId="25868" xr:uid="{00000000-0005-0000-0000-0000DC7F0000}"/>
    <cellStyle name="Normal 57 3 3 4 4 3 3 2" xfId="51421" xr:uid="{00000000-0005-0000-0000-0000DD7F0000}"/>
    <cellStyle name="Normal 57 3 3 4 4 3 4" xfId="32351" xr:uid="{00000000-0005-0000-0000-0000DE7F0000}"/>
    <cellStyle name="Normal 57 3 3 4 4 4" xfId="8236" xr:uid="{00000000-0005-0000-0000-0000DF7F0000}"/>
    <cellStyle name="Normal 57 3 3 4 4 4 2" xfId="22318" xr:uid="{00000000-0005-0000-0000-0000E07F0000}"/>
    <cellStyle name="Normal 57 3 3 4 4 4 2 2" xfId="47871" xr:uid="{00000000-0005-0000-0000-0000E17F0000}"/>
    <cellStyle name="Normal 57 3 3 4 4 4 3" xfId="33793" xr:uid="{00000000-0005-0000-0000-0000E27F0000}"/>
    <cellStyle name="Normal 57 3 3 4 4 5" xfId="17311" xr:uid="{00000000-0005-0000-0000-0000E37F0000}"/>
    <cellStyle name="Normal 57 3 3 4 4 5 2" xfId="42864" xr:uid="{00000000-0005-0000-0000-0000E47F0000}"/>
    <cellStyle name="Normal 57 3 3 4 4 6" xfId="28801" xr:uid="{00000000-0005-0000-0000-0000E57F0000}"/>
    <cellStyle name="Normal 57 3 3 4 5" xfId="4291" xr:uid="{00000000-0005-0000-0000-0000E67F0000}"/>
    <cellStyle name="Normal 57 3 3 4 5 2" xfId="13129" xr:uid="{00000000-0005-0000-0000-0000E77F0000}"/>
    <cellStyle name="Normal 57 3 3 4 5 2 2" xfId="23380" xr:uid="{00000000-0005-0000-0000-0000E87F0000}"/>
    <cellStyle name="Normal 57 3 3 4 5 2 2 2" xfId="48933" xr:uid="{00000000-0005-0000-0000-0000E97F0000}"/>
    <cellStyle name="Normal 57 3 3 4 5 2 3" xfId="38684" xr:uid="{00000000-0005-0000-0000-0000EA7F0000}"/>
    <cellStyle name="Normal 57 3 3 4 5 3" xfId="9550" xr:uid="{00000000-0005-0000-0000-0000EB7F0000}"/>
    <cellStyle name="Normal 57 3 3 4 5 3 2" xfId="35107" xr:uid="{00000000-0005-0000-0000-0000EC7F0000}"/>
    <cellStyle name="Normal 57 3 3 4 5 4" xfId="18373" xr:uid="{00000000-0005-0000-0000-0000ED7F0000}"/>
    <cellStyle name="Normal 57 3 3 4 5 4 2" xfId="43926" xr:uid="{00000000-0005-0000-0000-0000EE7F0000}"/>
    <cellStyle name="Normal 57 3 3 4 5 5" xfId="29863" xr:uid="{00000000-0005-0000-0000-0000EF7F0000}"/>
    <cellStyle name="Normal 57 3 3 4 6" xfId="1563" xr:uid="{00000000-0005-0000-0000-0000F07F0000}"/>
    <cellStyle name="Normal 57 3 3 4 6 2" xfId="10940" xr:uid="{00000000-0005-0000-0000-0000F17F0000}"/>
    <cellStyle name="Normal 57 3 3 4 6 2 2" xfId="36495" xr:uid="{00000000-0005-0000-0000-0000F27F0000}"/>
    <cellStyle name="Normal 57 3 3 4 6 3" xfId="20944" xr:uid="{00000000-0005-0000-0000-0000F37F0000}"/>
    <cellStyle name="Normal 57 3 3 4 6 3 2" xfId="46497" xr:uid="{00000000-0005-0000-0000-0000F47F0000}"/>
    <cellStyle name="Normal 57 3 3 4 6 4" xfId="27427" xr:uid="{00000000-0005-0000-0000-0000F57F0000}"/>
    <cellStyle name="Normal 57 3 3 4 7" xfId="5747" xr:uid="{00000000-0005-0000-0000-0000F67F0000}"/>
    <cellStyle name="Normal 57 3 3 4 7 2" xfId="14574" xr:uid="{00000000-0005-0000-0000-0000F77F0000}"/>
    <cellStyle name="Normal 57 3 3 4 7 2 2" xfId="40129" xr:uid="{00000000-0005-0000-0000-0000F87F0000}"/>
    <cellStyle name="Normal 57 3 3 4 7 3" xfId="24825" xr:uid="{00000000-0005-0000-0000-0000F97F0000}"/>
    <cellStyle name="Normal 57 3 3 4 7 3 2" xfId="50378" xr:uid="{00000000-0005-0000-0000-0000FA7F0000}"/>
    <cellStyle name="Normal 57 3 3 4 7 4" xfId="31308" xr:uid="{00000000-0005-0000-0000-0000FB7F0000}"/>
    <cellStyle name="Normal 57 3 3 4 8" xfId="7191" xr:uid="{00000000-0005-0000-0000-0000FC7F0000}"/>
    <cellStyle name="Normal 57 3 3 4 8 2" xfId="19917" xr:uid="{00000000-0005-0000-0000-0000FD7F0000}"/>
    <cellStyle name="Normal 57 3 3 4 8 2 2" xfId="45470" xr:uid="{00000000-0005-0000-0000-0000FE7F0000}"/>
    <cellStyle name="Normal 57 3 3 4 8 3" xfId="32748" xr:uid="{00000000-0005-0000-0000-0000FF7F0000}"/>
    <cellStyle name="Normal 57 3 3 4 9" xfId="15937" xr:uid="{00000000-0005-0000-0000-000000800000}"/>
    <cellStyle name="Normal 57 3 3 4 9 2" xfId="41490" xr:uid="{00000000-0005-0000-0000-000001800000}"/>
    <cellStyle name="Normal 57 3 3 4_Degree data" xfId="3948" xr:uid="{00000000-0005-0000-0000-000002800000}"/>
    <cellStyle name="Normal 57 3 3 5" xfId="312" xr:uid="{00000000-0005-0000-0000-000003800000}"/>
    <cellStyle name="Normal 57 3 3 5 2" xfId="2798" xr:uid="{00000000-0005-0000-0000-000004800000}"/>
    <cellStyle name="Normal 57 3 3 5 2 2" xfId="12102" xr:uid="{00000000-0005-0000-0000-000005800000}"/>
    <cellStyle name="Normal 57 3 3 5 2 2 2" xfId="22159" xr:uid="{00000000-0005-0000-0000-000006800000}"/>
    <cellStyle name="Normal 57 3 3 5 2 2 2 2" xfId="47712" xr:uid="{00000000-0005-0000-0000-000007800000}"/>
    <cellStyle name="Normal 57 3 3 5 2 2 3" xfId="37657" xr:uid="{00000000-0005-0000-0000-000008800000}"/>
    <cellStyle name="Normal 57 3 3 5 2 3" xfId="8471" xr:uid="{00000000-0005-0000-0000-000009800000}"/>
    <cellStyle name="Normal 57 3 3 5 2 3 2" xfId="34028" xr:uid="{00000000-0005-0000-0000-00000A800000}"/>
    <cellStyle name="Normal 57 3 3 5 2 4" xfId="17152" xr:uid="{00000000-0005-0000-0000-00000B800000}"/>
    <cellStyle name="Normal 57 3 3 5 2 4 2" xfId="42705" xr:uid="{00000000-0005-0000-0000-00000C800000}"/>
    <cellStyle name="Normal 57 3 3 5 2 5" xfId="28642" xr:uid="{00000000-0005-0000-0000-00000D800000}"/>
    <cellStyle name="Normal 57 3 3 5 3" xfId="4651" xr:uid="{00000000-0005-0000-0000-00000E800000}"/>
    <cellStyle name="Normal 57 3 3 5 3 2" xfId="13489" xr:uid="{00000000-0005-0000-0000-00000F800000}"/>
    <cellStyle name="Normal 57 3 3 5 3 2 2" xfId="23740" xr:uid="{00000000-0005-0000-0000-000010800000}"/>
    <cellStyle name="Normal 57 3 3 5 3 2 2 2" xfId="49293" xr:uid="{00000000-0005-0000-0000-000011800000}"/>
    <cellStyle name="Normal 57 3 3 5 3 2 3" xfId="39044" xr:uid="{00000000-0005-0000-0000-000012800000}"/>
    <cellStyle name="Normal 57 3 3 5 3 3" xfId="9910" xr:uid="{00000000-0005-0000-0000-000013800000}"/>
    <cellStyle name="Normal 57 3 3 5 3 3 2" xfId="35467" xr:uid="{00000000-0005-0000-0000-000014800000}"/>
    <cellStyle name="Normal 57 3 3 5 3 4" xfId="18733" xr:uid="{00000000-0005-0000-0000-000015800000}"/>
    <cellStyle name="Normal 57 3 3 5 3 4 2" xfId="44286" xr:uid="{00000000-0005-0000-0000-000016800000}"/>
    <cellStyle name="Normal 57 3 3 5 3 5" xfId="30223" xr:uid="{00000000-0005-0000-0000-000017800000}"/>
    <cellStyle name="Normal 57 3 3 5 4" xfId="1907" xr:uid="{00000000-0005-0000-0000-000018800000}"/>
    <cellStyle name="Normal 57 3 3 5 4 2" xfId="11272" xr:uid="{00000000-0005-0000-0000-000019800000}"/>
    <cellStyle name="Normal 57 3 3 5 4 2 2" xfId="36827" xr:uid="{00000000-0005-0000-0000-00001A800000}"/>
    <cellStyle name="Normal 57 3 3 5 4 3" xfId="21276" xr:uid="{00000000-0005-0000-0000-00001B800000}"/>
    <cellStyle name="Normal 57 3 3 5 4 3 2" xfId="46829" xr:uid="{00000000-0005-0000-0000-00001C800000}"/>
    <cellStyle name="Normal 57 3 3 5 4 4" xfId="27759" xr:uid="{00000000-0005-0000-0000-00001D800000}"/>
    <cellStyle name="Normal 57 3 3 5 5" xfId="6107" xr:uid="{00000000-0005-0000-0000-00001E800000}"/>
    <cellStyle name="Normal 57 3 3 5 5 2" xfId="14934" xr:uid="{00000000-0005-0000-0000-00001F800000}"/>
    <cellStyle name="Normal 57 3 3 5 5 2 2" xfId="40489" xr:uid="{00000000-0005-0000-0000-000020800000}"/>
    <cellStyle name="Normal 57 3 3 5 5 3" xfId="25185" xr:uid="{00000000-0005-0000-0000-000021800000}"/>
    <cellStyle name="Normal 57 3 3 5 5 3 2" xfId="50738" xr:uid="{00000000-0005-0000-0000-000022800000}"/>
    <cellStyle name="Normal 57 3 3 5 5 4" xfId="31668" xr:uid="{00000000-0005-0000-0000-000023800000}"/>
    <cellStyle name="Normal 57 3 3 5 6" xfId="7552" xr:uid="{00000000-0005-0000-0000-000024800000}"/>
    <cellStyle name="Normal 57 3 3 5 6 2" xfId="19758" xr:uid="{00000000-0005-0000-0000-000025800000}"/>
    <cellStyle name="Normal 57 3 3 5 6 2 2" xfId="45311" xr:uid="{00000000-0005-0000-0000-000026800000}"/>
    <cellStyle name="Normal 57 3 3 5 6 3" xfId="33109" xr:uid="{00000000-0005-0000-0000-000027800000}"/>
    <cellStyle name="Normal 57 3 3 5 7" xfId="16269" xr:uid="{00000000-0005-0000-0000-000028800000}"/>
    <cellStyle name="Normal 57 3 3 5 7 2" xfId="41822" xr:uid="{00000000-0005-0000-0000-000029800000}"/>
    <cellStyle name="Normal 57 3 3 5 8" xfId="26241" xr:uid="{00000000-0005-0000-0000-00002A800000}"/>
    <cellStyle name="Normal 57 3 3 6" xfId="837" xr:uid="{00000000-0005-0000-0000-00002B800000}"/>
    <cellStyle name="Normal 57 3 3 6 2" xfId="3322" xr:uid="{00000000-0005-0000-0000-00002C800000}"/>
    <cellStyle name="Normal 57 3 3 6 2 2" xfId="12464" xr:uid="{00000000-0005-0000-0000-00002D800000}"/>
    <cellStyle name="Normal 57 3 3 6 2 2 2" xfId="22683" xr:uid="{00000000-0005-0000-0000-00002E800000}"/>
    <cellStyle name="Normal 57 3 3 6 2 2 2 2" xfId="48236" xr:uid="{00000000-0005-0000-0000-00002F800000}"/>
    <cellStyle name="Normal 57 3 3 6 2 2 3" xfId="38019" xr:uid="{00000000-0005-0000-0000-000030800000}"/>
    <cellStyle name="Normal 57 3 3 6 2 3" xfId="8886" xr:uid="{00000000-0005-0000-0000-000031800000}"/>
    <cellStyle name="Normal 57 3 3 6 2 3 2" xfId="34443" xr:uid="{00000000-0005-0000-0000-000032800000}"/>
    <cellStyle name="Normal 57 3 3 6 2 4" xfId="17676" xr:uid="{00000000-0005-0000-0000-000033800000}"/>
    <cellStyle name="Normal 57 3 3 6 2 4 2" xfId="43229" xr:uid="{00000000-0005-0000-0000-000034800000}"/>
    <cellStyle name="Normal 57 3 3 6 2 5" xfId="29166" xr:uid="{00000000-0005-0000-0000-000035800000}"/>
    <cellStyle name="Normal 57 3 3 6 3" xfId="5000" xr:uid="{00000000-0005-0000-0000-000036800000}"/>
    <cellStyle name="Normal 57 3 3 6 3 2" xfId="13837" xr:uid="{00000000-0005-0000-0000-000037800000}"/>
    <cellStyle name="Normal 57 3 3 6 3 2 2" xfId="24088" xr:uid="{00000000-0005-0000-0000-000038800000}"/>
    <cellStyle name="Normal 57 3 3 6 3 2 2 2" xfId="49641" xr:uid="{00000000-0005-0000-0000-000039800000}"/>
    <cellStyle name="Normal 57 3 3 6 3 2 3" xfId="39392" xr:uid="{00000000-0005-0000-0000-00003A800000}"/>
    <cellStyle name="Normal 57 3 3 6 3 3" xfId="10258" xr:uid="{00000000-0005-0000-0000-00003B800000}"/>
    <cellStyle name="Normal 57 3 3 6 3 3 2" xfId="35815" xr:uid="{00000000-0005-0000-0000-00003C800000}"/>
    <cellStyle name="Normal 57 3 3 6 3 4" xfId="19081" xr:uid="{00000000-0005-0000-0000-00003D800000}"/>
    <cellStyle name="Normal 57 3 3 6 3 4 2" xfId="44634" xr:uid="{00000000-0005-0000-0000-00003E800000}"/>
    <cellStyle name="Normal 57 3 3 6 3 5" xfId="30571" xr:uid="{00000000-0005-0000-0000-00003F800000}"/>
    <cellStyle name="Normal 57 3 3 6 4" xfId="2431" xr:uid="{00000000-0005-0000-0000-000040800000}"/>
    <cellStyle name="Normal 57 3 3 6 4 2" xfId="11796" xr:uid="{00000000-0005-0000-0000-000041800000}"/>
    <cellStyle name="Normal 57 3 3 6 4 2 2" xfId="37351" xr:uid="{00000000-0005-0000-0000-000042800000}"/>
    <cellStyle name="Normal 57 3 3 6 4 3" xfId="21800" xr:uid="{00000000-0005-0000-0000-000043800000}"/>
    <cellStyle name="Normal 57 3 3 6 4 3 2" xfId="47353" xr:uid="{00000000-0005-0000-0000-000044800000}"/>
    <cellStyle name="Normal 57 3 3 6 4 4" xfId="28283" xr:uid="{00000000-0005-0000-0000-000045800000}"/>
    <cellStyle name="Normal 57 3 3 6 5" xfId="6455" xr:uid="{00000000-0005-0000-0000-000046800000}"/>
    <cellStyle name="Normal 57 3 3 6 5 2" xfId="15282" xr:uid="{00000000-0005-0000-0000-000047800000}"/>
    <cellStyle name="Normal 57 3 3 6 5 2 2" xfId="40837" xr:uid="{00000000-0005-0000-0000-000048800000}"/>
    <cellStyle name="Normal 57 3 3 6 5 3" xfId="25533" xr:uid="{00000000-0005-0000-0000-000049800000}"/>
    <cellStyle name="Normal 57 3 3 6 5 3 2" xfId="51086" xr:uid="{00000000-0005-0000-0000-00004A800000}"/>
    <cellStyle name="Normal 57 3 3 6 5 4" xfId="32016" xr:uid="{00000000-0005-0000-0000-00004B800000}"/>
    <cellStyle name="Normal 57 3 3 6 6" xfId="7901" xr:uid="{00000000-0005-0000-0000-00004C800000}"/>
    <cellStyle name="Normal 57 3 3 6 6 2" xfId="20282" xr:uid="{00000000-0005-0000-0000-00004D800000}"/>
    <cellStyle name="Normal 57 3 3 6 6 2 2" xfId="45835" xr:uid="{00000000-0005-0000-0000-00004E800000}"/>
    <cellStyle name="Normal 57 3 3 6 6 3" xfId="33458" xr:uid="{00000000-0005-0000-0000-00004F800000}"/>
    <cellStyle name="Normal 57 3 3 6 7" xfId="16793" xr:uid="{00000000-0005-0000-0000-000050800000}"/>
    <cellStyle name="Normal 57 3 3 6 7 2" xfId="42346" xr:uid="{00000000-0005-0000-0000-000051800000}"/>
    <cellStyle name="Normal 57 3 3 6 8" xfId="26765" xr:uid="{00000000-0005-0000-0000-000052800000}"/>
    <cellStyle name="Normal 57 3 3 7" xfId="1084" xr:uid="{00000000-0005-0000-0000-000053800000}"/>
    <cellStyle name="Normal 57 3 3 7 2" xfId="3513" xr:uid="{00000000-0005-0000-0000-000054800000}"/>
    <cellStyle name="Normal 57 3 3 7 2 2" xfId="12649" xr:uid="{00000000-0005-0000-0000-000055800000}"/>
    <cellStyle name="Normal 57 3 3 7 2 2 2" xfId="22868" xr:uid="{00000000-0005-0000-0000-000056800000}"/>
    <cellStyle name="Normal 57 3 3 7 2 2 2 2" xfId="48421" xr:uid="{00000000-0005-0000-0000-000057800000}"/>
    <cellStyle name="Normal 57 3 3 7 2 2 3" xfId="38204" xr:uid="{00000000-0005-0000-0000-000058800000}"/>
    <cellStyle name="Normal 57 3 3 7 2 3" xfId="9071" xr:uid="{00000000-0005-0000-0000-000059800000}"/>
    <cellStyle name="Normal 57 3 3 7 2 3 2" xfId="34628" xr:uid="{00000000-0005-0000-0000-00005A800000}"/>
    <cellStyle name="Normal 57 3 3 7 2 4" xfId="17861" xr:uid="{00000000-0005-0000-0000-00005B800000}"/>
    <cellStyle name="Normal 57 3 3 7 2 4 2" xfId="43414" xr:uid="{00000000-0005-0000-0000-00005C800000}"/>
    <cellStyle name="Normal 57 3 3 7 2 5" xfId="29351" xr:uid="{00000000-0005-0000-0000-00005D800000}"/>
    <cellStyle name="Normal 57 3 3 7 3" xfId="5176" xr:uid="{00000000-0005-0000-0000-00005E800000}"/>
    <cellStyle name="Normal 57 3 3 7 3 2" xfId="14013" xr:uid="{00000000-0005-0000-0000-00005F800000}"/>
    <cellStyle name="Normal 57 3 3 7 3 2 2" xfId="24264" xr:uid="{00000000-0005-0000-0000-000060800000}"/>
    <cellStyle name="Normal 57 3 3 7 3 2 2 2" xfId="49817" xr:uid="{00000000-0005-0000-0000-000061800000}"/>
    <cellStyle name="Normal 57 3 3 7 3 2 3" xfId="39568" xr:uid="{00000000-0005-0000-0000-000062800000}"/>
    <cellStyle name="Normal 57 3 3 7 3 3" xfId="10434" xr:uid="{00000000-0005-0000-0000-000063800000}"/>
    <cellStyle name="Normal 57 3 3 7 3 3 2" xfId="35991" xr:uid="{00000000-0005-0000-0000-000064800000}"/>
    <cellStyle name="Normal 57 3 3 7 3 4" xfId="19257" xr:uid="{00000000-0005-0000-0000-000065800000}"/>
    <cellStyle name="Normal 57 3 3 7 3 4 2" xfId="44810" xr:uid="{00000000-0005-0000-0000-000066800000}"/>
    <cellStyle name="Normal 57 3 3 7 3 5" xfId="30747" xr:uid="{00000000-0005-0000-0000-000067800000}"/>
    <cellStyle name="Normal 57 3 3 7 4" xfId="1742" xr:uid="{00000000-0005-0000-0000-000068800000}"/>
    <cellStyle name="Normal 57 3 3 7 4 2" xfId="11113" xr:uid="{00000000-0005-0000-0000-000069800000}"/>
    <cellStyle name="Normal 57 3 3 7 4 2 2" xfId="36668" xr:uid="{00000000-0005-0000-0000-00006A800000}"/>
    <cellStyle name="Normal 57 3 3 7 4 3" xfId="21117" xr:uid="{00000000-0005-0000-0000-00006B800000}"/>
    <cellStyle name="Normal 57 3 3 7 4 3 2" xfId="46670" xr:uid="{00000000-0005-0000-0000-00006C800000}"/>
    <cellStyle name="Normal 57 3 3 7 4 4" xfId="27600" xr:uid="{00000000-0005-0000-0000-00006D800000}"/>
    <cellStyle name="Normal 57 3 3 7 5" xfId="6631" xr:uid="{00000000-0005-0000-0000-00006E800000}"/>
    <cellStyle name="Normal 57 3 3 7 5 2" xfId="15458" xr:uid="{00000000-0005-0000-0000-00006F800000}"/>
    <cellStyle name="Normal 57 3 3 7 5 2 2" xfId="41013" xr:uid="{00000000-0005-0000-0000-000070800000}"/>
    <cellStyle name="Normal 57 3 3 7 5 3" xfId="25709" xr:uid="{00000000-0005-0000-0000-000071800000}"/>
    <cellStyle name="Normal 57 3 3 7 5 3 2" xfId="51262" xr:uid="{00000000-0005-0000-0000-000072800000}"/>
    <cellStyle name="Normal 57 3 3 7 5 4" xfId="32192" xr:uid="{00000000-0005-0000-0000-000073800000}"/>
    <cellStyle name="Normal 57 3 3 7 6" xfId="8077" xr:uid="{00000000-0005-0000-0000-000074800000}"/>
    <cellStyle name="Normal 57 3 3 7 6 2" xfId="20467" xr:uid="{00000000-0005-0000-0000-000075800000}"/>
    <cellStyle name="Normal 57 3 3 7 6 2 2" xfId="46020" xr:uid="{00000000-0005-0000-0000-000076800000}"/>
    <cellStyle name="Normal 57 3 3 7 6 3" xfId="33634" xr:uid="{00000000-0005-0000-0000-000077800000}"/>
    <cellStyle name="Normal 57 3 3 7 7" xfId="16110" xr:uid="{00000000-0005-0000-0000-000078800000}"/>
    <cellStyle name="Normal 57 3 3 7 7 2" xfId="41663" xr:uid="{00000000-0005-0000-0000-000079800000}"/>
    <cellStyle name="Normal 57 3 3 7 8" xfId="26950" xr:uid="{00000000-0005-0000-0000-00007A800000}"/>
    <cellStyle name="Normal 57 3 3 8" xfId="2640" xr:uid="{00000000-0005-0000-0000-00007B800000}"/>
    <cellStyle name="Normal 57 3 3 8 2" xfId="5588" xr:uid="{00000000-0005-0000-0000-00007C800000}"/>
    <cellStyle name="Normal 57 3 3 8 2 2" xfId="14415" xr:uid="{00000000-0005-0000-0000-00007D800000}"/>
    <cellStyle name="Normal 57 3 3 8 2 2 2" xfId="39970" xr:uid="{00000000-0005-0000-0000-00007E800000}"/>
    <cellStyle name="Normal 57 3 3 8 2 3" xfId="24666" xr:uid="{00000000-0005-0000-0000-00007F800000}"/>
    <cellStyle name="Normal 57 3 3 8 2 3 2" xfId="50219" xr:uid="{00000000-0005-0000-0000-000080800000}"/>
    <cellStyle name="Normal 57 3 3 8 2 4" xfId="31149" xr:uid="{00000000-0005-0000-0000-000081800000}"/>
    <cellStyle name="Normal 57 3 3 8 3" xfId="7032" xr:uid="{00000000-0005-0000-0000-000082800000}"/>
    <cellStyle name="Normal 57 3 3 8 3 2" xfId="22001" xr:uid="{00000000-0005-0000-0000-000083800000}"/>
    <cellStyle name="Normal 57 3 3 8 3 2 2" xfId="47554" xr:uid="{00000000-0005-0000-0000-000084800000}"/>
    <cellStyle name="Normal 57 3 3 8 3 3" xfId="32589" xr:uid="{00000000-0005-0000-0000-000085800000}"/>
    <cellStyle name="Normal 57 3 3 8 4" xfId="16994" xr:uid="{00000000-0005-0000-0000-000086800000}"/>
    <cellStyle name="Normal 57 3 3 8 4 2" xfId="42547" xr:uid="{00000000-0005-0000-0000-000087800000}"/>
    <cellStyle name="Normal 57 3 3 8 5" xfId="28484" xr:uid="{00000000-0005-0000-0000-000088800000}"/>
    <cellStyle name="Normal 57 3 3 9" xfId="4130" xr:uid="{00000000-0005-0000-0000-000089800000}"/>
    <cellStyle name="Normal 57 3 3 9 2" xfId="12968" xr:uid="{00000000-0005-0000-0000-00008A800000}"/>
    <cellStyle name="Normal 57 3 3 9 2 2" xfId="23219" xr:uid="{00000000-0005-0000-0000-00008B800000}"/>
    <cellStyle name="Normal 57 3 3 9 2 2 2" xfId="48772" xr:uid="{00000000-0005-0000-0000-00008C800000}"/>
    <cellStyle name="Normal 57 3 3 9 2 3" xfId="38523" xr:uid="{00000000-0005-0000-0000-00008D800000}"/>
    <cellStyle name="Normal 57 3 3 9 3" xfId="9389" xr:uid="{00000000-0005-0000-0000-00008E800000}"/>
    <cellStyle name="Normal 57 3 3 9 3 2" xfId="34946" xr:uid="{00000000-0005-0000-0000-00008F800000}"/>
    <cellStyle name="Normal 57 3 3 9 4" xfId="18212" xr:uid="{00000000-0005-0000-0000-000090800000}"/>
    <cellStyle name="Normal 57 3 3 9 4 2" xfId="43765" xr:uid="{00000000-0005-0000-0000-000091800000}"/>
    <cellStyle name="Normal 57 3 3 9 5" xfId="29702" xr:uid="{00000000-0005-0000-0000-000092800000}"/>
    <cellStyle name="Normal 57 3 3_Degree data" xfId="3943" xr:uid="{00000000-0005-0000-0000-000093800000}"/>
    <cellStyle name="Normal 57 3 4" xfId="180" xr:uid="{00000000-0005-0000-0000-000094800000}"/>
    <cellStyle name="Normal 57 3 4 10" xfId="7128" xr:uid="{00000000-0005-0000-0000-000095800000}"/>
    <cellStyle name="Normal 57 3 4 10 2" xfId="19637" xr:uid="{00000000-0005-0000-0000-000096800000}"/>
    <cellStyle name="Normal 57 3 4 10 2 2" xfId="45190" xr:uid="{00000000-0005-0000-0000-000097800000}"/>
    <cellStyle name="Normal 57 3 4 10 3" xfId="32685" xr:uid="{00000000-0005-0000-0000-000098800000}"/>
    <cellStyle name="Normal 57 3 4 11" xfId="15874" xr:uid="{00000000-0005-0000-0000-000099800000}"/>
    <cellStyle name="Normal 57 3 4 11 2" xfId="41427" xr:uid="{00000000-0005-0000-0000-00009A800000}"/>
    <cellStyle name="Normal 57 3 4 12" xfId="26120" xr:uid="{00000000-0005-0000-0000-00009B800000}"/>
    <cellStyle name="Normal 57 3 4 2" xfId="508" xr:uid="{00000000-0005-0000-0000-00009C800000}"/>
    <cellStyle name="Normal 57 3 4 2 10" xfId="26437" xr:uid="{00000000-0005-0000-0000-00009D800000}"/>
    <cellStyle name="Normal 57 3 4 2 2" xfId="844" xr:uid="{00000000-0005-0000-0000-00009E800000}"/>
    <cellStyle name="Normal 57 3 4 2 2 2" xfId="3329" xr:uid="{00000000-0005-0000-0000-00009F800000}"/>
    <cellStyle name="Normal 57 3 4 2 2 2 2" xfId="12471" xr:uid="{00000000-0005-0000-0000-0000A0800000}"/>
    <cellStyle name="Normal 57 3 4 2 2 2 2 2" xfId="22690" xr:uid="{00000000-0005-0000-0000-0000A1800000}"/>
    <cellStyle name="Normal 57 3 4 2 2 2 2 2 2" xfId="48243" xr:uid="{00000000-0005-0000-0000-0000A2800000}"/>
    <cellStyle name="Normal 57 3 4 2 2 2 2 3" xfId="38026" xr:uid="{00000000-0005-0000-0000-0000A3800000}"/>
    <cellStyle name="Normal 57 3 4 2 2 2 3" xfId="8893" xr:uid="{00000000-0005-0000-0000-0000A4800000}"/>
    <cellStyle name="Normal 57 3 4 2 2 2 3 2" xfId="34450" xr:uid="{00000000-0005-0000-0000-0000A5800000}"/>
    <cellStyle name="Normal 57 3 4 2 2 2 4" xfId="17683" xr:uid="{00000000-0005-0000-0000-0000A6800000}"/>
    <cellStyle name="Normal 57 3 4 2 2 2 4 2" xfId="43236" xr:uid="{00000000-0005-0000-0000-0000A7800000}"/>
    <cellStyle name="Normal 57 3 4 2 2 2 5" xfId="29173" xr:uid="{00000000-0005-0000-0000-0000A8800000}"/>
    <cellStyle name="Normal 57 3 4 2 2 3" xfId="4658" xr:uid="{00000000-0005-0000-0000-0000A9800000}"/>
    <cellStyle name="Normal 57 3 4 2 2 3 2" xfId="13496" xr:uid="{00000000-0005-0000-0000-0000AA800000}"/>
    <cellStyle name="Normal 57 3 4 2 2 3 2 2" xfId="23747" xr:uid="{00000000-0005-0000-0000-0000AB800000}"/>
    <cellStyle name="Normal 57 3 4 2 2 3 2 2 2" xfId="49300" xr:uid="{00000000-0005-0000-0000-0000AC800000}"/>
    <cellStyle name="Normal 57 3 4 2 2 3 2 3" xfId="39051" xr:uid="{00000000-0005-0000-0000-0000AD800000}"/>
    <cellStyle name="Normal 57 3 4 2 2 3 3" xfId="9917" xr:uid="{00000000-0005-0000-0000-0000AE800000}"/>
    <cellStyle name="Normal 57 3 4 2 2 3 3 2" xfId="35474" xr:uid="{00000000-0005-0000-0000-0000AF800000}"/>
    <cellStyle name="Normal 57 3 4 2 2 3 4" xfId="18740" xr:uid="{00000000-0005-0000-0000-0000B0800000}"/>
    <cellStyle name="Normal 57 3 4 2 2 3 4 2" xfId="44293" xr:uid="{00000000-0005-0000-0000-0000B1800000}"/>
    <cellStyle name="Normal 57 3 4 2 2 3 5" xfId="30230" xr:uid="{00000000-0005-0000-0000-0000B2800000}"/>
    <cellStyle name="Normal 57 3 4 2 2 4" xfId="2438" xr:uid="{00000000-0005-0000-0000-0000B3800000}"/>
    <cellStyle name="Normal 57 3 4 2 2 4 2" xfId="11803" xr:uid="{00000000-0005-0000-0000-0000B4800000}"/>
    <cellStyle name="Normal 57 3 4 2 2 4 2 2" xfId="37358" xr:uid="{00000000-0005-0000-0000-0000B5800000}"/>
    <cellStyle name="Normal 57 3 4 2 2 4 3" xfId="21807" xr:uid="{00000000-0005-0000-0000-0000B6800000}"/>
    <cellStyle name="Normal 57 3 4 2 2 4 3 2" xfId="47360" xr:uid="{00000000-0005-0000-0000-0000B7800000}"/>
    <cellStyle name="Normal 57 3 4 2 2 4 4" xfId="28290" xr:uid="{00000000-0005-0000-0000-0000B8800000}"/>
    <cellStyle name="Normal 57 3 4 2 2 5" xfId="6114" xr:uid="{00000000-0005-0000-0000-0000B9800000}"/>
    <cellStyle name="Normal 57 3 4 2 2 5 2" xfId="14941" xr:uid="{00000000-0005-0000-0000-0000BA800000}"/>
    <cellStyle name="Normal 57 3 4 2 2 5 2 2" xfId="40496" xr:uid="{00000000-0005-0000-0000-0000BB800000}"/>
    <cellStyle name="Normal 57 3 4 2 2 5 3" xfId="25192" xr:uid="{00000000-0005-0000-0000-0000BC800000}"/>
    <cellStyle name="Normal 57 3 4 2 2 5 3 2" xfId="50745" xr:uid="{00000000-0005-0000-0000-0000BD800000}"/>
    <cellStyle name="Normal 57 3 4 2 2 5 4" xfId="31675" xr:uid="{00000000-0005-0000-0000-0000BE800000}"/>
    <cellStyle name="Normal 57 3 4 2 2 6" xfId="7559" xr:uid="{00000000-0005-0000-0000-0000BF800000}"/>
    <cellStyle name="Normal 57 3 4 2 2 6 2" xfId="20289" xr:uid="{00000000-0005-0000-0000-0000C0800000}"/>
    <cellStyle name="Normal 57 3 4 2 2 6 2 2" xfId="45842" xr:uid="{00000000-0005-0000-0000-0000C1800000}"/>
    <cellStyle name="Normal 57 3 4 2 2 6 3" xfId="33116" xr:uid="{00000000-0005-0000-0000-0000C2800000}"/>
    <cellStyle name="Normal 57 3 4 2 2 7" xfId="16800" xr:uid="{00000000-0005-0000-0000-0000C3800000}"/>
    <cellStyle name="Normal 57 3 4 2 2 7 2" xfId="42353" xr:uid="{00000000-0005-0000-0000-0000C4800000}"/>
    <cellStyle name="Normal 57 3 4 2 2 8" xfId="26772" xr:uid="{00000000-0005-0000-0000-0000C5800000}"/>
    <cellStyle name="Normal 57 3 4 2 3" xfId="1280" xr:uid="{00000000-0005-0000-0000-0000C6800000}"/>
    <cellStyle name="Normal 57 3 4 2 3 2" xfId="3709" xr:uid="{00000000-0005-0000-0000-0000C7800000}"/>
    <cellStyle name="Normal 57 3 4 2 3 2 2" xfId="12845" xr:uid="{00000000-0005-0000-0000-0000C8800000}"/>
    <cellStyle name="Normal 57 3 4 2 3 2 2 2" xfId="23064" xr:uid="{00000000-0005-0000-0000-0000C9800000}"/>
    <cellStyle name="Normal 57 3 4 2 3 2 2 2 2" xfId="48617" xr:uid="{00000000-0005-0000-0000-0000CA800000}"/>
    <cellStyle name="Normal 57 3 4 2 3 2 2 3" xfId="38400" xr:uid="{00000000-0005-0000-0000-0000CB800000}"/>
    <cellStyle name="Normal 57 3 4 2 3 2 3" xfId="9266" xr:uid="{00000000-0005-0000-0000-0000CC800000}"/>
    <cellStyle name="Normal 57 3 4 2 3 2 3 2" xfId="34823" xr:uid="{00000000-0005-0000-0000-0000CD800000}"/>
    <cellStyle name="Normal 57 3 4 2 3 2 4" xfId="18057" xr:uid="{00000000-0005-0000-0000-0000CE800000}"/>
    <cellStyle name="Normal 57 3 4 2 3 2 4 2" xfId="43610" xr:uid="{00000000-0005-0000-0000-0000CF800000}"/>
    <cellStyle name="Normal 57 3 4 2 3 2 5" xfId="29547" xr:uid="{00000000-0005-0000-0000-0000D0800000}"/>
    <cellStyle name="Normal 57 3 4 2 3 3" xfId="5007" xr:uid="{00000000-0005-0000-0000-0000D1800000}"/>
    <cellStyle name="Normal 57 3 4 2 3 3 2" xfId="13844" xr:uid="{00000000-0005-0000-0000-0000D2800000}"/>
    <cellStyle name="Normal 57 3 4 2 3 3 2 2" xfId="24095" xr:uid="{00000000-0005-0000-0000-0000D3800000}"/>
    <cellStyle name="Normal 57 3 4 2 3 3 2 2 2" xfId="49648" xr:uid="{00000000-0005-0000-0000-0000D4800000}"/>
    <cellStyle name="Normal 57 3 4 2 3 3 2 3" xfId="39399" xr:uid="{00000000-0005-0000-0000-0000D5800000}"/>
    <cellStyle name="Normal 57 3 4 2 3 3 3" xfId="10265" xr:uid="{00000000-0005-0000-0000-0000D6800000}"/>
    <cellStyle name="Normal 57 3 4 2 3 3 3 2" xfId="35822" xr:uid="{00000000-0005-0000-0000-0000D7800000}"/>
    <cellStyle name="Normal 57 3 4 2 3 3 4" xfId="19088" xr:uid="{00000000-0005-0000-0000-0000D8800000}"/>
    <cellStyle name="Normal 57 3 4 2 3 3 4 2" xfId="44641" xr:uid="{00000000-0005-0000-0000-0000D9800000}"/>
    <cellStyle name="Normal 57 3 4 2 3 3 5" xfId="30578" xr:uid="{00000000-0005-0000-0000-0000DA800000}"/>
    <cellStyle name="Normal 57 3 4 2 3 4" xfId="2103" xr:uid="{00000000-0005-0000-0000-0000DB800000}"/>
    <cellStyle name="Normal 57 3 4 2 3 4 2" xfId="11468" xr:uid="{00000000-0005-0000-0000-0000DC800000}"/>
    <cellStyle name="Normal 57 3 4 2 3 4 2 2" xfId="37023" xr:uid="{00000000-0005-0000-0000-0000DD800000}"/>
    <cellStyle name="Normal 57 3 4 2 3 4 3" xfId="21472" xr:uid="{00000000-0005-0000-0000-0000DE800000}"/>
    <cellStyle name="Normal 57 3 4 2 3 4 3 2" xfId="47025" xr:uid="{00000000-0005-0000-0000-0000DF800000}"/>
    <cellStyle name="Normal 57 3 4 2 3 4 4" xfId="27955" xr:uid="{00000000-0005-0000-0000-0000E0800000}"/>
    <cellStyle name="Normal 57 3 4 2 3 5" xfId="6462" xr:uid="{00000000-0005-0000-0000-0000E1800000}"/>
    <cellStyle name="Normal 57 3 4 2 3 5 2" xfId="15289" xr:uid="{00000000-0005-0000-0000-0000E2800000}"/>
    <cellStyle name="Normal 57 3 4 2 3 5 2 2" xfId="40844" xr:uid="{00000000-0005-0000-0000-0000E3800000}"/>
    <cellStyle name="Normal 57 3 4 2 3 5 3" xfId="25540" xr:uid="{00000000-0005-0000-0000-0000E4800000}"/>
    <cellStyle name="Normal 57 3 4 2 3 5 3 2" xfId="51093" xr:uid="{00000000-0005-0000-0000-0000E5800000}"/>
    <cellStyle name="Normal 57 3 4 2 3 5 4" xfId="32023" xr:uid="{00000000-0005-0000-0000-0000E6800000}"/>
    <cellStyle name="Normal 57 3 4 2 3 6" xfId="7908" xr:uid="{00000000-0005-0000-0000-0000E7800000}"/>
    <cellStyle name="Normal 57 3 4 2 3 6 2" xfId="20663" xr:uid="{00000000-0005-0000-0000-0000E8800000}"/>
    <cellStyle name="Normal 57 3 4 2 3 6 2 2" xfId="46216" xr:uid="{00000000-0005-0000-0000-0000E9800000}"/>
    <cellStyle name="Normal 57 3 4 2 3 6 3" xfId="33465" xr:uid="{00000000-0005-0000-0000-0000EA800000}"/>
    <cellStyle name="Normal 57 3 4 2 3 7" xfId="16465" xr:uid="{00000000-0005-0000-0000-0000EB800000}"/>
    <cellStyle name="Normal 57 3 4 2 3 7 2" xfId="42018" xr:uid="{00000000-0005-0000-0000-0000EC800000}"/>
    <cellStyle name="Normal 57 3 4 2 3 8" xfId="27146" xr:uid="{00000000-0005-0000-0000-0000ED800000}"/>
    <cellStyle name="Normal 57 3 4 2 4" xfId="2994" xr:uid="{00000000-0005-0000-0000-0000EE800000}"/>
    <cellStyle name="Normal 57 3 4 2 4 2" xfId="5372" xr:uid="{00000000-0005-0000-0000-0000EF800000}"/>
    <cellStyle name="Normal 57 3 4 2 4 2 2" xfId="14209" xr:uid="{00000000-0005-0000-0000-0000F0800000}"/>
    <cellStyle name="Normal 57 3 4 2 4 2 2 2" xfId="24460" xr:uid="{00000000-0005-0000-0000-0000F1800000}"/>
    <cellStyle name="Normal 57 3 4 2 4 2 2 2 2" xfId="50013" xr:uid="{00000000-0005-0000-0000-0000F2800000}"/>
    <cellStyle name="Normal 57 3 4 2 4 2 2 3" xfId="39764" xr:uid="{00000000-0005-0000-0000-0000F3800000}"/>
    <cellStyle name="Normal 57 3 4 2 4 2 3" xfId="10630" xr:uid="{00000000-0005-0000-0000-0000F4800000}"/>
    <cellStyle name="Normal 57 3 4 2 4 2 3 2" xfId="36187" xr:uid="{00000000-0005-0000-0000-0000F5800000}"/>
    <cellStyle name="Normal 57 3 4 2 4 2 4" xfId="19453" xr:uid="{00000000-0005-0000-0000-0000F6800000}"/>
    <cellStyle name="Normal 57 3 4 2 4 2 4 2" xfId="45006" xr:uid="{00000000-0005-0000-0000-0000F7800000}"/>
    <cellStyle name="Normal 57 3 4 2 4 2 5" xfId="30943" xr:uid="{00000000-0005-0000-0000-0000F8800000}"/>
    <cellStyle name="Normal 57 3 4 2 4 3" xfId="6827" xr:uid="{00000000-0005-0000-0000-0000F9800000}"/>
    <cellStyle name="Normal 57 3 4 2 4 3 2" xfId="15654" xr:uid="{00000000-0005-0000-0000-0000FA800000}"/>
    <cellStyle name="Normal 57 3 4 2 4 3 2 2" xfId="41209" xr:uid="{00000000-0005-0000-0000-0000FB800000}"/>
    <cellStyle name="Normal 57 3 4 2 4 3 3" xfId="25905" xr:uid="{00000000-0005-0000-0000-0000FC800000}"/>
    <cellStyle name="Normal 57 3 4 2 4 3 3 2" xfId="51458" xr:uid="{00000000-0005-0000-0000-0000FD800000}"/>
    <cellStyle name="Normal 57 3 4 2 4 3 4" xfId="32388" xr:uid="{00000000-0005-0000-0000-0000FE800000}"/>
    <cellStyle name="Normal 57 3 4 2 4 4" xfId="8273" xr:uid="{00000000-0005-0000-0000-0000FF800000}"/>
    <cellStyle name="Normal 57 3 4 2 4 4 2" xfId="22355" xr:uid="{00000000-0005-0000-0000-000000810000}"/>
    <cellStyle name="Normal 57 3 4 2 4 4 2 2" xfId="47908" xr:uid="{00000000-0005-0000-0000-000001810000}"/>
    <cellStyle name="Normal 57 3 4 2 4 4 3" xfId="33830" xr:uid="{00000000-0005-0000-0000-000002810000}"/>
    <cellStyle name="Normal 57 3 4 2 4 5" xfId="17348" xr:uid="{00000000-0005-0000-0000-000003810000}"/>
    <cellStyle name="Normal 57 3 4 2 4 5 2" xfId="42901" xr:uid="{00000000-0005-0000-0000-000004810000}"/>
    <cellStyle name="Normal 57 3 4 2 4 6" xfId="28838" xr:uid="{00000000-0005-0000-0000-000005810000}"/>
    <cellStyle name="Normal 57 3 4 2 5" xfId="4328" xr:uid="{00000000-0005-0000-0000-000006810000}"/>
    <cellStyle name="Normal 57 3 4 2 5 2" xfId="13166" xr:uid="{00000000-0005-0000-0000-000007810000}"/>
    <cellStyle name="Normal 57 3 4 2 5 2 2" xfId="23417" xr:uid="{00000000-0005-0000-0000-000008810000}"/>
    <cellStyle name="Normal 57 3 4 2 5 2 2 2" xfId="48970" xr:uid="{00000000-0005-0000-0000-000009810000}"/>
    <cellStyle name="Normal 57 3 4 2 5 2 3" xfId="38721" xr:uid="{00000000-0005-0000-0000-00000A810000}"/>
    <cellStyle name="Normal 57 3 4 2 5 3" xfId="9587" xr:uid="{00000000-0005-0000-0000-00000B810000}"/>
    <cellStyle name="Normal 57 3 4 2 5 3 2" xfId="35144" xr:uid="{00000000-0005-0000-0000-00000C810000}"/>
    <cellStyle name="Normal 57 3 4 2 5 4" xfId="18410" xr:uid="{00000000-0005-0000-0000-00000D810000}"/>
    <cellStyle name="Normal 57 3 4 2 5 4 2" xfId="43963" xr:uid="{00000000-0005-0000-0000-00000E810000}"/>
    <cellStyle name="Normal 57 3 4 2 5 5" xfId="29900" xr:uid="{00000000-0005-0000-0000-00000F810000}"/>
    <cellStyle name="Normal 57 3 4 2 6" xfId="1600" xr:uid="{00000000-0005-0000-0000-000010810000}"/>
    <cellStyle name="Normal 57 3 4 2 6 2" xfId="10977" xr:uid="{00000000-0005-0000-0000-000011810000}"/>
    <cellStyle name="Normal 57 3 4 2 6 2 2" xfId="36532" xr:uid="{00000000-0005-0000-0000-000012810000}"/>
    <cellStyle name="Normal 57 3 4 2 6 3" xfId="20981" xr:uid="{00000000-0005-0000-0000-000013810000}"/>
    <cellStyle name="Normal 57 3 4 2 6 3 2" xfId="46534" xr:uid="{00000000-0005-0000-0000-000014810000}"/>
    <cellStyle name="Normal 57 3 4 2 6 4" xfId="27464" xr:uid="{00000000-0005-0000-0000-000015810000}"/>
    <cellStyle name="Normal 57 3 4 2 7" xfId="5784" xr:uid="{00000000-0005-0000-0000-000016810000}"/>
    <cellStyle name="Normal 57 3 4 2 7 2" xfId="14611" xr:uid="{00000000-0005-0000-0000-000017810000}"/>
    <cellStyle name="Normal 57 3 4 2 7 2 2" xfId="40166" xr:uid="{00000000-0005-0000-0000-000018810000}"/>
    <cellStyle name="Normal 57 3 4 2 7 3" xfId="24862" xr:uid="{00000000-0005-0000-0000-000019810000}"/>
    <cellStyle name="Normal 57 3 4 2 7 3 2" xfId="50415" xr:uid="{00000000-0005-0000-0000-00001A810000}"/>
    <cellStyle name="Normal 57 3 4 2 7 4" xfId="31345" xr:uid="{00000000-0005-0000-0000-00001B810000}"/>
    <cellStyle name="Normal 57 3 4 2 8" xfId="7228" xr:uid="{00000000-0005-0000-0000-00001C810000}"/>
    <cellStyle name="Normal 57 3 4 2 8 2" xfId="19954" xr:uid="{00000000-0005-0000-0000-00001D810000}"/>
    <cellStyle name="Normal 57 3 4 2 8 2 2" xfId="45507" xr:uid="{00000000-0005-0000-0000-00001E810000}"/>
    <cellStyle name="Normal 57 3 4 2 8 3" xfId="32785" xr:uid="{00000000-0005-0000-0000-00001F810000}"/>
    <cellStyle name="Normal 57 3 4 2 9" xfId="15974" xr:uid="{00000000-0005-0000-0000-000020810000}"/>
    <cellStyle name="Normal 57 3 4 2 9 2" xfId="41527" xr:uid="{00000000-0005-0000-0000-000021810000}"/>
    <cellStyle name="Normal 57 3 4 2_Degree data" xfId="3950" xr:uid="{00000000-0005-0000-0000-000022810000}"/>
    <cellStyle name="Normal 57 3 4 3" xfId="408" xr:uid="{00000000-0005-0000-0000-000023810000}"/>
    <cellStyle name="Normal 57 3 4 3 2" xfId="2894" xr:uid="{00000000-0005-0000-0000-000024810000}"/>
    <cellStyle name="Normal 57 3 4 3 2 2" xfId="12182" xr:uid="{00000000-0005-0000-0000-000025810000}"/>
    <cellStyle name="Normal 57 3 4 3 2 2 2" xfId="22255" xr:uid="{00000000-0005-0000-0000-000026810000}"/>
    <cellStyle name="Normal 57 3 4 3 2 2 2 2" xfId="47808" xr:uid="{00000000-0005-0000-0000-000027810000}"/>
    <cellStyle name="Normal 57 3 4 3 2 2 3" xfId="37737" xr:uid="{00000000-0005-0000-0000-000028810000}"/>
    <cellStyle name="Normal 57 3 4 3 2 3" xfId="8411" xr:uid="{00000000-0005-0000-0000-000029810000}"/>
    <cellStyle name="Normal 57 3 4 3 2 3 2" xfId="33968" xr:uid="{00000000-0005-0000-0000-00002A810000}"/>
    <cellStyle name="Normal 57 3 4 3 2 4" xfId="17248" xr:uid="{00000000-0005-0000-0000-00002B810000}"/>
    <cellStyle name="Normal 57 3 4 3 2 4 2" xfId="42801" xr:uid="{00000000-0005-0000-0000-00002C810000}"/>
    <cellStyle name="Normal 57 3 4 3 2 5" xfId="28738" xr:uid="{00000000-0005-0000-0000-00002D810000}"/>
    <cellStyle name="Normal 57 3 4 3 3" xfId="4657" xr:uid="{00000000-0005-0000-0000-00002E810000}"/>
    <cellStyle name="Normal 57 3 4 3 3 2" xfId="13495" xr:uid="{00000000-0005-0000-0000-00002F810000}"/>
    <cellStyle name="Normal 57 3 4 3 3 2 2" xfId="23746" xr:uid="{00000000-0005-0000-0000-000030810000}"/>
    <cellStyle name="Normal 57 3 4 3 3 2 2 2" xfId="49299" xr:uid="{00000000-0005-0000-0000-000031810000}"/>
    <cellStyle name="Normal 57 3 4 3 3 2 3" xfId="39050" xr:uid="{00000000-0005-0000-0000-000032810000}"/>
    <cellStyle name="Normal 57 3 4 3 3 3" xfId="9916" xr:uid="{00000000-0005-0000-0000-000033810000}"/>
    <cellStyle name="Normal 57 3 4 3 3 3 2" xfId="35473" xr:uid="{00000000-0005-0000-0000-000034810000}"/>
    <cellStyle name="Normal 57 3 4 3 3 4" xfId="18739" xr:uid="{00000000-0005-0000-0000-000035810000}"/>
    <cellStyle name="Normal 57 3 4 3 3 4 2" xfId="44292" xr:uid="{00000000-0005-0000-0000-000036810000}"/>
    <cellStyle name="Normal 57 3 4 3 3 5" xfId="30229" xr:uid="{00000000-0005-0000-0000-000037810000}"/>
    <cellStyle name="Normal 57 3 4 3 4" xfId="2003" xr:uid="{00000000-0005-0000-0000-000038810000}"/>
    <cellStyle name="Normal 57 3 4 3 4 2" xfId="11368" xr:uid="{00000000-0005-0000-0000-000039810000}"/>
    <cellStyle name="Normal 57 3 4 3 4 2 2" xfId="36923" xr:uid="{00000000-0005-0000-0000-00003A810000}"/>
    <cellStyle name="Normal 57 3 4 3 4 3" xfId="21372" xr:uid="{00000000-0005-0000-0000-00003B810000}"/>
    <cellStyle name="Normal 57 3 4 3 4 3 2" xfId="46925" xr:uid="{00000000-0005-0000-0000-00003C810000}"/>
    <cellStyle name="Normal 57 3 4 3 4 4" xfId="27855" xr:uid="{00000000-0005-0000-0000-00003D810000}"/>
    <cellStyle name="Normal 57 3 4 3 5" xfId="6113" xr:uid="{00000000-0005-0000-0000-00003E810000}"/>
    <cellStyle name="Normal 57 3 4 3 5 2" xfId="14940" xr:uid="{00000000-0005-0000-0000-00003F810000}"/>
    <cellStyle name="Normal 57 3 4 3 5 2 2" xfId="40495" xr:uid="{00000000-0005-0000-0000-000040810000}"/>
    <cellStyle name="Normal 57 3 4 3 5 3" xfId="25191" xr:uid="{00000000-0005-0000-0000-000041810000}"/>
    <cellStyle name="Normal 57 3 4 3 5 3 2" xfId="50744" xr:uid="{00000000-0005-0000-0000-000042810000}"/>
    <cellStyle name="Normal 57 3 4 3 5 4" xfId="31674" xr:uid="{00000000-0005-0000-0000-000043810000}"/>
    <cellStyle name="Normal 57 3 4 3 6" xfId="7558" xr:uid="{00000000-0005-0000-0000-000044810000}"/>
    <cellStyle name="Normal 57 3 4 3 6 2" xfId="19854" xr:uid="{00000000-0005-0000-0000-000045810000}"/>
    <cellStyle name="Normal 57 3 4 3 6 2 2" xfId="45407" xr:uid="{00000000-0005-0000-0000-000046810000}"/>
    <cellStyle name="Normal 57 3 4 3 6 3" xfId="33115" xr:uid="{00000000-0005-0000-0000-000047810000}"/>
    <cellStyle name="Normal 57 3 4 3 7" xfId="16365" xr:uid="{00000000-0005-0000-0000-000048810000}"/>
    <cellStyle name="Normal 57 3 4 3 7 2" xfId="41918" xr:uid="{00000000-0005-0000-0000-000049810000}"/>
    <cellStyle name="Normal 57 3 4 3 8" xfId="26337" xr:uid="{00000000-0005-0000-0000-00004A810000}"/>
    <cellStyle name="Normal 57 3 4 4" xfId="843" xr:uid="{00000000-0005-0000-0000-00004B810000}"/>
    <cellStyle name="Normal 57 3 4 4 2" xfId="3328" xr:uid="{00000000-0005-0000-0000-00004C810000}"/>
    <cellStyle name="Normal 57 3 4 4 2 2" xfId="12470" xr:uid="{00000000-0005-0000-0000-00004D810000}"/>
    <cellStyle name="Normal 57 3 4 4 2 2 2" xfId="22689" xr:uid="{00000000-0005-0000-0000-00004E810000}"/>
    <cellStyle name="Normal 57 3 4 4 2 2 2 2" xfId="48242" xr:uid="{00000000-0005-0000-0000-00004F810000}"/>
    <cellStyle name="Normal 57 3 4 4 2 2 3" xfId="38025" xr:uid="{00000000-0005-0000-0000-000050810000}"/>
    <cellStyle name="Normal 57 3 4 4 2 3" xfId="8892" xr:uid="{00000000-0005-0000-0000-000051810000}"/>
    <cellStyle name="Normal 57 3 4 4 2 3 2" xfId="34449" xr:uid="{00000000-0005-0000-0000-000052810000}"/>
    <cellStyle name="Normal 57 3 4 4 2 4" xfId="17682" xr:uid="{00000000-0005-0000-0000-000053810000}"/>
    <cellStyle name="Normal 57 3 4 4 2 4 2" xfId="43235" xr:uid="{00000000-0005-0000-0000-000054810000}"/>
    <cellStyle name="Normal 57 3 4 4 2 5" xfId="29172" xr:uid="{00000000-0005-0000-0000-000055810000}"/>
    <cellStyle name="Normal 57 3 4 4 3" xfId="5006" xr:uid="{00000000-0005-0000-0000-000056810000}"/>
    <cellStyle name="Normal 57 3 4 4 3 2" xfId="13843" xr:uid="{00000000-0005-0000-0000-000057810000}"/>
    <cellStyle name="Normal 57 3 4 4 3 2 2" xfId="24094" xr:uid="{00000000-0005-0000-0000-000058810000}"/>
    <cellStyle name="Normal 57 3 4 4 3 2 2 2" xfId="49647" xr:uid="{00000000-0005-0000-0000-000059810000}"/>
    <cellStyle name="Normal 57 3 4 4 3 2 3" xfId="39398" xr:uid="{00000000-0005-0000-0000-00005A810000}"/>
    <cellStyle name="Normal 57 3 4 4 3 3" xfId="10264" xr:uid="{00000000-0005-0000-0000-00005B810000}"/>
    <cellStyle name="Normal 57 3 4 4 3 3 2" xfId="35821" xr:uid="{00000000-0005-0000-0000-00005C810000}"/>
    <cellStyle name="Normal 57 3 4 4 3 4" xfId="19087" xr:uid="{00000000-0005-0000-0000-00005D810000}"/>
    <cellStyle name="Normal 57 3 4 4 3 4 2" xfId="44640" xr:uid="{00000000-0005-0000-0000-00005E810000}"/>
    <cellStyle name="Normal 57 3 4 4 3 5" xfId="30577" xr:uid="{00000000-0005-0000-0000-00005F810000}"/>
    <cellStyle name="Normal 57 3 4 4 4" xfId="2437" xr:uid="{00000000-0005-0000-0000-000060810000}"/>
    <cellStyle name="Normal 57 3 4 4 4 2" xfId="11802" xr:uid="{00000000-0005-0000-0000-000061810000}"/>
    <cellStyle name="Normal 57 3 4 4 4 2 2" xfId="37357" xr:uid="{00000000-0005-0000-0000-000062810000}"/>
    <cellStyle name="Normal 57 3 4 4 4 3" xfId="21806" xr:uid="{00000000-0005-0000-0000-000063810000}"/>
    <cellStyle name="Normal 57 3 4 4 4 3 2" xfId="47359" xr:uid="{00000000-0005-0000-0000-000064810000}"/>
    <cellStyle name="Normal 57 3 4 4 4 4" xfId="28289" xr:uid="{00000000-0005-0000-0000-000065810000}"/>
    <cellStyle name="Normal 57 3 4 4 5" xfId="6461" xr:uid="{00000000-0005-0000-0000-000066810000}"/>
    <cellStyle name="Normal 57 3 4 4 5 2" xfId="15288" xr:uid="{00000000-0005-0000-0000-000067810000}"/>
    <cellStyle name="Normal 57 3 4 4 5 2 2" xfId="40843" xr:uid="{00000000-0005-0000-0000-000068810000}"/>
    <cellStyle name="Normal 57 3 4 4 5 3" xfId="25539" xr:uid="{00000000-0005-0000-0000-000069810000}"/>
    <cellStyle name="Normal 57 3 4 4 5 3 2" xfId="51092" xr:uid="{00000000-0005-0000-0000-00006A810000}"/>
    <cellStyle name="Normal 57 3 4 4 5 4" xfId="32022" xr:uid="{00000000-0005-0000-0000-00006B810000}"/>
    <cellStyle name="Normal 57 3 4 4 6" xfId="7907" xr:uid="{00000000-0005-0000-0000-00006C810000}"/>
    <cellStyle name="Normal 57 3 4 4 6 2" xfId="20288" xr:uid="{00000000-0005-0000-0000-00006D810000}"/>
    <cellStyle name="Normal 57 3 4 4 6 2 2" xfId="45841" xr:uid="{00000000-0005-0000-0000-00006E810000}"/>
    <cellStyle name="Normal 57 3 4 4 6 3" xfId="33464" xr:uid="{00000000-0005-0000-0000-00006F810000}"/>
    <cellStyle name="Normal 57 3 4 4 7" xfId="16799" xr:uid="{00000000-0005-0000-0000-000070810000}"/>
    <cellStyle name="Normal 57 3 4 4 7 2" xfId="42352" xr:uid="{00000000-0005-0000-0000-000071810000}"/>
    <cellStyle name="Normal 57 3 4 4 8" xfId="26771" xr:uid="{00000000-0005-0000-0000-000072810000}"/>
    <cellStyle name="Normal 57 3 4 5" xfId="1180" xr:uid="{00000000-0005-0000-0000-000073810000}"/>
    <cellStyle name="Normal 57 3 4 5 2" xfId="3609" xr:uid="{00000000-0005-0000-0000-000074810000}"/>
    <cellStyle name="Normal 57 3 4 5 2 2" xfId="12745" xr:uid="{00000000-0005-0000-0000-000075810000}"/>
    <cellStyle name="Normal 57 3 4 5 2 2 2" xfId="22964" xr:uid="{00000000-0005-0000-0000-000076810000}"/>
    <cellStyle name="Normal 57 3 4 5 2 2 2 2" xfId="48517" xr:uid="{00000000-0005-0000-0000-000077810000}"/>
    <cellStyle name="Normal 57 3 4 5 2 2 3" xfId="38300" xr:uid="{00000000-0005-0000-0000-000078810000}"/>
    <cellStyle name="Normal 57 3 4 5 2 3" xfId="9166" xr:uid="{00000000-0005-0000-0000-000079810000}"/>
    <cellStyle name="Normal 57 3 4 5 2 3 2" xfId="34723" xr:uid="{00000000-0005-0000-0000-00007A810000}"/>
    <cellStyle name="Normal 57 3 4 5 2 4" xfId="17957" xr:uid="{00000000-0005-0000-0000-00007B810000}"/>
    <cellStyle name="Normal 57 3 4 5 2 4 2" xfId="43510" xr:uid="{00000000-0005-0000-0000-00007C810000}"/>
    <cellStyle name="Normal 57 3 4 5 2 5" xfId="29447" xr:uid="{00000000-0005-0000-0000-00007D810000}"/>
    <cellStyle name="Normal 57 3 4 5 3" xfId="5272" xr:uid="{00000000-0005-0000-0000-00007E810000}"/>
    <cellStyle name="Normal 57 3 4 5 3 2" xfId="14109" xr:uid="{00000000-0005-0000-0000-00007F810000}"/>
    <cellStyle name="Normal 57 3 4 5 3 2 2" xfId="24360" xr:uid="{00000000-0005-0000-0000-000080810000}"/>
    <cellStyle name="Normal 57 3 4 5 3 2 2 2" xfId="49913" xr:uid="{00000000-0005-0000-0000-000081810000}"/>
    <cellStyle name="Normal 57 3 4 5 3 2 3" xfId="39664" xr:uid="{00000000-0005-0000-0000-000082810000}"/>
    <cellStyle name="Normal 57 3 4 5 3 3" xfId="10530" xr:uid="{00000000-0005-0000-0000-000083810000}"/>
    <cellStyle name="Normal 57 3 4 5 3 3 2" xfId="36087" xr:uid="{00000000-0005-0000-0000-000084810000}"/>
    <cellStyle name="Normal 57 3 4 5 3 4" xfId="19353" xr:uid="{00000000-0005-0000-0000-000085810000}"/>
    <cellStyle name="Normal 57 3 4 5 3 4 2" xfId="44906" xr:uid="{00000000-0005-0000-0000-000086810000}"/>
    <cellStyle name="Normal 57 3 4 5 3 5" xfId="30843" xr:uid="{00000000-0005-0000-0000-000087810000}"/>
    <cellStyle name="Normal 57 3 4 5 4" xfId="1782" xr:uid="{00000000-0005-0000-0000-000088810000}"/>
    <cellStyle name="Normal 57 3 4 5 4 2" xfId="11151" xr:uid="{00000000-0005-0000-0000-000089810000}"/>
    <cellStyle name="Normal 57 3 4 5 4 2 2" xfId="36706" xr:uid="{00000000-0005-0000-0000-00008A810000}"/>
    <cellStyle name="Normal 57 3 4 5 4 3" xfId="21155" xr:uid="{00000000-0005-0000-0000-00008B810000}"/>
    <cellStyle name="Normal 57 3 4 5 4 3 2" xfId="46708" xr:uid="{00000000-0005-0000-0000-00008C810000}"/>
    <cellStyle name="Normal 57 3 4 5 4 4" xfId="27638" xr:uid="{00000000-0005-0000-0000-00008D810000}"/>
    <cellStyle name="Normal 57 3 4 5 5" xfId="6727" xr:uid="{00000000-0005-0000-0000-00008E810000}"/>
    <cellStyle name="Normal 57 3 4 5 5 2" xfId="15554" xr:uid="{00000000-0005-0000-0000-00008F810000}"/>
    <cellStyle name="Normal 57 3 4 5 5 2 2" xfId="41109" xr:uid="{00000000-0005-0000-0000-000090810000}"/>
    <cellStyle name="Normal 57 3 4 5 5 3" xfId="25805" xr:uid="{00000000-0005-0000-0000-000091810000}"/>
    <cellStyle name="Normal 57 3 4 5 5 3 2" xfId="51358" xr:uid="{00000000-0005-0000-0000-000092810000}"/>
    <cellStyle name="Normal 57 3 4 5 5 4" xfId="32288" xr:uid="{00000000-0005-0000-0000-000093810000}"/>
    <cellStyle name="Normal 57 3 4 5 6" xfId="8173" xr:uid="{00000000-0005-0000-0000-000094810000}"/>
    <cellStyle name="Normal 57 3 4 5 6 2" xfId="20563" xr:uid="{00000000-0005-0000-0000-000095810000}"/>
    <cellStyle name="Normal 57 3 4 5 6 2 2" xfId="46116" xr:uid="{00000000-0005-0000-0000-000096810000}"/>
    <cellStyle name="Normal 57 3 4 5 6 3" xfId="33730" xr:uid="{00000000-0005-0000-0000-000097810000}"/>
    <cellStyle name="Normal 57 3 4 5 7" xfId="16148" xr:uid="{00000000-0005-0000-0000-000098810000}"/>
    <cellStyle name="Normal 57 3 4 5 7 2" xfId="41701" xr:uid="{00000000-0005-0000-0000-000099810000}"/>
    <cellStyle name="Normal 57 3 4 5 8" xfId="27046" xr:uid="{00000000-0005-0000-0000-00009A810000}"/>
    <cellStyle name="Normal 57 3 4 6" xfId="2677" xr:uid="{00000000-0005-0000-0000-00009B810000}"/>
    <cellStyle name="Normal 57 3 4 6 2" xfId="11994" xr:uid="{00000000-0005-0000-0000-00009C810000}"/>
    <cellStyle name="Normal 57 3 4 6 2 2" xfId="22038" xr:uid="{00000000-0005-0000-0000-00009D810000}"/>
    <cellStyle name="Normal 57 3 4 6 2 2 2" xfId="47591" xr:uid="{00000000-0005-0000-0000-00009E810000}"/>
    <cellStyle name="Normal 57 3 4 6 2 3" xfId="37549" xr:uid="{00000000-0005-0000-0000-00009F810000}"/>
    <cellStyle name="Normal 57 3 4 6 3" xfId="8586" xr:uid="{00000000-0005-0000-0000-0000A0810000}"/>
    <cellStyle name="Normal 57 3 4 6 3 2" xfId="34143" xr:uid="{00000000-0005-0000-0000-0000A1810000}"/>
    <cellStyle name="Normal 57 3 4 6 4" xfId="17031" xr:uid="{00000000-0005-0000-0000-0000A2810000}"/>
    <cellStyle name="Normal 57 3 4 6 4 2" xfId="42584" xr:uid="{00000000-0005-0000-0000-0000A3810000}"/>
    <cellStyle name="Normal 57 3 4 6 5" xfId="28521" xr:uid="{00000000-0005-0000-0000-0000A4810000}"/>
    <cellStyle name="Normal 57 3 4 7" xfId="4228" xr:uid="{00000000-0005-0000-0000-0000A5810000}"/>
    <cellStyle name="Normal 57 3 4 7 2" xfId="13066" xr:uid="{00000000-0005-0000-0000-0000A6810000}"/>
    <cellStyle name="Normal 57 3 4 7 2 2" xfId="23317" xr:uid="{00000000-0005-0000-0000-0000A7810000}"/>
    <cellStyle name="Normal 57 3 4 7 2 2 2" xfId="48870" xr:uid="{00000000-0005-0000-0000-0000A8810000}"/>
    <cellStyle name="Normal 57 3 4 7 2 3" xfId="38621" xr:uid="{00000000-0005-0000-0000-0000A9810000}"/>
    <cellStyle name="Normal 57 3 4 7 3" xfId="9487" xr:uid="{00000000-0005-0000-0000-0000AA810000}"/>
    <cellStyle name="Normal 57 3 4 7 3 2" xfId="35044" xr:uid="{00000000-0005-0000-0000-0000AB810000}"/>
    <cellStyle name="Normal 57 3 4 7 4" xfId="18310" xr:uid="{00000000-0005-0000-0000-0000AC810000}"/>
    <cellStyle name="Normal 57 3 4 7 4 2" xfId="43863" xr:uid="{00000000-0005-0000-0000-0000AD810000}"/>
    <cellStyle name="Normal 57 3 4 7 5" xfId="29800" xr:uid="{00000000-0005-0000-0000-0000AE810000}"/>
    <cellStyle name="Normal 57 3 4 8" xfId="1500" xr:uid="{00000000-0005-0000-0000-0000AF810000}"/>
    <cellStyle name="Normal 57 3 4 8 2" xfId="10877" xr:uid="{00000000-0005-0000-0000-0000B0810000}"/>
    <cellStyle name="Normal 57 3 4 8 2 2" xfId="36432" xr:uid="{00000000-0005-0000-0000-0000B1810000}"/>
    <cellStyle name="Normal 57 3 4 8 3" xfId="20881" xr:uid="{00000000-0005-0000-0000-0000B2810000}"/>
    <cellStyle name="Normal 57 3 4 8 3 2" xfId="46434" xr:uid="{00000000-0005-0000-0000-0000B3810000}"/>
    <cellStyle name="Normal 57 3 4 8 4" xfId="27364" xr:uid="{00000000-0005-0000-0000-0000B4810000}"/>
    <cellStyle name="Normal 57 3 4 9" xfId="5684" xr:uid="{00000000-0005-0000-0000-0000B5810000}"/>
    <cellStyle name="Normal 57 3 4 9 2" xfId="14511" xr:uid="{00000000-0005-0000-0000-0000B6810000}"/>
    <cellStyle name="Normal 57 3 4 9 2 2" xfId="40066" xr:uid="{00000000-0005-0000-0000-0000B7810000}"/>
    <cellStyle name="Normal 57 3 4 9 3" xfId="24762" xr:uid="{00000000-0005-0000-0000-0000B8810000}"/>
    <cellStyle name="Normal 57 3 4 9 3 2" xfId="50315" xr:uid="{00000000-0005-0000-0000-0000B9810000}"/>
    <cellStyle name="Normal 57 3 4 9 4" xfId="31245" xr:uid="{00000000-0005-0000-0000-0000BA810000}"/>
    <cellStyle name="Normal 57 3 4_Degree data" xfId="3949" xr:uid="{00000000-0005-0000-0000-0000BB810000}"/>
    <cellStyle name="Normal 57 3 5" xfId="235" xr:uid="{00000000-0005-0000-0000-0000BC810000}"/>
    <cellStyle name="Normal 57 3 5 10" xfId="7073" xr:uid="{00000000-0005-0000-0000-0000BD810000}"/>
    <cellStyle name="Normal 57 3 5 10 2" xfId="19687" xr:uid="{00000000-0005-0000-0000-0000BE810000}"/>
    <cellStyle name="Normal 57 3 5 10 2 2" xfId="45240" xr:uid="{00000000-0005-0000-0000-0000BF810000}"/>
    <cellStyle name="Normal 57 3 5 10 3" xfId="32630" xr:uid="{00000000-0005-0000-0000-0000C0810000}"/>
    <cellStyle name="Normal 57 3 5 11" xfId="15819" xr:uid="{00000000-0005-0000-0000-0000C1810000}"/>
    <cellStyle name="Normal 57 3 5 11 2" xfId="41372" xr:uid="{00000000-0005-0000-0000-0000C2810000}"/>
    <cellStyle name="Normal 57 3 5 12" xfId="26170" xr:uid="{00000000-0005-0000-0000-0000C3810000}"/>
    <cellStyle name="Normal 57 3 5 2" xfId="558" xr:uid="{00000000-0005-0000-0000-0000C4810000}"/>
    <cellStyle name="Normal 57 3 5 2 10" xfId="26487" xr:uid="{00000000-0005-0000-0000-0000C5810000}"/>
    <cellStyle name="Normal 57 3 5 2 2" xfId="846" xr:uid="{00000000-0005-0000-0000-0000C6810000}"/>
    <cellStyle name="Normal 57 3 5 2 2 2" xfId="3331" xr:uid="{00000000-0005-0000-0000-0000C7810000}"/>
    <cellStyle name="Normal 57 3 5 2 2 2 2" xfId="12473" xr:uid="{00000000-0005-0000-0000-0000C8810000}"/>
    <cellStyle name="Normal 57 3 5 2 2 2 2 2" xfId="22692" xr:uid="{00000000-0005-0000-0000-0000C9810000}"/>
    <cellStyle name="Normal 57 3 5 2 2 2 2 2 2" xfId="48245" xr:uid="{00000000-0005-0000-0000-0000CA810000}"/>
    <cellStyle name="Normal 57 3 5 2 2 2 2 3" xfId="38028" xr:uid="{00000000-0005-0000-0000-0000CB810000}"/>
    <cellStyle name="Normal 57 3 5 2 2 2 3" xfId="8895" xr:uid="{00000000-0005-0000-0000-0000CC810000}"/>
    <cellStyle name="Normal 57 3 5 2 2 2 3 2" xfId="34452" xr:uid="{00000000-0005-0000-0000-0000CD810000}"/>
    <cellStyle name="Normal 57 3 5 2 2 2 4" xfId="17685" xr:uid="{00000000-0005-0000-0000-0000CE810000}"/>
    <cellStyle name="Normal 57 3 5 2 2 2 4 2" xfId="43238" xr:uid="{00000000-0005-0000-0000-0000CF810000}"/>
    <cellStyle name="Normal 57 3 5 2 2 2 5" xfId="29175" xr:uid="{00000000-0005-0000-0000-0000D0810000}"/>
    <cellStyle name="Normal 57 3 5 2 2 3" xfId="4660" xr:uid="{00000000-0005-0000-0000-0000D1810000}"/>
    <cellStyle name="Normal 57 3 5 2 2 3 2" xfId="13498" xr:uid="{00000000-0005-0000-0000-0000D2810000}"/>
    <cellStyle name="Normal 57 3 5 2 2 3 2 2" xfId="23749" xr:uid="{00000000-0005-0000-0000-0000D3810000}"/>
    <cellStyle name="Normal 57 3 5 2 2 3 2 2 2" xfId="49302" xr:uid="{00000000-0005-0000-0000-0000D4810000}"/>
    <cellStyle name="Normal 57 3 5 2 2 3 2 3" xfId="39053" xr:uid="{00000000-0005-0000-0000-0000D5810000}"/>
    <cellStyle name="Normal 57 3 5 2 2 3 3" xfId="9919" xr:uid="{00000000-0005-0000-0000-0000D6810000}"/>
    <cellStyle name="Normal 57 3 5 2 2 3 3 2" xfId="35476" xr:uid="{00000000-0005-0000-0000-0000D7810000}"/>
    <cellStyle name="Normal 57 3 5 2 2 3 4" xfId="18742" xr:uid="{00000000-0005-0000-0000-0000D8810000}"/>
    <cellStyle name="Normal 57 3 5 2 2 3 4 2" xfId="44295" xr:uid="{00000000-0005-0000-0000-0000D9810000}"/>
    <cellStyle name="Normal 57 3 5 2 2 3 5" xfId="30232" xr:uid="{00000000-0005-0000-0000-0000DA810000}"/>
    <cellStyle name="Normal 57 3 5 2 2 4" xfId="2440" xr:uid="{00000000-0005-0000-0000-0000DB810000}"/>
    <cellStyle name="Normal 57 3 5 2 2 4 2" xfId="11805" xr:uid="{00000000-0005-0000-0000-0000DC810000}"/>
    <cellStyle name="Normal 57 3 5 2 2 4 2 2" xfId="37360" xr:uid="{00000000-0005-0000-0000-0000DD810000}"/>
    <cellStyle name="Normal 57 3 5 2 2 4 3" xfId="21809" xr:uid="{00000000-0005-0000-0000-0000DE810000}"/>
    <cellStyle name="Normal 57 3 5 2 2 4 3 2" xfId="47362" xr:uid="{00000000-0005-0000-0000-0000DF810000}"/>
    <cellStyle name="Normal 57 3 5 2 2 4 4" xfId="28292" xr:uid="{00000000-0005-0000-0000-0000E0810000}"/>
    <cellStyle name="Normal 57 3 5 2 2 5" xfId="6116" xr:uid="{00000000-0005-0000-0000-0000E1810000}"/>
    <cellStyle name="Normal 57 3 5 2 2 5 2" xfId="14943" xr:uid="{00000000-0005-0000-0000-0000E2810000}"/>
    <cellStyle name="Normal 57 3 5 2 2 5 2 2" xfId="40498" xr:uid="{00000000-0005-0000-0000-0000E3810000}"/>
    <cellStyle name="Normal 57 3 5 2 2 5 3" xfId="25194" xr:uid="{00000000-0005-0000-0000-0000E4810000}"/>
    <cellStyle name="Normal 57 3 5 2 2 5 3 2" xfId="50747" xr:uid="{00000000-0005-0000-0000-0000E5810000}"/>
    <cellStyle name="Normal 57 3 5 2 2 5 4" xfId="31677" xr:uid="{00000000-0005-0000-0000-0000E6810000}"/>
    <cellStyle name="Normal 57 3 5 2 2 6" xfId="7561" xr:uid="{00000000-0005-0000-0000-0000E7810000}"/>
    <cellStyle name="Normal 57 3 5 2 2 6 2" xfId="20291" xr:uid="{00000000-0005-0000-0000-0000E8810000}"/>
    <cellStyle name="Normal 57 3 5 2 2 6 2 2" xfId="45844" xr:uid="{00000000-0005-0000-0000-0000E9810000}"/>
    <cellStyle name="Normal 57 3 5 2 2 6 3" xfId="33118" xr:uid="{00000000-0005-0000-0000-0000EA810000}"/>
    <cellStyle name="Normal 57 3 5 2 2 7" xfId="16802" xr:uid="{00000000-0005-0000-0000-0000EB810000}"/>
    <cellStyle name="Normal 57 3 5 2 2 7 2" xfId="42355" xr:uid="{00000000-0005-0000-0000-0000EC810000}"/>
    <cellStyle name="Normal 57 3 5 2 2 8" xfId="26774" xr:uid="{00000000-0005-0000-0000-0000ED810000}"/>
    <cellStyle name="Normal 57 3 5 2 3" xfId="1330" xr:uid="{00000000-0005-0000-0000-0000EE810000}"/>
    <cellStyle name="Normal 57 3 5 2 3 2" xfId="3759" xr:uid="{00000000-0005-0000-0000-0000EF810000}"/>
    <cellStyle name="Normal 57 3 5 2 3 2 2" xfId="12895" xr:uid="{00000000-0005-0000-0000-0000F0810000}"/>
    <cellStyle name="Normal 57 3 5 2 3 2 2 2" xfId="23114" xr:uid="{00000000-0005-0000-0000-0000F1810000}"/>
    <cellStyle name="Normal 57 3 5 2 3 2 2 2 2" xfId="48667" xr:uid="{00000000-0005-0000-0000-0000F2810000}"/>
    <cellStyle name="Normal 57 3 5 2 3 2 2 3" xfId="38450" xr:uid="{00000000-0005-0000-0000-0000F3810000}"/>
    <cellStyle name="Normal 57 3 5 2 3 2 3" xfId="9316" xr:uid="{00000000-0005-0000-0000-0000F4810000}"/>
    <cellStyle name="Normal 57 3 5 2 3 2 3 2" xfId="34873" xr:uid="{00000000-0005-0000-0000-0000F5810000}"/>
    <cellStyle name="Normal 57 3 5 2 3 2 4" xfId="18107" xr:uid="{00000000-0005-0000-0000-0000F6810000}"/>
    <cellStyle name="Normal 57 3 5 2 3 2 4 2" xfId="43660" xr:uid="{00000000-0005-0000-0000-0000F7810000}"/>
    <cellStyle name="Normal 57 3 5 2 3 2 5" xfId="29597" xr:uid="{00000000-0005-0000-0000-0000F8810000}"/>
    <cellStyle name="Normal 57 3 5 2 3 3" xfId="5009" xr:uid="{00000000-0005-0000-0000-0000F9810000}"/>
    <cellStyle name="Normal 57 3 5 2 3 3 2" xfId="13846" xr:uid="{00000000-0005-0000-0000-0000FA810000}"/>
    <cellStyle name="Normal 57 3 5 2 3 3 2 2" xfId="24097" xr:uid="{00000000-0005-0000-0000-0000FB810000}"/>
    <cellStyle name="Normal 57 3 5 2 3 3 2 2 2" xfId="49650" xr:uid="{00000000-0005-0000-0000-0000FC810000}"/>
    <cellStyle name="Normal 57 3 5 2 3 3 2 3" xfId="39401" xr:uid="{00000000-0005-0000-0000-0000FD810000}"/>
    <cellStyle name="Normal 57 3 5 2 3 3 3" xfId="10267" xr:uid="{00000000-0005-0000-0000-0000FE810000}"/>
    <cellStyle name="Normal 57 3 5 2 3 3 3 2" xfId="35824" xr:uid="{00000000-0005-0000-0000-0000FF810000}"/>
    <cellStyle name="Normal 57 3 5 2 3 3 4" xfId="19090" xr:uid="{00000000-0005-0000-0000-000000820000}"/>
    <cellStyle name="Normal 57 3 5 2 3 3 4 2" xfId="44643" xr:uid="{00000000-0005-0000-0000-000001820000}"/>
    <cellStyle name="Normal 57 3 5 2 3 3 5" xfId="30580" xr:uid="{00000000-0005-0000-0000-000002820000}"/>
    <cellStyle name="Normal 57 3 5 2 3 4" xfId="2153" xr:uid="{00000000-0005-0000-0000-000003820000}"/>
    <cellStyle name="Normal 57 3 5 2 3 4 2" xfId="11518" xr:uid="{00000000-0005-0000-0000-000004820000}"/>
    <cellStyle name="Normal 57 3 5 2 3 4 2 2" xfId="37073" xr:uid="{00000000-0005-0000-0000-000005820000}"/>
    <cellStyle name="Normal 57 3 5 2 3 4 3" xfId="21522" xr:uid="{00000000-0005-0000-0000-000006820000}"/>
    <cellStyle name="Normal 57 3 5 2 3 4 3 2" xfId="47075" xr:uid="{00000000-0005-0000-0000-000007820000}"/>
    <cellStyle name="Normal 57 3 5 2 3 4 4" xfId="28005" xr:uid="{00000000-0005-0000-0000-000008820000}"/>
    <cellStyle name="Normal 57 3 5 2 3 5" xfId="6464" xr:uid="{00000000-0005-0000-0000-000009820000}"/>
    <cellStyle name="Normal 57 3 5 2 3 5 2" xfId="15291" xr:uid="{00000000-0005-0000-0000-00000A820000}"/>
    <cellStyle name="Normal 57 3 5 2 3 5 2 2" xfId="40846" xr:uid="{00000000-0005-0000-0000-00000B820000}"/>
    <cellStyle name="Normal 57 3 5 2 3 5 3" xfId="25542" xr:uid="{00000000-0005-0000-0000-00000C820000}"/>
    <cellStyle name="Normal 57 3 5 2 3 5 3 2" xfId="51095" xr:uid="{00000000-0005-0000-0000-00000D820000}"/>
    <cellStyle name="Normal 57 3 5 2 3 5 4" xfId="32025" xr:uid="{00000000-0005-0000-0000-00000E820000}"/>
    <cellStyle name="Normal 57 3 5 2 3 6" xfId="7910" xr:uid="{00000000-0005-0000-0000-00000F820000}"/>
    <cellStyle name="Normal 57 3 5 2 3 6 2" xfId="20713" xr:uid="{00000000-0005-0000-0000-000010820000}"/>
    <cellStyle name="Normal 57 3 5 2 3 6 2 2" xfId="46266" xr:uid="{00000000-0005-0000-0000-000011820000}"/>
    <cellStyle name="Normal 57 3 5 2 3 6 3" xfId="33467" xr:uid="{00000000-0005-0000-0000-000012820000}"/>
    <cellStyle name="Normal 57 3 5 2 3 7" xfId="16515" xr:uid="{00000000-0005-0000-0000-000013820000}"/>
    <cellStyle name="Normal 57 3 5 2 3 7 2" xfId="42068" xr:uid="{00000000-0005-0000-0000-000014820000}"/>
    <cellStyle name="Normal 57 3 5 2 3 8" xfId="27196" xr:uid="{00000000-0005-0000-0000-000015820000}"/>
    <cellStyle name="Normal 57 3 5 2 4" xfId="3044" xr:uid="{00000000-0005-0000-0000-000016820000}"/>
    <cellStyle name="Normal 57 3 5 2 4 2" xfId="5422" xr:uid="{00000000-0005-0000-0000-000017820000}"/>
    <cellStyle name="Normal 57 3 5 2 4 2 2" xfId="14259" xr:uid="{00000000-0005-0000-0000-000018820000}"/>
    <cellStyle name="Normal 57 3 5 2 4 2 2 2" xfId="24510" xr:uid="{00000000-0005-0000-0000-000019820000}"/>
    <cellStyle name="Normal 57 3 5 2 4 2 2 2 2" xfId="50063" xr:uid="{00000000-0005-0000-0000-00001A820000}"/>
    <cellStyle name="Normal 57 3 5 2 4 2 2 3" xfId="39814" xr:uid="{00000000-0005-0000-0000-00001B820000}"/>
    <cellStyle name="Normal 57 3 5 2 4 2 3" xfId="10680" xr:uid="{00000000-0005-0000-0000-00001C820000}"/>
    <cellStyle name="Normal 57 3 5 2 4 2 3 2" xfId="36237" xr:uid="{00000000-0005-0000-0000-00001D820000}"/>
    <cellStyle name="Normal 57 3 5 2 4 2 4" xfId="19503" xr:uid="{00000000-0005-0000-0000-00001E820000}"/>
    <cellStyle name="Normal 57 3 5 2 4 2 4 2" xfId="45056" xr:uid="{00000000-0005-0000-0000-00001F820000}"/>
    <cellStyle name="Normal 57 3 5 2 4 2 5" xfId="30993" xr:uid="{00000000-0005-0000-0000-000020820000}"/>
    <cellStyle name="Normal 57 3 5 2 4 3" xfId="6877" xr:uid="{00000000-0005-0000-0000-000021820000}"/>
    <cellStyle name="Normal 57 3 5 2 4 3 2" xfId="15704" xr:uid="{00000000-0005-0000-0000-000022820000}"/>
    <cellStyle name="Normal 57 3 5 2 4 3 2 2" xfId="41259" xr:uid="{00000000-0005-0000-0000-000023820000}"/>
    <cellStyle name="Normal 57 3 5 2 4 3 3" xfId="25955" xr:uid="{00000000-0005-0000-0000-000024820000}"/>
    <cellStyle name="Normal 57 3 5 2 4 3 3 2" xfId="51508" xr:uid="{00000000-0005-0000-0000-000025820000}"/>
    <cellStyle name="Normal 57 3 5 2 4 3 4" xfId="32438" xr:uid="{00000000-0005-0000-0000-000026820000}"/>
    <cellStyle name="Normal 57 3 5 2 4 4" xfId="8323" xr:uid="{00000000-0005-0000-0000-000027820000}"/>
    <cellStyle name="Normal 57 3 5 2 4 4 2" xfId="22405" xr:uid="{00000000-0005-0000-0000-000028820000}"/>
    <cellStyle name="Normal 57 3 5 2 4 4 2 2" xfId="47958" xr:uid="{00000000-0005-0000-0000-000029820000}"/>
    <cellStyle name="Normal 57 3 5 2 4 4 3" xfId="33880" xr:uid="{00000000-0005-0000-0000-00002A820000}"/>
    <cellStyle name="Normal 57 3 5 2 4 5" xfId="17398" xr:uid="{00000000-0005-0000-0000-00002B820000}"/>
    <cellStyle name="Normal 57 3 5 2 4 5 2" xfId="42951" xr:uid="{00000000-0005-0000-0000-00002C820000}"/>
    <cellStyle name="Normal 57 3 5 2 4 6" xfId="28888" xr:uid="{00000000-0005-0000-0000-00002D820000}"/>
    <cellStyle name="Normal 57 3 5 2 5" xfId="4378" xr:uid="{00000000-0005-0000-0000-00002E820000}"/>
    <cellStyle name="Normal 57 3 5 2 5 2" xfId="13216" xr:uid="{00000000-0005-0000-0000-00002F820000}"/>
    <cellStyle name="Normal 57 3 5 2 5 2 2" xfId="23467" xr:uid="{00000000-0005-0000-0000-000030820000}"/>
    <cellStyle name="Normal 57 3 5 2 5 2 2 2" xfId="49020" xr:uid="{00000000-0005-0000-0000-000031820000}"/>
    <cellStyle name="Normal 57 3 5 2 5 2 3" xfId="38771" xr:uid="{00000000-0005-0000-0000-000032820000}"/>
    <cellStyle name="Normal 57 3 5 2 5 3" xfId="9637" xr:uid="{00000000-0005-0000-0000-000033820000}"/>
    <cellStyle name="Normal 57 3 5 2 5 3 2" xfId="35194" xr:uid="{00000000-0005-0000-0000-000034820000}"/>
    <cellStyle name="Normal 57 3 5 2 5 4" xfId="18460" xr:uid="{00000000-0005-0000-0000-000035820000}"/>
    <cellStyle name="Normal 57 3 5 2 5 4 2" xfId="44013" xr:uid="{00000000-0005-0000-0000-000036820000}"/>
    <cellStyle name="Normal 57 3 5 2 5 5" xfId="29950" xr:uid="{00000000-0005-0000-0000-000037820000}"/>
    <cellStyle name="Normal 57 3 5 2 6" xfId="1650" xr:uid="{00000000-0005-0000-0000-000038820000}"/>
    <cellStyle name="Normal 57 3 5 2 6 2" xfId="11027" xr:uid="{00000000-0005-0000-0000-000039820000}"/>
    <cellStyle name="Normal 57 3 5 2 6 2 2" xfId="36582" xr:uid="{00000000-0005-0000-0000-00003A820000}"/>
    <cellStyle name="Normal 57 3 5 2 6 3" xfId="21031" xr:uid="{00000000-0005-0000-0000-00003B820000}"/>
    <cellStyle name="Normal 57 3 5 2 6 3 2" xfId="46584" xr:uid="{00000000-0005-0000-0000-00003C820000}"/>
    <cellStyle name="Normal 57 3 5 2 6 4" xfId="27514" xr:uid="{00000000-0005-0000-0000-00003D820000}"/>
    <cellStyle name="Normal 57 3 5 2 7" xfId="5834" xr:uid="{00000000-0005-0000-0000-00003E820000}"/>
    <cellStyle name="Normal 57 3 5 2 7 2" xfId="14661" xr:uid="{00000000-0005-0000-0000-00003F820000}"/>
    <cellStyle name="Normal 57 3 5 2 7 2 2" xfId="40216" xr:uid="{00000000-0005-0000-0000-000040820000}"/>
    <cellStyle name="Normal 57 3 5 2 7 3" xfId="24912" xr:uid="{00000000-0005-0000-0000-000041820000}"/>
    <cellStyle name="Normal 57 3 5 2 7 3 2" xfId="50465" xr:uid="{00000000-0005-0000-0000-000042820000}"/>
    <cellStyle name="Normal 57 3 5 2 7 4" xfId="31395" xr:uid="{00000000-0005-0000-0000-000043820000}"/>
    <cellStyle name="Normal 57 3 5 2 8" xfId="7278" xr:uid="{00000000-0005-0000-0000-000044820000}"/>
    <cellStyle name="Normal 57 3 5 2 8 2" xfId="20004" xr:uid="{00000000-0005-0000-0000-000045820000}"/>
    <cellStyle name="Normal 57 3 5 2 8 2 2" xfId="45557" xr:uid="{00000000-0005-0000-0000-000046820000}"/>
    <cellStyle name="Normal 57 3 5 2 8 3" xfId="32835" xr:uid="{00000000-0005-0000-0000-000047820000}"/>
    <cellStyle name="Normal 57 3 5 2 9" xfId="16024" xr:uid="{00000000-0005-0000-0000-000048820000}"/>
    <cellStyle name="Normal 57 3 5 2 9 2" xfId="41577" xr:uid="{00000000-0005-0000-0000-000049820000}"/>
    <cellStyle name="Normal 57 3 5 2_Degree data" xfId="3952" xr:uid="{00000000-0005-0000-0000-00004A820000}"/>
    <cellStyle name="Normal 57 3 5 3" xfId="353" xr:uid="{00000000-0005-0000-0000-00004B820000}"/>
    <cellStyle name="Normal 57 3 5 3 2" xfId="2839" xr:uid="{00000000-0005-0000-0000-00004C820000}"/>
    <cellStyle name="Normal 57 3 5 3 2 2" xfId="12127" xr:uid="{00000000-0005-0000-0000-00004D820000}"/>
    <cellStyle name="Normal 57 3 5 3 2 2 2" xfId="22200" xr:uid="{00000000-0005-0000-0000-00004E820000}"/>
    <cellStyle name="Normal 57 3 5 3 2 2 2 2" xfId="47753" xr:uid="{00000000-0005-0000-0000-00004F820000}"/>
    <cellStyle name="Normal 57 3 5 3 2 2 3" xfId="37682" xr:uid="{00000000-0005-0000-0000-000050820000}"/>
    <cellStyle name="Normal 57 3 5 3 2 3" xfId="8638" xr:uid="{00000000-0005-0000-0000-000051820000}"/>
    <cellStyle name="Normal 57 3 5 3 2 3 2" xfId="34195" xr:uid="{00000000-0005-0000-0000-000052820000}"/>
    <cellStyle name="Normal 57 3 5 3 2 4" xfId="17193" xr:uid="{00000000-0005-0000-0000-000053820000}"/>
    <cellStyle name="Normal 57 3 5 3 2 4 2" xfId="42746" xr:uid="{00000000-0005-0000-0000-000054820000}"/>
    <cellStyle name="Normal 57 3 5 3 2 5" xfId="28683" xr:uid="{00000000-0005-0000-0000-000055820000}"/>
    <cellStyle name="Normal 57 3 5 3 3" xfId="4659" xr:uid="{00000000-0005-0000-0000-000056820000}"/>
    <cellStyle name="Normal 57 3 5 3 3 2" xfId="13497" xr:uid="{00000000-0005-0000-0000-000057820000}"/>
    <cellStyle name="Normal 57 3 5 3 3 2 2" xfId="23748" xr:uid="{00000000-0005-0000-0000-000058820000}"/>
    <cellStyle name="Normal 57 3 5 3 3 2 2 2" xfId="49301" xr:uid="{00000000-0005-0000-0000-000059820000}"/>
    <cellStyle name="Normal 57 3 5 3 3 2 3" xfId="39052" xr:uid="{00000000-0005-0000-0000-00005A820000}"/>
    <cellStyle name="Normal 57 3 5 3 3 3" xfId="9918" xr:uid="{00000000-0005-0000-0000-00005B820000}"/>
    <cellStyle name="Normal 57 3 5 3 3 3 2" xfId="35475" xr:uid="{00000000-0005-0000-0000-00005C820000}"/>
    <cellStyle name="Normal 57 3 5 3 3 4" xfId="18741" xr:uid="{00000000-0005-0000-0000-00005D820000}"/>
    <cellStyle name="Normal 57 3 5 3 3 4 2" xfId="44294" xr:uid="{00000000-0005-0000-0000-00005E820000}"/>
    <cellStyle name="Normal 57 3 5 3 3 5" xfId="30231" xr:uid="{00000000-0005-0000-0000-00005F820000}"/>
    <cellStyle name="Normal 57 3 5 3 4" xfId="1948" xr:uid="{00000000-0005-0000-0000-000060820000}"/>
    <cellStyle name="Normal 57 3 5 3 4 2" xfId="11313" xr:uid="{00000000-0005-0000-0000-000061820000}"/>
    <cellStyle name="Normal 57 3 5 3 4 2 2" xfId="36868" xr:uid="{00000000-0005-0000-0000-000062820000}"/>
    <cellStyle name="Normal 57 3 5 3 4 3" xfId="21317" xr:uid="{00000000-0005-0000-0000-000063820000}"/>
    <cellStyle name="Normal 57 3 5 3 4 3 2" xfId="46870" xr:uid="{00000000-0005-0000-0000-000064820000}"/>
    <cellStyle name="Normal 57 3 5 3 4 4" xfId="27800" xr:uid="{00000000-0005-0000-0000-000065820000}"/>
    <cellStyle name="Normal 57 3 5 3 5" xfId="6115" xr:uid="{00000000-0005-0000-0000-000066820000}"/>
    <cellStyle name="Normal 57 3 5 3 5 2" xfId="14942" xr:uid="{00000000-0005-0000-0000-000067820000}"/>
    <cellStyle name="Normal 57 3 5 3 5 2 2" xfId="40497" xr:uid="{00000000-0005-0000-0000-000068820000}"/>
    <cellStyle name="Normal 57 3 5 3 5 3" xfId="25193" xr:uid="{00000000-0005-0000-0000-000069820000}"/>
    <cellStyle name="Normal 57 3 5 3 5 3 2" xfId="50746" xr:uid="{00000000-0005-0000-0000-00006A820000}"/>
    <cellStyle name="Normal 57 3 5 3 5 4" xfId="31676" xr:uid="{00000000-0005-0000-0000-00006B820000}"/>
    <cellStyle name="Normal 57 3 5 3 6" xfId="7560" xr:uid="{00000000-0005-0000-0000-00006C820000}"/>
    <cellStyle name="Normal 57 3 5 3 6 2" xfId="19799" xr:uid="{00000000-0005-0000-0000-00006D820000}"/>
    <cellStyle name="Normal 57 3 5 3 6 2 2" xfId="45352" xr:uid="{00000000-0005-0000-0000-00006E820000}"/>
    <cellStyle name="Normal 57 3 5 3 6 3" xfId="33117" xr:uid="{00000000-0005-0000-0000-00006F820000}"/>
    <cellStyle name="Normal 57 3 5 3 7" xfId="16310" xr:uid="{00000000-0005-0000-0000-000070820000}"/>
    <cellStyle name="Normal 57 3 5 3 7 2" xfId="41863" xr:uid="{00000000-0005-0000-0000-000071820000}"/>
    <cellStyle name="Normal 57 3 5 3 8" xfId="26282" xr:uid="{00000000-0005-0000-0000-000072820000}"/>
    <cellStyle name="Normal 57 3 5 4" xfId="845" xr:uid="{00000000-0005-0000-0000-000073820000}"/>
    <cellStyle name="Normal 57 3 5 4 2" xfId="3330" xr:uid="{00000000-0005-0000-0000-000074820000}"/>
    <cellStyle name="Normal 57 3 5 4 2 2" xfId="12472" xr:uid="{00000000-0005-0000-0000-000075820000}"/>
    <cellStyle name="Normal 57 3 5 4 2 2 2" xfId="22691" xr:uid="{00000000-0005-0000-0000-000076820000}"/>
    <cellStyle name="Normal 57 3 5 4 2 2 2 2" xfId="48244" xr:uid="{00000000-0005-0000-0000-000077820000}"/>
    <cellStyle name="Normal 57 3 5 4 2 2 3" xfId="38027" xr:uid="{00000000-0005-0000-0000-000078820000}"/>
    <cellStyle name="Normal 57 3 5 4 2 3" xfId="8894" xr:uid="{00000000-0005-0000-0000-000079820000}"/>
    <cellStyle name="Normal 57 3 5 4 2 3 2" xfId="34451" xr:uid="{00000000-0005-0000-0000-00007A820000}"/>
    <cellStyle name="Normal 57 3 5 4 2 4" xfId="17684" xr:uid="{00000000-0005-0000-0000-00007B820000}"/>
    <cellStyle name="Normal 57 3 5 4 2 4 2" xfId="43237" xr:uid="{00000000-0005-0000-0000-00007C820000}"/>
    <cellStyle name="Normal 57 3 5 4 2 5" xfId="29174" xr:uid="{00000000-0005-0000-0000-00007D820000}"/>
    <cellStyle name="Normal 57 3 5 4 3" xfId="5008" xr:uid="{00000000-0005-0000-0000-00007E820000}"/>
    <cellStyle name="Normal 57 3 5 4 3 2" xfId="13845" xr:uid="{00000000-0005-0000-0000-00007F820000}"/>
    <cellStyle name="Normal 57 3 5 4 3 2 2" xfId="24096" xr:uid="{00000000-0005-0000-0000-000080820000}"/>
    <cellStyle name="Normal 57 3 5 4 3 2 2 2" xfId="49649" xr:uid="{00000000-0005-0000-0000-000081820000}"/>
    <cellStyle name="Normal 57 3 5 4 3 2 3" xfId="39400" xr:uid="{00000000-0005-0000-0000-000082820000}"/>
    <cellStyle name="Normal 57 3 5 4 3 3" xfId="10266" xr:uid="{00000000-0005-0000-0000-000083820000}"/>
    <cellStyle name="Normal 57 3 5 4 3 3 2" xfId="35823" xr:uid="{00000000-0005-0000-0000-000084820000}"/>
    <cellStyle name="Normal 57 3 5 4 3 4" xfId="19089" xr:uid="{00000000-0005-0000-0000-000085820000}"/>
    <cellStyle name="Normal 57 3 5 4 3 4 2" xfId="44642" xr:uid="{00000000-0005-0000-0000-000086820000}"/>
    <cellStyle name="Normal 57 3 5 4 3 5" xfId="30579" xr:uid="{00000000-0005-0000-0000-000087820000}"/>
    <cellStyle name="Normal 57 3 5 4 4" xfId="2439" xr:uid="{00000000-0005-0000-0000-000088820000}"/>
    <cellStyle name="Normal 57 3 5 4 4 2" xfId="11804" xr:uid="{00000000-0005-0000-0000-000089820000}"/>
    <cellStyle name="Normal 57 3 5 4 4 2 2" xfId="37359" xr:uid="{00000000-0005-0000-0000-00008A820000}"/>
    <cellStyle name="Normal 57 3 5 4 4 3" xfId="21808" xr:uid="{00000000-0005-0000-0000-00008B820000}"/>
    <cellStyle name="Normal 57 3 5 4 4 3 2" xfId="47361" xr:uid="{00000000-0005-0000-0000-00008C820000}"/>
    <cellStyle name="Normal 57 3 5 4 4 4" xfId="28291" xr:uid="{00000000-0005-0000-0000-00008D820000}"/>
    <cellStyle name="Normal 57 3 5 4 5" xfId="6463" xr:uid="{00000000-0005-0000-0000-00008E820000}"/>
    <cellStyle name="Normal 57 3 5 4 5 2" xfId="15290" xr:uid="{00000000-0005-0000-0000-00008F820000}"/>
    <cellStyle name="Normal 57 3 5 4 5 2 2" xfId="40845" xr:uid="{00000000-0005-0000-0000-000090820000}"/>
    <cellStyle name="Normal 57 3 5 4 5 3" xfId="25541" xr:uid="{00000000-0005-0000-0000-000091820000}"/>
    <cellStyle name="Normal 57 3 5 4 5 3 2" xfId="51094" xr:uid="{00000000-0005-0000-0000-000092820000}"/>
    <cellStyle name="Normal 57 3 5 4 5 4" xfId="32024" xr:uid="{00000000-0005-0000-0000-000093820000}"/>
    <cellStyle name="Normal 57 3 5 4 6" xfId="7909" xr:uid="{00000000-0005-0000-0000-000094820000}"/>
    <cellStyle name="Normal 57 3 5 4 6 2" xfId="20290" xr:uid="{00000000-0005-0000-0000-000095820000}"/>
    <cellStyle name="Normal 57 3 5 4 6 2 2" xfId="45843" xr:uid="{00000000-0005-0000-0000-000096820000}"/>
    <cellStyle name="Normal 57 3 5 4 6 3" xfId="33466" xr:uid="{00000000-0005-0000-0000-000097820000}"/>
    <cellStyle name="Normal 57 3 5 4 7" xfId="16801" xr:uid="{00000000-0005-0000-0000-000098820000}"/>
    <cellStyle name="Normal 57 3 5 4 7 2" xfId="42354" xr:uid="{00000000-0005-0000-0000-000099820000}"/>
    <cellStyle name="Normal 57 3 5 4 8" xfId="26773" xr:uid="{00000000-0005-0000-0000-00009A820000}"/>
    <cellStyle name="Normal 57 3 5 5" xfId="1125" xr:uid="{00000000-0005-0000-0000-00009B820000}"/>
    <cellStyle name="Normal 57 3 5 5 2" xfId="3554" xr:uid="{00000000-0005-0000-0000-00009C820000}"/>
    <cellStyle name="Normal 57 3 5 5 2 2" xfId="12690" xr:uid="{00000000-0005-0000-0000-00009D820000}"/>
    <cellStyle name="Normal 57 3 5 5 2 2 2" xfId="22909" xr:uid="{00000000-0005-0000-0000-00009E820000}"/>
    <cellStyle name="Normal 57 3 5 5 2 2 2 2" xfId="48462" xr:uid="{00000000-0005-0000-0000-00009F820000}"/>
    <cellStyle name="Normal 57 3 5 5 2 2 3" xfId="38245" xr:uid="{00000000-0005-0000-0000-0000A0820000}"/>
    <cellStyle name="Normal 57 3 5 5 2 3" xfId="9111" xr:uid="{00000000-0005-0000-0000-0000A1820000}"/>
    <cellStyle name="Normal 57 3 5 5 2 3 2" xfId="34668" xr:uid="{00000000-0005-0000-0000-0000A2820000}"/>
    <cellStyle name="Normal 57 3 5 5 2 4" xfId="17902" xr:uid="{00000000-0005-0000-0000-0000A3820000}"/>
    <cellStyle name="Normal 57 3 5 5 2 4 2" xfId="43455" xr:uid="{00000000-0005-0000-0000-0000A4820000}"/>
    <cellStyle name="Normal 57 3 5 5 2 5" xfId="29392" xr:uid="{00000000-0005-0000-0000-0000A5820000}"/>
    <cellStyle name="Normal 57 3 5 5 3" xfId="5217" xr:uid="{00000000-0005-0000-0000-0000A6820000}"/>
    <cellStyle name="Normal 57 3 5 5 3 2" xfId="14054" xr:uid="{00000000-0005-0000-0000-0000A7820000}"/>
    <cellStyle name="Normal 57 3 5 5 3 2 2" xfId="24305" xr:uid="{00000000-0005-0000-0000-0000A8820000}"/>
    <cellStyle name="Normal 57 3 5 5 3 2 2 2" xfId="49858" xr:uid="{00000000-0005-0000-0000-0000A9820000}"/>
    <cellStyle name="Normal 57 3 5 5 3 2 3" xfId="39609" xr:uid="{00000000-0005-0000-0000-0000AA820000}"/>
    <cellStyle name="Normal 57 3 5 5 3 3" xfId="10475" xr:uid="{00000000-0005-0000-0000-0000AB820000}"/>
    <cellStyle name="Normal 57 3 5 5 3 3 2" xfId="36032" xr:uid="{00000000-0005-0000-0000-0000AC820000}"/>
    <cellStyle name="Normal 57 3 5 5 3 4" xfId="19298" xr:uid="{00000000-0005-0000-0000-0000AD820000}"/>
    <cellStyle name="Normal 57 3 5 5 3 4 2" xfId="44851" xr:uid="{00000000-0005-0000-0000-0000AE820000}"/>
    <cellStyle name="Normal 57 3 5 5 3 5" xfId="30788" xr:uid="{00000000-0005-0000-0000-0000AF820000}"/>
    <cellStyle name="Normal 57 3 5 5 4" xfId="1833" xr:uid="{00000000-0005-0000-0000-0000B0820000}"/>
    <cellStyle name="Normal 57 3 5 5 4 2" xfId="11201" xr:uid="{00000000-0005-0000-0000-0000B1820000}"/>
    <cellStyle name="Normal 57 3 5 5 4 2 2" xfId="36756" xr:uid="{00000000-0005-0000-0000-0000B2820000}"/>
    <cellStyle name="Normal 57 3 5 5 4 3" xfId="21205" xr:uid="{00000000-0005-0000-0000-0000B3820000}"/>
    <cellStyle name="Normal 57 3 5 5 4 3 2" xfId="46758" xr:uid="{00000000-0005-0000-0000-0000B4820000}"/>
    <cellStyle name="Normal 57 3 5 5 4 4" xfId="27688" xr:uid="{00000000-0005-0000-0000-0000B5820000}"/>
    <cellStyle name="Normal 57 3 5 5 5" xfId="6672" xr:uid="{00000000-0005-0000-0000-0000B6820000}"/>
    <cellStyle name="Normal 57 3 5 5 5 2" xfId="15499" xr:uid="{00000000-0005-0000-0000-0000B7820000}"/>
    <cellStyle name="Normal 57 3 5 5 5 2 2" xfId="41054" xr:uid="{00000000-0005-0000-0000-0000B8820000}"/>
    <cellStyle name="Normal 57 3 5 5 5 3" xfId="25750" xr:uid="{00000000-0005-0000-0000-0000B9820000}"/>
    <cellStyle name="Normal 57 3 5 5 5 3 2" xfId="51303" xr:uid="{00000000-0005-0000-0000-0000BA820000}"/>
    <cellStyle name="Normal 57 3 5 5 5 4" xfId="32233" xr:uid="{00000000-0005-0000-0000-0000BB820000}"/>
    <cellStyle name="Normal 57 3 5 5 6" xfId="8118" xr:uid="{00000000-0005-0000-0000-0000BC820000}"/>
    <cellStyle name="Normal 57 3 5 5 6 2" xfId="20508" xr:uid="{00000000-0005-0000-0000-0000BD820000}"/>
    <cellStyle name="Normal 57 3 5 5 6 2 2" xfId="46061" xr:uid="{00000000-0005-0000-0000-0000BE820000}"/>
    <cellStyle name="Normal 57 3 5 5 6 3" xfId="33675" xr:uid="{00000000-0005-0000-0000-0000BF820000}"/>
    <cellStyle name="Normal 57 3 5 5 7" xfId="16198" xr:uid="{00000000-0005-0000-0000-0000C0820000}"/>
    <cellStyle name="Normal 57 3 5 5 7 2" xfId="41751" xr:uid="{00000000-0005-0000-0000-0000C1820000}"/>
    <cellStyle name="Normal 57 3 5 5 8" xfId="26991" xr:uid="{00000000-0005-0000-0000-0000C2820000}"/>
    <cellStyle name="Normal 57 3 5 6" xfId="2727" xr:uid="{00000000-0005-0000-0000-0000C3820000}"/>
    <cellStyle name="Normal 57 3 5 6 2" xfId="12044" xr:uid="{00000000-0005-0000-0000-0000C4820000}"/>
    <cellStyle name="Normal 57 3 5 6 2 2" xfId="22088" xr:uid="{00000000-0005-0000-0000-0000C5820000}"/>
    <cellStyle name="Normal 57 3 5 6 2 2 2" xfId="47641" xr:uid="{00000000-0005-0000-0000-0000C6820000}"/>
    <cellStyle name="Normal 57 3 5 6 2 3" xfId="37599" xr:uid="{00000000-0005-0000-0000-0000C7820000}"/>
    <cellStyle name="Normal 57 3 5 6 3" xfId="8546" xr:uid="{00000000-0005-0000-0000-0000C8820000}"/>
    <cellStyle name="Normal 57 3 5 6 3 2" xfId="34103" xr:uid="{00000000-0005-0000-0000-0000C9820000}"/>
    <cellStyle name="Normal 57 3 5 6 4" xfId="17081" xr:uid="{00000000-0005-0000-0000-0000CA820000}"/>
    <cellStyle name="Normal 57 3 5 6 4 2" xfId="42634" xr:uid="{00000000-0005-0000-0000-0000CB820000}"/>
    <cellStyle name="Normal 57 3 5 6 5" xfId="28571" xr:uid="{00000000-0005-0000-0000-0000CC820000}"/>
    <cellStyle name="Normal 57 3 5 7" xfId="4173" xr:uid="{00000000-0005-0000-0000-0000CD820000}"/>
    <cellStyle name="Normal 57 3 5 7 2" xfId="13011" xr:uid="{00000000-0005-0000-0000-0000CE820000}"/>
    <cellStyle name="Normal 57 3 5 7 2 2" xfId="23262" xr:uid="{00000000-0005-0000-0000-0000CF820000}"/>
    <cellStyle name="Normal 57 3 5 7 2 2 2" xfId="48815" xr:uid="{00000000-0005-0000-0000-0000D0820000}"/>
    <cellStyle name="Normal 57 3 5 7 2 3" xfId="38566" xr:uid="{00000000-0005-0000-0000-0000D1820000}"/>
    <cellStyle name="Normal 57 3 5 7 3" xfId="9432" xr:uid="{00000000-0005-0000-0000-0000D2820000}"/>
    <cellStyle name="Normal 57 3 5 7 3 2" xfId="34989" xr:uid="{00000000-0005-0000-0000-0000D3820000}"/>
    <cellStyle name="Normal 57 3 5 7 4" xfId="18255" xr:uid="{00000000-0005-0000-0000-0000D4820000}"/>
    <cellStyle name="Normal 57 3 5 7 4 2" xfId="43808" xr:uid="{00000000-0005-0000-0000-0000D5820000}"/>
    <cellStyle name="Normal 57 3 5 7 5" xfId="29745" xr:uid="{00000000-0005-0000-0000-0000D6820000}"/>
    <cellStyle name="Normal 57 3 5 8" xfId="1445" xr:uid="{00000000-0005-0000-0000-0000D7820000}"/>
    <cellStyle name="Normal 57 3 5 8 2" xfId="10822" xr:uid="{00000000-0005-0000-0000-0000D8820000}"/>
    <cellStyle name="Normal 57 3 5 8 2 2" xfId="36377" xr:uid="{00000000-0005-0000-0000-0000D9820000}"/>
    <cellStyle name="Normal 57 3 5 8 3" xfId="20826" xr:uid="{00000000-0005-0000-0000-0000DA820000}"/>
    <cellStyle name="Normal 57 3 5 8 3 2" xfId="46379" xr:uid="{00000000-0005-0000-0000-0000DB820000}"/>
    <cellStyle name="Normal 57 3 5 8 4" xfId="27309" xr:uid="{00000000-0005-0000-0000-0000DC820000}"/>
    <cellStyle name="Normal 57 3 5 9" xfId="5629" xr:uid="{00000000-0005-0000-0000-0000DD820000}"/>
    <cellStyle name="Normal 57 3 5 9 2" xfId="14456" xr:uid="{00000000-0005-0000-0000-0000DE820000}"/>
    <cellStyle name="Normal 57 3 5 9 2 2" xfId="40011" xr:uid="{00000000-0005-0000-0000-0000DF820000}"/>
    <cellStyle name="Normal 57 3 5 9 3" xfId="24707" xr:uid="{00000000-0005-0000-0000-0000E0820000}"/>
    <cellStyle name="Normal 57 3 5 9 3 2" xfId="50260" xr:uid="{00000000-0005-0000-0000-0000E1820000}"/>
    <cellStyle name="Normal 57 3 5 9 4" xfId="31190" xr:uid="{00000000-0005-0000-0000-0000E2820000}"/>
    <cellStyle name="Normal 57 3 5_Degree data" xfId="3951" xr:uid="{00000000-0005-0000-0000-0000E3820000}"/>
    <cellStyle name="Normal 57 3 6" xfId="453" xr:uid="{00000000-0005-0000-0000-0000E4820000}"/>
    <cellStyle name="Normal 57 3 6 10" xfId="26382" xr:uid="{00000000-0005-0000-0000-0000E5820000}"/>
    <cellStyle name="Normal 57 3 6 2" xfId="847" xr:uid="{00000000-0005-0000-0000-0000E6820000}"/>
    <cellStyle name="Normal 57 3 6 2 2" xfId="3332" xr:uid="{00000000-0005-0000-0000-0000E7820000}"/>
    <cellStyle name="Normal 57 3 6 2 2 2" xfId="12474" xr:uid="{00000000-0005-0000-0000-0000E8820000}"/>
    <cellStyle name="Normal 57 3 6 2 2 2 2" xfId="22693" xr:uid="{00000000-0005-0000-0000-0000E9820000}"/>
    <cellStyle name="Normal 57 3 6 2 2 2 2 2" xfId="48246" xr:uid="{00000000-0005-0000-0000-0000EA820000}"/>
    <cellStyle name="Normal 57 3 6 2 2 2 3" xfId="38029" xr:uid="{00000000-0005-0000-0000-0000EB820000}"/>
    <cellStyle name="Normal 57 3 6 2 2 3" xfId="8896" xr:uid="{00000000-0005-0000-0000-0000EC820000}"/>
    <cellStyle name="Normal 57 3 6 2 2 3 2" xfId="34453" xr:uid="{00000000-0005-0000-0000-0000ED820000}"/>
    <cellStyle name="Normal 57 3 6 2 2 4" xfId="17686" xr:uid="{00000000-0005-0000-0000-0000EE820000}"/>
    <cellStyle name="Normal 57 3 6 2 2 4 2" xfId="43239" xr:uid="{00000000-0005-0000-0000-0000EF820000}"/>
    <cellStyle name="Normal 57 3 6 2 2 5" xfId="29176" xr:uid="{00000000-0005-0000-0000-0000F0820000}"/>
    <cellStyle name="Normal 57 3 6 2 3" xfId="4661" xr:uid="{00000000-0005-0000-0000-0000F1820000}"/>
    <cellStyle name="Normal 57 3 6 2 3 2" xfId="13499" xr:uid="{00000000-0005-0000-0000-0000F2820000}"/>
    <cellStyle name="Normal 57 3 6 2 3 2 2" xfId="23750" xr:uid="{00000000-0005-0000-0000-0000F3820000}"/>
    <cellStyle name="Normal 57 3 6 2 3 2 2 2" xfId="49303" xr:uid="{00000000-0005-0000-0000-0000F4820000}"/>
    <cellStyle name="Normal 57 3 6 2 3 2 3" xfId="39054" xr:uid="{00000000-0005-0000-0000-0000F5820000}"/>
    <cellStyle name="Normal 57 3 6 2 3 3" xfId="9920" xr:uid="{00000000-0005-0000-0000-0000F6820000}"/>
    <cellStyle name="Normal 57 3 6 2 3 3 2" xfId="35477" xr:uid="{00000000-0005-0000-0000-0000F7820000}"/>
    <cellStyle name="Normal 57 3 6 2 3 4" xfId="18743" xr:uid="{00000000-0005-0000-0000-0000F8820000}"/>
    <cellStyle name="Normal 57 3 6 2 3 4 2" xfId="44296" xr:uid="{00000000-0005-0000-0000-0000F9820000}"/>
    <cellStyle name="Normal 57 3 6 2 3 5" xfId="30233" xr:uid="{00000000-0005-0000-0000-0000FA820000}"/>
    <cellStyle name="Normal 57 3 6 2 4" xfId="2441" xr:uid="{00000000-0005-0000-0000-0000FB820000}"/>
    <cellStyle name="Normal 57 3 6 2 4 2" xfId="11806" xr:uid="{00000000-0005-0000-0000-0000FC820000}"/>
    <cellStyle name="Normal 57 3 6 2 4 2 2" xfId="37361" xr:uid="{00000000-0005-0000-0000-0000FD820000}"/>
    <cellStyle name="Normal 57 3 6 2 4 3" xfId="21810" xr:uid="{00000000-0005-0000-0000-0000FE820000}"/>
    <cellStyle name="Normal 57 3 6 2 4 3 2" xfId="47363" xr:uid="{00000000-0005-0000-0000-0000FF820000}"/>
    <cellStyle name="Normal 57 3 6 2 4 4" xfId="28293" xr:uid="{00000000-0005-0000-0000-000000830000}"/>
    <cellStyle name="Normal 57 3 6 2 5" xfId="6117" xr:uid="{00000000-0005-0000-0000-000001830000}"/>
    <cellStyle name="Normal 57 3 6 2 5 2" xfId="14944" xr:uid="{00000000-0005-0000-0000-000002830000}"/>
    <cellStyle name="Normal 57 3 6 2 5 2 2" xfId="40499" xr:uid="{00000000-0005-0000-0000-000003830000}"/>
    <cellStyle name="Normal 57 3 6 2 5 3" xfId="25195" xr:uid="{00000000-0005-0000-0000-000004830000}"/>
    <cellStyle name="Normal 57 3 6 2 5 3 2" xfId="50748" xr:uid="{00000000-0005-0000-0000-000005830000}"/>
    <cellStyle name="Normal 57 3 6 2 5 4" xfId="31678" xr:uid="{00000000-0005-0000-0000-000006830000}"/>
    <cellStyle name="Normal 57 3 6 2 6" xfId="7562" xr:uid="{00000000-0005-0000-0000-000007830000}"/>
    <cellStyle name="Normal 57 3 6 2 6 2" xfId="20292" xr:uid="{00000000-0005-0000-0000-000008830000}"/>
    <cellStyle name="Normal 57 3 6 2 6 2 2" xfId="45845" xr:uid="{00000000-0005-0000-0000-000009830000}"/>
    <cellStyle name="Normal 57 3 6 2 6 3" xfId="33119" xr:uid="{00000000-0005-0000-0000-00000A830000}"/>
    <cellStyle name="Normal 57 3 6 2 7" xfId="16803" xr:uid="{00000000-0005-0000-0000-00000B830000}"/>
    <cellStyle name="Normal 57 3 6 2 7 2" xfId="42356" xr:uid="{00000000-0005-0000-0000-00000C830000}"/>
    <cellStyle name="Normal 57 3 6 2 8" xfId="26775" xr:uid="{00000000-0005-0000-0000-00000D830000}"/>
    <cellStyle name="Normal 57 3 6 3" xfId="1225" xr:uid="{00000000-0005-0000-0000-00000E830000}"/>
    <cellStyle name="Normal 57 3 6 3 2" xfId="3654" xr:uid="{00000000-0005-0000-0000-00000F830000}"/>
    <cellStyle name="Normal 57 3 6 3 2 2" xfId="12790" xr:uid="{00000000-0005-0000-0000-000010830000}"/>
    <cellStyle name="Normal 57 3 6 3 2 2 2" xfId="23009" xr:uid="{00000000-0005-0000-0000-000011830000}"/>
    <cellStyle name="Normal 57 3 6 3 2 2 2 2" xfId="48562" xr:uid="{00000000-0005-0000-0000-000012830000}"/>
    <cellStyle name="Normal 57 3 6 3 2 2 3" xfId="38345" xr:uid="{00000000-0005-0000-0000-000013830000}"/>
    <cellStyle name="Normal 57 3 6 3 2 3" xfId="9211" xr:uid="{00000000-0005-0000-0000-000014830000}"/>
    <cellStyle name="Normal 57 3 6 3 2 3 2" xfId="34768" xr:uid="{00000000-0005-0000-0000-000015830000}"/>
    <cellStyle name="Normal 57 3 6 3 2 4" xfId="18002" xr:uid="{00000000-0005-0000-0000-000016830000}"/>
    <cellStyle name="Normal 57 3 6 3 2 4 2" xfId="43555" xr:uid="{00000000-0005-0000-0000-000017830000}"/>
    <cellStyle name="Normal 57 3 6 3 2 5" xfId="29492" xr:uid="{00000000-0005-0000-0000-000018830000}"/>
    <cellStyle name="Normal 57 3 6 3 3" xfId="5010" xr:uid="{00000000-0005-0000-0000-000019830000}"/>
    <cellStyle name="Normal 57 3 6 3 3 2" xfId="13847" xr:uid="{00000000-0005-0000-0000-00001A830000}"/>
    <cellStyle name="Normal 57 3 6 3 3 2 2" xfId="24098" xr:uid="{00000000-0005-0000-0000-00001B830000}"/>
    <cellStyle name="Normal 57 3 6 3 3 2 2 2" xfId="49651" xr:uid="{00000000-0005-0000-0000-00001C830000}"/>
    <cellStyle name="Normal 57 3 6 3 3 2 3" xfId="39402" xr:uid="{00000000-0005-0000-0000-00001D830000}"/>
    <cellStyle name="Normal 57 3 6 3 3 3" xfId="10268" xr:uid="{00000000-0005-0000-0000-00001E830000}"/>
    <cellStyle name="Normal 57 3 6 3 3 3 2" xfId="35825" xr:uid="{00000000-0005-0000-0000-00001F830000}"/>
    <cellStyle name="Normal 57 3 6 3 3 4" xfId="19091" xr:uid="{00000000-0005-0000-0000-000020830000}"/>
    <cellStyle name="Normal 57 3 6 3 3 4 2" xfId="44644" xr:uid="{00000000-0005-0000-0000-000021830000}"/>
    <cellStyle name="Normal 57 3 6 3 3 5" xfId="30581" xr:uid="{00000000-0005-0000-0000-000022830000}"/>
    <cellStyle name="Normal 57 3 6 3 4" xfId="2048" xr:uid="{00000000-0005-0000-0000-000023830000}"/>
    <cellStyle name="Normal 57 3 6 3 4 2" xfId="11413" xr:uid="{00000000-0005-0000-0000-000024830000}"/>
    <cellStyle name="Normal 57 3 6 3 4 2 2" xfId="36968" xr:uid="{00000000-0005-0000-0000-000025830000}"/>
    <cellStyle name="Normal 57 3 6 3 4 3" xfId="21417" xr:uid="{00000000-0005-0000-0000-000026830000}"/>
    <cellStyle name="Normal 57 3 6 3 4 3 2" xfId="46970" xr:uid="{00000000-0005-0000-0000-000027830000}"/>
    <cellStyle name="Normal 57 3 6 3 4 4" xfId="27900" xr:uid="{00000000-0005-0000-0000-000028830000}"/>
    <cellStyle name="Normal 57 3 6 3 5" xfId="6465" xr:uid="{00000000-0005-0000-0000-000029830000}"/>
    <cellStyle name="Normal 57 3 6 3 5 2" xfId="15292" xr:uid="{00000000-0005-0000-0000-00002A830000}"/>
    <cellStyle name="Normal 57 3 6 3 5 2 2" xfId="40847" xr:uid="{00000000-0005-0000-0000-00002B830000}"/>
    <cellStyle name="Normal 57 3 6 3 5 3" xfId="25543" xr:uid="{00000000-0005-0000-0000-00002C830000}"/>
    <cellStyle name="Normal 57 3 6 3 5 3 2" xfId="51096" xr:uid="{00000000-0005-0000-0000-00002D830000}"/>
    <cellStyle name="Normal 57 3 6 3 5 4" xfId="32026" xr:uid="{00000000-0005-0000-0000-00002E830000}"/>
    <cellStyle name="Normal 57 3 6 3 6" xfId="7911" xr:uid="{00000000-0005-0000-0000-00002F830000}"/>
    <cellStyle name="Normal 57 3 6 3 6 2" xfId="20608" xr:uid="{00000000-0005-0000-0000-000030830000}"/>
    <cellStyle name="Normal 57 3 6 3 6 2 2" xfId="46161" xr:uid="{00000000-0005-0000-0000-000031830000}"/>
    <cellStyle name="Normal 57 3 6 3 6 3" xfId="33468" xr:uid="{00000000-0005-0000-0000-000032830000}"/>
    <cellStyle name="Normal 57 3 6 3 7" xfId="16410" xr:uid="{00000000-0005-0000-0000-000033830000}"/>
    <cellStyle name="Normal 57 3 6 3 7 2" xfId="41963" xr:uid="{00000000-0005-0000-0000-000034830000}"/>
    <cellStyle name="Normal 57 3 6 3 8" xfId="27091" xr:uid="{00000000-0005-0000-0000-000035830000}"/>
    <cellStyle name="Normal 57 3 6 4" xfId="2939" xr:uid="{00000000-0005-0000-0000-000036830000}"/>
    <cellStyle name="Normal 57 3 6 4 2" xfId="5317" xr:uid="{00000000-0005-0000-0000-000037830000}"/>
    <cellStyle name="Normal 57 3 6 4 2 2" xfId="14154" xr:uid="{00000000-0005-0000-0000-000038830000}"/>
    <cellStyle name="Normal 57 3 6 4 2 2 2" xfId="24405" xr:uid="{00000000-0005-0000-0000-000039830000}"/>
    <cellStyle name="Normal 57 3 6 4 2 2 2 2" xfId="49958" xr:uid="{00000000-0005-0000-0000-00003A830000}"/>
    <cellStyle name="Normal 57 3 6 4 2 2 3" xfId="39709" xr:uid="{00000000-0005-0000-0000-00003B830000}"/>
    <cellStyle name="Normal 57 3 6 4 2 3" xfId="10575" xr:uid="{00000000-0005-0000-0000-00003C830000}"/>
    <cellStyle name="Normal 57 3 6 4 2 3 2" xfId="36132" xr:uid="{00000000-0005-0000-0000-00003D830000}"/>
    <cellStyle name="Normal 57 3 6 4 2 4" xfId="19398" xr:uid="{00000000-0005-0000-0000-00003E830000}"/>
    <cellStyle name="Normal 57 3 6 4 2 4 2" xfId="44951" xr:uid="{00000000-0005-0000-0000-00003F830000}"/>
    <cellStyle name="Normal 57 3 6 4 2 5" xfId="30888" xr:uid="{00000000-0005-0000-0000-000040830000}"/>
    <cellStyle name="Normal 57 3 6 4 3" xfId="6772" xr:uid="{00000000-0005-0000-0000-000041830000}"/>
    <cellStyle name="Normal 57 3 6 4 3 2" xfId="15599" xr:uid="{00000000-0005-0000-0000-000042830000}"/>
    <cellStyle name="Normal 57 3 6 4 3 2 2" xfId="41154" xr:uid="{00000000-0005-0000-0000-000043830000}"/>
    <cellStyle name="Normal 57 3 6 4 3 3" xfId="25850" xr:uid="{00000000-0005-0000-0000-000044830000}"/>
    <cellStyle name="Normal 57 3 6 4 3 3 2" xfId="51403" xr:uid="{00000000-0005-0000-0000-000045830000}"/>
    <cellStyle name="Normal 57 3 6 4 3 4" xfId="32333" xr:uid="{00000000-0005-0000-0000-000046830000}"/>
    <cellStyle name="Normal 57 3 6 4 4" xfId="8218" xr:uid="{00000000-0005-0000-0000-000047830000}"/>
    <cellStyle name="Normal 57 3 6 4 4 2" xfId="22300" xr:uid="{00000000-0005-0000-0000-000048830000}"/>
    <cellStyle name="Normal 57 3 6 4 4 2 2" xfId="47853" xr:uid="{00000000-0005-0000-0000-000049830000}"/>
    <cellStyle name="Normal 57 3 6 4 4 3" xfId="33775" xr:uid="{00000000-0005-0000-0000-00004A830000}"/>
    <cellStyle name="Normal 57 3 6 4 5" xfId="17293" xr:uid="{00000000-0005-0000-0000-00004B830000}"/>
    <cellStyle name="Normal 57 3 6 4 5 2" xfId="42846" xr:uid="{00000000-0005-0000-0000-00004C830000}"/>
    <cellStyle name="Normal 57 3 6 4 6" xfId="28783" xr:uid="{00000000-0005-0000-0000-00004D830000}"/>
    <cellStyle name="Normal 57 3 6 5" xfId="4273" xr:uid="{00000000-0005-0000-0000-00004E830000}"/>
    <cellStyle name="Normal 57 3 6 5 2" xfId="13111" xr:uid="{00000000-0005-0000-0000-00004F830000}"/>
    <cellStyle name="Normal 57 3 6 5 2 2" xfId="23362" xr:uid="{00000000-0005-0000-0000-000050830000}"/>
    <cellStyle name="Normal 57 3 6 5 2 2 2" xfId="48915" xr:uid="{00000000-0005-0000-0000-000051830000}"/>
    <cellStyle name="Normal 57 3 6 5 2 3" xfId="38666" xr:uid="{00000000-0005-0000-0000-000052830000}"/>
    <cellStyle name="Normal 57 3 6 5 3" xfId="9532" xr:uid="{00000000-0005-0000-0000-000053830000}"/>
    <cellStyle name="Normal 57 3 6 5 3 2" xfId="35089" xr:uid="{00000000-0005-0000-0000-000054830000}"/>
    <cellStyle name="Normal 57 3 6 5 4" xfId="18355" xr:uid="{00000000-0005-0000-0000-000055830000}"/>
    <cellStyle name="Normal 57 3 6 5 4 2" xfId="43908" xr:uid="{00000000-0005-0000-0000-000056830000}"/>
    <cellStyle name="Normal 57 3 6 5 5" xfId="29845" xr:uid="{00000000-0005-0000-0000-000057830000}"/>
    <cellStyle name="Normal 57 3 6 6" xfId="1545" xr:uid="{00000000-0005-0000-0000-000058830000}"/>
    <cellStyle name="Normal 57 3 6 6 2" xfId="10922" xr:uid="{00000000-0005-0000-0000-000059830000}"/>
    <cellStyle name="Normal 57 3 6 6 2 2" xfId="36477" xr:uid="{00000000-0005-0000-0000-00005A830000}"/>
    <cellStyle name="Normal 57 3 6 6 3" xfId="20926" xr:uid="{00000000-0005-0000-0000-00005B830000}"/>
    <cellStyle name="Normal 57 3 6 6 3 2" xfId="46479" xr:uid="{00000000-0005-0000-0000-00005C830000}"/>
    <cellStyle name="Normal 57 3 6 6 4" xfId="27409" xr:uid="{00000000-0005-0000-0000-00005D830000}"/>
    <cellStyle name="Normal 57 3 6 7" xfId="5729" xr:uid="{00000000-0005-0000-0000-00005E830000}"/>
    <cellStyle name="Normal 57 3 6 7 2" xfId="14556" xr:uid="{00000000-0005-0000-0000-00005F830000}"/>
    <cellStyle name="Normal 57 3 6 7 2 2" xfId="40111" xr:uid="{00000000-0005-0000-0000-000060830000}"/>
    <cellStyle name="Normal 57 3 6 7 3" xfId="24807" xr:uid="{00000000-0005-0000-0000-000061830000}"/>
    <cellStyle name="Normal 57 3 6 7 3 2" xfId="50360" xr:uid="{00000000-0005-0000-0000-000062830000}"/>
    <cellStyle name="Normal 57 3 6 7 4" xfId="31290" xr:uid="{00000000-0005-0000-0000-000063830000}"/>
    <cellStyle name="Normal 57 3 6 8" xfId="7173" xr:uid="{00000000-0005-0000-0000-000064830000}"/>
    <cellStyle name="Normal 57 3 6 8 2" xfId="19899" xr:uid="{00000000-0005-0000-0000-000065830000}"/>
    <cellStyle name="Normal 57 3 6 8 2 2" xfId="45452" xr:uid="{00000000-0005-0000-0000-000066830000}"/>
    <cellStyle name="Normal 57 3 6 8 3" xfId="32730" xr:uid="{00000000-0005-0000-0000-000067830000}"/>
    <cellStyle name="Normal 57 3 6 9" xfId="15919" xr:uid="{00000000-0005-0000-0000-000068830000}"/>
    <cellStyle name="Normal 57 3 6 9 2" xfId="41472" xr:uid="{00000000-0005-0000-0000-000069830000}"/>
    <cellStyle name="Normal 57 3 6_Degree data" xfId="3953" xr:uid="{00000000-0005-0000-0000-00006A830000}"/>
    <cellStyle name="Normal 57 3 7" xfId="301" xr:uid="{00000000-0005-0000-0000-00006B830000}"/>
    <cellStyle name="Normal 57 3 7 10" xfId="26230" xr:uid="{00000000-0005-0000-0000-00006C830000}"/>
    <cellStyle name="Normal 57 3 7 2" xfId="848" xr:uid="{00000000-0005-0000-0000-00006D830000}"/>
    <cellStyle name="Normal 57 3 7 2 2" xfId="3333" xr:uid="{00000000-0005-0000-0000-00006E830000}"/>
    <cellStyle name="Normal 57 3 7 2 2 2" xfId="12475" xr:uid="{00000000-0005-0000-0000-00006F830000}"/>
    <cellStyle name="Normal 57 3 7 2 2 2 2" xfId="22694" xr:uid="{00000000-0005-0000-0000-000070830000}"/>
    <cellStyle name="Normal 57 3 7 2 2 2 2 2" xfId="48247" xr:uid="{00000000-0005-0000-0000-000071830000}"/>
    <cellStyle name="Normal 57 3 7 2 2 2 3" xfId="38030" xr:uid="{00000000-0005-0000-0000-000072830000}"/>
    <cellStyle name="Normal 57 3 7 2 2 3" xfId="8897" xr:uid="{00000000-0005-0000-0000-000073830000}"/>
    <cellStyle name="Normal 57 3 7 2 2 3 2" xfId="34454" xr:uid="{00000000-0005-0000-0000-000074830000}"/>
    <cellStyle name="Normal 57 3 7 2 2 4" xfId="17687" xr:uid="{00000000-0005-0000-0000-000075830000}"/>
    <cellStyle name="Normal 57 3 7 2 2 4 2" xfId="43240" xr:uid="{00000000-0005-0000-0000-000076830000}"/>
    <cellStyle name="Normal 57 3 7 2 2 5" xfId="29177" xr:uid="{00000000-0005-0000-0000-000077830000}"/>
    <cellStyle name="Normal 57 3 7 2 3" xfId="4662" xr:uid="{00000000-0005-0000-0000-000078830000}"/>
    <cellStyle name="Normal 57 3 7 2 3 2" xfId="13500" xr:uid="{00000000-0005-0000-0000-000079830000}"/>
    <cellStyle name="Normal 57 3 7 2 3 2 2" xfId="23751" xr:uid="{00000000-0005-0000-0000-00007A830000}"/>
    <cellStyle name="Normal 57 3 7 2 3 2 2 2" xfId="49304" xr:uid="{00000000-0005-0000-0000-00007B830000}"/>
    <cellStyle name="Normal 57 3 7 2 3 2 3" xfId="39055" xr:uid="{00000000-0005-0000-0000-00007C830000}"/>
    <cellStyle name="Normal 57 3 7 2 3 3" xfId="9921" xr:uid="{00000000-0005-0000-0000-00007D830000}"/>
    <cellStyle name="Normal 57 3 7 2 3 3 2" xfId="35478" xr:uid="{00000000-0005-0000-0000-00007E830000}"/>
    <cellStyle name="Normal 57 3 7 2 3 4" xfId="18744" xr:uid="{00000000-0005-0000-0000-00007F830000}"/>
    <cellStyle name="Normal 57 3 7 2 3 4 2" xfId="44297" xr:uid="{00000000-0005-0000-0000-000080830000}"/>
    <cellStyle name="Normal 57 3 7 2 3 5" xfId="30234" xr:uid="{00000000-0005-0000-0000-000081830000}"/>
    <cellStyle name="Normal 57 3 7 2 4" xfId="2442" xr:uid="{00000000-0005-0000-0000-000082830000}"/>
    <cellStyle name="Normal 57 3 7 2 4 2" xfId="11807" xr:uid="{00000000-0005-0000-0000-000083830000}"/>
    <cellStyle name="Normal 57 3 7 2 4 2 2" xfId="37362" xr:uid="{00000000-0005-0000-0000-000084830000}"/>
    <cellStyle name="Normal 57 3 7 2 4 3" xfId="21811" xr:uid="{00000000-0005-0000-0000-000085830000}"/>
    <cellStyle name="Normal 57 3 7 2 4 3 2" xfId="47364" xr:uid="{00000000-0005-0000-0000-000086830000}"/>
    <cellStyle name="Normal 57 3 7 2 4 4" xfId="28294" xr:uid="{00000000-0005-0000-0000-000087830000}"/>
    <cellStyle name="Normal 57 3 7 2 5" xfId="6118" xr:uid="{00000000-0005-0000-0000-000088830000}"/>
    <cellStyle name="Normal 57 3 7 2 5 2" xfId="14945" xr:uid="{00000000-0005-0000-0000-000089830000}"/>
    <cellStyle name="Normal 57 3 7 2 5 2 2" xfId="40500" xr:uid="{00000000-0005-0000-0000-00008A830000}"/>
    <cellStyle name="Normal 57 3 7 2 5 3" xfId="25196" xr:uid="{00000000-0005-0000-0000-00008B830000}"/>
    <cellStyle name="Normal 57 3 7 2 5 3 2" xfId="50749" xr:uid="{00000000-0005-0000-0000-00008C830000}"/>
    <cellStyle name="Normal 57 3 7 2 5 4" xfId="31679" xr:uid="{00000000-0005-0000-0000-00008D830000}"/>
    <cellStyle name="Normal 57 3 7 2 6" xfId="7563" xr:uid="{00000000-0005-0000-0000-00008E830000}"/>
    <cellStyle name="Normal 57 3 7 2 6 2" xfId="20293" xr:uid="{00000000-0005-0000-0000-00008F830000}"/>
    <cellStyle name="Normal 57 3 7 2 6 2 2" xfId="45846" xr:uid="{00000000-0005-0000-0000-000090830000}"/>
    <cellStyle name="Normal 57 3 7 2 6 3" xfId="33120" xr:uid="{00000000-0005-0000-0000-000091830000}"/>
    <cellStyle name="Normal 57 3 7 2 7" xfId="16804" xr:uid="{00000000-0005-0000-0000-000092830000}"/>
    <cellStyle name="Normal 57 3 7 2 7 2" xfId="42357" xr:uid="{00000000-0005-0000-0000-000093830000}"/>
    <cellStyle name="Normal 57 3 7 2 8" xfId="26776" xr:uid="{00000000-0005-0000-0000-000094830000}"/>
    <cellStyle name="Normal 57 3 7 3" xfId="1073" xr:uid="{00000000-0005-0000-0000-000095830000}"/>
    <cellStyle name="Normal 57 3 7 3 2" xfId="3502" xr:uid="{00000000-0005-0000-0000-000096830000}"/>
    <cellStyle name="Normal 57 3 7 3 2 2" xfId="12638" xr:uid="{00000000-0005-0000-0000-000097830000}"/>
    <cellStyle name="Normal 57 3 7 3 2 2 2" xfId="22857" xr:uid="{00000000-0005-0000-0000-000098830000}"/>
    <cellStyle name="Normal 57 3 7 3 2 2 2 2" xfId="48410" xr:uid="{00000000-0005-0000-0000-000099830000}"/>
    <cellStyle name="Normal 57 3 7 3 2 2 3" xfId="38193" xr:uid="{00000000-0005-0000-0000-00009A830000}"/>
    <cellStyle name="Normal 57 3 7 3 2 3" xfId="9060" xr:uid="{00000000-0005-0000-0000-00009B830000}"/>
    <cellStyle name="Normal 57 3 7 3 2 3 2" xfId="34617" xr:uid="{00000000-0005-0000-0000-00009C830000}"/>
    <cellStyle name="Normal 57 3 7 3 2 4" xfId="17850" xr:uid="{00000000-0005-0000-0000-00009D830000}"/>
    <cellStyle name="Normal 57 3 7 3 2 4 2" xfId="43403" xr:uid="{00000000-0005-0000-0000-00009E830000}"/>
    <cellStyle name="Normal 57 3 7 3 2 5" xfId="29340" xr:uid="{00000000-0005-0000-0000-00009F830000}"/>
    <cellStyle name="Normal 57 3 7 3 3" xfId="5011" xr:uid="{00000000-0005-0000-0000-0000A0830000}"/>
    <cellStyle name="Normal 57 3 7 3 3 2" xfId="13848" xr:uid="{00000000-0005-0000-0000-0000A1830000}"/>
    <cellStyle name="Normal 57 3 7 3 3 2 2" xfId="24099" xr:uid="{00000000-0005-0000-0000-0000A2830000}"/>
    <cellStyle name="Normal 57 3 7 3 3 2 2 2" xfId="49652" xr:uid="{00000000-0005-0000-0000-0000A3830000}"/>
    <cellStyle name="Normal 57 3 7 3 3 2 3" xfId="39403" xr:uid="{00000000-0005-0000-0000-0000A4830000}"/>
    <cellStyle name="Normal 57 3 7 3 3 3" xfId="10269" xr:uid="{00000000-0005-0000-0000-0000A5830000}"/>
    <cellStyle name="Normal 57 3 7 3 3 3 2" xfId="35826" xr:uid="{00000000-0005-0000-0000-0000A6830000}"/>
    <cellStyle name="Normal 57 3 7 3 3 4" xfId="19092" xr:uid="{00000000-0005-0000-0000-0000A7830000}"/>
    <cellStyle name="Normal 57 3 7 3 3 4 2" xfId="44645" xr:uid="{00000000-0005-0000-0000-0000A8830000}"/>
    <cellStyle name="Normal 57 3 7 3 3 5" xfId="30582" xr:uid="{00000000-0005-0000-0000-0000A9830000}"/>
    <cellStyle name="Normal 57 3 7 3 4" xfId="2591" xr:uid="{00000000-0005-0000-0000-0000AA830000}"/>
    <cellStyle name="Normal 57 3 7 3 4 2" xfId="11955" xr:uid="{00000000-0005-0000-0000-0000AB830000}"/>
    <cellStyle name="Normal 57 3 7 3 4 2 2" xfId="37510" xr:uid="{00000000-0005-0000-0000-0000AC830000}"/>
    <cellStyle name="Normal 57 3 7 3 4 3" xfId="21959" xr:uid="{00000000-0005-0000-0000-0000AD830000}"/>
    <cellStyle name="Normal 57 3 7 3 4 3 2" xfId="47512" xr:uid="{00000000-0005-0000-0000-0000AE830000}"/>
    <cellStyle name="Normal 57 3 7 3 4 4" xfId="28442" xr:uid="{00000000-0005-0000-0000-0000AF830000}"/>
    <cellStyle name="Normal 57 3 7 3 5" xfId="6466" xr:uid="{00000000-0005-0000-0000-0000B0830000}"/>
    <cellStyle name="Normal 57 3 7 3 5 2" xfId="15293" xr:uid="{00000000-0005-0000-0000-0000B1830000}"/>
    <cellStyle name="Normal 57 3 7 3 5 2 2" xfId="40848" xr:uid="{00000000-0005-0000-0000-0000B2830000}"/>
    <cellStyle name="Normal 57 3 7 3 5 3" xfId="25544" xr:uid="{00000000-0005-0000-0000-0000B3830000}"/>
    <cellStyle name="Normal 57 3 7 3 5 3 2" xfId="51097" xr:uid="{00000000-0005-0000-0000-0000B4830000}"/>
    <cellStyle name="Normal 57 3 7 3 5 4" xfId="32027" xr:uid="{00000000-0005-0000-0000-0000B5830000}"/>
    <cellStyle name="Normal 57 3 7 3 6" xfId="7912" xr:uid="{00000000-0005-0000-0000-0000B6830000}"/>
    <cellStyle name="Normal 57 3 7 3 6 2" xfId="20456" xr:uid="{00000000-0005-0000-0000-0000B7830000}"/>
    <cellStyle name="Normal 57 3 7 3 6 2 2" xfId="46009" xr:uid="{00000000-0005-0000-0000-0000B8830000}"/>
    <cellStyle name="Normal 57 3 7 3 6 3" xfId="33469" xr:uid="{00000000-0005-0000-0000-0000B9830000}"/>
    <cellStyle name="Normal 57 3 7 3 7" xfId="16952" xr:uid="{00000000-0005-0000-0000-0000BA830000}"/>
    <cellStyle name="Normal 57 3 7 3 7 2" xfId="42505" xr:uid="{00000000-0005-0000-0000-0000BB830000}"/>
    <cellStyle name="Normal 57 3 7 3 8" xfId="26939" xr:uid="{00000000-0005-0000-0000-0000BC830000}"/>
    <cellStyle name="Normal 57 3 7 4" xfId="2787" xr:uid="{00000000-0005-0000-0000-0000BD830000}"/>
    <cellStyle name="Normal 57 3 7 4 2" xfId="5165" xr:uid="{00000000-0005-0000-0000-0000BE830000}"/>
    <cellStyle name="Normal 57 3 7 4 2 2" xfId="14002" xr:uid="{00000000-0005-0000-0000-0000BF830000}"/>
    <cellStyle name="Normal 57 3 7 4 2 2 2" xfId="24253" xr:uid="{00000000-0005-0000-0000-0000C0830000}"/>
    <cellStyle name="Normal 57 3 7 4 2 2 2 2" xfId="49806" xr:uid="{00000000-0005-0000-0000-0000C1830000}"/>
    <cellStyle name="Normal 57 3 7 4 2 2 3" xfId="39557" xr:uid="{00000000-0005-0000-0000-0000C2830000}"/>
    <cellStyle name="Normal 57 3 7 4 2 3" xfId="10423" xr:uid="{00000000-0005-0000-0000-0000C3830000}"/>
    <cellStyle name="Normal 57 3 7 4 2 3 2" xfId="35980" xr:uid="{00000000-0005-0000-0000-0000C4830000}"/>
    <cellStyle name="Normal 57 3 7 4 2 4" xfId="19246" xr:uid="{00000000-0005-0000-0000-0000C5830000}"/>
    <cellStyle name="Normal 57 3 7 4 2 4 2" xfId="44799" xr:uid="{00000000-0005-0000-0000-0000C6830000}"/>
    <cellStyle name="Normal 57 3 7 4 2 5" xfId="30736" xr:uid="{00000000-0005-0000-0000-0000C7830000}"/>
    <cellStyle name="Normal 57 3 7 4 3" xfId="6620" xr:uid="{00000000-0005-0000-0000-0000C8830000}"/>
    <cellStyle name="Normal 57 3 7 4 3 2" xfId="15447" xr:uid="{00000000-0005-0000-0000-0000C9830000}"/>
    <cellStyle name="Normal 57 3 7 4 3 2 2" xfId="41002" xr:uid="{00000000-0005-0000-0000-0000CA830000}"/>
    <cellStyle name="Normal 57 3 7 4 3 3" xfId="25698" xr:uid="{00000000-0005-0000-0000-0000CB830000}"/>
    <cellStyle name="Normal 57 3 7 4 3 3 2" xfId="51251" xr:uid="{00000000-0005-0000-0000-0000CC830000}"/>
    <cellStyle name="Normal 57 3 7 4 3 4" xfId="32181" xr:uid="{00000000-0005-0000-0000-0000CD830000}"/>
    <cellStyle name="Normal 57 3 7 4 4" xfId="8066" xr:uid="{00000000-0005-0000-0000-0000CE830000}"/>
    <cellStyle name="Normal 57 3 7 4 4 2" xfId="22148" xr:uid="{00000000-0005-0000-0000-0000CF830000}"/>
    <cellStyle name="Normal 57 3 7 4 4 2 2" xfId="47701" xr:uid="{00000000-0005-0000-0000-0000D0830000}"/>
    <cellStyle name="Normal 57 3 7 4 4 3" xfId="33623" xr:uid="{00000000-0005-0000-0000-0000D1830000}"/>
    <cellStyle name="Normal 57 3 7 4 5" xfId="17141" xr:uid="{00000000-0005-0000-0000-0000D2830000}"/>
    <cellStyle name="Normal 57 3 7 4 5 2" xfId="42694" xr:uid="{00000000-0005-0000-0000-0000D3830000}"/>
    <cellStyle name="Normal 57 3 7 4 6" xfId="28631" xr:uid="{00000000-0005-0000-0000-0000D4830000}"/>
    <cellStyle name="Normal 57 3 7 5" xfId="4119" xr:uid="{00000000-0005-0000-0000-0000D5830000}"/>
    <cellStyle name="Normal 57 3 7 5 2" xfId="12957" xr:uid="{00000000-0005-0000-0000-0000D6830000}"/>
    <cellStyle name="Normal 57 3 7 5 2 2" xfId="23208" xr:uid="{00000000-0005-0000-0000-0000D7830000}"/>
    <cellStyle name="Normal 57 3 7 5 2 2 2" xfId="48761" xr:uid="{00000000-0005-0000-0000-0000D8830000}"/>
    <cellStyle name="Normal 57 3 7 5 2 3" xfId="38512" xr:uid="{00000000-0005-0000-0000-0000D9830000}"/>
    <cellStyle name="Normal 57 3 7 5 3" xfId="9378" xr:uid="{00000000-0005-0000-0000-0000DA830000}"/>
    <cellStyle name="Normal 57 3 7 5 3 2" xfId="34935" xr:uid="{00000000-0005-0000-0000-0000DB830000}"/>
    <cellStyle name="Normal 57 3 7 5 4" xfId="18201" xr:uid="{00000000-0005-0000-0000-0000DC830000}"/>
    <cellStyle name="Normal 57 3 7 5 4 2" xfId="43754" xr:uid="{00000000-0005-0000-0000-0000DD830000}"/>
    <cellStyle name="Normal 57 3 7 5 5" xfId="29691" xr:uid="{00000000-0005-0000-0000-0000DE830000}"/>
    <cellStyle name="Normal 57 3 7 6" xfId="1896" xr:uid="{00000000-0005-0000-0000-0000DF830000}"/>
    <cellStyle name="Normal 57 3 7 6 2" xfId="11261" xr:uid="{00000000-0005-0000-0000-0000E0830000}"/>
    <cellStyle name="Normal 57 3 7 6 2 2" xfId="36816" xr:uid="{00000000-0005-0000-0000-0000E1830000}"/>
    <cellStyle name="Normal 57 3 7 6 3" xfId="21265" xr:uid="{00000000-0005-0000-0000-0000E2830000}"/>
    <cellStyle name="Normal 57 3 7 6 3 2" xfId="46818" xr:uid="{00000000-0005-0000-0000-0000E3830000}"/>
    <cellStyle name="Normal 57 3 7 6 4" xfId="27748" xr:uid="{00000000-0005-0000-0000-0000E4830000}"/>
    <cellStyle name="Normal 57 3 7 7" xfId="5577" xr:uid="{00000000-0005-0000-0000-0000E5830000}"/>
    <cellStyle name="Normal 57 3 7 7 2" xfId="14404" xr:uid="{00000000-0005-0000-0000-0000E6830000}"/>
    <cellStyle name="Normal 57 3 7 7 2 2" xfId="39959" xr:uid="{00000000-0005-0000-0000-0000E7830000}"/>
    <cellStyle name="Normal 57 3 7 7 3" xfId="24655" xr:uid="{00000000-0005-0000-0000-0000E8830000}"/>
    <cellStyle name="Normal 57 3 7 7 3 2" xfId="50208" xr:uid="{00000000-0005-0000-0000-0000E9830000}"/>
    <cellStyle name="Normal 57 3 7 7 4" xfId="31138" xr:uid="{00000000-0005-0000-0000-0000EA830000}"/>
    <cellStyle name="Normal 57 3 7 8" xfId="7021" xr:uid="{00000000-0005-0000-0000-0000EB830000}"/>
    <cellStyle name="Normal 57 3 7 8 2" xfId="19747" xr:uid="{00000000-0005-0000-0000-0000EC830000}"/>
    <cellStyle name="Normal 57 3 7 8 2 2" xfId="45300" xr:uid="{00000000-0005-0000-0000-0000ED830000}"/>
    <cellStyle name="Normal 57 3 7 8 3" xfId="32578" xr:uid="{00000000-0005-0000-0000-0000EE830000}"/>
    <cellStyle name="Normal 57 3 7 9" xfId="16258" xr:uid="{00000000-0005-0000-0000-0000EF830000}"/>
    <cellStyle name="Normal 57 3 7 9 2" xfId="41811" xr:uid="{00000000-0005-0000-0000-0000F0830000}"/>
    <cellStyle name="Normal 57 3 7_Degree data" xfId="3954" xr:uid="{00000000-0005-0000-0000-0000F1830000}"/>
    <cellStyle name="Normal 57 3 8" xfId="829" xr:uid="{00000000-0005-0000-0000-0000F2830000}"/>
    <cellStyle name="Normal 57 3 8 2" xfId="3314" xr:uid="{00000000-0005-0000-0000-0000F3830000}"/>
    <cellStyle name="Normal 57 3 8 2 2" xfId="12456" xr:uid="{00000000-0005-0000-0000-0000F4830000}"/>
    <cellStyle name="Normal 57 3 8 2 2 2" xfId="22675" xr:uid="{00000000-0005-0000-0000-0000F5830000}"/>
    <cellStyle name="Normal 57 3 8 2 2 2 2" xfId="48228" xr:uid="{00000000-0005-0000-0000-0000F6830000}"/>
    <cellStyle name="Normal 57 3 8 2 2 3" xfId="38011" xr:uid="{00000000-0005-0000-0000-0000F7830000}"/>
    <cellStyle name="Normal 57 3 8 2 3" xfId="8878" xr:uid="{00000000-0005-0000-0000-0000F8830000}"/>
    <cellStyle name="Normal 57 3 8 2 3 2" xfId="34435" xr:uid="{00000000-0005-0000-0000-0000F9830000}"/>
    <cellStyle name="Normal 57 3 8 2 4" xfId="17668" xr:uid="{00000000-0005-0000-0000-0000FA830000}"/>
    <cellStyle name="Normal 57 3 8 2 4 2" xfId="43221" xr:uid="{00000000-0005-0000-0000-0000FB830000}"/>
    <cellStyle name="Normal 57 3 8 2 5" xfId="29158" xr:uid="{00000000-0005-0000-0000-0000FC830000}"/>
    <cellStyle name="Normal 57 3 8 3" xfId="4643" xr:uid="{00000000-0005-0000-0000-0000FD830000}"/>
    <cellStyle name="Normal 57 3 8 3 2" xfId="13481" xr:uid="{00000000-0005-0000-0000-0000FE830000}"/>
    <cellStyle name="Normal 57 3 8 3 2 2" xfId="23732" xr:uid="{00000000-0005-0000-0000-0000FF830000}"/>
    <cellStyle name="Normal 57 3 8 3 2 2 2" xfId="49285" xr:uid="{00000000-0005-0000-0000-000000840000}"/>
    <cellStyle name="Normal 57 3 8 3 2 3" xfId="39036" xr:uid="{00000000-0005-0000-0000-000001840000}"/>
    <cellStyle name="Normal 57 3 8 3 3" xfId="9902" xr:uid="{00000000-0005-0000-0000-000002840000}"/>
    <cellStyle name="Normal 57 3 8 3 3 2" xfId="35459" xr:uid="{00000000-0005-0000-0000-000003840000}"/>
    <cellStyle name="Normal 57 3 8 3 4" xfId="18725" xr:uid="{00000000-0005-0000-0000-000004840000}"/>
    <cellStyle name="Normal 57 3 8 3 4 2" xfId="44278" xr:uid="{00000000-0005-0000-0000-000005840000}"/>
    <cellStyle name="Normal 57 3 8 3 5" xfId="30215" xr:uid="{00000000-0005-0000-0000-000006840000}"/>
    <cellStyle name="Normal 57 3 8 4" xfId="2423" xr:uid="{00000000-0005-0000-0000-000007840000}"/>
    <cellStyle name="Normal 57 3 8 4 2" xfId="11788" xr:uid="{00000000-0005-0000-0000-000008840000}"/>
    <cellStyle name="Normal 57 3 8 4 2 2" xfId="37343" xr:uid="{00000000-0005-0000-0000-000009840000}"/>
    <cellStyle name="Normal 57 3 8 4 3" xfId="21792" xr:uid="{00000000-0005-0000-0000-00000A840000}"/>
    <cellStyle name="Normal 57 3 8 4 3 2" xfId="47345" xr:uid="{00000000-0005-0000-0000-00000B840000}"/>
    <cellStyle name="Normal 57 3 8 4 4" xfId="28275" xr:uid="{00000000-0005-0000-0000-00000C840000}"/>
    <cellStyle name="Normal 57 3 8 5" xfId="6099" xr:uid="{00000000-0005-0000-0000-00000D840000}"/>
    <cellStyle name="Normal 57 3 8 5 2" xfId="14926" xr:uid="{00000000-0005-0000-0000-00000E840000}"/>
    <cellStyle name="Normal 57 3 8 5 2 2" xfId="40481" xr:uid="{00000000-0005-0000-0000-00000F840000}"/>
    <cellStyle name="Normal 57 3 8 5 3" xfId="25177" xr:uid="{00000000-0005-0000-0000-000010840000}"/>
    <cellStyle name="Normal 57 3 8 5 3 2" xfId="50730" xr:uid="{00000000-0005-0000-0000-000011840000}"/>
    <cellStyle name="Normal 57 3 8 5 4" xfId="31660" xr:uid="{00000000-0005-0000-0000-000012840000}"/>
    <cellStyle name="Normal 57 3 8 6" xfId="7544" xr:uid="{00000000-0005-0000-0000-000013840000}"/>
    <cellStyle name="Normal 57 3 8 6 2" xfId="20274" xr:uid="{00000000-0005-0000-0000-000014840000}"/>
    <cellStyle name="Normal 57 3 8 6 2 2" xfId="45827" xr:uid="{00000000-0005-0000-0000-000015840000}"/>
    <cellStyle name="Normal 57 3 8 6 3" xfId="33101" xr:uid="{00000000-0005-0000-0000-000016840000}"/>
    <cellStyle name="Normal 57 3 8 7" xfId="16785" xr:uid="{00000000-0005-0000-0000-000017840000}"/>
    <cellStyle name="Normal 57 3 8 7 2" xfId="42338" xr:uid="{00000000-0005-0000-0000-000018840000}"/>
    <cellStyle name="Normal 57 3 8 8" xfId="26757" xr:uid="{00000000-0005-0000-0000-000019840000}"/>
    <cellStyle name="Normal 57 3 9" xfId="1041" xr:uid="{00000000-0005-0000-0000-00001A840000}"/>
    <cellStyle name="Normal 57 3 9 2" xfId="3470" xr:uid="{00000000-0005-0000-0000-00001B840000}"/>
    <cellStyle name="Normal 57 3 9 2 2" xfId="12606" xr:uid="{00000000-0005-0000-0000-00001C840000}"/>
    <cellStyle name="Normal 57 3 9 2 2 2" xfId="22825" xr:uid="{00000000-0005-0000-0000-00001D840000}"/>
    <cellStyle name="Normal 57 3 9 2 2 2 2" xfId="48378" xr:uid="{00000000-0005-0000-0000-00001E840000}"/>
    <cellStyle name="Normal 57 3 9 2 2 3" xfId="38161" xr:uid="{00000000-0005-0000-0000-00001F840000}"/>
    <cellStyle name="Normal 57 3 9 2 3" xfId="9028" xr:uid="{00000000-0005-0000-0000-000020840000}"/>
    <cellStyle name="Normal 57 3 9 2 3 2" xfId="34585" xr:uid="{00000000-0005-0000-0000-000021840000}"/>
    <cellStyle name="Normal 57 3 9 2 4" xfId="17818" xr:uid="{00000000-0005-0000-0000-000022840000}"/>
    <cellStyle name="Normal 57 3 9 2 4 2" xfId="43371" xr:uid="{00000000-0005-0000-0000-000023840000}"/>
    <cellStyle name="Normal 57 3 9 2 5" xfId="29308" xr:uid="{00000000-0005-0000-0000-000024840000}"/>
    <cellStyle name="Normal 57 3 9 3" xfId="4992" xr:uid="{00000000-0005-0000-0000-000025840000}"/>
    <cellStyle name="Normal 57 3 9 3 2" xfId="13829" xr:uid="{00000000-0005-0000-0000-000026840000}"/>
    <cellStyle name="Normal 57 3 9 3 2 2" xfId="24080" xr:uid="{00000000-0005-0000-0000-000027840000}"/>
    <cellStyle name="Normal 57 3 9 3 2 2 2" xfId="49633" xr:uid="{00000000-0005-0000-0000-000028840000}"/>
    <cellStyle name="Normal 57 3 9 3 2 3" xfId="39384" xr:uid="{00000000-0005-0000-0000-000029840000}"/>
    <cellStyle name="Normal 57 3 9 3 3" xfId="10250" xr:uid="{00000000-0005-0000-0000-00002A840000}"/>
    <cellStyle name="Normal 57 3 9 3 3 2" xfId="35807" xr:uid="{00000000-0005-0000-0000-00002B840000}"/>
    <cellStyle name="Normal 57 3 9 3 4" xfId="19073" xr:uid="{00000000-0005-0000-0000-00002C840000}"/>
    <cellStyle name="Normal 57 3 9 3 4 2" xfId="44626" xr:uid="{00000000-0005-0000-0000-00002D840000}"/>
    <cellStyle name="Normal 57 3 9 3 5" xfId="30563" xr:uid="{00000000-0005-0000-0000-00002E840000}"/>
    <cellStyle name="Normal 57 3 9 4" xfId="1721" xr:uid="{00000000-0005-0000-0000-00002F840000}"/>
    <cellStyle name="Normal 57 3 9 4 2" xfId="11095" xr:uid="{00000000-0005-0000-0000-000030840000}"/>
    <cellStyle name="Normal 57 3 9 4 2 2" xfId="36650" xr:uid="{00000000-0005-0000-0000-000031840000}"/>
    <cellStyle name="Normal 57 3 9 4 3" xfId="21099" xr:uid="{00000000-0005-0000-0000-000032840000}"/>
    <cellStyle name="Normal 57 3 9 4 3 2" xfId="46652" xr:uid="{00000000-0005-0000-0000-000033840000}"/>
    <cellStyle name="Normal 57 3 9 4 4" xfId="27582" xr:uid="{00000000-0005-0000-0000-000034840000}"/>
    <cellStyle name="Normal 57 3 9 5" xfId="6447" xr:uid="{00000000-0005-0000-0000-000035840000}"/>
    <cellStyle name="Normal 57 3 9 5 2" xfId="15274" xr:uid="{00000000-0005-0000-0000-000036840000}"/>
    <cellStyle name="Normal 57 3 9 5 2 2" xfId="40829" xr:uid="{00000000-0005-0000-0000-000037840000}"/>
    <cellStyle name="Normal 57 3 9 5 3" xfId="25525" xr:uid="{00000000-0005-0000-0000-000038840000}"/>
    <cellStyle name="Normal 57 3 9 5 3 2" xfId="51078" xr:uid="{00000000-0005-0000-0000-000039840000}"/>
    <cellStyle name="Normal 57 3 9 5 4" xfId="32008" xr:uid="{00000000-0005-0000-0000-00003A840000}"/>
    <cellStyle name="Normal 57 3 9 6" xfId="7893" xr:uid="{00000000-0005-0000-0000-00003B840000}"/>
    <cellStyle name="Normal 57 3 9 6 2" xfId="20424" xr:uid="{00000000-0005-0000-0000-00003C840000}"/>
    <cellStyle name="Normal 57 3 9 6 2 2" xfId="45977" xr:uid="{00000000-0005-0000-0000-00003D840000}"/>
    <cellStyle name="Normal 57 3 9 6 3" xfId="33450" xr:uid="{00000000-0005-0000-0000-00003E840000}"/>
    <cellStyle name="Normal 57 3 9 7" xfId="16092" xr:uid="{00000000-0005-0000-0000-00003F840000}"/>
    <cellStyle name="Normal 57 3 9 7 2" xfId="41645" xr:uid="{00000000-0005-0000-0000-000040840000}"/>
    <cellStyle name="Normal 57 3 9 8" xfId="26907" xr:uid="{00000000-0005-0000-0000-000041840000}"/>
    <cellStyle name="Normal 57 3_Degree data" xfId="3935" xr:uid="{00000000-0005-0000-0000-000042840000}"/>
    <cellStyle name="Normal 57 4" xfId="103" xr:uid="{00000000-0005-0000-0000-000043840000}"/>
    <cellStyle name="Normal 57 4 10" xfId="4093" xr:uid="{00000000-0005-0000-0000-000044840000}"/>
    <cellStyle name="Normal 57 4 10 2" xfId="5551" xr:uid="{00000000-0005-0000-0000-000045840000}"/>
    <cellStyle name="Normal 57 4 10 2 2" xfId="14378" xr:uid="{00000000-0005-0000-0000-000046840000}"/>
    <cellStyle name="Normal 57 4 10 2 2 2" xfId="39933" xr:uid="{00000000-0005-0000-0000-000047840000}"/>
    <cellStyle name="Normal 57 4 10 2 3" xfId="24629" xr:uid="{00000000-0005-0000-0000-000048840000}"/>
    <cellStyle name="Normal 57 4 10 2 3 2" xfId="50182" xr:uid="{00000000-0005-0000-0000-000049840000}"/>
    <cellStyle name="Normal 57 4 10 2 4" xfId="31112" xr:uid="{00000000-0005-0000-0000-00004A840000}"/>
    <cellStyle name="Normal 57 4 10 3" xfId="6995" xr:uid="{00000000-0005-0000-0000-00004B840000}"/>
    <cellStyle name="Normal 57 4 10 3 2" xfId="23182" xr:uid="{00000000-0005-0000-0000-00004C840000}"/>
    <cellStyle name="Normal 57 4 10 3 2 2" xfId="48735" xr:uid="{00000000-0005-0000-0000-00004D840000}"/>
    <cellStyle name="Normal 57 4 10 3 3" xfId="32552" xr:uid="{00000000-0005-0000-0000-00004E840000}"/>
    <cellStyle name="Normal 57 4 10 4" xfId="18175" xr:uid="{00000000-0005-0000-0000-00004F840000}"/>
    <cellStyle name="Normal 57 4 10 4 2" xfId="43728" xr:uid="{00000000-0005-0000-0000-000050840000}"/>
    <cellStyle name="Normal 57 4 10 5" xfId="29665" xr:uid="{00000000-0005-0000-0000-000051840000}"/>
    <cellStyle name="Normal 57 4 11" xfId="1410" xr:uid="{00000000-0005-0000-0000-000052840000}"/>
    <cellStyle name="Normal 57 4 11 2" xfId="10787" xr:uid="{00000000-0005-0000-0000-000053840000}"/>
    <cellStyle name="Normal 57 4 11 2 2" xfId="36342" xr:uid="{00000000-0005-0000-0000-000054840000}"/>
    <cellStyle name="Normal 57 4 11 3" xfId="20791" xr:uid="{00000000-0005-0000-0000-000055840000}"/>
    <cellStyle name="Normal 57 4 11 3 2" xfId="46344" xr:uid="{00000000-0005-0000-0000-000056840000}"/>
    <cellStyle name="Normal 57 4 11 4" xfId="27274" xr:uid="{00000000-0005-0000-0000-000057840000}"/>
    <cellStyle name="Normal 57 4 12" xfId="5501" xr:uid="{00000000-0005-0000-0000-000058840000}"/>
    <cellStyle name="Normal 57 4 12 2" xfId="14328" xr:uid="{00000000-0005-0000-0000-000059840000}"/>
    <cellStyle name="Normal 57 4 12 2 2" xfId="39883" xr:uid="{00000000-0005-0000-0000-00005A840000}"/>
    <cellStyle name="Normal 57 4 12 3" xfId="24579" xr:uid="{00000000-0005-0000-0000-00005B840000}"/>
    <cellStyle name="Normal 57 4 12 3 2" xfId="50132" xr:uid="{00000000-0005-0000-0000-00005C840000}"/>
    <cellStyle name="Normal 57 4 12 4" xfId="31062" xr:uid="{00000000-0005-0000-0000-00005D840000}"/>
    <cellStyle name="Normal 57 4 13" xfId="6940" xr:uid="{00000000-0005-0000-0000-00005E840000}"/>
    <cellStyle name="Normal 57 4 13 2" xfId="19578" xr:uid="{00000000-0005-0000-0000-00005F840000}"/>
    <cellStyle name="Normal 57 4 13 2 2" xfId="45131" xr:uid="{00000000-0005-0000-0000-000060840000}"/>
    <cellStyle name="Normal 57 4 13 3" xfId="32498" xr:uid="{00000000-0005-0000-0000-000061840000}"/>
    <cellStyle name="Normal 57 4 14" xfId="15784" xr:uid="{00000000-0005-0000-0000-000062840000}"/>
    <cellStyle name="Normal 57 4 14 2" xfId="41337" xr:uid="{00000000-0005-0000-0000-000063840000}"/>
    <cellStyle name="Normal 57 4 15" xfId="26061" xr:uid="{00000000-0005-0000-0000-000064840000}"/>
    <cellStyle name="Normal 57 4 2" xfId="142" xr:uid="{00000000-0005-0000-0000-000065840000}"/>
    <cellStyle name="Normal 57 4 2 10" xfId="5521" xr:uid="{00000000-0005-0000-0000-000066840000}"/>
    <cellStyle name="Normal 57 4 2 10 2" xfId="14348" xr:uid="{00000000-0005-0000-0000-000067840000}"/>
    <cellStyle name="Normal 57 4 2 10 2 2" xfId="39903" xr:uid="{00000000-0005-0000-0000-000068840000}"/>
    <cellStyle name="Normal 57 4 2 10 3" xfId="24599" xr:uid="{00000000-0005-0000-0000-000069840000}"/>
    <cellStyle name="Normal 57 4 2 10 3 2" xfId="50152" xr:uid="{00000000-0005-0000-0000-00006A840000}"/>
    <cellStyle name="Normal 57 4 2 10 4" xfId="31082" xr:uid="{00000000-0005-0000-0000-00006B840000}"/>
    <cellStyle name="Normal 57 4 2 11" xfId="6962" xr:uid="{00000000-0005-0000-0000-00006C840000}"/>
    <cellStyle name="Normal 57 4 2 11 2" xfId="19606" xr:uid="{00000000-0005-0000-0000-00006D840000}"/>
    <cellStyle name="Normal 57 4 2 11 2 2" xfId="45159" xr:uid="{00000000-0005-0000-0000-00006E840000}"/>
    <cellStyle name="Normal 57 4 2 11 3" xfId="32520" xr:uid="{00000000-0005-0000-0000-00006F840000}"/>
    <cellStyle name="Normal 57 4 2 12" xfId="15843" xr:uid="{00000000-0005-0000-0000-000070840000}"/>
    <cellStyle name="Normal 57 4 2 12 2" xfId="41396" xr:uid="{00000000-0005-0000-0000-000071840000}"/>
    <cellStyle name="Normal 57 4 2 13" xfId="26089" xr:uid="{00000000-0005-0000-0000-000072840000}"/>
    <cellStyle name="Normal 57 4 2 2" xfId="192" xr:uid="{00000000-0005-0000-0000-000073840000}"/>
    <cellStyle name="Normal 57 4 2 2 10" xfId="7140" xr:uid="{00000000-0005-0000-0000-000074840000}"/>
    <cellStyle name="Normal 57 4 2 2 10 2" xfId="19649" xr:uid="{00000000-0005-0000-0000-000075840000}"/>
    <cellStyle name="Normal 57 4 2 2 10 2 2" xfId="45202" xr:uid="{00000000-0005-0000-0000-000076840000}"/>
    <cellStyle name="Normal 57 4 2 2 10 3" xfId="32697" xr:uid="{00000000-0005-0000-0000-000077840000}"/>
    <cellStyle name="Normal 57 4 2 2 11" xfId="15886" xr:uid="{00000000-0005-0000-0000-000078840000}"/>
    <cellStyle name="Normal 57 4 2 2 11 2" xfId="41439" xr:uid="{00000000-0005-0000-0000-000079840000}"/>
    <cellStyle name="Normal 57 4 2 2 12" xfId="26132" xr:uid="{00000000-0005-0000-0000-00007A840000}"/>
    <cellStyle name="Normal 57 4 2 2 2" xfId="520" xr:uid="{00000000-0005-0000-0000-00007B840000}"/>
    <cellStyle name="Normal 57 4 2 2 2 10" xfId="26449" xr:uid="{00000000-0005-0000-0000-00007C840000}"/>
    <cellStyle name="Normal 57 4 2 2 2 2" xfId="852" xr:uid="{00000000-0005-0000-0000-00007D840000}"/>
    <cellStyle name="Normal 57 4 2 2 2 2 2" xfId="3337" xr:uid="{00000000-0005-0000-0000-00007E840000}"/>
    <cellStyle name="Normal 57 4 2 2 2 2 2 2" xfId="12479" xr:uid="{00000000-0005-0000-0000-00007F840000}"/>
    <cellStyle name="Normal 57 4 2 2 2 2 2 2 2" xfId="22698" xr:uid="{00000000-0005-0000-0000-000080840000}"/>
    <cellStyle name="Normal 57 4 2 2 2 2 2 2 2 2" xfId="48251" xr:uid="{00000000-0005-0000-0000-000081840000}"/>
    <cellStyle name="Normal 57 4 2 2 2 2 2 2 3" xfId="38034" xr:uid="{00000000-0005-0000-0000-000082840000}"/>
    <cellStyle name="Normal 57 4 2 2 2 2 2 3" xfId="8901" xr:uid="{00000000-0005-0000-0000-000083840000}"/>
    <cellStyle name="Normal 57 4 2 2 2 2 2 3 2" xfId="34458" xr:uid="{00000000-0005-0000-0000-000084840000}"/>
    <cellStyle name="Normal 57 4 2 2 2 2 2 4" xfId="17691" xr:uid="{00000000-0005-0000-0000-000085840000}"/>
    <cellStyle name="Normal 57 4 2 2 2 2 2 4 2" xfId="43244" xr:uid="{00000000-0005-0000-0000-000086840000}"/>
    <cellStyle name="Normal 57 4 2 2 2 2 2 5" xfId="29181" xr:uid="{00000000-0005-0000-0000-000087840000}"/>
    <cellStyle name="Normal 57 4 2 2 2 2 3" xfId="4666" xr:uid="{00000000-0005-0000-0000-000088840000}"/>
    <cellStyle name="Normal 57 4 2 2 2 2 3 2" xfId="13504" xr:uid="{00000000-0005-0000-0000-000089840000}"/>
    <cellStyle name="Normal 57 4 2 2 2 2 3 2 2" xfId="23755" xr:uid="{00000000-0005-0000-0000-00008A840000}"/>
    <cellStyle name="Normal 57 4 2 2 2 2 3 2 2 2" xfId="49308" xr:uid="{00000000-0005-0000-0000-00008B840000}"/>
    <cellStyle name="Normal 57 4 2 2 2 2 3 2 3" xfId="39059" xr:uid="{00000000-0005-0000-0000-00008C840000}"/>
    <cellStyle name="Normal 57 4 2 2 2 2 3 3" xfId="9925" xr:uid="{00000000-0005-0000-0000-00008D840000}"/>
    <cellStyle name="Normal 57 4 2 2 2 2 3 3 2" xfId="35482" xr:uid="{00000000-0005-0000-0000-00008E840000}"/>
    <cellStyle name="Normal 57 4 2 2 2 2 3 4" xfId="18748" xr:uid="{00000000-0005-0000-0000-00008F840000}"/>
    <cellStyle name="Normal 57 4 2 2 2 2 3 4 2" xfId="44301" xr:uid="{00000000-0005-0000-0000-000090840000}"/>
    <cellStyle name="Normal 57 4 2 2 2 2 3 5" xfId="30238" xr:uid="{00000000-0005-0000-0000-000091840000}"/>
    <cellStyle name="Normal 57 4 2 2 2 2 4" xfId="2446" xr:uid="{00000000-0005-0000-0000-000092840000}"/>
    <cellStyle name="Normal 57 4 2 2 2 2 4 2" xfId="11811" xr:uid="{00000000-0005-0000-0000-000093840000}"/>
    <cellStyle name="Normal 57 4 2 2 2 2 4 2 2" xfId="37366" xr:uid="{00000000-0005-0000-0000-000094840000}"/>
    <cellStyle name="Normal 57 4 2 2 2 2 4 3" xfId="21815" xr:uid="{00000000-0005-0000-0000-000095840000}"/>
    <cellStyle name="Normal 57 4 2 2 2 2 4 3 2" xfId="47368" xr:uid="{00000000-0005-0000-0000-000096840000}"/>
    <cellStyle name="Normal 57 4 2 2 2 2 4 4" xfId="28298" xr:uid="{00000000-0005-0000-0000-000097840000}"/>
    <cellStyle name="Normal 57 4 2 2 2 2 5" xfId="6122" xr:uid="{00000000-0005-0000-0000-000098840000}"/>
    <cellStyle name="Normal 57 4 2 2 2 2 5 2" xfId="14949" xr:uid="{00000000-0005-0000-0000-000099840000}"/>
    <cellStyle name="Normal 57 4 2 2 2 2 5 2 2" xfId="40504" xr:uid="{00000000-0005-0000-0000-00009A840000}"/>
    <cellStyle name="Normal 57 4 2 2 2 2 5 3" xfId="25200" xr:uid="{00000000-0005-0000-0000-00009B840000}"/>
    <cellStyle name="Normal 57 4 2 2 2 2 5 3 2" xfId="50753" xr:uid="{00000000-0005-0000-0000-00009C840000}"/>
    <cellStyle name="Normal 57 4 2 2 2 2 5 4" xfId="31683" xr:uid="{00000000-0005-0000-0000-00009D840000}"/>
    <cellStyle name="Normal 57 4 2 2 2 2 6" xfId="7567" xr:uid="{00000000-0005-0000-0000-00009E840000}"/>
    <cellStyle name="Normal 57 4 2 2 2 2 6 2" xfId="20297" xr:uid="{00000000-0005-0000-0000-00009F840000}"/>
    <cellStyle name="Normal 57 4 2 2 2 2 6 2 2" xfId="45850" xr:uid="{00000000-0005-0000-0000-0000A0840000}"/>
    <cellStyle name="Normal 57 4 2 2 2 2 6 3" xfId="33124" xr:uid="{00000000-0005-0000-0000-0000A1840000}"/>
    <cellStyle name="Normal 57 4 2 2 2 2 7" xfId="16808" xr:uid="{00000000-0005-0000-0000-0000A2840000}"/>
    <cellStyle name="Normal 57 4 2 2 2 2 7 2" xfId="42361" xr:uid="{00000000-0005-0000-0000-0000A3840000}"/>
    <cellStyle name="Normal 57 4 2 2 2 2 8" xfId="26780" xr:uid="{00000000-0005-0000-0000-0000A4840000}"/>
    <cellStyle name="Normal 57 4 2 2 2 3" xfId="1292" xr:uid="{00000000-0005-0000-0000-0000A5840000}"/>
    <cellStyle name="Normal 57 4 2 2 2 3 2" xfId="3721" xr:uid="{00000000-0005-0000-0000-0000A6840000}"/>
    <cellStyle name="Normal 57 4 2 2 2 3 2 2" xfId="12857" xr:uid="{00000000-0005-0000-0000-0000A7840000}"/>
    <cellStyle name="Normal 57 4 2 2 2 3 2 2 2" xfId="23076" xr:uid="{00000000-0005-0000-0000-0000A8840000}"/>
    <cellStyle name="Normal 57 4 2 2 2 3 2 2 2 2" xfId="48629" xr:uid="{00000000-0005-0000-0000-0000A9840000}"/>
    <cellStyle name="Normal 57 4 2 2 2 3 2 2 3" xfId="38412" xr:uid="{00000000-0005-0000-0000-0000AA840000}"/>
    <cellStyle name="Normal 57 4 2 2 2 3 2 3" xfId="9278" xr:uid="{00000000-0005-0000-0000-0000AB840000}"/>
    <cellStyle name="Normal 57 4 2 2 2 3 2 3 2" xfId="34835" xr:uid="{00000000-0005-0000-0000-0000AC840000}"/>
    <cellStyle name="Normal 57 4 2 2 2 3 2 4" xfId="18069" xr:uid="{00000000-0005-0000-0000-0000AD840000}"/>
    <cellStyle name="Normal 57 4 2 2 2 3 2 4 2" xfId="43622" xr:uid="{00000000-0005-0000-0000-0000AE840000}"/>
    <cellStyle name="Normal 57 4 2 2 2 3 2 5" xfId="29559" xr:uid="{00000000-0005-0000-0000-0000AF840000}"/>
    <cellStyle name="Normal 57 4 2 2 2 3 3" xfId="5015" xr:uid="{00000000-0005-0000-0000-0000B0840000}"/>
    <cellStyle name="Normal 57 4 2 2 2 3 3 2" xfId="13852" xr:uid="{00000000-0005-0000-0000-0000B1840000}"/>
    <cellStyle name="Normal 57 4 2 2 2 3 3 2 2" xfId="24103" xr:uid="{00000000-0005-0000-0000-0000B2840000}"/>
    <cellStyle name="Normal 57 4 2 2 2 3 3 2 2 2" xfId="49656" xr:uid="{00000000-0005-0000-0000-0000B3840000}"/>
    <cellStyle name="Normal 57 4 2 2 2 3 3 2 3" xfId="39407" xr:uid="{00000000-0005-0000-0000-0000B4840000}"/>
    <cellStyle name="Normal 57 4 2 2 2 3 3 3" xfId="10273" xr:uid="{00000000-0005-0000-0000-0000B5840000}"/>
    <cellStyle name="Normal 57 4 2 2 2 3 3 3 2" xfId="35830" xr:uid="{00000000-0005-0000-0000-0000B6840000}"/>
    <cellStyle name="Normal 57 4 2 2 2 3 3 4" xfId="19096" xr:uid="{00000000-0005-0000-0000-0000B7840000}"/>
    <cellStyle name="Normal 57 4 2 2 2 3 3 4 2" xfId="44649" xr:uid="{00000000-0005-0000-0000-0000B8840000}"/>
    <cellStyle name="Normal 57 4 2 2 2 3 3 5" xfId="30586" xr:uid="{00000000-0005-0000-0000-0000B9840000}"/>
    <cellStyle name="Normal 57 4 2 2 2 3 4" xfId="2115" xr:uid="{00000000-0005-0000-0000-0000BA840000}"/>
    <cellStyle name="Normal 57 4 2 2 2 3 4 2" xfId="11480" xr:uid="{00000000-0005-0000-0000-0000BB840000}"/>
    <cellStyle name="Normal 57 4 2 2 2 3 4 2 2" xfId="37035" xr:uid="{00000000-0005-0000-0000-0000BC840000}"/>
    <cellStyle name="Normal 57 4 2 2 2 3 4 3" xfId="21484" xr:uid="{00000000-0005-0000-0000-0000BD840000}"/>
    <cellStyle name="Normal 57 4 2 2 2 3 4 3 2" xfId="47037" xr:uid="{00000000-0005-0000-0000-0000BE840000}"/>
    <cellStyle name="Normal 57 4 2 2 2 3 4 4" xfId="27967" xr:uid="{00000000-0005-0000-0000-0000BF840000}"/>
    <cellStyle name="Normal 57 4 2 2 2 3 5" xfId="6470" xr:uid="{00000000-0005-0000-0000-0000C0840000}"/>
    <cellStyle name="Normal 57 4 2 2 2 3 5 2" xfId="15297" xr:uid="{00000000-0005-0000-0000-0000C1840000}"/>
    <cellStyle name="Normal 57 4 2 2 2 3 5 2 2" xfId="40852" xr:uid="{00000000-0005-0000-0000-0000C2840000}"/>
    <cellStyle name="Normal 57 4 2 2 2 3 5 3" xfId="25548" xr:uid="{00000000-0005-0000-0000-0000C3840000}"/>
    <cellStyle name="Normal 57 4 2 2 2 3 5 3 2" xfId="51101" xr:uid="{00000000-0005-0000-0000-0000C4840000}"/>
    <cellStyle name="Normal 57 4 2 2 2 3 5 4" xfId="32031" xr:uid="{00000000-0005-0000-0000-0000C5840000}"/>
    <cellStyle name="Normal 57 4 2 2 2 3 6" xfId="7916" xr:uid="{00000000-0005-0000-0000-0000C6840000}"/>
    <cellStyle name="Normal 57 4 2 2 2 3 6 2" xfId="20675" xr:uid="{00000000-0005-0000-0000-0000C7840000}"/>
    <cellStyle name="Normal 57 4 2 2 2 3 6 2 2" xfId="46228" xr:uid="{00000000-0005-0000-0000-0000C8840000}"/>
    <cellStyle name="Normal 57 4 2 2 2 3 6 3" xfId="33473" xr:uid="{00000000-0005-0000-0000-0000C9840000}"/>
    <cellStyle name="Normal 57 4 2 2 2 3 7" xfId="16477" xr:uid="{00000000-0005-0000-0000-0000CA840000}"/>
    <cellStyle name="Normal 57 4 2 2 2 3 7 2" xfId="42030" xr:uid="{00000000-0005-0000-0000-0000CB840000}"/>
    <cellStyle name="Normal 57 4 2 2 2 3 8" xfId="27158" xr:uid="{00000000-0005-0000-0000-0000CC840000}"/>
    <cellStyle name="Normal 57 4 2 2 2 4" xfId="3006" xr:uid="{00000000-0005-0000-0000-0000CD840000}"/>
    <cellStyle name="Normal 57 4 2 2 2 4 2" xfId="5384" xr:uid="{00000000-0005-0000-0000-0000CE840000}"/>
    <cellStyle name="Normal 57 4 2 2 2 4 2 2" xfId="14221" xr:uid="{00000000-0005-0000-0000-0000CF840000}"/>
    <cellStyle name="Normal 57 4 2 2 2 4 2 2 2" xfId="24472" xr:uid="{00000000-0005-0000-0000-0000D0840000}"/>
    <cellStyle name="Normal 57 4 2 2 2 4 2 2 2 2" xfId="50025" xr:uid="{00000000-0005-0000-0000-0000D1840000}"/>
    <cellStyle name="Normal 57 4 2 2 2 4 2 2 3" xfId="39776" xr:uid="{00000000-0005-0000-0000-0000D2840000}"/>
    <cellStyle name="Normal 57 4 2 2 2 4 2 3" xfId="10642" xr:uid="{00000000-0005-0000-0000-0000D3840000}"/>
    <cellStyle name="Normal 57 4 2 2 2 4 2 3 2" xfId="36199" xr:uid="{00000000-0005-0000-0000-0000D4840000}"/>
    <cellStyle name="Normal 57 4 2 2 2 4 2 4" xfId="19465" xr:uid="{00000000-0005-0000-0000-0000D5840000}"/>
    <cellStyle name="Normal 57 4 2 2 2 4 2 4 2" xfId="45018" xr:uid="{00000000-0005-0000-0000-0000D6840000}"/>
    <cellStyle name="Normal 57 4 2 2 2 4 2 5" xfId="30955" xr:uid="{00000000-0005-0000-0000-0000D7840000}"/>
    <cellStyle name="Normal 57 4 2 2 2 4 3" xfId="6839" xr:uid="{00000000-0005-0000-0000-0000D8840000}"/>
    <cellStyle name="Normal 57 4 2 2 2 4 3 2" xfId="15666" xr:uid="{00000000-0005-0000-0000-0000D9840000}"/>
    <cellStyle name="Normal 57 4 2 2 2 4 3 2 2" xfId="41221" xr:uid="{00000000-0005-0000-0000-0000DA840000}"/>
    <cellStyle name="Normal 57 4 2 2 2 4 3 3" xfId="25917" xr:uid="{00000000-0005-0000-0000-0000DB840000}"/>
    <cellStyle name="Normal 57 4 2 2 2 4 3 3 2" xfId="51470" xr:uid="{00000000-0005-0000-0000-0000DC840000}"/>
    <cellStyle name="Normal 57 4 2 2 2 4 3 4" xfId="32400" xr:uid="{00000000-0005-0000-0000-0000DD840000}"/>
    <cellStyle name="Normal 57 4 2 2 2 4 4" xfId="8285" xr:uid="{00000000-0005-0000-0000-0000DE840000}"/>
    <cellStyle name="Normal 57 4 2 2 2 4 4 2" xfId="22367" xr:uid="{00000000-0005-0000-0000-0000DF840000}"/>
    <cellStyle name="Normal 57 4 2 2 2 4 4 2 2" xfId="47920" xr:uid="{00000000-0005-0000-0000-0000E0840000}"/>
    <cellStyle name="Normal 57 4 2 2 2 4 4 3" xfId="33842" xr:uid="{00000000-0005-0000-0000-0000E1840000}"/>
    <cellStyle name="Normal 57 4 2 2 2 4 5" xfId="17360" xr:uid="{00000000-0005-0000-0000-0000E2840000}"/>
    <cellStyle name="Normal 57 4 2 2 2 4 5 2" xfId="42913" xr:uid="{00000000-0005-0000-0000-0000E3840000}"/>
    <cellStyle name="Normal 57 4 2 2 2 4 6" xfId="28850" xr:uid="{00000000-0005-0000-0000-0000E4840000}"/>
    <cellStyle name="Normal 57 4 2 2 2 5" xfId="4340" xr:uid="{00000000-0005-0000-0000-0000E5840000}"/>
    <cellStyle name="Normal 57 4 2 2 2 5 2" xfId="13178" xr:uid="{00000000-0005-0000-0000-0000E6840000}"/>
    <cellStyle name="Normal 57 4 2 2 2 5 2 2" xfId="23429" xr:uid="{00000000-0005-0000-0000-0000E7840000}"/>
    <cellStyle name="Normal 57 4 2 2 2 5 2 2 2" xfId="48982" xr:uid="{00000000-0005-0000-0000-0000E8840000}"/>
    <cellStyle name="Normal 57 4 2 2 2 5 2 3" xfId="38733" xr:uid="{00000000-0005-0000-0000-0000E9840000}"/>
    <cellStyle name="Normal 57 4 2 2 2 5 3" xfId="9599" xr:uid="{00000000-0005-0000-0000-0000EA840000}"/>
    <cellStyle name="Normal 57 4 2 2 2 5 3 2" xfId="35156" xr:uid="{00000000-0005-0000-0000-0000EB840000}"/>
    <cellStyle name="Normal 57 4 2 2 2 5 4" xfId="18422" xr:uid="{00000000-0005-0000-0000-0000EC840000}"/>
    <cellStyle name="Normal 57 4 2 2 2 5 4 2" xfId="43975" xr:uid="{00000000-0005-0000-0000-0000ED840000}"/>
    <cellStyle name="Normal 57 4 2 2 2 5 5" xfId="29912" xr:uid="{00000000-0005-0000-0000-0000EE840000}"/>
    <cellStyle name="Normal 57 4 2 2 2 6" xfId="1612" xr:uid="{00000000-0005-0000-0000-0000EF840000}"/>
    <cellStyle name="Normal 57 4 2 2 2 6 2" xfId="10989" xr:uid="{00000000-0005-0000-0000-0000F0840000}"/>
    <cellStyle name="Normal 57 4 2 2 2 6 2 2" xfId="36544" xr:uid="{00000000-0005-0000-0000-0000F1840000}"/>
    <cellStyle name="Normal 57 4 2 2 2 6 3" xfId="20993" xr:uid="{00000000-0005-0000-0000-0000F2840000}"/>
    <cellStyle name="Normal 57 4 2 2 2 6 3 2" xfId="46546" xr:uid="{00000000-0005-0000-0000-0000F3840000}"/>
    <cellStyle name="Normal 57 4 2 2 2 6 4" xfId="27476" xr:uid="{00000000-0005-0000-0000-0000F4840000}"/>
    <cellStyle name="Normal 57 4 2 2 2 7" xfId="5796" xr:uid="{00000000-0005-0000-0000-0000F5840000}"/>
    <cellStyle name="Normal 57 4 2 2 2 7 2" xfId="14623" xr:uid="{00000000-0005-0000-0000-0000F6840000}"/>
    <cellStyle name="Normal 57 4 2 2 2 7 2 2" xfId="40178" xr:uid="{00000000-0005-0000-0000-0000F7840000}"/>
    <cellStyle name="Normal 57 4 2 2 2 7 3" xfId="24874" xr:uid="{00000000-0005-0000-0000-0000F8840000}"/>
    <cellStyle name="Normal 57 4 2 2 2 7 3 2" xfId="50427" xr:uid="{00000000-0005-0000-0000-0000F9840000}"/>
    <cellStyle name="Normal 57 4 2 2 2 7 4" xfId="31357" xr:uid="{00000000-0005-0000-0000-0000FA840000}"/>
    <cellStyle name="Normal 57 4 2 2 2 8" xfId="7240" xr:uid="{00000000-0005-0000-0000-0000FB840000}"/>
    <cellStyle name="Normal 57 4 2 2 2 8 2" xfId="19966" xr:uid="{00000000-0005-0000-0000-0000FC840000}"/>
    <cellStyle name="Normal 57 4 2 2 2 8 2 2" xfId="45519" xr:uid="{00000000-0005-0000-0000-0000FD840000}"/>
    <cellStyle name="Normal 57 4 2 2 2 8 3" xfId="32797" xr:uid="{00000000-0005-0000-0000-0000FE840000}"/>
    <cellStyle name="Normal 57 4 2 2 2 9" xfId="15986" xr:uid="{00000000-0005-0000-0000-0000FF840000}"/>
    <cellStyle name="Normal 57 4 2 2 2 9 2" xfId="41539" xr:uid="{00000000-0005-0000-0000-000000850000}"/>
    <cellStyle name="Normal 57 4 2 2 2_Degree data" xfId="3958" xr:uid="{00000000-0005-0000-0000-000001850000}"/>
    <cellStyle name="Normal 57 4 2 2 3" xfId="420" xr:uid="{00000000-0005-0000-0000-000002850000}"/>
    <cellStyle name="Normal 57 4 2 2 3 2" xfId="2906" xr:uid="{00000000-0005-0000-0000-000003850000}"/>
    <cellStyle name="Normal 57 4 2 2 3 2 2" xfId="12194" xr:uid="{00000000-0005-0000-0000-000004850000}"/>
    <cellStyle name="Normal 57 4 2 2 3 2 2 2" xfId="22267" xr:uid="{00000000-0005-0000-0000-000005850000}"/>
    <cellStyle name="Normal 57 4 2 2 3 2 2 2 2" xfId="47820" xr:uid="{00000000-0005-0000-0000-000006850000}"/>
    <cellStyle name="Normal 57 4 2 2 3 2 2 3" xfId="37749" xr:uid="{00000000-0005-0000-0000-000007850000}"/>
    <cellStyle name="Normal 57 4 2 2 3 2 3" xfId="8393" xr:uid="{00000000-0005-0000-0000-000008850000}"/>
    <cellStyle name="Normal 57 4 2 2 3 2 3 2" xfId="33950" xr:uid="{00000000-0005-0000-0000-000009850000}"/>
    <cellStyle name="Normal 57 4 2 2 3 2 4" xfId="17260" xr:uid="{00000000-0005-0000-0000-00000A850000}"/>
    <cellStyle name="Normal 57 4 2 2 3 2 4 2" xfId="42813" xr:uid="{00000000-0005-0000-0000-00000B850000}"/>
    <cellStyle name="Normal 57 4 2 2 3 2 5" xfId="28750" xr:uid="{00000000-0005-0000-0000-00000C850000}"/>
    <cellStyle name="Normal 57 4 2 2 3 3" xfId="4665" xr:uid="{00000000-0005-0000-0000-00000D850000}"/>
    <cellStyle name="Normal 57 4 2 2 3 3 2" xfId="13503" xr:uid="{00000000-0005-0000-0000-00000E850000}"/>
    <cellStyle name="Normal 57 4 2 2 3 3 2 2" xfId="23754" xr:uid="{00000000-0005-0000-0000-00000F850000}"/>
    <cellStyle name="Normal 57 4 2 2 3 3 2 2 2" xfId="49307" xr:uid="{00000000-0005-0000-0000-000010850000}"/>
    <cellStyle name="Normal 57 4 2 2 3 3 2 3" xfId="39058" xr:uid="{00000000-0005-0000-0000-000011850000}"/>
    <cellStyle name="Normal 57 4 2 2 3 3 3" xfId="9924" xr:uid="{00000000-0005-0000-0000-000012850000}"/>
    <cellStyle name="Normal 57 4 2 2 3 3 3 2" xfId="35481" xr:uid="{00000000-0005-0000-0000-000013850000}"/>
    <cellStyle name="Normal 57 4 2 2 3 3 4" xfId="18747" xr:uid="{00000000-0005-0000-0000-000014850000}"/>
    <cellStyle name="Normal 57 4 2 2 3 3 4 2" xfId="44300" xr:uid="{00000000-0005-0000-0000-000015850000}"/>
    <cellStyle name="Normal 57 4 2 2 3 3 5" xfId="30237" xr:uid="{00000000-0005-0000-0000-000016850000}"/>
    <cellStyle name="Normal 57 4 2 2 3 4" xfId="2015" xr:uid="{00000000-0005-0000-0000-000017850000}"/>
    <cellStyle name="Normal 57 4 2 2 3 4 2" xfId="11380" xr:uid="{00000000-0005-0000-0000-000018850000}"/>
    <cellStyle name="Normal 57 4 2 2 3 4 2 2" xfId="36935" xr:uid="{00000000-0005-0000-0000-000019850000}"/>
    <cellStyle name="Normal 57 4 2 2 3 4 3" xfId="21384" xr:uid="{00000000-0005-0000-0000-00001A850000}"/>
    <cellStyle name="Normal 57 4 2 2 3 4 3 2" xfId="46937" xr:uid="{00000000-0005-0000-0000-00001B850000}"/>
    <cellStyle name="Normal 57 4 2 2 3 4 4" xfId="27867" xr:uid="{00000000-0005-0000-0000-00001C850000}"/>
    <cellStyle name="Normal 57 4 2 2 3 5" xfId="6121" xr:uid="{00000000-0005-0000-0000-00001D850000}"/>
    <cellStyle name="Normal 57 4 2 2 3 5 2" xfId="14948" xr:uid="{00000000-0005-0000-0000-00001E850000}"/>
    <cellStyle name="Normal 57 4 2 2 3 5 2 2" xfId="40503" xr:uid="{00000000-0005-0000-0000-00001F850000}"/>
    <cellStyle name="Normal 57 4 2 2 3 5 3" xfId="25199" xr:uid="{00000000-0005-0000-0000-000020850000}"/>
    <cellStyle name="Normal 57 4 2 2 3 5 3 2" xfId="50752" xr:uid="{00000000-0005-0000-0000-000021850000}"/>
    <cellStyle name="Normal 57 4 2 2 3 5 4" xfId="31682" xr:uid="{00000000-0005-0000-0000-000022850000}"/>
    <cellStyle name="Normal 57 4 2 2 3 6" xfId="7566" xr:uid="{00000000-0005-0000-0000-000023850000}"/>
    <cellStyle name="Normal 57 4 2 2 3 6 2" xfId="19866" xr:uid="{00000000-0005-0000-0000-000024850000}"/>
    <cellStyle name="Normal 57 4 2 2 3 6 2 2" xfId="45419" xr:uid="{00000000-0005-0000-0000-000025850000}"/>
    <cellStyle name="Normal 57 4 2 2 3 6 3" xfId="33123" xr:uid="{00000000-0005-0000-0000-000026850000}"/>
    <cellStyle name="Normal 57 4 2 2 3 7" xfId="16377" xr:uid="{00000000-0005-0000-0000-000027850000}"/>
    <cellStyle name="Normal 57 4 2 2 3 7 2" xfId="41930" xr:uid="{00000000-0005-0000-0000-000028850000}"/>
    <cellStyle name="Normal 57 4 2 2 3 8" xfId="26349" xr:uid="{00000000-0005-0000-0000-000029850000}"/>
    <cellStyle name="Normal 57 4 2 2 4" xfId="851" xr:uid="{00000000-0005-0000-0000-00002A850000}"/>
    <cellStyle name="Normal 57 4 2 2 4 2" xfId="3336" xr:uid="{00000000-0005-0000-0000-00002B850000}"/>
    <cellStyle name="Normal 57 4 2 2 4 2 2" xfId="12478" xr:uid="{00000000-0005-0000-0000-00002C850000}"/>
    <cellStyle name="Normal 57 4 2 2 4 2 2 2" xfId="22697" xr:uid="{00000000-0005-0000-0000-00002D850000}"/>
    <cellStyle name="Normal 57 4 2 2 4 2 2 2 2" xfId="48250" xr:uid="{00000000-0005-0000-0000-00002E850000}"/>
    <cellStyle name="Normal 57 4 2 2 4 2 2 3" xfId="38033" xr:uid="{00000000-0005-0000-0000-00002F850000}"/>
    <cellStyle name="Normal 57 4 2 2 4 2 3" xfId="8900" xr:uid="{00000000-0005-0000-0000-000030850000}"/>
    <cellStyle name="Normal 57 4 2 2 4 2 3 2" xfId="34457" xr:uid="{00000000-0005-0000-0000-000031850000}"/>
    <cellStyle name="Normal 57 4 2 2 4 2 4" xfId="17690" xr:uid="{00000000-0005-0000-0000-000032850000}"/>
    <cellStyle name="Normal 57 4 2 2 4 2 4 2" xfId="43243" xr:uid="{00000000-0005-0000-0000-000033850000}"/>
    <cellStyle name="Normal 57 4 2 2 4 2 5" xfId="29180" xr:uid="{00000000-0005-0000-0000-000034850000}"/>
    <cellStyle name="Normal 57 4 2 2 4 3" xfId="5014" xr:uid="{00000000-0005-0000-0000-000035850000}"/>
    <cellStyle name="Normal 57 4 2 2 4 3 2" xfId="13851" xr:uid="{00000000-0005-0000-0000-000036850000}"/>
    <cellStyle name="Normal 57 4 2 2 4 3 2 2" xfId="24102" xr:uid="{00000000-0005-0000-0000-000037850000}"/>
    <cellStyle name="Normal 57 4 2 2 4 3 2 2 2" xfId="49655" xr:uid="{00000000-0005-0000-0000-000038850000}"/>
    <cellStyle name="Normal 57 4 2 2 4 3 2 3" xfId="39406" xr:uid="{00000000-0005-0000-0000-000039850000}"/>
    <cellStyle name="Normal 57 4 2 2 4 3 3" xfId="10272" xr:uid="{00000000-0005-0000-0000-00003A850000}"/>
    <cellStyle name="Normal 57 4 2 2 4 3 3 2" xfId="35829" xr:uid="{00000000-0005-0000-0000-00003B850000}"/>
    <cellStyle name="Normal 57 4 2 2 4 3 4" xfId="19095" xr:uid="{00000000-0005-0000-0000-00003C850000}"/>
    <cellStyle name="Normal 57 4 2 2 4 3 4 2" xfId="44648" xr:uid="{00000000-0005-0000-0000-00003D850000}"/>
    <cellStyle name="Normal 57 4 2 2 4 3 5" xfId="30585" xr:uid="{00000000-0005-0000-0000-00003E850000}"/>
    <cellStyle name="Normal 57 4 2 2 4 4" xfId="2445" xr:uid="{00000000-0005-0000-0000-00003F850000}"/>
    <cellStyle name="Normal 57 4 2 2 4 4 2" xfId="11810" xr:uid="{00000000-0005-0000-0000-000040850000}"/>
    <cellStyle name="Normal 57 4 2 2 4 4 2 2" xfId="37365" xr:uid="{00000000-0005-0000-0000-000041850000}"/>
    <cellStyle name="Normal 57 4 2 2 4 4 3" xfId="21814" xr:uid="{00000000-0005-0000-0000-000042850000}"/>
    <cellStyle name="Normal 57 4 2 2 4 4 3 2" xfId="47367" xr:uid="{00000000-0005-0000-0000-000043850000}"/>
    <cellStyle name="Normal 57 4 2 2 4 4 4" xfId="28297" xr:uid="{00000000-0005-0000-0000-000044850000}"/>
    <cellStyle name="Normal 57 4 2 2 4 5" xfId="6469" xr:uid="{00000000-0005-0000-0000-000045850000}"/>
    <cellStyle name="Normal 57 4 2 2 4 5 2" xfId="15296" xr:uid="{00000000-0005-0000-0000-000046850000}"/>
    <cellStyle name="Normal 57 4 2 2 4 5 2 2" xfId="40851" xr:uid="{00000000-0005-0000-0000-000047850000}"/>
    <cellStyle name="Normal 57 4 2 2 4 5 3" xfId="25547" xr:uid="{00000000-0005-0000-0000-000048850000}"/>
    <cellStyle name="Normal 57 4 2 2 4 5 3 2" xfId="51100" xr:uid="{00000000-0005-0000-0000-000049850000}"/>
    <cellStyle name="Normal 57 4 2 2 4 5 4" xfId="32030" xr:uid="{00000000-0005-0000-0000-00004A850000}"/>
    <cellStyle name="Normal 57 4 2 2 4 6" xfId="7915" xr:uid="{00000000-0005-0000-0000-00004B850000}"/>
    <cellStyle name="Normal 57 4 2 2 4 6 2" xfId="20296" xr:uid="{00000000-0005-0000-0000-00004C850000}"/>
    <cellStyle name="Normal 57 4 2 2 4 6 2 2" xfId="45849" xr:uid="{00000000-0005-0000-0000-00004D850000}"/>
    <cellStyle name="Normal 57 4 2 2 4 6 3" xfId="33472" xr:uid="{00000000-0005-0000-0000-00004E850000}"/>
    <cellStyle name="Normal 57 4 2 2 4 7" xfId="16807" xr:uid="{00000000-0005-0000-0000-00004F850000}"/>
    <cellStyle name="Normal 57 4 2 2 4 7 2" xfId="42360" xr:uid="{00000000-0005-0000-0000-000050850000}"/>
    <cellStyle name="Normal 57 4 2 2 4 8" xfId="26779" xr:uid="{00000000-0005-0000-0000-000051850000}"/>
    <cellStyle name="Normal 57 4 2 2 5" xfId="1192" xr:uid="{00000000-0005-0000-0000-000052850000}"/>
    <cellStyle name="Normal 57 4 2 2 5 2" xfId="3621" xr:uid="{00000000-0005-0000-0000-000053850000}"/>
    <cellStyle name="Normal 57 4 2 2 5 2 2" xfId="12757" xr:uid="{00000000-0005-0000-0000-000054850000}"/>
    <cellStyle name="Normal 57 4 2 2 5 2 2 2" xfId="22976" xr:uid="{00000000-0005-0000-0000-000055850000}"/>
    <cellStyle name="Normal 57 4 2 2 5 2 2 2 2" xfId="48529" xr:uid="{00000000-0005-0000-0000-000056850000}"/>
    <cellStyle name="Normal 57 4 2 2 5 2 2 3" xfId="38312" xr:uid="{00000000-0005-0000-0000-000057850000}"/>
    <cellStyle name="Normal 57 4 2 2 5 2 3" xfId="9178" xr:uid="{00000000-0005-0000-0000-000058850000}"/>
    <cellStyle name="Normal 57 4 2 2 5 2 3 2" xfId="34735" xr:uid="{00000000-0005-0000-0000-000059850000}"/>
    <cellStyle name="Normal 57 4 2 2 5 2 4" xfId="17969" xr:uid="{00000000-0005-0000-0000-00005A850000}"/>
    <cellStyle name="Normal 57 4 2 2 5 2 4 2" xfId="43522" xr:uid="{00000000-0005-0000-0000-00005B850000}"/>
    <cellStyle name="Normal 57 4 2 2 5 2 5" xfId="29459" xr:uid="{00000000-0005-0000-0000-00005C850000}"/>
    <cellStyle name="Normal 57 4 2 2 5 3" xfId="5284" xr:uid="{00000000-0005-0000-0000-00005D850000}"/>
    <cellStyle name="Normal 57 4 2 2 5 3 2" xfId="14121" xr:uid="{00000000-0005-0000-0000-00005E850000}"/>
    <cellStyle name="Normal 57 4 2 2 5 3 2 2" xfId="24372" xr:uid="{00000000-0005-0000-0000-00005F850000}"/>
    <cellStyle name="Normal 57 4 2 2 5 3 2 2 2" xfId="49925" xr:uid="{00000000-0005-0000-0000-000060850000}"/>
    <cellStyle name="Normal 57 4 2 2 5 3 2 3" xfId="39676" xr:uid="{00000000-0005-0000-0000-000061850000}"/>
    <cellStyle name="Normal 57 4 2 2 5 3 3" xfId="10542" xr:uid="{00000000-0005-0000-0000-000062850000}"/>
    <cellStyle name="Normal 57 4 2 2 5 3 3 2" xfId="36099" xr:uid="{00000000-0005-0000-0000-000063850000}"/>
    <cellStyle name="Normal 57 4 2 2 5 3 4" xfId="19365" xr:uid="{00000000-0005-0000-0000-000064850000}"/>
    <cellStyle name="Normal 57 4 2 2 5 3 4 2" xfId="44918" xr:uid="{00000000-0005-0000-0000-000065850000}"/>
    <cellStyle name="Normal 57 4 2 2 5 3 5" xfId="30855" xr:uid="{00000000-0005-0000-0000-000066850000}"/>
    <cellStyle name="Normal 57 4 2 2 5 4" xfId="1794" xr:uid="{00000000-0005-0000-0000-000067850000}"/>
    <cellStyle name="Normal 57 4 2 2 5 4 2" xfId="11163" xr:uid="{00000000-0005-0000-0000-000068850000}"/>
    <cellStyle name="Normal 57 4 2 2 5 4 2 2" xfId="36718" xr:uid="{00000000-0005-0000-0000-000069850000}"/>
    <cellStyle name="Normal 57 4 2 2 5 4 3" xfId="21167" xr:uid="{00000000-0005-0000-0000-00006A850000}"/>
    <cellStyle name="Normal 57 4 2 2 5 4 3 2" xfId="46720" xr:uid="{00000000-0005-0000-0000-00006B850000}"/>
    <cellStyle name="Normal 57 4 2 2 5 4 4" xfId="27650" xr:uid="{00000000-0005-0000-0000-00006C850000}"/>
    <cellStyle name="Normal 57 4 2 2 5 5" xfId="6739" xr:uid="{00000000-0005-0000-0000-00006D850000}"/>
    <cellStyle name="Normal 57 4 2 2 5 5 2" xfId="15566" xr:uid="{00000000-0005-0000-0000-00006E850000}"/>
    <cellStyle name="Normal 57 4 2 2 5 5 2 2" xfId="41121" xr:uid="{00000000-0005-0000-0000-00006F850000}"/>
    <cellStyle name="Normal 57 4 2 2 5 5 3" xfId="25817" xr:uid="{00000000-0005-0000-0000-000070850000}"/>
    <cellStyle name="Normal 57 4 2 2 5 5 3 2" xfId="51370" xr:uid="{00000000-0005-0000-0000-000071850000}"/>
    <cellStyle name="Normal 57 4 2 2 5 5 4" xfId="32300" xr:uid="{00000000-0005-0000-0000-000072850000}"/>
    <cellStyle name="Normal 57 4 2 2 5 6" xfId="8185" xr:uid="{00000000-0005-0000-0000-000073850000}"/>
    <cellStyle name="Normal 57 4 2 2 5 6 2" xfId="20575" xr:uid="{00000000-0005-0000-0000-000074850000}"/>
    <cellStyle name="Normal 57 4 2 2 5 6 2 2" xfId="46128" xr:uid="{00000000-0005-0000-0000-000075850000}"/>
    <cellStyle name="Normal 57 4 2 2 5 6 3" xfId="33742" xr:uid="{00000000-0005-0000-0000-000076850000}"/>
    <cellStyle name="Normal 57 4 2 2 5 7" xfId="16160" xr:uid="{00000000-0005-0000-0000-000077850000}"/>
    <cellStyle name="Normal 57 4 2 2 5 7 2" xfId="41713" xr:uid="{00000000-0005-0000-0000-000078850000}"/>
    <cellStyle name="Normal 57 4 2 2 5 8" xfId="27058" xr:uid="{00000000-0005-0000-0000-000079850000}"/>
    <cellStyle name="Normal 57 4 2 2 6" xfId="2689" xr:uid="{00000000-0005-0000-0000-00007A850000}"/>
    <cellStyle name="Normal 57 4 2 2 6 2" xfId="12006" xr:uid="{00000000-0005-0000-0000-00007B850000}"/>
    <cellStyle name="Normal 57 4 2 2 6 2 2" xfId="22050" xr:uid="{00000000-0005-0000-0000-00007C850000}"/>
    <cellStyle name="Normal 57 4 2 2 6 2 2 2" xfId="47603" xr:uid="{00000000-0005-0000-0000-00007D850000}"/>
    <cellStyle name="Normal 57 4 2 2 6 2 3" xfId="37561" xr:uid="{00000000-0005-0000-0000-00007E850000}"/>
    <cellStyle name="Normal 57 4 2 2 6 3" xfId="8495" xr:uid="{00000000-0005-0000-0000-00007F850000}"/>
    <cellStyle name="Normal 57 4 2 2 6 3 2" xfId="34052" xr:uid="{00000000-0005-0000-0000-000080850000}"/>
    <cellStyle name="Normal 57 4 2 2 6 4" xfId="17043" xr:uid="{00000000-0005-0000-0000-000081850000}"/>
    <cellStyle name="Normal 57 4 2 2 6 4 2" xfId="42596" xr:uid="{00000000-0005-0000-0000-000082850000}"/>
    <cellStyle name="Normal 57 4 2 2 6 5" xfId="28533" xr:uid="{00000000-0005-0000-0000-000083850000}"/>
    <cellStyle name="Normal 57 4 2 2 7" xfId="4240" xr:uid="{00000000-0005-0000-0000-000084850000}"/>
    <cellStyle name="Normal 57 4 2 2 7 2" xfId="13078" xr:uid="{00000000-0005-0000-0000-000085850000}"/>
    <cellStyle name="Normal 57 4 2 2 7 2 2" xfId="23329" xr:uid="{00000000-0005-0000-0000-000086850000}"/>
    <cellStyle name="Normal 57 4 2 2 7 2 2 2" xfId="48882" xr:uid="{00000000-0005-0000-0000-000087850000}"/>
    <cellStyle name="Normal 57 4 2 2 7 2 3" xfId="38633" xr:uid="{00000000-0005-0000-0000-000088850000}"/>
    <cellStyle name="Normal 57 4 2 2 7 3" xfId="9499" xr:uid="{00000000-0005-0000-0000-000089850000}"/>
    <cellStyle name="Normal 57 4 2 2 7 3 2" xfId="35056" xr:uid="{00000000-0005-0000-0000-00008A850000}"/>
    <cellStyle name="Normal 57 4 2 2 7 4" xfId="18322" xr:uid="{00000000-0005-0000-0000-00008B850000}"/>
    <cellStyle name="Normal 57 4 2 2 7 4 2" xfId="43875" xr:uid="{00000000-0005-0000-0000-00008C850000}"/>
    <cellStyle name="Normal 57 4 2 2 7 5" xfId="29812" xr:uid="{00000000-0005-0000-0000-00008D850000}"/>
    <cellStyle name="Normal 57 4 2 2 8" xfId="1512" xr:uid="{00000000-0005-0000-0000-00008E850000}"/>
    <cellStyle name="Normal 57 4 2 2 8 2" xfId="10889" xr:uid="{00000000-0005-0000-0000-00008F850000}"/>
    <cellStyle name="Normal 57 4 2 2 8 2 2" xfId="36444" xr:uid="{00000000-0005-0000-0000-000090850000}"/>
    <cellStyle name="Normal 57 4 2 2 8 3" xfId="20893" xr:uid="{00000000-0005-0000-0000-000091850000}"/>
    <cellStyle name="Normal 57 4 2 2 8 3 2" xfId="46446" xr:uid="{00000000-0005-0000-0000-000092850000}"/>
    <cellStyle name="Normal 57 4 2 2 8 4" xfId="27376" xr:uid="{00000000-0005-0000-0000-000093850000}"/>
    <cellStyle name="Normal 57 4 2 2 9" xfId="5696" xr:uid="{00000000-0005-0000-0000-000094850000}"/>
    <cellStyle name="Normal 57 4 2 2 9 2" xfId="14523" xr:uid="{00000000-0005-0000-0000-000095850000}"/>
    <cellStyle name="Normal 57 4 2 2 9 2 2" xfId="40078" xr:uid="{00000000-0005-0000-0000-000096850000}"/>
    <cellStyle name="Normal 57 4 2 2 9 3" xfId="24774" xr:uid="{00000000-0005-0000-0000-000097850000}"/>
    <cellStyle name="Normal 57 4 2 2 9 3 2" xfId="50327" xr:uid="{00000000-0005-0000-0000-000098850000}"/>
    <cellStyle name="Normal 57 4 2 2 9 4" xfId="31257" xr:uid="{00000000-0005-0000-0000-000099850000}"/>
    <cellStyle name="Normal 57 4 2 2_Degree data" xfId="3957" xr:uid="{00000000-0005-0000-0000-00009A850000}"/>
    <cellStyle name="Normal 57 4 2 3" xfId="477" xr:uid="{00000000-0005-0000-0000-00009B850000}"/>
    <cellStyle name="Normal 57 4 2 3 10" xfId="26406" xr:uid="{00000000-0005-0000-0000-00009C850000}"/>
    <cellStyle name="Normal 57 4 2 3 2" xfId="853" xr:uid="{00000000-0005-0000-0000-00009D850000}"/>
    <cellStyle name="Normal 57 4 2 3 2 2" xfId="3338" xr:uid="{00000000-0005-0000-0000-00009E850000}"/>
    <cellStyle name="Normal 57 4 2 3 2 2 2" xfId="12480" xr:uid="{00000000-0005-0000-0000-00009F850000}"/>
    <cellStyle name="Normal 57 4 2 3 2 2 2 2" xfId="22699" xr:uid="{00000000-0005-0000-0000-0000A0850000}"/>
    <cellStyle name="Normal 57 4 2 3 2 2 2 2 2" xfId="48252" xr:uid="{00000000-0005-0000-0000-0000A1850000}"/>
    <cellStyle name="Normal 57 4 2 3 2 2 2 3" xfId="38035" xr:uid="{00000000-0005-0000-0000-0000A2850000}"/>
    <cellStyle name="Normal 57 4 2 3 2 2 3" xfId="8902" xr:uid="{00000000-0005-0000-0000-0000A3850000}"/>
    <cellStyle name="Normal 57 4 2 3 2 2 3 2" xfId="34459" xr:uid="{00000000-0005-0000-0000-0000A4850000}"/>
    <cellStyle name="Normal 57 4 2 3 2 2 4" xfId="17692" xr:uid="{00000000-0005-0000-0000-0000A5850000}"/>
    <cellStyle name="Normal 57 4 2 3 2 2 4 2" xfId="43245" xr:uid="{00000000-0005-0000-0000-0000A6850000}"/>
    <cellStyle name="Normal 57 4 2 3 2 2 5" xfId="29182" xr:uid="{00000000-0005-0000-0000-0000A7850000}"/>
    <cellStyle name="Normal 57 4 2 3 2 3" xfId="4667" xr:uid="{00000000-0005-0000-0000-0000A8850000}"/>
    <cellStyle name="Normal 57 4 2 3 2 3 2" xfId="13505" xr:uid="{00000000-0005-0000-0000-0000A9850000}"/>
    <cellStyle name="Normal 57 4 2 3 2 3 2 2" xfId="23756" xr:uid="{00000000-0005-0000-0000-0000AA850000}"/>
    <cellStyle name="Normal 57 4 2 3 2 3 2 2 2" xfId="49309" xr:uid="{00000000-0005-0000-0000-0000AB850000}"/>
    <cellStyle name="Normal 57 4 2 3 2 3 2 3" xfId="39060" xr:uid="{00000000-0005-0000-0000-0000AC850000}"/>
    <cellStyle name="Normal 57 4 2 3 2 3 3" xfId="9926" xr:uid="{00000000-0005-0000-0000-0000AD850000}"/>
    <cellStyle name="Normal 57 4 2 3 2 3 3 2" xfId="35483" xr:uid="{00000000-0005-0000-0000-0000AE850000}"/>
    <cellStyle name="Normal 57 4 2 3 2 3 4" xfId="18749" xr:uid="{00000000-0005-0000-0000-0000AF850000}"/>
    <cellStyle name="Normal 57 4 2 3 2 3 4 2" xfId="44302" xr:uid="{00000000-0005-0000-0000-0000B0850000}"/>
    <cellStyle name="Normal 57 4 2 3 2 3 5" xfId="30239" xr:uid="{00000000-0005-0000-0000-0000B1850000}"/>
    <cellStyle name="Normal 57 4 2 3 2 4" xfId="2447" xr:uid="{00000000-0005-0000-0000-0000B2850000}"/>
    <cellStyle name="Normal 57 4 2 3 2 4 2" xfId="11812" xr:uid="{00000000-0005-0000-0000-0000B3850000}"/>
    <cellStyle name="Normal 57 4 2 3 2 4 2 2" xfId="37367" xr:uid="{00000000-0005-0000-0000-0000B4850000}"/>
    <cellStyle name="Normal 57 4 2 3 2 4 3" xfId="21816" xr:uid="{00000000-0005-0000-0000-0000B5850000}"/>
    <cellStyle name="Normal 57 4 2 3 2 4 3 2" xfId="47369" xr:uid="{00000000-0005-0000-0000-0000B6850000}"/>
    <cellStyle name="Normal 57 4 2 3 2 4 4" xfId="28299" xr:uid="{00000000-0005-0000-0000-0000B7850000}"/>
    <cellStyle name="Normal 57 4 2 3 2 5" xfId="6123" xr:uid="{00000000-0005-0000-0000-0000B8850000}"/>
    <cellStyle name="Normal 57 4 2 3 2 5 2" xfId="14950" xr:uid="{00000000-0005-0000-0000-0000B9850000}"/>
    <cellStyle name="Normal 57 4 2 3 2 5 2 2" xfId="40505" xr:uid="{00000000-0005-0000-0000-0000BA850000}"/>
    <cellStyle name="Normal 57 4 2 3 2 5 3" xfId="25201" xr:uid="{00000000-0005-0000-0000-0000BB850000}"/>
    <cellStyle name="Normal 57 4 2 3 2 5 3 2" xfId="50754" xr:uid="{00000000-0005-0000-0000-0000BC850000}"/>
    <cellStyle name="Normal 57 4 2 3 2 5 4" xfId="31684" xr:uid="{00000000-0005-0000-0000-0000BD850000}"/>
    <cellStyle name="Normal 57 4 2 3 2 6" xfId="7568" xr:uid="{00000000-0005-0000-0000-0000BE850000}"/>
    <cellStyle name="Normal 57 4 2 3 2 6 2" xfId="20298" xr:uid="{00000000-0005-0000-0000-0000BF850000}"/>
    <cellStyle name="Normal 57 4 2 3 2 6 2 2" xfId="45851" xr:uid="{00000000-0005-0000-0000-0000C0850000}"/>
    <cellStyle name="Normal 57 4 2 3 2 6 3" xfId="33125" xr:uid="{00000000-0005-0000-0000-0000C1850000}"/>
    <cellStyle name="Normal 57 4 2 3 2 7" xfId="16809" xr:uid="{00000000-0005-0000-0000-0000C2850000}"/>
    <cellStyle name="Normal 57 4 2 3 2 7 2" xfId="42362" xr:uid="{00000000-0005-0000-0000-0000C3850000}"/>
    <cellStyle name="Normal 57 4 2 3 2 8" xfId="26781" xr:uid="{00000000-0005-0000-0000-0000C4850000}"/>
    <cellStyle name="Normal 57 4 2 3 3" xfId="1249" xr:uid="{00000000-0005-0000-0000-0000C5850000}"/>
    <cellStyle name="Normal 57 4 2 3 3 2" xfId="3678" xr:uid="{00000000-0005-0000-0000-0000C6850000}"/>
    <cellStyle name="Normal 57 4 2 3 3 2 2" xfId="12814" xr:uid="{00000000-0005-0000-0000-0000C7850000}"/>
    <cellStyle name="Normal 57 4 2 3 3 2 2 2" xfId="23033" xr:uid="{00000000-0005-0000-0000-0000C8850000}"/>
    <cellStyle name="Normal 57 4 2 3 3 2 2 2 2" xfId="48586" xr:uid="{00000000-0005-0000-0000-0000C9850000}"/>
    <cellStyle name="Normal 57 4 2 3 3 2 2 3" xfId="38369" xr:uid="{00000000-0005-0000-0000-0000CA850000}"/>
    <cellStyle name="Normal 57 4 2 3 3 2 3" xfId="9235" xr:uid="{00000000-0005-0000-0000-0000CB850000}"/>
    <cellStyle name="Normal 57 4 2 3 3 2 3 2" xfId="34792" xr:uid="{00000000-0005-0000-0000-0000CC850000}"/>
    <cellStyle name="Normal 57 4 2 3 3 2 4" xfId="18026" xr:uid="{00000000-0005-0000-0000-0000CD850000}"/>
    <cellStyle name="Normal 57 4 2 3 3 2 4 2" xfId="43579" xr:uid="{00000000-0005-0000-0000-0000CE850000}"/>
    <cellStyle name="Normal 57 4 2 3 3 2 5" xfId="29516" xr:uid="{00000000-0005-0000-0000-0000CF850000}"/>
    <cellStyle name="Normal 57 4 2 3 3 3" xfId="5016" xr:uid="{00000000-0005-0000-0000-0000D0850000}"/>
    <cellStyle name="Normal 57 4 2 3 3 3 2" xfId="13853" xr:uid="{00000000-0005-0000-0000-0000D1850000}"/>
    <cellStyle name="Normal 57 4 2 3 3 3 2 2" xfId="24104" xr:uid="{00000000-0005-0000-0000-0000D2850000}"/>
    <cellStyle name="Normal 57 4 2 3 3 3 2 2 2" xfId="49657" xr:uid="{00000000-0005-0000-0000-0000D3850000}"/>
    <cellStyle name="Normal 57 4 2 3 3 3 2 3" xfId="39408" xr:uid="{00000000-0005-0000-0000-0000D4850000}"/>
    <cellStyle name="Normal 57 4 2 3 3 3 3" xfId="10274" xr:uid="{00000000-0005-0000-0000-0000D5850000}"/>
    <cellStyle name="Normal 57 4 2 3 3 3 3 2" xfId="35831" xr:uid="{00000000-0005-0000-0000-0000D6850000}"/>
    <cellStyle name="Normal 57 4 2 3 3 3 4" xfId="19097" xr:uid="{00000000-0005-0000-0000-0000D7850000}"/>
    <cellStyle name="Normal 57 4 2 3 3 3 4 2" xfId="44650" xr:uid="{00000000-0005-0000-0000-0000D8850000}"/>
    <cellStyle name="Normal 57 4 2 3 3 3 5" xfId="30587" xr:uid="{00000000-0005-0000-0000-0000D9850000}"/>
    <cellStyle name="Normal 57 4 2 3 3 4" xfId="2072" xr:uid="{00000000-0005-0000-0000-0000DA850000}"/>
    <cellStyle name="Normal 57 4 2 3 3 4 2" xfId="11437" xr:uid="{00000000-0005-0000-0000-0000DB850000}"/>
    <cellStyle name="Normal 57 4 2 3 3 4 2 2" xfId="36992" xr:uid="{00000000-0005-0000-0000-0000DC850000}"/>
    <cellStyle name="Normal 57 4 2 3 3 4 3" xfId="21441" xr:uid="{00000000-0005-0000-0000-0000DD850000}"/>
    <cellStyle name="Normal 57 4 2 3 3 4 3 2" xfId="46994" xr:uid="{00000000-0005-0000-0000-0000DE850000}"/>
    <cellStyle name="Normal 57 4 2 3 3 4 4" xfId="27924" xr:uid="{00000000-0005-0000-0000-0000DF850000}"/>
    <cellStyle name="Normal 57 4 2 3 3 5" xfId="6471" xr:uid="{00000000-0005-0000-0000-0000E0850000}"/>
    <cellStyle name="Normal 57 4 2 3 3 5 2" xfId="15298" xr:uid="{00000000-0005-0000-0000-0000E1850000}"/>
    <cellStyle name="Normal 57 4 2 3 3 5 2 2" xfId="40853" xr:uid="{00000000-0005-0000-0000-0000E2850000}"/>
    <cellStyle name="Normal 57 4 2 3 3 5 3" xfId="25549" xr:uid="{00000000-0005-0000-0000-0000E3850000}"/>
    <cellStyle name="Normal 57 4 2 3 3 5 3 2" xfId="51102" xr:uid="{00000000-0005-0000-0000-0000E4850000}"/>
    <cellStyle name="Normal 57 4 2 3 3 5 4" xfId="32032" xr:uid="{00000000-0005-0000-0000-0000E5850000}"/>
    <cellStyle name="Normal 57 4 2 3 3 6" xfId="7917" xr:uid="{00000000-0005-0000-0000-0000E6850000}"/>
    <cellStyle name="Normal 57 4 2 3 3 6 2" xfId="20632" xr:uid="{00000000-0005-0000-0000-0000E7850000}"/>
    <cellStyle name="Normal 57 4 2 3 3 6 2 2" xfId="46185" xr:uid="{00000000-0005-0000-0000-0000E8850000}"/>
    <cellStyle name="Normal 57 4 2 3 3 6 3" xfId="33474" xr:uid="{00000000-0005-0000-0000-0000E9850000}"/>
    <cellStyle name="Normal 57 4 2 3 3 7" xfId="16434" xr:uid="{00000000-0005-0000-0000-0000EA850000}"/>
    <cellStyle name="Normal 57 4 2 3 3 7 2" xfId="41987" xr:uid="{00000000-0005-0000-0000-0000EB850000}"/>
    <cellStyle name="Normal 57 4 2 3 3 8" xfId="27115" xr:uid="{00000000-0005-0000-0000-0000EC850000}"/>
    <cellStyle name="Normal 57 4 2 3 4" xfId="2963" xr:uid="{00000000-0005-0000-0000-0000ED850000}"/>
    <cellStyle name="Normal 57 4 2 3 4 2" xfId="5341" xr:uid="{00000000-0005-0000-0000-0000EE850000}"/>
    <cellStyle name="Normal 57 4 2 3 4 2 2" xfId="14178" xr:uid="{00000000-0005-0000-0000-0000EF850000}"/>
    <cellStyle name="Normal 57 4 2 3 4 2 2 2" xfId="24429" xr:uid="{00000000-0005-0000-0000-0000F0850000}"/>
    <cellStyle name="Normal 57 4 2 3 4 2 2 2 2" xfId="49982" xr:uid="{00000000-0005-0000-0000-0000F1850000}"/>
    <cellStyle name="Normal 57 4 2 3 4 2 2 3" xfId="39733" xr:uid="{00000000-0005-0000-0000-0000F2850000}"/>
    <cellStyle name="Normal 57 4 2 3 4 2 3" xfId="10599" xr:uid="{00000000-0005-0000-0000-0000F3850000}"/>
    <cellStyle name="Normal 57 4 2 3 4 2 3 2" xfId="36156" xr:uid="{00000000-0005-0000-0000-0000F4850000}"/>
    <cellStyle name="Normal 57 4 2 3 4 2 4" xfId="19422" xr:uid="{00000000-0005-0000-0000-0000F5850000}"/>
    <cellStyle name="Normal 57 4 2 3 4 2 4 2" xfId="44975" xr:uid="{00000000-0005-0000-0000-0000F6850000}"/>
    <cellStyle name="Normal 57 4 2 3 4 2 5" xfId="30912" xr:uid="{00000000-0005-0000-0000-0000F7850000}"/>
    <cellStyle name="Normal 57 4 2 3 4 3" xfId="6796" xr:uid="{00000000-0005-0000-0000-0000F8850000}"/>
    <cellStyle name="Normal 57 4 2 3 4 3 2" xfId="15623" xr:uid="{00000000-0005-0000-0000-0000F9850000}"/>
    <cellStyle name="Normal 57 4 2 3 4 3 2 2" xfId="41178" xr:uid="{00000000-0005-0000-0000-0000FA850000}"/>
    <cellStyle name="Normal 57 4 2 3 4 3 3" xfId="25874" xr:uid="{00000000-0005-0000-0000-0000FB850000}"/>
    <cellStyle name="Normal 57 4 2 3 4 3 3 2" xfId="51427" xr:uid="{00000000-0005-0000-0000-0000FC850000}"/>
    <cellStyle name="Normal 57 4 2 3 4 3 4" xfId="32357" xr:uid="{00000000-0005-0000-0000-0000FD850000}"/>
    <cellStyle name="Normal 57 4 2 3 4 4" xfId="8242" xr:uid="{00000000-0005-0000-0000-0000FE850000}"/>
    <cellStyle name="Normal 57 4 2 3 4 4 2" xfId="22324" xr:uid="{00000000-0005-0000-0000-0000FF850000}"/>
    <cellStyle name="Normal 57 4 2 3 4 4 2 2" xfId="47877" xr:uid="{00000000-0005-0000-0000-000000860000}"/>
    <cellStyle name="Normal 57 4 2 3 4 4 3" xfId="33799" xr:uid="{00000000-0005-0000-0000-000001860000}"/>
    <cellStyle name="Normal 57 4 2 3 4 5" xfId="17317" xr:uid="{00000000-0005-0000-0000-000002860000}"/>
    <cellStyle name="Normal 57 4 2 3 4 5 2" xfId="42870" xr:uid="{00000000-0005-0000-0000-000003860000}"/>
    <cellStyle name="Normal 57 4 2 3 4 6" xfId="28807" xr:uid="{00000000-0005-0000-0000-000004860000}"/>
    <cellStyle name="Normal 57 4 2 3 5" xfId="4297" xr:uid="{00000000-0005-0000-0000-000005860000}"/>
    <cellStyle name="Normal 57 4 2 3 5 2" xfId="13135" xr:uid="{00000000-0005-0000-0000-000006860000}"/>
    <cellStyle name="Normal 57 4 2 3 5 2 2" xfId="23386" xr:uid="{00000000-0005-0000-0000-000007860000}"/>
    <cellStyle name="Normal 57 4 2 3 5 2 2 2" xfId="48939" xr:uid="{00000000-0005-0000-0000-000008860000}"/>
    <cellStyle name="Normal 57 4 2 3 5 2 3" xfId="38690" xr:uid="{00000000-0005-0000-0000-000009860000}"/>
    <cellStyle name="Normal 57 4 2 3 5 3" xfId="9556" xr:uid="{00000000-0005-0000-0000-00000A860000}"/>
    <cellStyle name="Normal 57 4 2 3 5 3 2" xfId="35113" xr:uid="{00000000-0005-0000-0000-00000B860000}"/>
    <cellStyle name="Normal 57 4 2 3 5 4" xfId="18379" xr:uid="{00000000-0005-0000-0000-00000C860000}"/>
    <cellStyle name="Normal 57 4 2 3 5 4 2" xfId="43932" xr:uid="{00000000-0005-0000-0000-00000D860000}"/>
    <cellStyle name="Normal 57 4 2 3 5 5" xfId="29869" xr:uid="{00000000-0005-0000-0000-00000E860000}"/>
    <cellStyle name="Normal 57 4 2 3 6" xfId="1569" xr:uid="{00000000-0005-0000-0000-00000F860000}"/>
    <cellStyle name="Normal 57 4 2 3 6 2" xfId="10946" xr:uid="{00000000-0005-0000-0000-000010860000}"/>
    <cellStyle name="Normal 57 4 2 3 6 2 2" xfId="36501" xr:uid="{00000000-0005-0000-0000-000011860000}"/>
    <cellStyle name="Normal 57 4 2 3 6 3" xfId="20950" xr:uid="{00000000-0005-0000-0000-000012860000}"/>
    <cellStyle name="Normal 57 4 2 3 6 3 2" xfId="46503" xr:uid="{00000000-0005-0000-0000-000013860000}"/>
    <cellStyle name="Normal 57 4 2 3 6 4" xfId="27433" xr:uid="{00000000-0005-0000-0000-000014860000}"/>
    <cellStyle name="Normal 57 4 2 3 7" xfId="5753" xr:uid="{00000000-0005-0000-0000-000015860000}"/>
    <cellStyle name="Normal 57 4 2 3 7 2" xfId="14580" xr:uid="{00000000-0005-0000-0000-000016860000}"/>
    <cellStyle name="Normal 57 4 2 3 7 2 2" xfId="40135" xr:uid="{00000000-0005-0000-0000-000017860000}"/>
    <cellStyle name="Normal 57 4 2 3 7 3" xfId="24831" xr:uid="{00000000-0005-0000-0000-000018860000}"/>
    <cellStyle name="Normal 57 4 2 3 7 3 2" xfId="50384" xr:uid="{00000000-0005-0000-0000-000019860000}"/>
    <cellStyle name="Normal 57 4 2 3 7 4" xfId="31314" xr:uid="{00000000-0005-0000-0000-00001A860000}"/>
    <cellStyle name="Normal 57 4 2 3 8" xfId="7197" xr:uid="{00000000-0005-0000-0000-00001B860000}"/>
    <cellStyle name="Normal 57 4 2 3 8 2" xfId="19923" xr:uid="{00000000-0005-0000-0000-00001C860000}"/>
    <cellStyle name="Normal 57 4 2 3 8 2 2" xfId="45476" xr:uid="{00000000-0005-0000-0000-00001D860000}"/>
    <cellStyle name="Normal 57 4 2 3 8 3" xfId="32754" xr:uid="{00000000-0005-0000-0000-00001E860000}"/>
    <cellStyle name="Normal 57 4 2 3 9" xfId="15943" xr:uid="{00000000-0005-0000-0000-00001F860000}"/>
    <cellStyle name="Normal 57 4 2 3 9 2" xfId="41496" xr:uid="{00000000-0005-0000-0000-000020860000}"/>
    <cellStyle name="Normal 57 4 2 3_Degree data" xfId="3959" xr:uid="{00000000-0005-0000-0000-000021860000}"/>
    <cellStyle name="Normal 57 4 2 4" xfId="377" xr:uid="{00000000-0005-0000-0000-000022860000}"/>
    <cellStyle name="Normal 57 4 2 4 2" xfId="2863" xr:uid="{00000000-0005-0000-0000-000023860000}"/>
    <cellStyle name="Normal 57 4 2 4 2 2" xfId="12151" xr:uid="{00000000-0005-0000-0000-000024860000}"/>
    <cellStyle name="Normal 57 4 2 4 2 2 2" xfId="22224" xr:uid="{00000000-0005-0000-0000-000025860000}"/>
    <cellStyle name="Normal 57 4 2 4 2 2 2 2" xfId="47777" xr:uid="{00000000-0005-0000-0000-000026860000}"/>
    <cellStyle name="Normal 57 4 2 4 2 2 3" xfId="37706" xr:uid="{00000000-0005-0000-0000-000027860000}"/>
    <cellStyle name="Normal 57 4 2 4 2 3" xfId="8432" xr:uid="{00000000-0005-0000-0000-000028860000}"/>
    <cellStyle name="Normal 57 4 2 4 2 3 2" xfId="33989" xr:uid="{00000000-0005-0000-0000-000029860000}"/>
    <cellStyle name="Normal 57 4 2 4 2 4" xfId="17217" xr:uid="{00000000-0005-0000-0000-00002A860000}"/>
    <cellStyle name="Normal 57 4 2 4 2 4 2" xfId="42770" xr:uid="{00000000-0005-0000-0000-00002B860000}"/>
    <cellStyle name="Normal 57 4 2 4 2 5" xfId="28707" xr:uid="{00000000-0005-0000-0000-00002C860000}"/>
    <cellStyle name="Normal 57 4 2 4 3" xfId="4664" xr:uid="{00000000-0005-0000-0000-00002D860000}"/>
    <cellStyle name="Normal 57 4 2 4 3 2" xfId="13502" xr:uid="{00000000-0005-0000-0000-00002E860000}"/>
    <cellStyle name="Normal 57 4 2 4 3 2 2" xfId="23753" xr:uid="{00000000-0005-0000-0000-00002F860000}"/>
    <cellStyle name="Normal 57 4 2 4 3 2 2 2" xfId="49306" xr:uid="{00000000-0005-0000-0000-000030860000}"/>
    <cellStyle name="Normal 57 4 2 4 3 2 3" xfId="39057" xr:uid="{00000000-0005-0000-0000-000031860000}"/>
    <cellStyle name="Normal 57 4 2 4 3 3" xfId="9923" xr:uid="{00000000-0005-0000-0000-000032860000}"/>
    <cellStyle name="Normal 57 4 2 4 3 3 2" xfId="35480" xr:uid="{00000000-0005-0000-0000-000033860000}"/>
    <cellStyle name="Normal 57 4 2 4 3 4" xfId="18746" xr:uid="{00000000-0005-0000-0000-000034860000}"/>
    <cellStyle name="Normal 57 4 2 4 3 4 2" xfId="44299" xr:uid="{00000000-0005-0000-0000-000035860000}"/>
    <cellStyle name="Normal 57 4 2 4 3 5" xfId="30236" xr:uid="{00000000-0005-0000-0000-000036860000}"/>
    <cellStyle name="Normal 57 4 2 4 4" xfId="1972" xr:uid="{00000000-0005-0000-0000-000037860000}"/>
    <cellStyle name="Normal 57 4 2 4 4 2" xfId="11337" xr:uid="{00000000-0005-0000-0000-000038860000}"/>
    <cellStyle name="Normal 57 4 2 4 4 2 2" xfId="36892" xr:uid="{00000000-0005-0000-0000-000039860000}"/>
    <cellStyle name="Normal 57 4 2 4 4 3" xfId="21341" xr:uid="{00000000-0005-0000-0000-00003A860000}"/>
    <cellStyle name="Normal 57 4 2 4 4 3 2" xfId="46894" xr:uid="{00000000-0005-0000-0000-00003B860000}"/>
    <cellStyle name="Normal 57 4 2 4 4 4" xfId="27824" xr:uid="{00000000-0005-0000-0000-00003C860000}"/>
    <cellStyle name="Normal 57 4 2 4 5" xfId="6120" xr:uid="{00000000-0005-0000-0000-00003D860000}"/>
    <cellStyle name="Normal 57 4 2 4 5 2" xfId="14947" xr:uid="{00000000-0005-0000-0000-00003E860000}"/>
    <cellStyle name="Normal 57 4 2 4 5 2 2" xfId="40502" xr:uid="{00000000-0005-0000-0000-00003F860000}"/>
    <cellStyle name="Normal 57 4 2 4 5 3" xfId="25198" xr:uid="{00000000-0005-0000-0000-000040860000}"/>
    <cellStyle name="Normal 57 4 2 4 5 3 2" xfId="50751" xr:uid="{00000000-0005-0000-0000-000041860000}"/>
    <cellStyle name="Normal 57 4 2 4 5 4" xfId="31681" xr:uid="{00000000-0005-0000-0000-000042860000}"/>
    <cellStyle name="Normal 57 4 2 4 6" xfId="7565" xr:uid="{00000000-0005-0000-0000-000043860000}"/>
    <cellStyle name="Normal 57 4 2 4 6 2" xfId="19823" xr:uid="{00000000-0005-0000-0000-000044860000}"/>
    <cellStyle name="Normal 57 4 2 4 6 2 2" xfId="45376" xr:uid="{00000000-0005-0000-0000-000045860000}"/>
    <cellStyle name="Normal 57 4 2 4 6 3" xfId="33122" xr:uid="{00000000-0005-0000-0000-000046860000}"/>
    <cellStyle name="Normal 57 4 2 4 7" xfId="16334" xr:uid="{00000000-0005-0000-0000-000047860000}"/>
    <cellStyle name="Normal 57 4 2 4 7 2" xfId="41887" xr:uid="{00000000-0005-0000-0000-000048860000}"/>
    <cellStyle name="Normal 57 4 2 4 8" xfId="26306" xr:uid="{00000000-0005-0000-0000-000049860000}"/>
    <cellStyle name="Normal 57 4 2 5" xfId="850" xr:uid="{00000000-0005-0000-0000-00004A860000}"/>
    <cellStyle name="Normal 57 4 2 5 2" xfId="3335" xr:uid="{00000000-0005-0000-0000-00004B860000}"/>
    <cellStyle name="Normal 57 4 2 5 2 2" xfId="12477" xr:uid="{00000000-0005-0000-0000-00004C860000}"/>
    <cellStyle name="Normal 57 4 2 5 2 2 2" xfId="22696" xr:uid="{00000000-0005-0000-0000-00004D860000}"/>
    <cellStyle name="Normal 57 4 2 5 2 2 2 2" xfId="48249" xr:uid="{00000000-0005-0000-0000-00004E860000}"/>
    <cellStyle name="Normal 57 4 2 5 2 2 3" xfId="38032" xr:uid="{00000000-0005-0000-0000-00004F860000}"/>
    <cellStyle name="Normal 57 4 2 5 2 3" xfId="8899" xr:uid="{00000000-0005-0000-0000-000050860000}"/>
    <cellStyle name="Normal 57 4 2 5 2 3 2" xfId="34456" xr:uid="{00000000-0005-0000-0000-000051860000}"/>
    <cellStyle name="Normal 57 4 2 5 2 4" xfId="17689" xr:uid="{00000000-0005-0000-0000-000052860000}"/>
    <cellStyle name="Normal 57 4 2 5 2 4 2" xfId="43242" xr:uid="{00000000-0005-0000-0000-000053860000}"/>
    <cellStyle name="Normal 57 4 2 5 2 5" xfId="29179" xr:uid="{00000000-0005-0000-0000-000054860000}"/>
    <cellStyle name="Normal 57 4 2 5 3" xfId="5013" xr:uid="{00000000-0005-0000-0000-000055860000}"/>
    <cellStyle name="Normal 57 4 2 5 3 2" xfId="13850" xr:uid="{00000000-0005-0000-0000-000056860000}"/>
    <cellStyle name="Normal 57 4 2 5 3 2 2" xfId="24101" xr:uid="{00000000-0005-0000-0000-000057860000}"/>
    <cellStyle name="Normal 57 4 2 5 3 2 2 2" xfId="49654" xr:uid="{00000000-0005-0000-0000-000058860000}"/>
    <cellStyle name="Normal 57 4 2 5 3 2 3" xfId="39405" xr:uid="{00000000-0005-0000-0000-000059860000}"/>
    <cellStyle name="Normal 57 4 2 5 3 3" xfId="10271" xr:uid="{00000000-0005-0000-0000-00005A860000}"/>
    <cellStyle name="Normal 57 4 2 5 3 3 2" xfId="35828" xr:uid="{00000000-0005-0000-0000-00005B860000}"/>
    <cellStyle name="Normal 57 4 2 5 3 4" xfId="19094" xr:uid="{00000000-0005-0000-0000-00005C860000}"/>
    <cellStyle name="Normal 57 4 2 5 3 4 2" xfId="44647" xr:uid="{00000000-0005-0000-0000-00005D860000}"/>
    <cellStyle name="Normal 57 4 2 5 3 5" xfId="30584" xr:uid="{00000000-0005-0000-0000-00005E860000}"/>
    <cellStyle name="Normal 57 4 2 5 4" xfId="2444" xr:uid="{00000000-0005-0000-0000-00005F860000}"/>
    <cellStyle name="Normal 57 4 2 5 4 2" xfId="11809" xr:uid="{00000000-0005-0000-0000-000060860000}"/>
    <cellStyle name="Normal 57 4 2 5 4 2 2" xfId="37364" xr:uid="{00000000-0005-0000-0000-000061860000}"/>
    <cellStyle name="Normal 57 4 2 5 4 3" xfId="21813" xr:uid="{00000000-0005-0000-0000-000062860000}"/>
    <cellStyle name="Normal 57 4 2 5 4 3 2" xfId="47366" xr:uid="{00000000-0005-0000-0000-000063860000}"/>
    <cellStyle name="Normal 57 4 2 5 4 4" xfId="28296" xr:uid="{00000000-0005-0000-0000-000064860000}"/>
    <cellStyle name="Normal 57 4 2 5 5" xfId="6468" xr:uid="{00000000-0005-0000-0000-000065860000}"/>
    <cellStyle name="Normal 57 4 2 5 5 2" xfId="15295" xr:uid="{00000000-0005-0000-0000-000066860000}"/>
    <cellStyle name="Normal 57 4 2 5 5 2 2" xfId="40850" xr:uid="{00000000-0005-0000-0000-000067860000}"/>
    <cellStyle name="Normal 57 4 2 5 5 3" xfId="25546" xr:uid="{00000000-0005-0000-0000-000068860000}"/>
    <cellStyle name="Normal 57 4 2 5 5 3 2" xfId="51099" xr:uid="{00000000-0005-0000-0000-000069860000}"/>
    <cellStyle name="Normal 57 4 2 5 5 4" xfId="32029" xr:uid="{00000000-0005-0000-0000-00006A860000}"/>
    <cellStyle name="Normal 57 4 2 5 6" xfId="7914" xr:uid="{00000000-0005-0000-0000-00006B860000}"/>
    <cellStyle name="Normal 57 4 2 5 6 2" xfId="20295" xr:uid="{00000000-0005-0000-0000-00006C860000}"/>
    <cellStyle name="Normal 57 4 2 5 6 2 2" xfId="45848" xr:uid="{00000000-0005-0000-0000-00006D860000}"/>
    <cellStyle name="Normal 57 4 2 5 6 3" xfId="33471" xr:uid="{00000000-0005-0000-0000-00006E860000}"/>
    <cellStyle name="Normal 57 4 2 5 7" xfId="16806" xr:uid="{00000000-0005-0000-0000-00006F860000}"/>
    <cellStyle name="Normal 57 4 2 5 7 2" xfId="42359" xr:uid="{00000000-0005-0000-0000-000070860000}"/>
    <cellStyle name="Normal 57 4 2 5 8" xfId="26778" xr:uid="{00000000-0005-0000-0000-000071860000}"/>
    <cellStyle name="Normal 57 4 2 6" xfId="1149" xr:uid="{00000000-0005-0000-0000-000072860000}"/>
    <cellStyle name="Normal 57 4 2 6 2" xfId="3578" xr:uid="{00000000-0005-0000-0000-000073860000}"/>
    <cellStyle name="Normal 57 4 2 6 2 2" xfId="12714" xr:uid="{00000000-0005-0000-0000-000074860000}"/>
    <cellStyle name="Normal 57 4 2 6 2 2 2" xfId="22933" xr:uid="{00000000-0005-0000-0000-000075860000}"/>
    <cellStyle name="Normal 57 4 2 6 2 2 2 2" xfId="48486" xr:uid="{00000000-0005-0000-0000-000076860000}"/>
    <cellStyle name="Normal 57 4 2 6 2 2 3" xfId="38269" xr:uid="{00000000-0005-0000-0000-000077860000}"/>
    <cellStyle name="Normal 57 4 2 6 2 3" xfId="9135" xr:uid="{00000000-0005-0000-0000-000078860000}"/>
    <cellStyle name="Normal 57 4 2 6 2 3 2" xfId="34692" xr:uid="{00000000-0005-0000-0000-000079860000}"/>
    <cellStyle name="Normal 57 4 2 6 2 4" xfId="17926" xr:uid="{00000000-0005-0000-0000-00007A860000}"/>
    <cellStyle name="Normal 57 4 2 6 2 4 2" xfId="43479" xr:uid="{00000000-0005-0000-0000-00007B860000}"/>
    <cellStyle name="Normal 57 4 2 6 2 5" xfId="29416" xr:uid="{00000000-0005-0000-0000-00007C860000}"/>
    <cellStyle name="Normal 57 4 2 6 3" xfId="5241" xr:uid="{00000000-0005-0000-0000-00007D860000}"/>
    <cellStyle name="Normal 57 4 2 6 3 2" xfId="14078" xr:uid="{00000000-0005-0000-0000-00007E860000}"/>
    <cellStyle name="Normal 57 4 2 6 3 2 2" xfId="24329" xr:uid="{00000000-0005-0000-0000-00007F860000}"/>
    <cellStyle name="Normal 57 4 2 6 3 2 2 2" xfId="49882" xr:uid="{00000000-0005-0000-0000-000080860000}"/>
    <cellStyle name="Normal 57 4 2 6 3 2 3" xfId="39633" xr:uid="{00000000-0005-0000-0000-000081860000}"/>
    <cellStyle name="Normal 57 4 2 6 3 3" xfId="10499" xr:uid="{00000000-0005-0000-0000-000082860000}"/>
    <cellStyle name="Normal 57 4 2 6 3 3 2" xfId="36056" xr:uid="{00000000-0005-0000-0000-000083860000}"/>
    <cellStyle name="Normal 57 4 2 6 3 4" xfId="19322" xr:uid="{00000000-0005-0000-0000-000084860000}"/>
    <cellStyle name="Normal 57 4 2 6 3 4 2" xfId="44875" xr:uid="{00000000-0005-0000-0000-000085860000}"/>
    <cellStyle name="Normal 57 4 2 6 3 5" xfId="30812" xr:uid="{00000000-0005-0000-0000-000086860000}"/>
    <cellStyle name="Normal 57 4 2 6 4" xfId="1748" xr:uid="{00000000-0005-0000-0000-000087860000}"/>
    <cellStyle name="Normal 57 4 2 6 4 2" xfId="11119" xr:uid="{00000000-0005-0000-0000-000088860000}"/>
    <cellStyle name="Normal 57 4 2 6 4 2 2" xfId="36674" xr:uid="{00000000-0005-0000-0000-000089860000}"/>
    <cellStyle name="Normal 57 4 2 6 4 3" xfId="21123" xr:uid="{00000000-0005-0000-0000-00008A860000}"/>
    <cellStyle name="Normal 57 4 2 6 4 3 2" xfId="46676" xr:uid="{00000000-0005-0000-0000-00008B860000}"/>
    <cellStyle name="Normal 57 4 2 6 4 4" xfId="27606" xr:uid="{00000000-0005-0000-0000-00008C860000}"/>
    <cellStyle name="Normal 57 4 2 6 5" xfId="6696" xr:uid="{00000000-0005-0000-0000-00008D860000}"/>
    <cellStyle name="Normal 57 4 2 6 5 2" xfId="15523" xr:uid="{00000000-0005-0000-0000-00008E860000}"/>
    <cellStyle name="Normal 57 4 2 6 5 2 2" xfId="41078" xr:uid="{00000000-0005-0000-0000-00008F860000}"/>
    <cellStyle name="Normal 57 4 2 6 5 3" xfId="25774" xr:uid="{00000000-0005-0000-0000-000090860000}"/>
    <cellStyle name="Normal 57 4 2 6 5 3 2" xfId="51327" xr:uid="{00000000-0005-0000-0000-000091860000}"/>
    <cellStyle name="Normal 57 4 2 6 5 4" xfId="32257" xr:uid="{00000000-0005-0000-0000-000092860000}"/>
    <cellStyle name="Normal 57 4 2 6 6" xfId="8142" xr:uid="{00000000-0005-0000-0000-000093860000}"/>
    <cellStyle name="Normal 57 4 2 6 6 2" xfId="20532" xr:uid="{00000000-0005-0000-0000-000094860000}"/>
    <cellStyle name="Normal 57 4 2 6 6 2 2" xfId="46085" xr:uid="{00000000-0005-0000-0000-000095860000}"/>
    <cellStyle name="Normal 57 4 2 6 6 3" xfId="33699" xr:uid="{00000000-0005-0000-0000-000096860000}"/>
    <cellStyle name="Normal 57 4 2 6 7" xfId="16116" xr:uid="{00000000-0005-0000-0000-000097860000}"/>
    <cellStyle name="Normal 57 4 2 6 7 2" xfId="41669" xr:uid="{00000000-0005-0000-0000-000098860000}"/>
    <cellStyle name="Normal 57 4 2 6 8" xfId="27015" xr:uid="{00000000-0005-0000-0000-000099860000}"/>
    <cellStyle name="Normal 57 4 2 7" xfId="2646" xr:uid="{00000000-0005-0000-0000-00009A860000}"/>
    <cellStyle name="Normal 57 4 2 7 2" xfId="5653" xr:uid="{00000000-0005-0000-0000-00009B860000}"/>
    <cellStyle name="Normal 57 4 2 7 2 2" xfId="14480" xr:uid="{00000000-0005-0000-0000-00009C860000}"/>
    <cellStyle name="Normal 57 4 2 7 2 2 2" xfId="40035" xr:uid="{00000000-0005-0000-0000-00009D860000}"/>
    <cellStyle name="Normal 57 4 2 7 2 3" xfId="24731" xr:uid="{00000000-0005-0000-0000-00009E860000}"/>
    <cellStyle name="Normal 57 4 2 7 2 3 2" xfId="50284" xr:uid="{00000000-0005-0000-0000-00009F860000}"/>
    <cellStyle name="Normal 57 4 2 7 2 4" xfId="31214" xr:uid="{00000000-0005-0000-0000-0000A0860000}"/>
    <cellStyle name="Normal 57 4 2 7 3" xfId="7097" xr:uid="{00000000-0005-0000-0000-0000A1860000}"/>
    <cellStyle name="Normal 57 4 2 7 3 2" xfId="22007" xr:uid="{00000000-0005-0000-0000-0000A2860000}"/>
    <cellStyle name="Normal 57 4 2 7 3 2 2" xfId="47560" xr:uid="{00000000-0005-0000-0000-0000A3860000}"/>
    <cellStyle name="Normal 57 4 2 7 3 3" xfId="32654" xr:uid="{00000000-0005-0000-0000-0000A4860000}"/>
    <cellStyle name="Normal 57 4 2 7 4" xfId="17000" xr:uid="{00000000-0005-0000-0000-0000A5860000}"/>
    <cellStyle name="Normal 57 4 2 7 4 2" xfId="42553" xr:uid="{00000000-0005-0000-0000-0000A6860000}"/>
    <cellStyle name="Normal 57 4 2 7 5" xfId="28490" xr:uid="{00000000-0005-0000-0000-0000A7860000}"/>
    <cellStyle name="Normal 57 4 2 8" xfId="4197" xr:uid="{00000000-0005-0000-0000-0000A8860000}"/>
    <cellStyle name="Normal 57 4 2 8 2" xfId="13035" xr:uid="{00000000-0005-0000-0000-0000A9860000}"/>
    <cellStyle name="Normal 57 4 2 8 2 2" xfId="23286" xr:uid="{00000000-0005-0000-0000-0000AA860000}"/>
    <cellStyle name="Normal 57 4 2 8 2 2 2" xfId="48839" xr:uid="{00000000-0005-0000-0000-0000AB860000}"/>
    <cellStyle name="Normal 57 4 2 8 2 3" xfId="38590" xr:uid="{00000000-0005-0000-0000-0000AC860000}"/>
    <cellStyle name="Normal 57 4 2 8 3" xfId="9456" xr:uid="{00000000-0005-0000-0000-0000AD860000}"/>
    <cellStyle name="Normal 57 4 2 8 3 2" xfId="35013" xr:uid="{00000000-0005-0000-0000-0000AE860000}"/>
    <cellStyle name="Normal 57 4 2 8 4" xfId="18279" xr:uid="{00000000-0005-0000-0000-0000AF860000}"/>
    <cellStyle name="Normal 57 4 2 8 4 2" xfId="43832" xr:uid="{00000000-0005-0000-0000-0000B0860000}"/>
    <cellStyle name="Normal 57 4 2 8 5" xfId="29769" xr:uid="{00000000-0005-0000-0000-0000B1860000}"/>
    <cellStyle name="Normal 57 4 2 9" xfId="1469" xr:uid="{00000000-0005-0000-0000-0000B2860000}"/>
    <cellStyle name="Normal 57 4 2 9 2" xfId="10846" xr:uid="{00000000-0005-0000-0000-0000B3860000}"/>
    <cellStyle name="Normal 57 4 2 9 2 2" xfId="36401" xr:uid="{00000000-0005-0000-0000-0000B4860000}"/>
    <cellStyle name="Normal 57 4 2 9 3" xfId="20850" xr:uid="{00000000-0005-0000-0000-0000B5860000}"/>
    <cellStyle name="Normal 57 4 2 9 3 2" xfId="46403" xr:uid="{00000000-0005-0000-0000-0000B6860000}"/>
    <cellStyle name="Normal 57 4 2 9 4" xfId="27333" xr:uid="{00000000-0005-0000-0000-0000B7860000}"/>
    <cellStyle name="Normal 57 4 2_Degree data" xfId="3956" xr:uid="{00000000-0005-0000-0000-0000B8860000}"/>
    <cellStyle name="Normal 57 4 3" xfId="177" xr:uid="{00000000-0005-0000-0000-0000B9860000}"/>
    <cellStyle name="Normal 57 4 3 10" xfId="7125" xr:uid="{00000000-0005-0000-0000-0000BA860000}"/>
    <cellStyle name="Normal 57 4 3 10 2" xfId="19634" xr:uid="{00000000-0005-0000-0000-0000BB860000}"/>
    <cellStyle name="Normal 57 4 3 10 2 2" xfId="45187" xr:uid="{00000000-0005-0000-0000-0000BC860000}"/>
    <cellStyle name="Normal 57 4 3 10 3" xfId="32682" xr:uid="{00000000-0005-0000-0000-0000BD860000}"/>
    <cellStyle name="Normal 57 4 3 11" xfId="15871" xr:uid="{00000000-0005-0000-0000-0000BE860000}"/>
    <cellStyle name="Normal 57 4 3 11 2" xfId="41424" xr:uid="{00000000-0005-0000-0000-0000BF860000}"/>
    <cellStyle name="Normal 57 4 3 12" xfId="26117" xr:uid="{00000000-0005-0000-0000-0000C0860000}"/>
    <cellStyle name="Normal 57 4 3 2" xfId="505" xr:uid="{00000000-0005-0000-0000-0000C1860000}"/>
    <cellStyle name="Normal 57 4 3 2 10" xfId="26434" xr:uid="{00000000-0005-0000-0000-0000C2860000}"/>
    <cellStyle name="Normal 57 4 3 2 2" xfId="855" xr:uid="{00000000-0005-0000-0000-0000C3860000}"/>
    <cellStyle name="Normal 57 4 3 2 2 2" xfId="3340" xr:uid="{00000000-0005-0000-0000-0000C4860000}"/>
    <cellStyle name="Normal 57 4 3 2 2 2 2" xfId="12482" xr:uid="{00000000-0005-0000-0000-0000C5860000}"/>
    <cellStyle name="Normal 57 4 3 2 2 2 2 2" xfId="22701" xr:uid="{00000000-0005-0000-0000-0000C6860000}"/>
    <cellStyle name="Normal 57 4 3 2 2 2 2 2 2" xfId="48254" xr:uid="{00000000-0005-0000-0000-0000C7860000}"/>
    <cellStyle name="Normal 57 4 3 2 2 2 2 3" xfId="38037" xr:uid="{00000000-0005-0000-0000-0000C8860000}"/>
    <cellStyle name="Normal 57 4 3 2 2 2 3" xfId="8904" xr:uid="{00000000-0005-0000-0000-0000C9860000}"/>
    <cellStyle name="Normal 57 4 3 2 2 2 3 2" xfId="34461" xr:uid="{00000000-0005-0000-0000-0000CA860000}"/>
    <cellStyle name="Normal 57 4 3 2 2 2 4" xfId="17694" xr:uid="{00000000-0005-0000-0000-0000CB860000}"/>
    <cellStyle name="Normal 57 4 3 2 2 2 4 2" xfId="43247" xr:uid="{00000000-0005-0000-0000-0000CC860000}"/>
    <cellStyle name="Normal 57 4 3 2 2 2 5" xfId="29184" xr:uid="{00000000-0005-0000-0000-0000CD860000}"/>
    <cellStyle name="Normal 57 4 3 2 2 3" xfId="4669" xr:uid="{00000000-0005-0000-0000-0000CE860000}"/>
    <cellStyle name="Normal 57 4 3 2 2 3 2" xfId="13507" xr:uid="{00000000-0005-0000-0000-0000CF860000}"/>
    <cellStyle name="Normal 57 4 3 2 2 3 2 2" xfId="23758" xr:uid="{00000000-0005-0000-0000-0000D0860000}"/>
    <cellStyle name="Normal 57 4 3 2 2 3 2 2 2" xfId="49311" xr:uid="{00000000-0005-0000-0000-0000D1860000}"/>
    <cellStyle name="Normal 57 4 3 2 2 3 2 3" xfId="39062" xr:uid="{00000000-0005-0000-0000-0000D2860000}"/>
    <cellStyle name="Normal 57 4 3 2 2 3 3" xfId="9928" xr:uid="{00000000-0005-0000-0000-0000D3860000}"/>
    <cellStyle name="Normal 57 4 3 2 2 3 3 2" xfId="35485" xr:uid="{00000000-0005-0000-0000-0000D4860000}"/>
    <cellStyle name="Normal 57 4 3 2 2 3 4" xfId="18751" xr:uid="{00000000-0005-0000-0000-0000D5860000}"/>
    <cellStyle name="Normal 57 4 3 2 2 3 4 2" xfId="44304" xr:uid="{00000000-0005-0000-0000-0000D6860000}"/>
    <cellStyle name="Normal 57 4 3 2 2 3 5" xfId="30241" xr:uid="{00000000-0005-0000-0000-0000D7860000}"/>
    <cellStyle name="Normal 57 4 3 2 2 4" xfId="2449" xr:uid="{00000000-0005-0000-0000-0000D8860000}"/>
    <cellStyle name="Normal 57 4 3 2 2 4 2" xfId="11814" xr:uid="{00000000-0005-0000-0000-0000D9860000}"/>
    <cellStyle name="Normal 57 4 3 2 2 4 2 2" xfId="37369" xr:uid="{00000000-0005-0000-0000-0000DA860000}"/>
    <cellStyle name="Normal 57 4 3 2 2 4 3" xfId="21818" xr:uid="{00000000-0005-0000-0000-0000DB860000}"/>
    <cellStyle name="Normal 57 4 3 2 2 4 3 2" xfId="47371" xr:uid="{00000000-0005-0000-0000-0000DC860000}"/>
    <cellStyle name="Normal 57 4 3 2 2 4 4" xfId="28301" xr:uid="{00000000-0005-0000-0000-0000DD860000}"/>
    <cellStyle name="Normal 57 4 3 2 2 5" xfId="6125" xr:uid="{00000000-0005-0000-0000-0000DE860000}"/>
    <cellStyle name="Normal 57 4 3 2 2 5 2" xfId="14952" xr:uid="{00000000-0005-0000-0000-0000DF860000}"/>
    <cellStyle name="Normal 57 4 3 2 2 5 2 2" xfId="40507" xr:uid="{00000000-0005-0000-0000-0000E0860000}"/>
    <cellStyle name="Normal 57 4 3 2 2 5 3" xfId="25203" xr:uid="{00000000-0005-0000-0000-0000E1860000}"/>
    <cellStyle name="Normal 57 4 3 2 2 5 3 2" xfId="50756" xr:uid="{00000000-0005-0000-0000-0000E2860000}"/>
    <cellStyle name="Normal 57 4 3 2 2 5 4" xfId="31686" xr:uid="{00000000-0005-0000-0000-0000E3860000}"/>
    <cellStyle name="Normal 57 4 3 2 2 6" xfId="7570" xr:uid="{00000000-0005-0000-0000-0000E4860000}"/>
    <cellStyle name="Normal 57 4 3 2 2 6 2" xfId="20300" xr:uid="{00000000-0005-0000-0000-0000E5860000}"/>
    <cellStyle name="Normal 57 4 3 2 2 6 2 2" xfId="45853" xr:uid="{00000000-0005-0000-0000-0000E6860000}"/>
    <cellStyle name="Normal 57 4 3 2 2 6 3" xfId="33127" xr:uid="{00000000-0005-0000-0000-0000E7860000}"/>
    <cellStyle name="Normal 57 4 3 2 2 7" xfId="16811" xr:uid="{00000000-0005-0000-0000-0000E8860000}"/>
    <cellStyle name="Normal 57 4 3 2 2 7 2" xfId="42364" xr:uid="{00000000-0005-0000-0000-0000E9860000}"/>
    <cellStyle name="Normal 57 4 3 2 2 8" xfId="26783" xr:uid="{00000000-0005-0000-0000-0000EA860000}"/>
    <cellStyle name="Normal 57 4 3 2 3" xfId="1277" xr:uid="{00000000-0005-0000-0000-0000EB860000}"/>
    <cellStyle name="Normal 57 4 3 2 3 2" xfId="3706" xr:uid="{00000000-0005-0000-0000-0000EC860000}"/>
    <cellStyle name="Normal 57 4 3 2 3 2 2" xfId="12842" xr:uid="{00000000-0005-0000-0000-0000ED860000}"/>
    <cellStyle name="Normal 57 4 3 2 3 2 2 2" xfId="23061" xr:uid="{00000000-0005-0000-0000-0000EE860000}"/>
    <cellStyle name="Normal 57 4 3 2 3 2 2 2 2" xfId="48614" xr:uid="{00000000-0005-0000-0000-0000EF860000}"/>
    <cellStyle name="Normal 57 4 3 2 3 2 2 3" xfId="38397" xr:uid="{00000000-0005-0000-0000-0000F0860000}"/>
    <cellStyle name="Normal 57 4 3 2 3 2 3" xfId="9263" xr:uid="{00000000-0005-0000-0000-0000F1860000}"/>
    <cellStyle name="Normal 57 4 3 2 3 2 3 2" xfId="34820" xr:uid="{00000000-0005-0000-0000-0000F2860000}"/>
    <cellStyle name="Normal 57 4 3 2 3 2 4" xfId="18054" xr:uid="{00000000-0005-0000-0000-0000F3860000}"/>
    <cellStyle name="Normal 57 4 3 2 3 2 4 2" xfId="43607" xr:uid="{00000000-0005-0000-0000-0000F4860000}"/>
    <cellStyle name="Normal 57 4 3 2 3 2 5" xfId="29544" xr:uid="{00000000-0005-0000-0000-0000F5860000}"/>
    <cellStyle name="Normal 57 4 3 2 3 3" xfId="5018" xr:uid="{00000000-0005-0000-0000-0000F6860000}"/>
    <cellStyle name="Normal 57 4 3 2 3 3 2" xfId="13855" xr:uid="{00000000-0005-0000-0000-0000F7860000}"/>
    <cellStyle name="Normal 57 4 3 2 3 3 2 2" xfId="24106" xr:uid="{00000000-0005-0000-0000-0000F8860000}"/>
    <cellStyle name="Normal 57 4 3 2 3 3 2 2 2" xfId="49659" xr:uid="{00000000-0005-0000-0000-0000F9860000}"/>
    <cellStyle name="Normal 57 4 3 2 3 3 2 3" xfId="39410" xr:uid="{00000000-0005-0000-0000-0000FA860000}"/>
    <cellStyle name="Normal 57 4 3 2 3 3 3" xfId="10276" xr:uid="{00000000-0005-0000-0000-0000FB860000}"/>
    <cellStyle name="Normal 57 4 3 2 3 3 3 2" xfId="35833" xr:uid="{00000000-0005-0000-0000-0000FC860000}"/>
    <cellStyle name="Normal 57 4 3 2 3 3 4" xfId="19099" xr:uid="{00000000-0005-0000-0000-0000FD860000}"/>
    <cellStyle name="Normal 57 4 3 2 3 3 4 2" xfId="44652" xr:uid="{00000000-0005-0000-0000-0000FE860000}"/>
    <cellStyle name="Normal 57 4 3 2 3 3 5" xfId="30589" xr:uid="{00000000-0005-0000-0000-0000FF860000}"/>
    <cellStyle name="Normal 57 4 3 2 3 4" xfId="2100" xr:uid="{00000000-0005-0000-0000-000000870000}"/>
    <cellStyle name="Normal 57 4 3 2 3 4 2" xfId="11465" xr:uid="{00000000-0005-0000-0000-000001870000}"/>
    <cellStyle name="Normal 57 4 3 2 3 4 2 2" xfId="37020" xr:uid="{00000000-0005-0000-0000-000002870000}"/>
    <cellStyle name="Normal 57 4 3 2 3 4 3" xfId="21469" xr:uid="{00000000-0005-0000-0000-000003870000}"/>
    <cellStyle name="Normal 57 4 3 2 3 4 3 2" xfId="47022" xr:uid="{00000000-0005-0000-0000-000004870000}"/>
    <cellStyle name="Normal 57 4 3 2 3 4 4" xfId="27952" xr:uid="{00000000-0005-0000-0000-000005870000}"/>
    <cellStyle name="Normal 57 4 3 2 3 5" xfId="6473" xr:uid="{00000000-0005-0000-0000-000006870000}"/>
    <cellStyle name="Normal 57 4 3 2 3 5 2" xfId="15300" xr:uid="{00000000-0005-0000-0000-000007870000}"/>
    <cellStyle name="Normal 57 4 3 2 3 5 2 2" xfId="40855" xr:uid="{00000000-0005-0000-0000-000008870000}"/>
    <cellStyle name="Normal 57 4 3 2 3 5 3" xfId="25551" xr:uid="{00000000-0005-0000-0000-000009870000}"/>
    <cellStyle name="Normal 57 4 3 2 3 5 3 2" xfId="51104" xr:uid="{00000000-0005-0000-0000-00000A870000}"/>
    <cellStyle name="Normal 57 4 3 2 3 5 4" xfId="32034" xr:uid="{00000000-0005-0000-0000-00000B870000}"/>
    <cellStyle name="Normal 57 4 3 2 3 6" xfId="7919" xr:uid="{00000000-0005-0000-0000-00000C870000}"/>
    <cellStyle name="Normal 57 4 3 2 3 6 2" xfId="20660" xr:uid="{00000000-0005-0000-0000-00000D870000}"/>
    <cellStyle name="Normal 57 4 3 2 3 6 2 2" xfId="46213" xr:uid="{00000000-0005-0000-0000-00000E870000}"/>
    <cellStyle name="Normal 57 4 3 2 3 6 3" xfId="33476" xr:uid="{00000000-0005-0000-0000-00000F870000}"/>
    <cellStyle name="Normal 57 4 3 2 3 7" xfId="16462" xr:uid="{00000000-0005-0000-0000-000010870000}"/>
    <cellStyle name="Normal 57 4 3 2 3 7 2" xfId="42015" xr:uid="{00000000-0005-0000-0000-000011870000}"/>
    <cellStyle name="Normal 57 4 3 2 3 8" xfId="27143" xr:uid="{00000000-0005-0000-0000-000012870000}"/>
    <cellStyle name="Normal 57 4 3 2 4" xfId="2991" xr:uid="{00000000-0005-0000-0000-000013870000}"/>
    <cellStyle name="Normal 57 4 3 2 4 2" xfId="5369" xr:uid="{00000000-0005-0000-0000-000014870000}"/>
    <cellStyle name="Normal 57 4 3 2 4 2 2" xfId="14206" xr:uid="{00000000-0005-0000-0000-000015870000}"/>
    <cellStyle name="Normal 57 4 3 2 4 2 2 2" xfId="24457" xr:uid="{00000000-0005-0000-0000-000016870000}"/>
    <cellStyle name="Normal 57 4 3 2 4 2 2 2 2" xfId="50010" xr:uid="{00000000-0005-0000-0000-000017870000}"/>
    <cellStyle name="Normal 57 4 3 2 4 2 2 3" xfId="39761" xr:uid="{00000000-0005-0000-0000-000018870000}"/>
    <cellStyle name="Normal 57 4 3 2 4 2 3" xfId="10627" xr:uid="{00000000-0005-0000-0000-000019870000}"/>
    <cellStyle name="Normal 57 4 3 2 4 2 3 2" xfId="36184" xr:uid="{00000000-0005-0000-0000-00001A870000}"/>
    <cellStyle name="Normal 57 4 3 2 4 2 4" xfId="19450" xr:uid="{00000000-0005-0000-0000-00001B870000}"/>
    <cellStyle name="Normal 57 4 3 2 4 2 4 2" xfId="45003" xr:uid="{00000000-0005-0000-0000-00001C870000}"/>
    <cellStyle name="Normal 57 4 3 2 4 2 5" xfId="30940" xr:uid="{00000000-0005-0000-0000-00001D870000}"/>
    <cellStyle name="Normal 57 4 3 2 4 3" xfId="6824" xr:uid="{00000000-0005-0000-0000-00001E870000}"/>
    <cellStyle name="Normal 57 4 3 2 4 3 2" xfId="15651" xr:uid="{00000000-0005-0000-0000-00001F870000}"/>
    <cellStyle name="Normal 57 4 3 2 4 3 2 2" xfId="41206" xr:uid="{00000000-0005-0000-0000-000020870000}"/>
    <cellStyle name="Normal 57 4 3 2 4 3 3" xfId="25902" xr:uid="{00000000-0005-0000-0000-000021870000}"/>
    <cellStyle name="Normal 57 4 3 2 4 3 3 2" xfId="51455" xr:uid="{00000000-0005-0000-0000-000022870000}"/>
    <cellStyle name="Normal 57 4 3 2 4 3 4" xfId="32385" xr:uid="{00000000-0005-0000-0000-000023870000}"/>
    <cellStyle name="Normal 57 4 3 2 4 4" xfId="8270" xr:uid="{00000000-0005-0000-0000-000024870000}"/>
    <cellStyle name="Normal 57 4 3 2 4 4 2" xfId="22352" xr:uid="{00000000-0005-0000-0000-000025870000}"/>
    <cellStyle name="Normal 57 4 3 2 4 4 2 2" xfId="47905" xr:uid="{00000000-0005-0000-0000-000026870000}"/>
    <cellStyle name="Normal 57 4 3 2 4 4 3" xfId="33827" xr:uid="{00000000-0005-0000-0000-000027870000}"/>
    <cellStyle name="Normal 57 4 3 2 4 5" xfId="17345" xr:uid="{00000000-0005-0000-0000-000028870000}"/>
    <cellStyle name="Normal 57 4 3 2 4 5 2" xfId="42898" xr:uid="{00000000-0005-0000-0000-000029870000}"/>
    <cellStyle name="Normal 57 4 3 2 4 6" xfId="28835" xr:uid="{00000000-0005-0000-0000-00002A870000}"/>
    <cellStyle name="Normal 57 4 3 2 5" xfId="4325" xr:uid="{00000000-0005-0000-0000-00002B870000}"/>
    <cellStyle name="Normal 57 4 3 2 5 2" xfId="13163" xr:uid="{00000000-0005-0000-0000-00002C870000}"/>
    <cellStyle name="Normal 57 4 3 2 5 2 2" xfId="23414" xr:uid="{00000000-0005-0000-0000-00002D870000}"/>
    <cellStyle name="Normal 57 4 3 2 5 2 2 2" xfId="48967" xr:uid="{00000000-0005-0000-0000-00002E870000}"/>
    <cellStyle name="Normal 57 4 3 2 5 2 3" xfId="38718" xr:uid="{00000000-0005-0000-0000-00002F870000}"/>
    <cellStyle name="Normal 57 4 3 2 5 3" xfId="9584" xr:uid="{00000000-0005-0000-0000-000030870000}"/>
    <cellStyle name="Normal 57 4 3 2 5 3 2" xfId="35141" xr:uid="{00000000-0005-0000-0000-000031870000}"/>
    <cellStyle name="Normal 57 4 3 2 5 4" xfId="18407" xr:uid="{00000000-0005-0000-0000-000032870000}"/>
    <cellStyle name="Normal 57 4 3 2 5 4 2" xfId="43960" xr:uid="{00000000-0005-0000-0000-000033870000}"/>
    <cellStyle name="Normal 57 4 3 2 5 5" xfId="29897" xr:uid="{00000000-0005-0000-0000-000034870000}"/>
    <cellStyle name="Normal 57 4 3 2 6" xfId="1597" xr:uid="{00000000-0005-0000-0000-000035870000}"/>
    <cellStyle name="Normal 57 4 3 2 6 2" xfId="10974" xr:uid="{00000000-0005-0000-0000-000036870000}"/>
    <cellStyle name="Normal 57 4 3 2 6 2 2" xfId="36529" xr:uid="{00000000-0005-0000-0000-000037870000}"/>
    <cellStyle name="Normal 57 4 3 2 6 3" xfId="20978" xr:uid="{00000000-0005-0000-0000-000038870000}"/>
    <cellStyle name="Normal 57 4 3 2 6 3 2" xfId="46531" xr:uid="{00000000-0005-0000-0000-000039870000}"/>
    <cellStyle name="Normal 57 4 3 2 6 4" xfId="27461" xr:uid="{00000000-0005-0000-0000-00003A870000}"/>
    <cellStyle name="Normal 57 4 3 2 7" xfId="5781" xr:uid="{00000000-0005-0000-0000-00003B870000}"/>
    <cellStyle name="Normal 57 4 3 2 7 2" xfId="14608" xr:uid="{00000000-0005-0000-0000-00003C870000}"/>
    <cellStyle name="Normal 57 4 3 2 7 2 2" xfId="40163" xr:uid="{00000000-0005-0000-0000-00003D870000}"/>
    <cellStyle name="Normal 57 4 3 2 7 3" xfId="24859" xr:uid="{00000000-0005-0000-0000-00003E870000}"/>
    <cellStyle name="Normal 57 4 3 2 7 3 2" xfId="50412" xr:uid="{00000000-0005-0000-0000-00003F870000}"/>
    <cellStyle name="Normal 57 4 3 2 7 4" xfId="31342" xr:uid="{00000000-0005-0000-0000-000040870000}"/>
    <cellStyle name="Normal 57 4 3 2 8" xfId="7225" xr:uid="{00000000-0005-0000-0000-000041870000}"/>
    <cellStyle name="Normal 57 4 3 2 8 2" xfId="19951" xr:uid="{00000000-0005-0000-0000-000042870000}"/>
    <cellStyle name="Normal 57 4 3 2 8 2 2" xfId="45504" xr:uid="{00000000-0005-0000-0000-000043870000}"/>
    <cellStyle name="Normal 57 4 3 2 8 3" xfId="32782" xr:uid="{00000000-0005-0000-0000-000044870000}"/>
    <cellStyle name="Normal 57 4 3 2 9" xfId="15971" xr:uid="{00000000-0005-0000-0000-000045870000}"/>
    <cellStyle name="Normal 57 4 3 2 9 2" xfId="41524" xr:uid="{00000000-0005-0000-0000-000046870000}"/>
    <cellStyle name="Normal 57 4 3 2_Degree data" xfId="3961" xr:uid="{00000000-0005-0000-0000-000047870000}"/>
    <cellStyle name="Normal 57 4 3 3" xfId="405" xr:uid="{00000000-0005-0000-0000-000048870000}"/>
    <cellStyle name="Normal 57 4 3 3 2" xfId="2891" xr:uid="{00000000-0005-0000-0000-000049870000}"/>
    <cellStyle name="Normal 57 4 3 3 2 2" xfId="12179" xr:uid="{00000000-0005-0000-0000-00004A870000}"/>
    <cellStyle name="Normal 57 4 3 3 2 2 2" xfId="22252" xr:uid="{00000000-0005-0000-0000-00004B870000}"/>
    <cellStyle name="Normal 57 4 3 3 2 2 2 2" xfId="47805" xr:uid="{00000000-0005-0000-0000-00004C870000}"/>
    <cellStyle name="Normal 57 4 3 3 2 2 3" xfId="37734" xr:uid="{00000000-0005-0000-0000-00004D870000}"/>
    <cellStyle name="Normal 57 4 3 3 2 3" xfId="8610" xr:uid="{00000000-0005-0000-0000-00004E870000}"/>
    <cellStyle name="Normal 57 4 3 3 2 3 2" xfId="34167" xr:uid="{00000000-0005-0000-0000-00004F870000}"/>
    <cellStyle name="Normal 57 4 3 3 2 4" xfId="17245" xr:uid="{00000000-0005-0000-0000-000050870000}"/>
    <cellStyle name="Normal 57 4 3 3 2 4 2" xfId="42798" xr:uid="{00000000-0005-0000-0000-000051870000}"/>
    <cellStyle name="Normal 57 4 3 3 2 5" xfId="28735" xr:uid="{00000000-0005-0000-0000-000052870000}"/>
    <cellStyle name="Normal 57 4 3 3 3" xfId="4668" xr:uid="{00000000-0005-0000-0000-000053870000}"/>
    <cellStyle name="Normal 57 4 3 3 3 2" xfId="13506" xr:uid="{00000000-0005-0000-0000-000054870000}"/>
    <cellStyle name="Normal 57 4 3 3 3 2 2" xfId="23757" xr:uid="{00000000-0005-0000-0000-000055870000}"/>
    <cellStyle name="Normal 57 4 3 3 3 2 2 2" xfId="49310" xr:uid="{00000000-0005-0000-0000-000056870000}"/>
    <cellStyle name="Normal 57 4 3 3 3 2 3" xfId="39061" xr:uid="{00000000-0005-0000-0000-000057870000}"/>
    <cellStyle name="Normal 57 4 3 3 3 3" xfId="9927" xr:uid="{00000000-0005-0000-0000-000058870000}"/>
    <cellStyle name="Normal 57 4 3 3 3 3 2" xfId="35484" xr:uid="{00000000-0005-0000-0000-000059870000}"/>
    <cellStyle name="Normal 57 4 3 3 3 4" xfId="18750" xr:uid="{00000000-0005-0000-0000-00005A870000}"/>
    <cellStyle name="Normal 57 4 3 3 3 4 2" xfId="44303" xr:uid="{00000000-0005-0000-0000-00005B870000}"/>
    <cellStyle name="Normal 57 4 3 3 3 5" xfId="30240" xr:uid="{00000000-0005-0000-0000-00005C870000}"/>
    <cellStyle name="Normal 57 4 3 3 4" xfId="2000" xr:uid="{00000000-0005-0000-0000-00005D870000}"/>
    <cellStyle name="Normal 57 4 3 3 4 2" xfId="11365" xr:uid="{00000000-0005-0000-0000-00005E870000}"/>
    <cellStyle name="Normal 57 4 3 3 4 2 2" xfId="36920" xr:uid="{00000000-0005-0000-0000-00005F870000}"/>
    <cellStyle name="Normal 57 4 3 3 4 3" xfId="21369" xr:uid="{00000000-0005-0000-0000-000060870000}"/>
    <cellStyle name="Normal 57 4 3 3 4 3 2" xfId="46922" xr:uid="{00000000-0005-0000-0000-000061870000}"/>
    <cellStyle name="Normal 57 4 3 3 4 4" xfId="27852" xr:uid="{00000000-0005-0000-0000-000062870000}"/>
    <cellStyle name="Normal 57 4 3 3 5" xfId="6124" xr:uid="{00000000-0005-0000-0000-000063870000}"/>
    <cellStyle name="Normal 57 4 3 3 5 2" xfId="14951" xr:uid="{00000000-0005-0000-0000-000064870000}"/>
    <cellStyle name="Normal 57 4 3 3 5 2 2" xfId="40506" xr:uid="{00000000-0005-0000-0000-000065870000}"/>
    <cellStyle name="Normal 57 4 3 3 5 3" xfId="25202" xr:uid="{00000000-0005-0000-0000-000066870000}"/>
    <cellStyle name="Normal 57 4 3 3 5 3 2" xfId="50755" xr:uid="{00000000-0005-0000-0000-000067870000}"/>
    <cellStyle name="Normal 57 4 3 3 5 4" xfId="31685" xr:uid="{00000000-0005-0000-0000-000068870000}"/>
    <cellStyle name="Normal 57 4 3 3 6" xfId="7569" xr:uid="{00000000-0005-0000-0000-000069870000}"/>
    <cellStyle name="Normal 57 4 3 3 6 2" xfId="19851" xr:uid="{00000000-0005-0000-0000-00006A870000}"/>
    <cellStyle name="Normal 57 4 3 3 6 2 2" xfId="45404" xr:uid="{00000000-0005-0000-0000-00006B870000}"/>
    <cellStyle name="Normal 57 4 3 3 6 3" xfId="33126" xr:uid="{00000000-0005-0000-0000-00006C870000}"/>
    <cellStyle name="Normal 57 4 3 3 7" xfId="16362" xr:uid="{00000000-0005-0000-0000-00006D870000}"/>
    <cellStyle name="Normal 57 4 3 3 7 2" xfId="41915" xr:uid="{00000000-0005-0000-0000-00006E870000}"/>
    <cellStyle name="Normal 57 4 3 3 8" xfId="26334" xr:uid="{00000000-0005-0000-0000-00006F870000}"/>
    <cellStyle name="Normal 57 4 3 4" xfId="854" xr:uid="{00000000-0005-0000-0000-000070870000}"/>
    <cellStyle name="Normal 57 4 3 4 2" xfId="3339" xr:uid="{00000000-0005-0000-0000-000071870000}"/>
    <cellStyle name="Normal 57 4 3 4 2 2" xfId="12481" xr:uid="{00000000-0005-0000-0000-000072870000}"/>
    <cellStyle name="Normal 57 4 3 4 2 2 2" xfId="22700" xr:uid="{00000000-0005-0000-0000-000073870000}"/>
    <cellStyle name="Normal 57 4 3 4 2 2 2 2" xfId="48253" xr:uid="{00000000-0005-0000-0000-000074870000}"/>
    <cellStyle name="Normal 57 4 3 4 2 2 3" xfId="38036" xr:uid="{00000000-0005-0000-0000-000075870000}"/>
    <cellStyle name="Normal 57 4 3 4 2 3" xfId="8903" xr:uid="{00000000-0005-0000-0000-000076870000}"/>
    <cellStyle name="Normal 57 4 3 4 2 3 2" xfId="34460" xr:uid="{00000000-0005-0000-0000-000077870000}"/>
    <cellStyle name="Normal 57 4 3 4 2 4" xfId="17693" xr:uid="{00000000-0005-0000-0000-000078870000}"/>
    <cellStyle name="Normal 57 4 3 4 2 4 2" xfId="43246" xr:uid="{00000000-0005-0000-0000-000079870000}"/>
    <cellStyle name="Normal 57 4 3 4 2 5" xfId="29183" xr:uid="{00000000-0005-0000-0000-00007A870000}"/>
    <cellStyle name="Normal 57 4 3 4 3" xfId="5017" xr:uid="{00000000-0005-0000-0000-00007B870000}"/>
    <cellStyle name="Normal 57 4 3 4 3 2" xfId="13854" xr:uid="{00000000-0005-0000-0000-00007C870000}"/>
    <cellStyle name="Normal 57 4 3 4 3 2 2" xfId="24105" xr:uid="{00000000-0005-0000-0000-00007D870000}"/>
    <cellStyle name="Normal 57 4 3 4 3 2 2 2" xfId="49658" xr:uid="{00000000-0005-0000-0000-00007E870000}"/>
    <cellStyle name="Normal 57 4 3 4 3 2 3" xfId="39409" xr:uid="{00000000-0005-0000-0000-00007F870000}"/>
    <cellStyle name="Normal 57 4 3 4 3 3" xfId="10275" xr:uid="{00000000-0005-0000-0000-000080870000}"/>
    <cellStyle name="Normal 57 4 3 4 3 3 2" xfId="35832" xr:uid="{00000000-0005-0000-0000-000081870000}"/>
    <cellStyle name="Normal 57 4 3 4 3 4" xfId="19098" xr:uid="{00000000-0005-0000-0000-000082870000}"/>
    <cellStyle name="Normal 57 4 3 4 3 4 2" xfId="44651" xr:uid="{00000000-0005-0000-0000-000083870000}"/>
    <cellStyle name="Normal 57 4 3 4 3 5" xfId="30588" xr:uid="{00000000-0005-0000-0000-000084870000}"/>
    <cellStyle name="Normal 57 4 3 4 4" xfId="2448" xr:uid="{00000000-0005-0000-0000-000085870000}"/>
    <cellStyle name="Normal 57 4 3 4 4 2" xfId="11813" xr:uid="{00000000-0005-0000-0000-000086870000}"/>
    <cellStyle name="Normal 57 4 3 4 4 2 2" xfId="37368" xr:uid="{00000000-0005-0000-0000-000087870000}"/>
    <cellStyle name="Normal 57 4 3 4 4 3" xfId="21817" xr:uid="{00000000-0005-0000-0000-000088870000}"/>
    <cellStyle name="Normal 57 4 3 4 4 3 2" xfId="47370" xr:uid="{00000000-0005-0000-0000-000089870000}"/>
    <cellStyle name="Normal 57 4 3 4 4 4" xfId="28300" xr:uid="{00000000-0005-0000-0000-00008A870000}"/>
    <cellStyle name="Normal 57 4 3 4 5" xfId="6472" xr:uid="{00000000-0005-0000-0000-00008B870000}"/>
    <cellStyle name="Normal 57 4 3 4 5 2" xfId="15299" xr:uid="{00000000-0005-0000-0000-00008C870000}"/>
    <cellStyle name="Normal 57 4 3 4 5 2 2" xfId="40854" xr:uid="{00000000-0005-0000-0000-00008D870000}"/>
    <cellStyle name="Normal 57 4 3 4 5 3" xfId="25550" xr:uid="{00000000-0005-0000-0000-00008E870000}"/>
    <cellStyle name="Normal 57 4 3 4 5 3 2" xfId="51103" xr:uid="{00000000-0005-0000-0000-00008F870000}"/>
    <cellStyle name="Normal 57 4 3 4 5 4" xfId="32033" xr:uid="{00000000-0005-0000-0000-000090870000}"/>
    <cellStyle name="Normal 57 4 3 4 6" xfId="7918" xr:uid="{00000000-0005-0000-0000-000091870000}"/>
    <cellStyle name="Normal 57 4 3 4 6 2" xfId="20299" xr:uid="{00000000-0005-0000-0000-000092870000}"/>
    <cellStyle name="Normal 57 4 3 4 6 2 2" xfId="45852" xr:uid="{00000000-0005-0000-0000-000093870000}"/>
    <cellStyle name="Normal 57 4 3 4 6 3" xfId="33475" xr:uid="{00000000-0005-0000-0000-000094870000}"/>
    <cellStyle name="Normal 57 4 3 4 7" xfId="16810" xr:uid="{00000000-0005-0000-0000-000095870000}"/>
    <cellStyle name="Normal 57 4 3 4 7 2" xfId="42363" xr:uid="{00000000-0005-0000-0000-000096870000}"/>
    <cellStyle name="Normal 57 4 3 4 8" xfId="26782" xr:uid="{00000000-0005-0000-0000-000097870000}"/>
    <cellStyle name="Normal 57 4 3 5" xfId="1177" xr:uid="{00000000-0005-0000-0000-000098870000}"/>
    <cellStyle name="Normal 57 4 3 5 2" xfId="3606" xr:uid="{00000000-0005-0000-0000-000099870000}"/>
    <cellStyle name="Normal 57 4 3 5 2 2" xfId="12742" xr:uid="{00000000-0005-0000-0000-00009A870000}"/>
    <cellStyle name="Normal 57 4 3 5 2 2 2" xfId="22961" xr:uid="{00000000-0005-0000-0000-00009B870000}"/>
    <cellStyle name="Normal 57 4 3 5 2 2 2 2" xfId="48514" xr:uid="{00000000-0005-0000-0000-00009C870000}"/>
    <cellStyle name="Normal 57 4 3 5 2 2 3" xfId="38297" xr:uid="{00000000-0005-0000-0000-00009D870000}"/>
    <cellStyle name="Normal 57 4 3 5 2 3" xfId="9163" xr:uid="{00000000-0005-0000-0000-00009E870000}"/>
    <cellStyle name="Normal 57 4 3 5 2 3 2" xfId="34720" xr:uid="{00000000-0005-0000-0000-00009F870000}"/>
    <cellStyle name="Normal 57 4 3 5 2 4" xfId="17954" xr:uid="{00000000-0005-0000-0000-0000A0870000}"/>
    <cellStyle name="Normal 57 4 3 5 2 4 2" xfId="43507" xr:uid="{00000000-0005-0000-0000-0000A1870000}"/>
    <cellStyle name="Normal 57 4 3 5 2 5" xfId="29444" xr:uid="{00000000-0005-0000-0000-0000A2870000}"/>
    <cellStyle name="Normal 57 4 3 5 3" xfId="5269" xr:uid="{00000000-0005-0000-0000-0000A3870000}"/>
    <cellStyle name="Normal 57 4 3 5 3 2" xfId="14106" xr:uid="{00000000-0005-0000-0000-0000A4870000}"/>
    <cellStyle name="Normal 57 4 3 5 3 2 2" xfId="24357" xr:uid="{00000000-0005-0000-0000-0000A5870000}"/>
    <cellStyle name="Normal 57 4 3 5 3 2 2 2" xfId="49910" xr:uid="{00000000-0005-0000-0000-0000A6870000}"/>
    <cellStyle name="Normal 57 4 3 5 3 2 3" xfId="39661" xr:uid="{00000000-0005-0000-0000-0000A7870000}"/>
    <cellStyle name="Normal 57 4 3 5 3 3" xfId="10527" xr:uid="{00000000-0005-0000-0000-0000A8870000}"/>
    <cellStyle name="Normal 57 4 3 5 3 3 2" xfId="36084" xr:uid="{00000000-0005-0000-0000-0000A9870000}"/>
    <cellStyle name="Normal 57 4 3 5 3 4" xfId="19350" xr:uid="{00000000-0005-0000-0000-0000AA870000}"/>
    <cellStyle name="Normal 57 4 3 5 3 4 2" xfId="44903" xr:uid="{00000000-0005-0000-0000-0000AB870000}"/>
    <cellStyle name="Normal 57 4 3 5 3 5" xfId="30840" xr:uid="{00000000-0005-0000-0000-0000AC870000}"/>
    <cellStyle name="Normal 57 4 3 5 4" xfId="1779" xr:uid="{00000000-0005-0000-0000-0000AD870000}"/>
    <cellStyle name="Normal 57 4 3 5 4 2" xfId="11148" xr:uid="{00000000-0005-0000-0000-0000AE870000}"/>
    <cellStyle name="Normal 57 4 3 5 4 2 2" xfId="36703" xr:uid="{00000000-0005-0000-0000-0000AF870000}"/>
    <cellStyle name="Normal 57 4 3 5 4 3" xfId="21152" xr:uid="{00000000-0005-0000-0000-0000B0870000}"/>
    <cellStyle name="Normal 57 4 3 5 4 3 2" xfId="46705" xr:uid="{00000000-0005-0000-0000-0000B1870000}"/>
    <cellStyle name="Normal 57 4 3 5 4 4" xfId="27635" xr:uid="{00000000-0005-0000-0000-0000B2870000}"/>
    <cellStyle name="Normal 57 4 3 5 5" xfId="6724" xr:uid="{00000000-0005-0000-0000-0000B3870000}"/>
    <cellStyle name="Normal 57 4 3 5 5 2" xfId="15551" xr:uid="{00000000-0005-0000-0000-0000B4870000}"/>
    <cellStyle name="Normal 57 4 3 5 5 2 2" xfId="41106" xr:uid="{00000000-0005-0000-0000-0000B5870000}"/>
    <cellStyle name="Normal 57 4 3 5 5 3" xfId="25802" xr:uid="{00000000-0005-0000-0000-0000B6870000}"/>
    <cellStyle name="Normal 57 4 3 5 5 3 2" xfId="51355" xr:uid="{00000000-0005-0000-0000-0000B7870000}"/>
    <cellStyle name="Normal 57 4 3 5 5 4" xfId="32285" xr:uid="{00000000-0005-0000-0000-0000B8870000}"/>
    <cellStyle name="Normal 57 4 3 5 6" xfId="8170" xr:uid="{00000000-0005-0000-0000-0000B9870000}"/>
    <cellStyle name="Normal 57 4 3 5 6 2" xfId="20560" xr:uid="{00000000-0005-0000-0000-0000BA870000}"/>
    <cellStyle name="Normal 57 4 3 5 6 2 2" xfId="46113" xr:uid="{00000000-0005-0000-0000-0000BB870000}"/>
    <cellStyle name="Normal 57 4 3 5 6 3" xfId="33727" xr:uid="{00000000-0005-0000-0000-0000BC870000}"/>
    <cellStyle name="Normal 57 4 3 5 7" xfId="16145" xr:uid="{00000000-0005-0000-0000-0000BD870000}"/>
    <cellStyle name="Normal 57 4 3 5 7 2" xfId="41698" xr:uid="{00000000-0005-0000-0000-0000BE870000}"/>
    <cellStyle name="Normal 57 4 3 5 8" xfId="27043" xr:uid="{00000000-0005-0000-0000-0000BF870000}"/>
    <cellStyle name="Normal 57 4 3 6" xfId="2674" xr:uid="{00000000-0005-0000-0000-0000C0870000}"/>
    <cellStyle name="Normal 57 4 3 6 2" xfId="11991" xr:uid="{00000000-0005-0000-0000-0000C1870000}"/>
    <cellStyle name="Normal 57 4 3 6 2 2" xfId="22035" xr:uid="{00000000-0005-0000-0000-0000C2870000}"/>
    <cellStyle name="Normal 57 4 3 6 2 2 2" xfId="47588" xr:uid="{00000000-0005-0000-0000-0000C3870000}"/>
    <cellStyle name="Normal 57 4 3 6 2 3" xfId="37546" xr:uid="{00000000-0005-0000-0000-0000C4870000}"/>
    <cellStyle name="Normal 57 4 3 6 3" xfId="8585" xr:uid="{00000000-0005-0000-0000-0000C5870000}"/>
    <cellStyle name="Normal 57 4 3 6 3 2" xfId="34142" xr:uid="{00000000-0005-0000-0000-0000C6870000}"/>
    <cellStyle name="Normal 57 4 3 6 4" xfId="17028" xr:uid="{00000000-0005-0000-0000-0000C7870000}"/>
    <cellStyle name="Normal 57 4 3 6 4 2" xfId="42581" xr:uid="{00000000-0005-0000-0000-0000C8870000}"/>
    <cellStyle name="Normal 57 4 3 6 5" xfId="28518" xr:uid="{00000000-0005-0000-0000-0000C9870000}"/>
    <cellStyle name="Normal 57 4 3 7" xfId="4225" xr:uid="{00000000-0005-0000-0000-0000CA870000}"/>
    <cellStyle name="Normal 57 4 3 7 2" xfId="13063" xr:uid="{00000000-0005-0000-0000-0000CB870000}"/>
    <cellStyle name="Normal 57 4 3 7 2 2" xfId="23314" xr:uid="{00000000-0005-0000-0000-0000CC870000}"/>
    <cellStyle name="Normal 57 4 3 7 2 2 2" xfId="48867" xr:uid="{00000000-0005-0000-0000-0000CD870000}"/>
    <cellStyle name="Normal 57 4 3 7 2 3" xfId="38618" xr:uid="{00000000-0005-0000-0000-0000CE870000}"/>
    <cellStyle name="Normal 57 4 3 7 3" xfId="9484" xr:uid="{00000000-0005-0000-0000-0000CF870000}"/>
    <cellStyle name="Normal 57 4 3 7 3 2" xfId="35041" xr:uid="{00000000-0005-0000-0000-0000D0870000}"/>
    <cellStyle name="Normal 57 4 3 7 4" xfId="18307" xr:uid="{00000000-0005-0000-0000-0000D1870000}"/>
    <cellStyle name="Normal 57 4 3 7 4 2" xfId="43860" xr:uid="{00000000-0005-0000-0000-0000D2870000}"/>
    <cellStyle name="Normal 57 4 3 7 5" xfId="29797" xr:uid="{00000000-0005-0000-0000-0000D3870000}"/>
    <cellStyle name="Normal 57 4 3 8" xfId="1497" xr:uid="{00000000-0005-0000-0000-0000D4870000}"/>
    <cellStyle name="Normal 57 4 3 8 2" xfId="10874" xr:uid="{00000000-0005-0000-0000-0000D5870000}"/>
    <cellStyle name="Normal 57 4 3 8 2 2" xfId="36429" xr:uid="{00000000-0005-0000-0000-0000D6870000}"/>
    <cellStyle name="Normal 57 4 3 8 3" xfId="20878" xr:uid="{00000000-0005-0000-0000-0000D7870000}"/>
    <cellStyle name="Normal 57 4 3 8 3 2" xfId="46431" xr:uid="{00000000-0005-0000-0000-0000D8870000}"/>
    <cellStyle name="Normal 57 4 3 8 4" xfId="27361" xr:uid="{00000000-0005-0000-0000-0000D9870000}"/>
    <cellStyle name="Normal 57 4 3 9" xfId="5681" xr:uid="{00000000-0005-0000-0000-0000DA870000}"/>
    <cellStyle name="Normal 57 4 3 9 2" xfId="14508" xr:uid="{00000000-0005-0000-0000-0000DB870000}"/>
    <cellStyle name="Normal 57 4 3 9 2 2" xfId="40063" xr:uid="{00000000-0005-0000-0000-0000DC870000}"/>
    <cellStyle name="Normal 57 4 3 9 3" xfId="24759" xr:uid="{00000000-0005-0000-0000-0000DD870000}"/>
    <cellStyle name="Normal 57 4 3 9 3 2" xfId="50312" xr:uid="{00000000-0005-0000-0000-0000DE870000}"/>
    <cellStyle name="Normal 57 4 3 9 4" xfId="31242" xr:uid="{00000000-0005-0000-0000-0000DF870000}"/>
    <cellStyle name="Normal 57 4 3_Degree data" xfId="3960" xr:uid="{00000000-0005-0000-0000-0000E0870000}"/>
    <cellStyle name="Normal 57 4 4" xfId="231" xr:uid="{00000000-0005-0000-0000-0000E1870000}"/>
    <cellStyle name="Normal 57 4 4 10" xfId="7069" xr:uid="{00000000-0005-0000-0000-0000E2870000}"/>
    <cellStyle name="Normal 57 4 4 10 2" xfId="19683" xr:uid="{00000000-0005-0000-0000-0000E3870000}"/>
    <cellStyle name="Normal 57 4 4 10 2 2" xfId="45236" xr:uid="{00000000-0005-0000-0000-0000E4870000}"/>
    <cellStyle name="Normal 57 4 4 10 3" xfId="32626" xr:uid="{00000000-0005-0000-0000-0000E5870000}"/>
    <cellStyle name="Normal 57 4 4 11" xfId="15815" xr:uid="{00000000-0005-0000-0000-0000E6870000}"/>
    <cellStyle name="Normal 57 4 4 11 2" xfId="41368" xr:uid="{00000000-0005-0000-0000-0000E7870000}"/>
    <cellStyle name="Normal 57 4 4 12" xfId="26166" xr:uid="{00000000-0005-0000-0000-0000E8870000}"/>
    <cellStyle name="Normal 57 4 4 2" xfId="554" xr:uid="{00000000-0005-0000-0000-0000E9870000}"/>
    <cellStyle name="Normal 57 4 4 2 10" xfId="26483" xr:uid="{00000000-0005-0000-0000-0000EA870000}"/>
    <cellStyle name="Normal 57 4 4 2 2" xfId="857" xr:uid="{00000000-0005-0000-0000-0000EB870000}"/>
    <cellStyle name="Normal 57 4 4 2 2 2" xfId="3342" xr:uid="{00000000-0005-0000-0000-0000EC870000}"/>
    <cellStyle name="Normal 57 4 4 2 2 2 2" xfId="12484" xr:uid="{00000000-0005-0000-0000-0000ED870000}"/>
    <cellStyle name="Normal 57 4 4 2 2 2 2 2" xfId="22703" xr:uid="{00000000-0005-0000-0000-0000EE870000}"/>
    <cellStyle name="Normal 57 4 4 2 2 2 2 2 2" xfId="48256" xr:uid="{00000000-0005-0000-0000-0000EF870000}"/>
    <cellStyle name="Normal 57 4 4 2 2 2 2 3" xfId="38039" xr:uid="{00000000-0005-0000-0000-0000F0870000}"/>
    <cellStyle name="Normal 57 4 4 2 2 2 3" xfId="8906" xr:uid="{00000000-0005-0000-0000-0000F1870000}"/>
    <cellStyle name="Normal 57 4 4 2 2 2 3 2" xfId="34463" xr:uid="{00000000-0005-0000-0000-0000F2870000}"/>
    <cellStyle name="Normal 57 4 4 2 2 2 4" xfId="17696" xr:uid="{00000000-0005-0000-0000-0000F3870000}"/>
    <cellStyle name="Normal 57 4 4 2 2 2 4 2" xfId="43249" xr:uid="{00000000-0005-0000-0000-0000F4870000}"/>
    <cellStyle name="Normal 57 4 4 2 2 2 5" xfId="29186" xr:uid="{00000000-0005-0000-0000-0000F5870000}"/>
    <cellStyle name="Normal 57 4 4 2 2 3" xfId="4671" xr:uid="{00000000-0005-0000-0000-0000F6870000}"/>
    <cellStyle name="Normal 57 4 4 2 2 3 2" xfId="13509" xr:uid="{00000000-0005-0000-0000-0000F7870000}"/>
    <cellStyle name="Normal 57 4 4 2 2 3 2 2" xfId="23760" xr:uid="{00000000-0005-0000-0000-0000F8870000}"/>
    <cellStyle name="Normal 57 4 4 2 2 3 2 2 2" xfId="49313" xr:uid="{00000000-0005-0000-0000-0000F9870000}"/>
    <cellStyle name="Normal 57 4 4 2 2 3 2 3" xfId="39064" xr:uid="{00000000-0005-0000-0000-0000FA870000}"/>
    <cellStyle name="Normal 57 4 4 2 2 3 3" xfId="9930" xr:uid="{00000000-0005-0000-0000-0000FB870000}"/>
    <cellStyle name="Normal 57 4 4 2 2 3 3 2" xfId="35487" xr:uid="{00000000-0005-0000-0000-0000FC870000}"/>
    <cellStyle name="Normal 57 4 4 2 2 3 4" xfId="18753" xr:uid="{00000000-0005-0000-0000-0000FD870000}"/>
    <cellStyle name="Normal 57 4 4 2 2 3 4 2" xfId="44306" xr:uid="{00000000-0005-0000-0000-0000FE870000}"/>
    <cellStyle name="Normal 57 4 4 2 2 3 5" xfId="30243" xr:uid="{00000000-0005-0000-0000-0000FF870000}"/>
    <cellStyle name="Normal 57 4 4 2 2 4" xfId="2451" xr:uid="{00000000-0005-0000-0000-000000880000}"/>
    <cellStyle name="Normal 57 4 4 2 2 4 2" xfId="11816" xr:uid="{00000000-0005-0000-0000-000001880000}"/>
    <cellStyle name="Normal 57 4 4 2 2 4 2 2" xfId="37371" xr:uid="{00000000-0005-0000-0000-000002880000}"/>
    <cellStyle name="Normal 57 4 4 2 2 4 3" xfId="21820" xr:uid="{00000000-0005-0000-0000-000003880000}"/>
    <cellStyle name="Normal 57 4 4 2 2 4 3 2" xfId="47373" xr:uid="{00000000-0005-0000-0000-000004880000}"/>
    <cellStyle name="Normal 57 4 4 2 2 4 4" xfId="28303" xr:uid="{00000000-0005-0000-0000-000005880000}"/>
    <cellStyle name="Normal 57 4 4 2 2 5" xfId="6127" xr:uid="{00000000-0005-0000-0000-000006880000}"/>
    <cellStyle name="Normal 57 4 4 2 2 5 2" xfId="14954" xr:uid="{00000000-0005-0000-0000-000007880000}"/>
    <cellStyle name="Normal 57 4 4 2 2 5 2 2" xfId="40509" xr:uid="{00000000-0005-0000-0000-000008880000}"/>
    <cellStyle name="Normal 57 4 4 2 2 5 3" xfId="25205" xr:uid="{00000000-0005-0000-0000-000009880000}"/>
    <cellStyle name="Normal 57 4 4 2 2 5 3 2" xfId="50758" xr:uid="{00000000-0005-0000-0000-00000A880000}"/>
    <cellStyle name="Normal 57 4 4 2 2 5 4" xfId="31688" xr:uid="{00000000-0005-0000-0000-00000B880000}"/>
    <cellStyle name="Normal 57 4 4 2 2 6" xfId="7572" xr:uid="{00000000-0005-0000-0000-00000C880000}"/>
    <cellStyle name="Normal 57 4 4 2 2 6 2" xfId="20302" xr:uid="{00000000-0005-0000-0000-00000D880000}"/>
    <cellStyle name="Normal 57 4 4 2 2 6 2 2" xfId="45855" xr:uid="{00000000-0005-0000-0000-00000E880000}"/>
    <cellStyle name="Normal 57 4 4 2 2 6 3" xfId="33129" xr:uid="{00000000-0005-0000-0000-00000F880000}"/>
    <cellStyle name="Normal 57 4 4 2 2 7" xfId="16813" xr:uid="{00000000-0005-0000-0000-000010880000}"/>
    <cellStyle name="Normal 57 4 4 2 2 7 2" xfId="42366" xr:uid="{00000000-0005-0000-0000-000011880000}"/>
    <cellStyle name="Normal 57 4 4 2 2 8" xfId="26785" xr:uid="{00000000-0005-0000-0000-000012880000}"/>
    <cellStyle name="Normal 57 4 4 2 3" xfId="1326" xr:uid="{00000000-0005-0000-0000-000013880000}"/>
    <cellStyle name="Normal 57 4 4 2 3 2" xfId="3755" xr:uid="{00000000-0005-0000-0000-000014880000}"/>
    <cellStyle name="Normal 57 4 4 2 3 2 2" xfId="12891" xr:uid="{00000000-0005-0000-0000-000015880000}"/>
    <cellStyle name="Normal 57 4 4 2 3 2 2 2" xfId="23110" xr:uid="{00000000-0005-0000-0000-000016880000}"/>
    <cellStyle name="Normal 57 4 4 2 3 2 2 2 2" xfId="48663" xr:uid="{00000000-0005-0000-0000-000017880000}"/>
    <cellStyle name="Normal 57 4 4 2 3 2 2 3" xfId="38446" xr:uid="{00000000-0005-0000-0000-000018880000}"/>
    <cellStyle name="Normal 57 4 4 2 3 2 3" xfId="9312" xr:uid="{00000000-0005-0000-0000-000019880000}"/>
    <cellStyle name="Normal 57 4 4 2 3 2 3 2" xfId="34869" xr:uid="{00000000-0005-0000-0000-00001A880000}"/>
    <cellStyle name="Normal 57 4 4 2 3 2 4" xfId="18103" xr:uid="{00000000-0005-0000-0000-00001B880000}"/>
    <cellStyle name="Normal 57 4 4 2 3 2 4 2" xfId="43656" xr:uid="{00000000-0005-0000-0000-00001C880000}"/>
    <cellStyle name="Normal 57 4 4 2 3 2 5" xfId="29593" xr:uid="{00000000-0005-0000-0000-00001D880000}"/>
    <cellStyle name="Normal 57 4 4 2 3 3" xfId="5020" xr:uid="{00000000-0005-0000-0000-00001E880000}"/>
    <cellStyle name="Normal 57 4 4 2 3 3 2" xfId="13857" xr:uid="{00000000-0005-0000-0000-00001F880000}"/>
    <cellStyle name="Normal 57 4 4 2 3 3 2 2" xfId="24108" xr:uid="{00000000-0005-0000-0000-000020880000}"/>
    <cellStyle name="Normal 57 4 4 2 3 3 2 2 2" xfId="49661" xr:uid="{00000000-0005-0000-0000-000021880000}"/>
    <cellStyle name="Normal 57 4 4 2 3 3 2 3" xfId="39412" xr:uid="{00000000-0005-0000-0000-000022880000}"/>
    <cellStyle name="Normal 57 4 4 2 3 3 3" xfId="10278" xr:uid="{00000000-0005-0000-0000-000023880000}"/>
    <cellStyle name="Normal 57 4 4 2 3 3 3 2" xfId="35835" xr:uid="{00000000-0005-0000-0000-000024880000}"/>
    <cellStyle name="Normal 57 4 4 2 3 3 4" xfId="19101" xr:uid="{00000000-0005-0000-0000-000025880000}"/>
    <cellStyle name="Normal 57 4 4 2 3 3 4 2" xfId="44654" xr:uid="{00000000-0005-0000-0000-000026880000}"/>
    <cellStyle name="Normal 57 4 4 2 3 3 5" xfId="30591" xr:uid="{00000000-0005-0000-0000-000027880000}"/>
    <cellStyle name="Normal 57 4 4 2 3 4" xfId="2149" xr:uid="{00000000-0005-0000-0000-000028880000}"/>
    <cellStyle name="Normal 57 4 4 2 3 4 2" xfId="11514" xr:uid="{00000000-0005-0000-0000-000029880000}"/>
    <cellStyle name="Normal 57 4 4 2 3 4 2 2" xfId="37069" xr:uid="{00000000-0005-0000-0000-00002A880000}"/>
    <cellStyle name="Normal 57 4 4 2 3 4 3" xfId="21518" xr:uid="{00000000-0005-0000-0000-00002B880000}"/>
    <cellStyle name="Normal 57 4 4 2 3 4 3 2" xfId="47071" xr:uid="{00000000-0005-0000-0000-00002C880000}"/>
    <cellStyle name="Normal 57 4 4 2 3 4 4" xfId="28001" xr:uid="{00000000-0005-0000-0000-00002D880000}"/>
    <cellStyle name="Normal 57 4 4 2 3 5" xfId="6475" xr:uid="{00000000-0005-0000-0000-00002E880000}"/>
    <cellStyle name="Normal 57 4 4 2 3 5 2" xfId="15302" xr:uid="{00000000-0005-0000-0000-00002F880000}"/>
    <cellStyle name="Normal 57 4 4 2 3 5 2 2" xfId="40857" xr:uid="{00000000-0005-0000-0000-000030880000}"/>
    <cellStyle name="Normal 57 4 4 2 3 5 3" xfId="25553" xr:uid="{00000000-0005-0000-0000-000031880000}"/>
    <cellStyle name="Normal 57 4 4 2 3 5 3 2" xfId="51106" xr:uid="{00000000-0005-0000-0000-000032880000}"/>
    <cellStyle name="Normal 57 4 4 2 3 5 4" xfId="32036" xr:uid="{00000000-0005-0000-0000-000033880000}"/>
    <cellStyle name="Normal 57 4 4 2 3 6" xfId="7921" xr:uid="{00000000-0005-0000-0000-000034880000}"/>
    <cellStyle name="Normal 57 4 4 2 3 6 2" xfId="20709" xr:uid="{00000000-0005-0000-0000-000035880000}"/>
    <cellStyle name="Normal 57 4 4 2 3 6 2 2" xfId="46262" xr:uid="{00000000-0005-0000-0000-000036880000}"/>
    <cellStyle name="Normal 57 4 4 2 3 6 3" xfId="33478" xr:uid="{00000000-0005-0000-0000-000037880000}"/>
    <cellStyle name="Normal 57 4 4 2 3 7" xfId="16511" xr:uid="{00000000-0005-0000-0000-000038880000}"/>
    <cellStyle name="Normal 57 4 4 2 3 7 2" xfId="42064" xr:uid="{00000000-0005-0000-0000-000039880000}"/>
    <cellStyle name="Normal 57 4 4 2 3 8" xfId="27192" xr:uid="{00000000-0005-0000-0000-00003A880000}"/>
    <cellStyle name="Normal 57 4 4 2 4" xfId="3040" xr:uid="{00000000-0005-0000-0000-00003B880000}"/>
    <cellStyle name="Normal 57 4 4 2 4 2" xfId="5418" xr:uid="{00000000-0005-0000-0000-00003C880000}"/>
    <cellStyle name="Normal 57 4 4 2 4 2 2" xfId="14255" xr:uid="{00000000-0005-0000-0000-00003D880000}"/>
    <cellStyle name="Normal 57 4 4 2 4 2 2 2" xfId="24506" xr:uid="{00000000-0005-0000-0000-00003E880000}"/>
    <cellStyle name="Normal 57 4 4 2 4 2 2 2 2" xfId="50059" xr:uid="{00000000-0005-0000-0000-00003F880000}"/>
    <cellStyle name="Normal 57 4 4 2 4 2 2 3" xfId="39810" xr:uid="{00000000-0005-0000-0000-000040880000}"/>
    <cellStyle name="Normal 57 4 4 2 4 2 3" xfId="10676" xr:uid="{00000000-0005-0000-0000-000041880000}"/>
    <cellStyle name="Normal 57 4 4 2 4 2 3 2" xfId="36233" xr:uid="{00000000-0005-0000-0000-000042880000}"/>
    <cellStyle name="Normal 57 4 4 2 4 2 4" xfId="19499" xr:uid="{00000000-0005-0000-0000-000043880000}"/>
    <cellStyle name="Normal 57 4 4 2 4 2 4 2" xfId="45052" xr:uid="{00000000-0005-0000-0000-000044880000}"/>
    <cellStyle name="Normal 57 4 4 2 4 2 5" xfId="30989" xr:uid="{00000000-0005-0000-0000-000045880000}"/>
    <cellStyle name="Normal 57 4 4 2 4 3" xfId="6873" xr:uid="{00000000-0005-0000-0000-000046880000}"/>
    <cellStyle name="Normal 57 4 4 2 4 3 2" xfId="15700" xr:uid="{00000000-0005-0000-0000-000047880000}"/>
    <cellStyle name="Normal 57 4 4 2 4 3 2 2" xfId="41255" xr:uid="{00000000-0005-0000-0000-000048880000}"/>
    <cellStyle name="Normal 57 4 4 2 4 3 3" xfId="25951" xr:uid="{00000000-0005-0000-0000-000049880000}"/>
    <cellStyle name="Normal 57 4 4 2 4 3 3 2" xfId="51504" xr:uid="{00000000-0005-0000-0000-00004A880000}"/>
    <cellStyle name="Normal 57 4 4 2 4 3 4" xfId="32434" xr:uid="{00000000-0005-0000-0000-00004B880000}"/>
    <cellStyle name="Normal 57 4 4 2 4 4" xfId="8319" xr:uid="{00000000-0005-0000-0000-00004C880000}"/>
    <cellStyle name="Normal 57 4 4 2 4 4 2" xfId="22401" xr:uid="{00000000-0005-0000-0000-00004D880000}"/>
    <cellStyle name="Normal 57 4 4 2 4 4 2 2" xfId="47954" xr:uid="{00000000-0005-0000-0000-00004E880000}"/>
    <cellStyle name="Normal 57 4 4 2 4 4 3" xfId="33876" xr:uid="{00000000-0005-0000-0000-00004F880000}"/>
    <cellStyle name="Normal 57 4 4 2 4 5" xfId="17394" xr:uid="{00000000-0005-0000-0000-000050880000}"/>
    <cellStyle name="Normal 57 4 4 2 4 5 2" xfId="42947" xr:uid="{00000000-0005-0000-0000-000051880000}"/>
    <cellStyle name="Normal 57 4 4 2 4 6" xfId="28884" xr:uid="{00000000-0005-0000-0000-000052880000}"/>
    <cellStyle name="Normal 57 4 4 2 5" xfId="4374" xr:uid="{00000000-0005-0000-0000-000053880000}"/>
    <cellStyle name="Normal 57 4 4 2 5 2" xfId="13212" xr:uid="{00000000-0005-0000-0000-000054880000}"/>
    <cellStyle name="Normal 57 4 4 2 5 2 2" xfId="23463" xr:uid="{00000000-0005-0000-0000-000055880000}"/>
    <cellStyle name="Normal 57 4 4 2 5 2 2 2" xfId="49016" xr:uid="{00000000-0005-0000-0000-000056880000}"/>
    <cellStyle name="Normal 57 4 4 2 5 2 3" xfId="38767" xr:uid="{00000000-0005-0000-0000-000057880000}"/>
    <cellStyle name="Normal 57 4 4 2 5 3" xfId="9633" xr:uid="{00000000-0005-0000-0000-000058880000}"/>
    <cellStyle name="Normal 57 4 4 2 5 3 2" xfId="35190" xr:uid="{00000000-0005-0000-0000-000059880000}"/>
    <cellStyle name="Normal 57 4 4 2 5 4" xfId="18456" xr:uid="{00000000-0005-0000-0000-00005A880000}"/>
    <cellStyle name="Normal 57 4 4 2 5 4 2" xfId="44009" xr:uid="{00000000-0005-0000-0000-00005B880000}"/>
    <cellStyle name="Normal 57 4 4 2 5 5" xfId="29946" xr:uid="{00000000-0005-0000-0000-00005C880000}"/>
    <cellStyle name="Normal 57 4 4 2 6" xfId="1646" xr:uid="{00000000-0005-0000-0000-00005D880000}"/>
    <cellStyle name="Normal 57 4 4 2 6 2" xfId="11023" xr:uid="{00000000-0005-0000-0000-00005E880000}"/>
    <cellStyle name="Normal 57 4 4 2 6 2 2" xfId="36578" xr:uid="{00000000-0005-0000-0000-00005F880000}"/>
    <cellStyle name="Normal 57 4 4 2 6 3" xfId="21027" xr:uid="{00000000-0005-0000-0000-000060880000}"/>
    <cellStyle name="Normal 57 4 4 2 6 3 2" xfId="46580" xr:uid="{00000000-0005-0000-0000-000061880000}"/>
    <cellStyle name="Normal 57 4 4 2 6 4" xfId="27510" xr:uid="{00000000-0005-0000-0000-000062880000}"/>
    <cellStyle name="Normal 57 4 4 2 7" xfId="5830" xr:uid="{00000000-0005-0000-0000-000063880000}"/>
    <cellStyle name="Normal 57 4 4 2 7 2" xfId="14657" xr:uid="{00000000-0005-0000-0000-000064880000}"/>
    <cellStyle name="Normal 57 4 4 2 7 2 2" xfId="40212" xr:uid="{00000000-0005-0000-0000-000065880000}"/>
    <cellStyle name="Normal 57 4 4 2 7 3" xfId="24908" xr:uid="{00000000-0005-0000-0000-000066880000}"/>
    <cellStyle name="Normal 57 4 4 2 7 3 2" xfId="50461" xr:uid="{00000000-0005-0000-0000-000067880000}"/>
    <cellStyle name="Normal 57 4 4 2 7 4" xfId="31391" xr:uid="{00000000-0005-0000-0000-000068880000}"/>
    <cellStyle name="Normal 57 4 4 2 8" xfId="7274" xr:uid="{00000000-0005-0000-0000-000069880000}"/>
    <cellStyle name="Normal 57 4 4 2 8 2" xfId="20000" xr:uid="{00000000-0005-0000-0000-00006A880000}"/>
    <cellStyle name="Normal 57 4 4 2 8 2 2" xfId="45553" xr:uid="{00000000-0005-0000-0000-00006B880000}"/>
    <cellStyle name="Normal 57 4 4 2 8 3" xfId="32831" xr:uid="{00000000-0005-0000-0000-00006C880000}"/>
    <cellStyle name="Normal 57 4 4 2 9" xfId="16020" xr:uid="{00000000-0005-0000-0000-00006D880000}"/>
    <cellStyle name="Normal 57 4 4 2 9 2" xfId="41573" xr:uid="{00000000-0005-0000-0000-00006E880000}"/>
    <cellStyle name="Normal 57 4 4 2_Degree data" xfId="3963" xr:uid="{00000000-0005-0000-0000-00006F880000}"/>
    <cellStyle name="Normal 57 4 4 3" xfId="349" xr:uid="{00000000-0005-0000-0000-000070880000}"/>
    <cellStyle name="Normal 57 4 4 3 2" xfId="2835" xr:uid="{00000000-0005-0000-0000-000071880000}"/>
    <cellStyle name="Normal 57 4 4 3 2 2" xfId="12123" xr:uid="{00000000-0005-0000-0000-000072880000}"/>
    <cellStyle name="Normal 57 4 4 3 2 2 2" xfId="22196" xr:uid="{00000000-0005-0000-0000-000073880000}"/>
    <cellStyle name="Normal 57 4 4 3 2 2 2 2" xfId="47749" xr:uid="{00000000-0005-0000-0000-000074880000}"/>
    <cellStyle name="Normal 57 4 4 3 2 2 3" xfId="37678" xr:uid="{00000000-0005-0000-0000-000075880000}"/>
    <cellStyle name="Normal 57 4 4 3 2 3" xfId="8618" xr:uid="{00000000-0005-0000-0000-000076880000}"/>
    <cellStyle name="Normal 57 4 4 3 2 3 2" xfId="34175" xr:uid="{00000000-0005-0000-0000-000077880000}"/>
    <cellStyle name="Normal 57 4 4 3 2 4" xfId="17189" xr:uid="{00000000-0005-0000-0000-000078880000}"/>
    <cellStyle name="Normal 57 4 4 3 2 4 2" xfId="42742" xr:uid="{00000000-0005-0000-0000-000079880000}"/>
    <cellStyle name="Normal 57 4 4 3 2 5" xfId="28679" xr:uid="{00000000-0005-0000-0000-00007A880000}"/>
    <cellStyle name="Normal 57 4 4 3 3" xfId="4670" xr:uid="{00000000-0005-0000-0000-00007B880000}"/>
    <cellStyle name="Normal 57 4 4 3 3 2" xfId="13508" xr:uid="{00000000-0005-0000-0000-00007C880000}"/>
    <cellStyle name="Normal 57 4 4 3 3 2 2" xfId="23759" xr:uid="{00000000-0005-0000-0000-00007D880000}"/>
    <cellStyle name="Normal 57 4 4 3 3 2 2 2" xfId="49312" xr:uid="{00000000-0005-0000-0000-00007E880000}"/>
    <cellStyle name="Normal 57 4 4 3 3 2 3" xfId="39063" xr:uid="{00000000-0005-0000-0000-00007F880000}"/>
    <cellStyle name="Normal 57 4 4 3 3 3" xfId="9929" xr:uid="{00000000-0005-0000-0000-000080880000}"/>
    <cellStyle name="Normal 57 4 4 3 3 3 2" xfId="35486" xr:uid="{00000000-0005-0000-0000-000081880000}"/>
    <cellStyle name="Normal 57 4 4 3 3 4" xfId="18752" xr:uid="{00000000-0005-0000-0000-000082880000}"/>
    <cellStyle name="Normal 57 4 4 3 3 4 2" xfId="44305" xr:uid="{00000000-0005-0000-0000-000083880000}"/>
    <cellStyle name="Normal 57 4 4 3 3 5" xfId="30242" xr:uid="{00000000-0005-0000-0000-000084880000}"/>
    <cellStyle name="Normal 57 4 4 3 4" xfId="1944" xr:uid="{00000000-0005-0000-0000-000085880000}"/>
    <cellStyle name="Normal 57 4 4 3 4 2" xfId="11309" xr:uid="{00000000-0005-0000-0000-000086880000}"/>
    <cellStyle name="Normal 57 4 4 3 4 2 2" xfId="36864" xr:uid="{00000000-0005-0000-0000-000087880000}"/>
    <cellStyle name="Normal 57 4 4 3 4 3" xfId="21313" xr:uid="{00000000-0005-0000-0000-000088880000}"/>
    <cellStyle name="Normal 57 4 4 3 4 3 2" xfId="46866" xr:uid="{00000000-0005-0000-0000-000089880000}"/>
    <cellStyle name="Normal 57 4 4 3 4 4" xfId="27796" xr:uid="{00000000-0005-0000-0000-00008A880000}"/>
    <cellStyle name="Normal 57 4 4 3 5" xfId="6126" xr:uid="{00000000-0005-0000-0000-00008B880000}"/>
    <cellStyle name="Normal 57 4 4 3 5 2" xfId="14953" xr:uid="{00000000-0005-0000-0000-00008C880000}"/>
    <cellStyle name="Normal 57 4 4 3 5 2 2" xfId="40508" xr:uid="{00000000-0005-0000-0000-00008D880000}"/>
    <cellStyle name="Normal 57 4 4 3 5 3" xfId="25204" xr:uid="{00000000-0005-0000-0000-00008E880000}"/>
    <cellStyle name="Normal 57 4 4 3 5 3 2" xfId="50757" xr:uid="{00000000-0005-0000-0000-00008F880000}"/>
    <cellStyle name="Normal 57 4 4 3 5 4" xfId="31687" xr:uid="{00000000-0005-0000-0000-000090880000}"/>
    <cellStyle name="Normal 57 4 4 3 6" xfId="7571" xr:uid="{00000000-0005-0000-0000-000091880000}"/>
    <cellStyle name="Normal 57 4 4 3 6 2" xfId="19795" xr:uid="{00000000-0005-0000-0000-000092880000}"/>
    <cellStyle name="Normal 57 4 4 3 6 2 2" xfId="45348" xr:uid="{00000000-0005-0000-0000-000093880000}"/>
    <cellStyle name="Normal 57 4 4 3 6 3" xfId="33128" xr:uid="{00000000-0005-0000-0000-000094880000}"/>
    <cellStyle name="Normal 57 4 4 3 7" xfId="16306" xr:uid="{00000000-0005-0000-0000-000095880000}"/>
    <cellStyle name="Normal 57 4 4 3 7 2" xfId="41859" xr:uid="{00000000-0005-0000-0000-000096880000}"/>
    <cellStyle name="Normal 57 4 4 3 8" xfId="26278" xr:uid="{00000000-0005-0000-0000-000097880000}"/>
    <cellStyle name="Normal 57 4 4 4" xfId="856" xr:uid="{00000000-0005-0000-0000-000098880000}"/>
    <cellStyle name="Normal 57 4 4 4 2" xfId="3341" xr:uid="{00000000-0005-0000-0000-000099880000}"/>
    <cellStyle name="Normal 57 4 4 4 2 2" xfId="12483" xr:uid="{00000000-0005-0000-0000-00009A880000}"/>
    <cellStyle name="Normal 57 4 4 4 2 2 2" xfId="22702" xr:uid="{00000000-0005-0000-0000-00009B880000}"/>
    <cellStyle name="Normal 57 4 4 4 2 2 2 2" xfId="48255" xr:uid="{00000000-0005-0000-0000-00009C880000}"/>
    <cellStyle name="Normal 57 4 4 4 2 2 3" xfId="38038" xr:uid="{00000000-0005-0000-0000-00009D880000}"/>
    <cellStyle name="Normal 57 4 4 4 2 3" xfId="8905" xr:uid="{00000000-0005-0000-0000-00009E880000}"/>
    <cellStyle name="Normal 57 4 4 4 2 3 2" xfId="34462" xr:uid="{00000000-0005-0000-0000-00009F880000}"/>
    <cellStyle name="Normal 57 4 4 4 2 4" xfId="17695" xr:uid="{00000000-0005-0000-0000-0000A0880000}"/>
    <cellStyle name="Normal 57 4 4 4 2 4 2" xfId="43248" xr:uid="{00000000-0005-0000-0000-0000A1880000}"/>
    <cellStyle name="Normal 57 4 4 4 2 5" xfId="29185" xr:uid="{00000000-0005-0000-0000-0000A2880000}"/>
    <cellStyle name="Normal 57 4 4 4 3" xfId="5019" xr:uid="{00000000-0005-0000-0000-0000A3880000}"/>
    <cellStyle name="Normal 57 4 4 4 3 2" xfId="13856" xr:uid="{00000000-0005-0000-0000-0000A4880000}"/>
    <cellStyle name="Normal 57 4 4 4 3 2 2" xfId="24107" xr:uid="{00000000-0005-0000-0000-0000A5880000}"/>
    <cellStyle name="Normal 57 4 4 4 3 2 2 2" xfId="49660" xr:uid="{00000000-0005-0000-0000-0000A6880000}"/>
    <cellStyle name="Normal 57 4 4 4 3 2 3" xfId="39411" xr:uid="{00000000-0005-0000-0000-0000A7880000}"/>
    <cellStyle name="Normal 57 4 4 4 3 3" xfId="10277" xr:uid="{00000000-0005-0000-0000-0000A8880000}"/>
    <cellStyle name="Normal 57 4 4 4 3 3 2" xfId="35834" xr:uid="{00000000-0005-0000-0000-0000A9880000}"/>
    <cellStyle name="Normal 57 4 4 4 3 4" xfId="19100" xr:uid="{00000000-0005-0000-0000-0000AA880000}"/>
    <cellStyle name="Normal 57 4 4 4 3 4 2" xfId="44653" xr:uid="{00000000-0005-0000-0000-0000AB880000}"/>
    <cellStyle name="Normal 57 4 4 4 3 5" xfId="30590" xr:uid="{00000000-0005-0000-0000-0000AC880000}"/>
    <cellStyle name="Normal 57 4 4 4 4" xfId="2450" xr:uid="{00000000-0005-0000-0000-0000AD880000}"/>
    <cellStyle name="Normal 57 4 4 4 4 2" xfId="11815" xr:uid="{00000000-0005-0000-0000-0000AE880000}"/>
    <cellStyle name="Normal 57 4 4 4 4 2 2" xfId="37370" xr:uid="{00000000-0005-0000-0000-0000AF880000}"/>
    <cellStyle name="Normal 57 4 4 4 4 3" xfId="21819" xr:uid="{00000000-0005-0000-0000-0000B0880000}"/>
    <cellStyle name="Normal 57 4 4 4 4 3 2" xfId="47372" xr:uid="{00000000-0005-0000-0000-0000B1880000}"/>
    <cellStyle name="Normal 57 4 4 4 4 4" xfId="28302" xr:uid="{00000000-0005-0000-0000-0000B2880000}"/>
    <cellStyle name="Normal 57 4 4 4 5" xfId="6474" xr:uid="{00000000-0005-0000-0000-0000B3880000}"/>
    <cellStyle name="Normal 57 4 4 4 5 2" xfId="15301" xr:uid="{00000000-0005-0000-0000-0000B4880000}"/>
    <cellStyle name="Normal 57 4 4 4 5 2 2" xfId="40856" xr:uid="{00000000-0005-0000-0000-0000B5880000}"/>
    <cellStyle name="Normal 57 4 4 4 5 3" xfId="25552" xr:uid="{00000000-0005-0000-0000-0000B6880000}"/>
    <cellStyle name="Normal 57 4 4 4 5 3 2" xfId="51105" xr:uid="{00000000-0005-0000-0000-0000B7880000}"/>
    <cellStyle name="Normal 57 4 4 4 5 4" xfId="32035" xr:uid="{00000000-0005-0000-0000-0000B8880000}"/>
    <cellStyle name="Normal 57 4 4 4 6" xfId="7920" xr:uid="{00000000-0005-0000-0000-0000B9880000}"/>
    <cellStyle name="Normal 57 4 4 4 6 2" xfId="20301" xr:uid="{00000000-0005-0000-0000-0000BA880000}"/>
    <cellStyle name="Normal 57 4 4 4 6 2 2" xfId="45854" xr:uid="{00000000-0005-0000-0000-0000BB880000}"/>
    <cellStyle name="Normal 57 4 4 4 6 3" xfId="33477" xr:uid="{00000000-0005-0000-0000-0000BC880000}"/>
    <cellStyle name="Normal 57 4 4 4 7" xfId="16812" xr:uid="{00000000-0005-0000-0000-0000BD880000}"/>
    <cellStyle name="Normal 57 4 4 4 7 2" xfId="42365" xr:uid="{00000000-0005-0000-0000-0000BE880000}"/>
    <cellStyle name="Normal 57 4 4 4 8" xfId="26784" xr:uid="{00000000-0005-0000-0000-0000BF880000}"/>
    <cellStyle name="Normal 57 4 4 5" xfId="1121" xr:uid="{00000000-0005-0000-0000-0000C0880000}"/>
    <cellStyle name="Normal 57 4 4 5 2" xfId="3550" xr:uid="{00000000-0005-0000-0000-0000C1880000}"/>
    <cellStyle name="Normal 57 4 4 5 2 2" xfId="12686" xr:uid="{00000000-0005-0000-0000-0000C2880000}"/>
    <cellStyle name="Normal 57 4 4 5 2 2 2" xfId="22905" xr:uid="{00000000-0005-0000-0000-0000C3880000}"/>
    <cellStyle name="Normal 57 4 4 5 2 2 2 2" xfId="48458" xr:uid="{00000000-0005-0000-0000-0000C4880000}"/>
    <cellStyle name="Normal 57 4 4 5 2 2 3" xfId="38241" xr:uid="{00000000-0005-0000-0000-0000C5880000}"/>
    <cellStyle name="Normal 57 4 4 5 2 3" xfId="9107" xr:uid="{00000000-0005-0000-0000-0000C6880000}"/>
    <cellStyle name="Normal 57 4 4 5 2 3 2" xfId="34664" xr:uid="{00000000-0005-0000-0000-0000C7880000}"/>
    <cellStyle name="Normal 57 4 4 5 2 4" xfId="17898" xr:uid="{00000000-0005-0000-0000-0000C8880000}"/>
    <cellStyle name="Normal 57 4 4 5 2 4 2" xfId="43451" xr:uid="{00000000-0005-0000-0000-0000C9880000}"/>
    <cellStyle name="Normal 57 4 4 5 2 5" xfId="29388" xr:uid="{00000000-0005-0000-0000-0000CA880000}"/>
    <cellStyle name="Normal 57 4 4 5 3" xfId="5213" xr:uid="{00000000-0005-0000-0000-0000CB880000}"/>
    <cellStyle name="Normal 57 4 4 5 3 2" xfId="14050" xr:uid="{00000000-0005-0000-0000-0000CC880000}"/>
    <cellStyle name="Normal 57 4 4 5 3 2 2" xfId="24301" xr:uid="{00000000-0005-0000-0000-0000CD880000}"/>
    <cellStyle name="Normal 57 4 4 5 3 2 2 2" xfId="49854" xr:uid="{00000000-0005-0000-0000-0000CE880000}"/>
    <cellStyle name="Normal 57 4 4 5 3 2 3" xfId="39605" xr:uid="{00000000-0005-0000-0000-0000CF880000}"/>
    <cellStyle name="Normal 57 4 4 5 3 3" xfId="10471" xr:uid="{00000000-0005-0000-0000-0000D0880000}"/>
    <cellStyle name="Normal 57 4 4 5 3 3 2" xfId="36028" xr:uid="{00000000-0005-0000-0000-0000D1880000}"/>
    <cellStyle name="Normal 57 4 4 5 3 4" xfId="19294" xr:uid="{00000000-0005-0000-0000-0000D2880000}"/>
    <cellStyle name="Normal 57 4 4 5 3 4 2" xfId="44847" xr:uid="{00000000-0005-0000-0000-0000D3880000}"/>
    <cellStyle name="Normal 57 4 4 5 3 5" xfId="30784" xr:uid="{00000000-0005-0000-0000-0000D4880000}"/>
    <cellStyle name="Normal 57 4 4 5 4" xfId="1829" xr:uid="{00000000-0005-0000-0000-0000D5880000}"/>
    <cellStyle name="Normal 57 4 4 5 4 2" xfId="11197" xr:uid="{00000000-0005-0000-0000-0000D6880000}"/>
    <cellStyle name="Normal 57 4 4 5 4 2 2" xfId="36752" xr:uid="{00000000-0005-0000-0000-0000D7880000}"/>
    <cellStyle name="Normal 57 4 4 5 4 3" xfId="21201" xr:uid="{00000000-0005-0000-0000-0000D8880000}"/>
    <cellStyle name="Normal 57 4 4 5 4 3 2" xfId="46754" xr:uid="{00000000-0005-0000-0000-0000D9880000}"/>
    <cellStyle name="Normal 57 4 4 5 4 4" xfId="27684" xr:uid="{00000000-0005-0000-0000-0000DA880000}"/>
    <cellStyle name="Normal 57 4 4 5 5" xfId="6668" xr:uid="{00000000-0005-0000-0000-0000DB880000}"/>
    <cellStyle name="Normal 57 4 4 5 5 2" xfId="15495" xr:uid="{00000000-0005-0000-0000-0000DC880000}"/>
    <cellStyle name="Normal 57 4 4 5 5 2 2" xfId="41050" xr:uid="{00000000-0005-0000-0000-0000DD880000}"/>
    <cellStyle name="Normal 57 4 4 5 5 3" xfId="25746" xr:uid="{00000000-0005-0000-0000-0000DE880000}"/>
    <cellStyle name="Normal 57 4 4 5 5 3 2" xfId="51299" xr:uid="{00000000-0005-0000-0000-0000DF880000}"/>
    <cellStyle name="Normal 57 4 4 5 5 4" xfId="32229" xr:uid="{00000000-0005-0000-0000-0000E0880000}"/>
    <cellStyle name="Normal 57 4 4 5 6" xfId="8114" xr:uid="{00000000-0005-0000-0000-0000E1880000}"/>
    <cellStyle name="Normal 57 4 4 5 6 2" xfId="20504" xr:uid="{00000000-0005-0000-0000-0000E2880000}"/>
    <cellStyle name="Normal 57 4 4 5 6 2 2" xfId="46057" xr:uid="{00000000-0005-0000-0000-0000E3880000}"/>
    <cellStyle name="Normal 57 4 4 5 6 3" xfId="33671" xr:uid="{00000000-0005-0000-0000-0000E4880000}"/>
    <cellStyle name="Normal 57 4 4 5 7" xfId="16194" xr:uid="{00000000-0005-0000-0000-0000E5880000}"/>
    <cellStyle name="Normal 57 4 4 5 7 2" xfId="41747" xr:uid="{00000000-0005-0000-0000-0000E6880000}"/>
    <cellStyle name="Normal 57 4 4 5 8" xfId="26987" xr:uid="{00000000-0005-0000-0000-0000E7880000}"/>
    <cellStyle name="Normal 57 4 4 6" xfId="2723" xr:uid="{00000000-0005-0000-0000-0000E8880000}"/>
    <cellStyle name="Normal 57 4 4 6 2" xfId="12040" xr:uid="{00000000-0005-0000-0000-0000E9880000}"/>
    <cellStyle name="Normal 57 4 4 6 2 2" xfId="22084" xr:uid="{00000000-0005-0000-0000-0000EA880000}"/>
    <cellStyle name="Normal 57 4 4 6 2 2 2" xfId="47637" xr:uid="{00000000-0005-0000-0000-0000EB880000}"/>
    <cellStyle name="Normal 57 4 4 6 2 3" xfId="37595" xr:uid="{00000000-0005-0000-0000-0000EC880000}"/>
    <cellStyle name="Normal 57 4 4 6 3" xfId="8488" xr:uid="{00000000-0005-0000-0000-0000ED880000}"/>
    <cellStyle name="Normal 57 4 4 6 3 2" xfId="34045" xr:uid="{00000000-0005-0000-0000-0000EE880000}"/>
    <cellStyle name="Normal 57 4 4 6 4" xfId="17077" xr:uid="{00000000-0005-0000-0000-0000EF880000}"/>
    <cellStyle name="Normal 57 4 4 6 4 2" xfId="42630" xr:uid="{00000000-0005-0000-0000-0000F0880000}"/>
    <cellStyle name="Normal 57 4 4 6 5" xfId="28567" xr:uid="{00000000-0005-0000-0000-0000F1880000}"/>
    <cellStyle name="Normal 57 4 4 7" xfId="4169" xr:uid="{00000000-0005-0000-0000-0000F2880000}"/>
    <cellStyle name="Normal 57 4 4 7 2" xfId="13007" xr:uid="{00000000-0005-0000-0000-0000F3880000}"/>
    <cellStyle name="Normal 57 4 4 7 2 2" xfId="23258" xr:uid="{00000000-0005-0000-0000-0000F4880000}"/>
    <cellStyle name="Normal 57 4 4 7 2 2 2" xfId="48811" xr:uid="{00000000-0005-0000-0000-0000F5880000}"/>
    <cellStyle name="Normal 57 4 4 7 2 3" xfId="38562" xr:uid="{00000000-0005-0000-0000-0000F6880000}"/>
    <cellStyle name="Normal 57 4 4 7 3" xfId="9428" xr:uid="{00000000-0005-0000-0000-0000F7880000}"/>
    <cellStyle name="Normal 57 4 4 7 3 2" xfId="34985" xr:uid="{00000000-0005-0000-0000-0000F8880000}"/>
    <cellStyle name="Normal 57 4 4 7 4" xfId="18251" xr:uid="{00000000-0005-0000-0000-0000F9880000}"/>
    <cellStyle name="Normal 57 4 4 7 4 2" xfId="43804" xr:uid="{00000000-0005-0000-0000-0000FA880000}"/>
    <cellStyle name="Normal 57 4 4 7 5" xfId="29741" xr:uid="{00000000-0005-0000-0000-0000FB880000}"/>
    <cellStyle name="Normal 57 4 4 8" xfId="1441" xr:uid="{00000000-0005-0000-0000-0000FC880000}"/>
    <cellStyle name="Normal 57 4 4 8 2" xfId="10818" xr:uid="{00000000-0005-0000-0000-0000FD880000}"/>
    <cellStyle name="Normal 57 4 4 8 2 2" xfId="36373" xr:uid="{00000000-0005-0000-0000-0000FE880000}"/>
    <cellStyle name="Normal 57 4 4 8 3" xfId="20822" xr:uid="{00000000-0005-0000-0000-0000FF880000}"/>
    <cellStyle name="Normal 57 4 4 8 3 2" xfId="46375" xr:uid="{00000000-0005-0000-0000-000000890000}"/>
    <cellStyle name="Normal 57 4 4 8 4" xfId="27305" xr:uid="{00000000-0005-0000-0000-000001890000}"/>
    <cellStyle name="Normal 57 4 4 9" xfId="5625" xr:uid="{00000000-0005-0000-0000-000002890000}"/>
    <cellStyle name="Normal 57 4 4 9 2" xfId="14452" xr:uid="{00000000-0005-0000-0000-000003890000}"/>
    <cellStyle name="Normal 57 4 4 9 2 2" xfId="40007" xr:uid="{00000000-0005-0000-0000-000004890000}"/>
    <cellStyle name="Normal 57 4 4 9 3" xfId="24703" xr:uid="{00000000-0005-0000-0000-000005890000}"/>
    <cellStyle name="Normal 57 4 4 9 3 2" xfId="50256" xr:uid="{00000000-0005-0000-0000-000006890000}"/>
    <cellStyle name="Normal 57 4 4 9 4" xfId="31186" xr:uid="{00000000-0005-0000-0000-000007890000}"/>
    <cellStyle name="Normal 57 4 4_Degree data" xfId="3962" xr:uid="{00000000-0005-0000-0000-000008890000}"/>
    <cellStyle name="Normal 57 4 5" xfId="449" xr:uid="{00000000-0005-0000-0000-000009890000}"/>
    <cellStyle name="Normal 57 4 5 10" xfId="26378" xr:uid="{00000000-0005-0000-0000-00000A890000}"/>
    <cellStyle name="Normal 57 4 5 2" xfId="858" xr:uid="{00000000-0005-0000-0000-00000B890000}"/>
    <cellStyle name="Normal 57 4 5 2 2" xfId="3343" xr:uid="{00000000-0005-0000-0000-00000C890000}"/>
    <cellStyle name="Normal 57 4 5 2 2 2" xfId="12485" xr:uid="{00000000-0005-0000-0000-00000D890000}"/>
    <cellStyle name="Normal 57 4 5 2 2 2 2" xfId="22704" xr:uid="{00000000-0005-0000-0000-00000E890000}"/>
    <cellStyle name="Normal 57 4 5 2 2 2 2 2" xfId="48257" xr:uid="{00000000-0005-0000-0000-00000F890000}"/>
    <cellStyle name="Normal 57 4 5 2 2 2 3" xfId="38040" xr:uid="{00000000-0005-0000-0000-000010890000}"/>
    <cellStyle name="Normal 57 4 5 2 2 3" xfId="8907" xr:uid="{00000000-0005-0000-0000-000011890000}"/>
    <cellStyle name="Normal 57 4 5 2 2 3 2" xfId="34464" xr:uid="{00000000-0005-0000-0000-000012890000}"/>
    <cellStyle name="Normal 57 4 5 2 2 4" xfId="17697" xr:uid="{00000000-0005-0000-0000-000013890000}"/>
    <cellStyle name="Normal 57 4 5 2 2 4 2" xfId="43250" xr:uid="{00000000-0005-0000-0000-000014890000}"/>
    <cellStyle name="Normal 57 4 5 2 2 5" xfId="29187" xr:uid="{00000000-0005-0000-0000-000015890000}"/>
    <cellStyle name="Normal 57 4 5 2 3" xfId="4672" xr:uid="{00000000-0005-0000-0000-000016890000}"/>
    <cellStyle name="Normal 57 4 5 2 3 2" xfId="13510" xr:uid="{00000000-0005-0000-0000-000017890000}"/>
    <cellStyle name="Normal 57 4 5 2 3 2 2" xfId="23761" xr:uid="{00000000-0005-0000-0000-000018890000}"/>
    <cellStyle name="Normal 57 4 5 2 3 2 2 2" xfId="49314" xr:uid="{00000000-0005-0000-0000-000019890000}"/>
    <cellStyle name="Normal 57 4 5 2 3 2 3" xfId="39065" xr:uid="{00000000-0005-0000-0000-00001A890000}"/>
    <cellStyle name="Normal 57 4 5 2 3 3" xfId="9931" xr:uid="{00000000-0005-0000-0000-00001B890000}"/>
    <cellStyle name="Normal 57 4 5 2 3 3 2" xfId="35488" xr:uid="{00000000-0005-0000-0000-00001C890000}"/>
    <cellStyle name="Normal 57 4 5 2 3 4" xfId="18754" xr:uid="{00000000-0005-0000-0000-00001D890000}"/>
    <cellStyle name="Normal 57 4 5 2 3 4 2" xfId="44307" xr:uid="{00000000-0005-0000-0000-00001E890000}"/>
    <cellStyle name="Normal 57 4 5 2 3 5" xfId="30244" xr:uid="{00000000-0005-0000-0000-00001F890000}"/>
    <cellStyle name="Normal 57 4 5 2 4" xfId="2452" xr:uid="{00000000-0005-0000-0000-000020890000}"/>
    <cellStyle name="Normal 57 4 5 2 4 2" xfId="11817" xr:uid="{00000000-0005-0000-0000-000021890000}"/>
    <cellStyle name="Normal 57 4 5 2 4 2 2" xfId="37372" xr:uid="{00000000-0005-0000-0000-000022890000}"/>
    <cellStyle name="Normal 57 4 5 2 4 3" xfId="21821" xr:uid="{00000000-0005-0000-0000-000023890000}"/>
    <cellStyle name="Normal 57 4 5 2 4 3 2" xfId="47374" xr:uid="{00000000-0005-0000-0000-000024890000}"/>
    <cellStyle name="Normal 57 4 5 2 4 4" xfId="28304" xr:uid="{00000000-0005-0000-0000-000025890000}"/>
    <cellStyle name="Normal 57 4 5 2 5" xfId="6128" xr:uid="{00000000-0005-0000-0000-000026890000}"/>
    <cellStyle name="Normal 57 4 5 2 5 2" xfId="14955" xr:uid="{00000000-0005-0000-0000-000027890000}"/>
    <cellStyle name="Normal 57 4 5 2 5 2 2" xfId="40510" xr:uid="{00000000-0005-0000-0000-000028890000}"/>
    <cellStyle name="Normal 57 4 5 2 5 3" xfId="25206" xr:uid="{00000000-0005-0000-0000-000029890000}"/>
    <cellStyle name="Normal 57 4 5 2 5 3 2" xfId="50759" xr:uid="{00000000-0005-0000-0000-00002A890000}"/>
    <cellStyle name="Normal 57 4 5 2 5 4" xfId="31689" xr:uid="{00000000-0005-0000-0000-00002B890000}"/>
    <cellStyle name="Normal 57 4 5 2 6" xfId="7573" xr:uid="{00000000-0005-0000-0000-00002C890000}"/>
    <cellStyle name="Normal 57 4 5 2 6 2" xfId="20303" xr:uid="{00000000-0005-0000-0000-00002D890000}"/>
    <cellStyle name="Normal 57 4 5 2 6 2 2" xfId="45856" xr:uid="{00000000-0005-0000-0000-00002E890000}"/>
    <cellStyle name="Normal 57 4 5 2 6 3" xfId="33130" xr:uid="{00000000-0005-0000-0000-00002F890000}"/>
    <cellStyle name="Normal 57 4 5 2 7" xfId="16814" xr:uid="{00000000-0005-0000-0000-000030890000}"/>
    <cellStyle name="Normal 57 4 5 2 7 2" xfId="42367" xr:uid="{00000000-0005-0000-0000-000031890000}"/>
    <cellStyle name="Normal 57 4 5 2 8" xfId="26786" xr:uid="{00000000-0005-0000-0000-000032890000}"/>
    <cellStyle name="Normal 57 4 5 3" xfId="1221" xr:uid="{00000000-0005-0000-0000-000033890000}"/>
    <cellStyle name="Normal 57 4 5 3 2" xfId="3650" xr:uid="{00000000-0005-0000-0000-000034890000}"/>
    <cellStyle name="Normal 57 4 5 3 2 2" xfId="12786" xr:uid="{00000000-0005-0000-0000-000035890000}"/>
    <cellStyle name="Normal 57 4 5 3 2 2 2" xfId="23005" xr:uid="{00000000-0005-0000-0000-000036890000}"/>
    <cellStyle name="Normal 57 4 5 3 2 2 2 2" xfId="48558" xr:uid="{00000000-0005-0000-0000-000037890000}"/>
    <cellStyle name="Normal 57 4 5 3 2 2 3" xfId="38341" xr:uid="{00000000-0005-0000-0000-000038890000}"/>
    <cellStyle name="Normal 57 4 5 3 2 3" xfId="9207" xr:uid="{00000000-0005-0000-0000-000039890000}"/>
    <cellStyle name="Normal 57 4 5 3 2 3 2" xfId="34764" xr:uid="{00000000-0005-0000-0000-00003A890000}"/>
    <cellStyle name="Normal 57 4 5 3 2 4" xfId="17998" xr:uid="{00000000-0005-0000-0000-00003B890000}"/>
    <cellStyle name="Normal 57 4 5 3 2 4 2" xfId="43551" xr:uid="{00000000-0005-0000-0000-00003C890000}"/>
    <cellStyle name="Normal 57 4 5 3 2 5" xfId="29488" xr:uid="{00000000-0005-0000-0000-00003D890000}"/>
    <cellStyle name="Normal 57 4 5 3 3" xfId="5021" xr:uid="{00000000-0005-0000-0000-00003E890000}"/>
    <cellStyle name="Normal 57 4 5 3 3 2" xfId="13858" xr:uid="{00000000-0005-0000-0000-00003F890000}"/>
    <cellStyle name="Normal 57 4 5 3 3 2 2" xfId="24109" xr:uid="{00000000-0005-0000-0000-000040890000}"/>
    <cellStyle name="Normal 57 4 5 3 3 2 2 2" xfId="49662" xr:uid="{00000000-0005-0000-0000-000041890000}"/>
    <cellStyle name="Normal 57 4 5 3 3 2 3" xfId="39413" xr:uid="{00000000-0005-0000-0000-000042890000}"/>
    <cellStyle name="Normal 57 4 5 3 3 3" xfId="10279" xr:uid="{00000000-0005-0000-0000-000043890000}"/>
    <cellStyle name="Normal 57 4 5 3 3 3 2" xfId="35836" xr:uid="{00000000-0005-0000-0000-000044890000}"/>
    <cellStyle name="Normal 57 4 5 3 3 4" xfId="19102" xr:uid="{00000000-0005-0000-0000-000045890000}"/>
    <cellStyle name="Normal 57 4 5 3 3 4 2" xfId="44655" xr:uid="{00000000-0005-0000-0000-000046890000}"/>
    <cellStyle name="Normal 57 4 5 3 3 5" xfId="30592" xr:uid="{00000000-0005-0000-0000-000047890000}"/>
    <cellStyle name="Normal 57 4 5 3 4" xfId="2044" xr:uid="{00000000-0005-0000-0000-000048890000}"/>
    <cellStyle name="Normal 57 4 5 3 4 2" xfId="11409" xr:uid="{00000000-0005-0000-0000-000049890000}"/>
    <cellStyle name="Normal 57 4 5 3 4 2 2" xfId="36964" xr:uid="{00000000-0005-0000-0000-00004A890000}"/>
    <cellStyle name="Normal 57 4 5 3 4 3" xfId="21413" xr:uid="{00000000-0005-0000-0000-00004B890000}"/>
    <cellStyle name="Normal 57 4 5 3 4 3 2" xfId="46966" xr:uid="{00000000-0005-0000-0000-00004C890000}"/>
    <cellStyle name="Normal 57 4 5 3 4 4" xfId="27896" xr:uid="{00000000-0005-0000-0000-00004D890000}"/>
    <cellStyle name="Normal 57 4 5 3 5" xfId="6476" xr:uid="{00000000-0005-0000-0000-00004E890000}"/>
    <cellStyle name="Normal 57 4 5 3 5 2" xfId="15303" xr:uid="{00000000-0005-0000-0000-00004F890000}"/>
    <cellStyle name="Normal 57 4 5 3 5 2 2" xfId="40858" xr:uid="{00000000-0005-0000-0000-000050890000}"/>
    <cellStyle name="Normal 57 4 5 3 5 3" xfId="25554" xr:uid="{00000000-0005-0000-0000-000051890000}"/>
    <cellStyle name="Normal 57 4 5 3 5 3 2" xfId="51107" xr:uid="{00000000-0005-0000-0000-000052890000}"/>
    <cellStyle name="Normal 57 4 5 3 5 4" xfId="32037" xr:uid="{00000000-0005-0000-0000-000053890000}"/>
    <cellStyle name="Normal 57 4 5 3 6" xfId="7922" xr:uid="{00000000-0005-0000-0000-000054890000}"/>
    <cellStyle name="Normal 57 4 5 3 6 2" xfId="20604" xr:uid="{00000000-0005-0000-0000-000055890000}"/>
    <cellStyle name="Normal 57 4 5 3 6 2 2" xfId="46157" xr:uid="{00000000-0005-0000-0000-000056890000}"/>
    <cellStyle name="Normal 57 4 5 3 6 3" xfId="33479" xr:uid="{00000000-0005-0000-0000-000057890000}"/>
    <cellStyle name="Normal 57 4 5 3 7" xfId="16406" xr:uid="{00000000-0005-0000-0000-000058890000}"/>
    <cellStyle name="Normal 57 4 5 3 7 2" xfId="41959" xr:uid="{00000000-0005-0000-0000-000059890000}"/>
    <cellStyle name="Normal 57 4 5 3 8" xfId="27087" xr:uid="{00000000-0005-0000-0000-00005A890000}"/>
    <cellStyle name="Normal 57 4 5 4" xfId="2935" xr:uid="{00000000-0005-0000-0000-00005B890000}"/>
    <cellStyle name="Normal 57 4 5 4 2" xfId="5313" xr:uid="{00000000-0005-0000-0000-00005C890000}"/>
    <cellStyle name="Normal 57 4 5 4 2 2" xfId="14150" xr:uid="{00000000-0005-0000-0000-00005D890000}"/>
    <cellStyle name="Normal 57 4 5 4 2 2 2" xfId="24401" xr:uid="{00000000-0005-0000-0000-00005E890000}"/>
    <cellStyle name="Normal 57 4 5 4 2 2 2 2" xfId="49954" xr:uid="{00000000-0005-0000-0000-00005F890000}"/>
    <cellStyle name="Normal 57 4 5 4 2 2 3" xfId="39705" xr:uid="{00000000-0005-0000-0000-000060890000}"/>
    <cellStyle name="Normal 57 4 5 4 2 3" xfId="10571" xr:uid="{00000000-0005-0000-0000-000061890000}"/>
    <cellStyle name="Normal 57 4 5 4 2 3 2" xfId="36128" xr:uid="{00000000-0005-0000-0000-000062890000}"/>
    <cellStyle name="Normal 57 4 5 4 2 4" xfId="19394" xr:uid="{00000000-0005-0000-0000-000063890000}"/>
    <cellStyle name="Normal 57 4 5 4 2 4 2" xfId="44947" xr:uid="{00000000-0005-0000-0000-000064890000}"/>
    <cellStyle name="Normal 57 4 5 4 2 5" xfId="30884" xr:uid="{00000000-0005-0000-0000-000065890000}"/>
    <cellStyle name="Normal 57 4 5 4 3" xfId="6768" xr:uid="{00000000-0005-0000-0000-000066890000}"/>
    <cellStyle name="Normal 57 4 5 4 3 2" xfId="15595" xr:uid="{00000000-0005-0000-0000-000067890000}"/>
    <cellStyle name="Normal 57 4 5 4 3 2 2" xfId="41150" xr:uid="{00000000-0005-0000-0000-000068890000}"/>
    <cellStyle name="Normal 57 4 5 4 3 3" xfId="25846" xr:uid="{00000000-0005-0000-0000-000069890000}"/>
    <cellStyle name="Normal 57 4 5 4 3 3 2" xfId="51399" xr:uid="{00000000-0005-0000-0000-00006A890000}"/>
    <cellStyle name="Normal 57 4 5 4 3 4" xfId="32329" xr:uid="{00000000-0005-0000-0000-00006B890000}"/>
    <cellStyle name="Normal 57 4 5 4 4" xfId="8214" xr:uid="{00000000-0005-0000-0000-00006C890000}"/>
    <cellStyle name="Normal 57 4 5 4 4 2" xfId="22296" xr:uid="{00000000-0005-0000-0000-00006D890000}"/>
    <cellStyle name="Normal 57 4 5 4 4 2 2" xfId="47849" xr:uid="{00000000-0005-0000-0000-00006E890000}"/>
    <cellStyle name="Normal 57 4 5 4 4 3" xfId="33771" xr:uid="{00000000-0005-0000-0000-00006F890000}"/>
    <cellStyle name="Normal 57 4 5 4 5" xfId="17289" xr:uid="{00000000-0005-0000-0000-000070890000}"/>
    <cellStyle name="Normal 57 4 5 4 5 2" xfId="42842" xr:uid="{00000000-0005-0000-0000-000071890000}"/>
    <cellStyle name="Normal 57 4 5 4 6" xfId="28779" xr:uid="{00000000-0005-0000-0000-000072890000}"/>
    <cellStyle name="Normal 57 4 5 5" xfId="4269" xr:uid="{00000000-0005-0000-0000-000073890000}"/>
    <cellStyle name="Normal 57 4 5 5 2" xfId="13107" xr:uid="{00000000-0005-0000-0000-000074890000}"/>
    <cellStyle name="Normal 57 4 5 5 2 2" xfId="23358" xr:uid="{00000000-0005-0000-0000-000075890000}"/>
    <cellStyle name="Normal 57 4 5 5 2 2 2" xfId="48911" xr:uid="{00000000-0005-0000-0000-000076890000}"/>
    <cellStyle name="Normal 57 4 5 5 2 3" xfId="38662" xr:uid="{00000000-0005-0000-0000-000077890000}"/>
    <cellStyle name="Normal 57 4 5 5 3" xfId="9528" xr:uid="{00000000-0005-0000-0000-000078890000}"/>
    <cellStyle name="Normal 57 4 5 5 3 2" xfId="35085" xr:uid="{00000000-0005-0000-0000-000079890000}"/>
    <cellStyle name="Normal 57 4 5 5 4" xfId="18351" xr:uid="{00000000-0005-0000-0000-00007A890000}"/>
    <cellStyle name="Normal 57 4 5 5 4 2" xfId="43904" xr:uid="{00000000-0005-0000-0000-00007B890000}"/>
    <cellStyle name="Normal 57 4 5 5 5" xfId="29841" xr:uid="{00000000-0005-0000-0000-00007C890000}"/>
    <cellStyle name="Normal 57 4 5 6" xfId="1541" xr:uid="{00000000-0005-0000-0000-00007D890000}"/>
    <cellStyle name="Normal 57 4 5 6 2" xfId="10918" xr:uid="{00000000-0005-0000-0000-00007E890000}"/>
    <cellStyle name="Normal 57 4 5 6 2 2" xfId="36473" xr:uid="{00000000-0005-0000-0000-00007F890000}"/>
    <cellStyle name="Normal 57 4 5 6 3" xfId="20922" xr:uid="{00000000-0005-0000-0000-000080890000}"/>
    <cellStyle name="Normal 57 4 5 6 3 2" xfId="46475" xr:uid="{00000000-0005-0000-0000-000081890000}"/>
    <cellStyle name="Normal 57 4 5 6 4" xfId="27405" xr:uid="{00000000-0005-0000-0000-000082890000}"/>
    <cellStyle name="Normal 57 4 5 7" xfId="5725" xr:uid="{00000000-0005-0000-0000-000083890000}"/>
    <cellStyle name="Normal 57 4 5 7 2" xfId="14552" xr:uid="{00000000-0005-0000-0000-000084890000}"/>
    <cellStyle name="Normal 57 4 5 7 2 2" xfId="40107" xr:uid="{00000000-0005-0000-0000-000085890000}"/>
    <cellStyle name="Normal 57 4 5 7 3" xfId="24803" xr:uid="{00000000-0005-0000-0000-000086890000}"/>
    <cellStyle name="Normal 57 4 5 7 3 2" xfId="50356" xr:uid="{00000000-0005-0000-0000-000087890000}"/>
    <cellStyle name="Normal 57 4 5 7 4" xfId="31286" xr:uid="{00000000-0005-0000-0000-000088890000}"/>
    <cellStyle name="Normal 57 4 5 8" xfId="7169" xr:uid="{00000000-0005-0000-0000-000089890000}"/>
    <cellStyle name="Normal 57 4 5 8 2" xfId="19895" xr:uid="{00000000-0005-0000-0000-00008A890000}"/>
    <cellStyle name="Normal 57 4 5 8 2 2" xfId="45448" xr:uid="{00000000-0005-0000-0000-00008B890000}"/>
    <cellStyle name="Normal 57 4 5 8 3" xfId="32726" xr:uid="{00000000-0005-0000-0000-00008C890000}"/>
    <cellStyle name="Normal 57 4 5 9" xfId="15915" xr:uid="{00000000-0005-0000-0000-00008D890000}"/>
    <cellStyle name="Normal 57 4 5 9 2" xfId="41468" xr:uid="{00000000-0005-0000-0000-00008E890000}"/>
    <cellStyle name="Normal 57 4 5_Degree data" xfId="3964" xr:uid="{00000000-0005-0000-0000-00008F890000}"/>
    <cellStyle name="Normal 57 4 6" xfId="318" xr:uid="{00000000-0005-0000-0000-000090890000}"/>
    <cellStyle name="Normal 57 4 6 10" xfId="26247" xr:uid="{00000000-0005-0000-0000-000091890000}"/>
    <cellStyle name="Normal 57 4 6 2" xfId="859" xr:uid="{00000000-0005-0000-0000-000092890000}"/>
    <cellStyle name="Normal 57 4 6 2 2" xfId="3344" xr:uid="{00000000-0005-0000-0000-000093890000}"/>
    <cellStyle name="Normal 57 4 6 2 2 2" xfId="12486" xr:uid="{00000000-0005-0000-0000-000094890000}"/>
    <cellStyle name="Normal 57 4 6 2 2 2 2" xfId="22705" xr:uid="{00000000-0005-0000-0000-000095890000}"/>
    <cellStyle name="Normal 57 4 6 2 2 2 2 2" xfId="48258" xr:uid="{00000000-0005-0000-0000-000096890000}"/>
    <cellStyle name="Normal 57 4 6 2 2 2 3" xfId="38041" xr:uid="{00000000-0005-0000-0000-000097890000}"/>
    <cellStyle name="Normal 57 4 6 2 2 3" xfId="8908" xr:uid="{00000000-0005-0000-0000-000098890000}"/>
    <cellStyle name="Normal 57 4 6 2 2 3 2" xfId="34465" xr:uid="{00000000-0005-0000-0000-000099890000}"/>
    <cellStyle name="Normal 57 4 6 2 2 4" xfId="17698" xr:uid="{00000000-0005-0000-0000-00009A890000}"/>
    <cellStyle name="Normal 57 4 6 2 2 4 2" xfId="43251" xr:uid="{00000000-0005-0000-0000-00009B890000}"/>
    <cellStyle name="Normal 57 4 6 2 2 5" xfId="29188" xr:uid="{00000000-0005-0000-0000-00009C890000}"/>
    <cellStyle name="Normal 57 4 6 2 3" xfId="4673" xr:uid="{00000000-0005-0000-0000-00009D890000}"/>
    <cellStyle name="Normal 57 4 6 2 3 2" xfId="13511" xr:uid="{00000000-0005-0000-0000-00009E890000}"/>
    <cellStyle name="Normal 57 4 6 2 3 2 2" xfId="23762" xr:uid="{00000000-0005-0000-0000-00009F890000}"/>
    <cellStyle name="Normal 57 4 6 2 3 2 2 2" xfId="49315" xr:uid="{00000000-0005-0000-0000-0000A0890000}"/>
    <cellStyle name="Normal 57 4 6 2 3 2 3" xfId="39066" xr:uid="{00000000-0005-0000-0000-0000A1890000}"/>
    <cellStyle name="Normal 57 4 6 2 3 3" xfId="9932" xr:uid="{00000000-0005-0000-0000-0000A2890000}"/>
    <cellStyle name="Normal 57 4 6 2 3 3 2" xfId="35489" xr:uid="{00000000-0005-0000-0000-0000A3890000}"/>
    <cellStyle name="Normal 57 4 6 2 3 4" xfId="18755" xr:uid="{00000000-0005-0000-0000-0000A4890000}"/>
    <cellStyle name="Normal 57 4 6 2 3 4 2" xfId="44308" xr:uid="{00000000-0005-0000-0000-0000A5890000}"/>
    <cellStyle name="Normal 57 4 6 2 3 5" xfId="30245" xr:uid="{00000000-0005-0000-0000-0000A6890000}"/>
    <cellStyle name="Normal 57 4 6 2 4" xfId="2453" xr:uid="{00000000-0005-0000-0000-0000A7890000}"/>
    <cellStyle name="Normal 57 4 6 2 4 2" xfId="11818" xr:uid="{00000000-0005-0000-0000-0000A8890000}"/>
    <cellStyle name="Normal 57 4 6 2 4 2 2" xfId="37373" xr:uid="{00000000-0005-0000-0000-0000A9890000}"/>
    <cellStyle name="Normal 57 4 6 2 4 3" xfId="21822" xr:uid="{00000000-0005-0000-0000-0000AA890000}"/>
    <cellStyle name="Normal 57 4 6 2 4 3 2" xfId="47375" xr:uid="{00000000-0005-0000-0000-0000AB890000}"/>
    <cellStyle name="Normal 57 4 6 2 4 4" xfId="28305" xr:uid="{00000000-0005-0000-0000-0000AC890000}"/>
    <cellStyle name="Normal 57 4 6 2 5" xfId="6129" xr:uid="{00000000-0005-0000-0000-0000AD890000}"/>
    <cellStyle name="Normal 57 4 6 2 5 2" xfId="14956" xr:uid="{00000000-0005-0000-0000-0000AE890000}"/>
    <cellStyle name="Normal 57 4 6 2 5 2 2" xfId="40511" xr:uid="{00000000-0005-0000-0000-0000AF890000}"/>
    <cellStyle name="Normal 57 4 6 2 5 3" xfId="25207" xr:uid="{00000000-0005-0000-0000-0000B0890000}"/>
    <cellStyle name="Normal 57 4 6 2 5 3 2" xfId="50760" xr:uid="{00000000-0005-0000-0000-0000B1890000}"/>
    <cellStyle name="Normal 57 4 6 2 5 4" xfId="31690" xr:uid="{00000000-0005-0000-0000-0000B2890000}"/>
    <cellStyle name="Normal 57 4 6 2 6" xfId="7574" xr:uid="{00000000-0005-0000-0000-0000B3890000}"/>
    <cellStyle name="Normal 57 4 6 2 6 2" xfId="20304" xr:uid="{00000000-0005-0000-0000-0000B4890000}"/>
    <cellStyle name="Normal 57 4 6 2 6 2 2" xfId="45857" xr:uid="{00000000-0005-0000-0000-0000B5890000}"/>
    <cellStyle name="Normal 57 4 6 2 6 3" xfId="33131" xr:uid="{00000000-0005-0000-0000-0000B6890000}"/>
    <cellStyle name="Normal 57 4 6 2 7" xfId="16815" xr:uid="{00000000-0005-0000-0000-0000B7890000}"/>
    <cellStyle name="Normal 57 4 6 2 7 2" xfId="42368" xr:uid="{00000000-0005-0000-0000-0000B8890000}"/>
    <cellStyle name="Normal 57 4 6 2 8" xfId="26787" xr:uid="{00000000-0005-0000-0000-0000B9890000}"/>
    <cellStyle name="Normal 57 4 6 3" xfId="1090" xr:uid="{00000000-0005-0000-0000-0000BA890000}"/>
    <cellStyle name="Normal 57 4 6 3 2" xfId="3519" xr:uid="{00000000-0005-0000-0000-0000BB890000}"/>
    <cellStyle name="Normal 57 4 6 3 2 2" xfId="12655" xr:uid="{00000000-0005-0000-0000-0000BC890000}"/>
    <cellStyle name="Normal 57 4 6 3 2 2 2" xfId="22874" xr:uid="{00000000-0005-0000-0000-0000BD890000}"/>
    <cellStyle name="Normal 57 4 6 3 2 2 2 2" xfId="48427" xr:uid="{00000000-0005-0000-0000-0000BE890000}"/>
    <cellStyle name="Normal 57 4 6 3 2 2 3" xfId="38210" xr:uid="{00000000-0005-0000-0000-0000BF890000}"/>
    <cellStyle name="Normal 57 4 6 3 2 3" xfId="9077" xr:uid="{00000000-0005-0000-0000-0000C0890000}"/>
    <cellStyle name="Normal 57 4 6 3 2 3 2" xfId="34634" xr:uid="{00000000-0005-0000-0000-0000C1890000}"/>
    <cellStyle name="Normal 57 4 6 3 2 4" xfId="17867" xr:uid="{00000000-0005-0000-0000-0000C2890000}"/>
    <cellStyle name="Normal 57 4 6 3 2 4 2" xfId="43420" xr:uid="{00000000-0005-0000-0000-0000C3890000}"/>
    <cellStyle name="Normal 57 4 6 3 2 5" xfId="29357" xr:uid="{00000000-0005-0000-0000-0000C4890000}"/>
    <cellStyle name="Normal 57 4 6 3 3" xfId="5022" xr:uid="{00000000-0005-0000-0000-0000C5890000}"/>
    <cellStyle name="Normal 57 4 6 3 3 2" xfId="13859" xr:uid="{00000000-0005-0000-0000-0000C6890000}"/>
    <cellStyle name="Normal 57 4 6 3 3 2 2" xfId="24110" xr:uid="{00000000-0005-0000-0000-0000C7890000}"/>
    <cellStyle name="Normal 57 4 6 3 3 2 2 2" xfId="49663" xr:uid="{00000000-0005-0000-0000-0000C8890000}"/>
    <cellStyle name="Normal 57 4 6 3 3 2 3" xfId="39414" xr:uid="{00000000-0005-0000-0000-0000C9890000}"/>
    <cellStyle name="Normal 57 4 6 3 3 3" xfId="10280" xr:uid="{00000000-0005-0000-0000-0000CA890000}"/>
    <cellStyle name="Normal 57 4 6 3 3 3 2" xfId="35837" xr:uid="{00000000-0005-0000-0000-0000CB890000}"/>
    <cellStyle name="Normal 57 4 6 3 3 4" xfId="19103" xr:uid="{00000000-0005-0000-0000-0000CC890000}"/>
    <cellStyle name="Normal 57 4 6 3 3 4 2" xfId="44656" xr:uid="{00000000-0005-0000-0000-0000CD890000}"/>
    <cellStyle name="Normal 57 4 6 3 3 5" xfId="30593" xr:uid="{00000000-0005-0000-0000-0000CE890000}"/>
    <cellStyle name="Normal 57 4 6 3 4" xfId="2592" xr:uid="{00000000-0005-0000-0000-0000CF890000}"/>
    <cellStyle name="Normal 57 4 6 3 4 2" xfId="11956" xr:uid="{00000000-0005-0000-0000-0000D0890000}"/>
    <cellStyle name="Normal 57 4 6 3 4 2 2" xfId="37511" xr:uid="{00000000-0005-0000-0000-0000D1890000}"/>
    <cellStyle name="Normal 57 4 6 3 4 3" xfId="21960" xr:uid="{00000000-0005-0000-0000-0000D2890000}"/>
    <cellStyle name="Normal 57 4 6 3 4 3 2" xfId="47513" xr:uid="{00000000-0005-0000-0000-0000D3890000}"/>
    <cellStyle name="Normal 57 4 6 3 4 4" xfId="28443" xr:uid="{00000000-0005-0000-0000-0000D4890000}"/>
    <cellStyle name="Normal 57 4 6 3 5" xfId="6477" xr:uid="{00000000-0005-0000-0000-0000D5890000}"/>
    <cellStyle name="Normal 57 4 6 3 5 2" xfId="15304" xr:uid="{00000000-0005-0000-0000-0000D6890000}"/>
    <cellStyle name="Normal 57 4 6 3 5 2 2" xfId="40859" xr:uid="{00000000-0005-0000-0000-0000D7890000}"/>
    <cellStyle name="Normal 57 4 6 3 5 3" xfId="25555" xr:uid="{00000000-0005-0000-0000-0000D8890000}"/>
    <cellStyle name="Normal 57 4 6 3 5 3 2" xfId="51108" xr:uid="{00000000-0005-0000-0000-0000D9890000}"/>
    <cellStyle name="Normal 57 4 6 3 5 4" xfId="32038" xr:uid="{00000000-0005-0000-0000-0000DA890000}"/>
    <cellStyle name="Normal 57 4 6 3 6" xfId="7923" xr:uid="{00000000-0005-0000-0000-0000DB890000}"/>
    <cellStyle name="Normal 57 4 6 3 6 2" xfId="20473" xr:uid="{00000000-0005-0000-0000-0000DC890000}"/>
    <cellStyle name="Normal 57 4 6 3 6 2 2" xfId="46026" xr:uid="{00000000-0005-0000-0000-0000DD890000}"/>
    <cellStyle name="Normal 57 4 6 3 6 3" xfId="33480" xr:uid="{00000000-0005-0000-0000-0000DE890000}"/>
    <cellStyle name="Normal 57 4 6 3 7" xfId="16953" xr:uid="{00000000-0005-0000-0000-0000DF890000}"/>
    <cellStyle name="Normal 57 4 6 3 7 2" xfId="42506" xr:uid="{00000000-0005-0000-0000-0000E0890000}"/>
    <cellStyle name="Normal 57 4 6 3 8" xfId="26956" xr:uid="{00000000-0005-0000-0000-0000E1890000}"/>
    <cellStyle name="Normal 57 4 6 4" xfId="2804" xr:uid="{00000000-0005-0000-0000-0000E2890000}"/>
    <cellStyle name="Normal 57 4 6 4 2" xfId="5182" xr:uid="{00000000-0005-0000-0000-0000E3890000}"/>
    <cellStyle name="Normal 57 4 6 4 2 2" xfId="14019" xr:uid="{00000000-0005-0000-0000-0000E4890000}"/>
    <cellStyle name="Normal 57 4 6 4 2 2 2" xfId="24270" xr:uid="{00000000-0005-0000-0000-0000E5890000}"/>
    <cellStyle name="Normal 57 4 6 4 2 2 2 2" xfId="49823" xr:uid="{00000000-0005-0000-0000-0000E6890000}"/>
    <cellStyle name="Normal 57 4 6 4 2 2 3" xfId="39574" xr:uid="{00000000-0005-0000-0000-0000E7890000}"/>
    <cellStyle name="Normal 57 4 6 4 2 3" xfId="10440" xr:uid="{00000000-0005-0000-0000-0000E8890000}"/>
    <cellStyle name="Normal 57 4 6 4 2 3 2" xfId="35997" xr:uid="{00000000-0005-0000-0000-0000E9890000}"/>
    <cellStyle name="Normal 57 4 6 4 2 4" xfId="19263" xr:uid="{00000000-0005-0000-0000-0000EA890000}"/>
    <cellStyle name="Normal 57 4 6 4 2 4 2" xfId="44816" xr:uid="{00000000-0005-0000-0000-0000EB890000}"/>
    <cellStyle name="Normal 57 4 6 4 2 5" xfId="30753" xr:uid="{00000000-0005-0000-0000-0000EC890000}"/>
    <cellStyle name="Normal 57 4 6 4 3" xfId="6637" xr:uid="{00000000-0005-0000-0000-0000ED890000}"/>
    <cellStyle name="Normal 57 4 6 4 3 2" xfId="15464" xr:uid="{00000000-0005-0000-0000-0000EE890000}"/>
    <cellStyle name="Normal 57 4 6 4 3 2 2" xfId="41019" xr:uid="{00000000-0005-0000-0000-0000EF890000}"/>
    <cellStyle name="Normal 57 4 6 4 3 3" xfId="25715" xr:uid="{00000000-0005-0000-0000-0000F0890000}"/>
    <cellStyle name="Normal 57 4 6 4 3 3 2" xfId="51268" xr:uid="{00000000-0005-0000-0000-0000F1890000}"/>
    <cellStyle name="Normal 57 4 6 4 3 4" xfId="32198" xr:uid="{00000000-0005-0000-0000-0000F2890000}"/>
    <cellStyle name="Normal 57 4 6 4 4" xfId="8083" xr:uid="{00000000-0005-0000-0000-0000F3890000}"/>
    <cellStyle name="Normal 57 4 6 4 4 2" xfId="22165" xr:uid="{00000000-0005-0000-0000-0000F4890000}"/>
    <cellStyle name="Normal 57 4 6 4 4 2 2" xfId="47718" xr:uid="{00000000-0005-0000-0000-0000F5890000}"/>
    <cellStyle name="Normal 57 4 6 4 4 3" xfId="33640" xr:uid="{00000000-0005-0000-0000-0000F6890000}"/>
    <cellStyle name="Normal 57 4 6 4 5" xfId="17158" xr:uid="{00000000-0005-0000-0000-0000F7890000}"/>
    <cellStyle name="Normal 57 4 6 4 5 2" xfId="42711" xr:uid="{00000000-0005-0000-0000-0000F8890000}"/>
    <cellStyle name="Normal 57 4 6 4 6" xfId="28648" xr:uid="{00000000-0005-0000-0000-0000F9890000}"/>
    <cellStyle name="Normal 57 4 6 5" xfId="4136" xr:uid="{00000000-0005-0000-0000-0000FA890000}"/>
    <cellStyle name="Normal 57 4 6 5 2" xfId="12974" xr:uid="{00000000-0005-0000-0000-0000FB890000}"/>
    <cellStyle name="Normal 57 4 6 5 2 2" xfId="23225" xr:uid="{00000000-0005-0000-0000-0000FC890000}"/>
    <cellStyle name="Normal 57 4 6 5 2 2 2" xfId="48778" xr:uid="{00000000-0005-0000-0000-0000FD890000}"/>
    <cellStyle name="Normal 57 4 6 5 2 3" xfId="38529" xr:uid="{00000000-0005-0000-0000-0000FE890000}"/>
    <cellStyle name="Normal 57 4 6 5 3" xfId="9395" xr:uid="{00000000-0005-0000-0000-0000FF890000}"/>
    <cellStyle name="Normal 57 4 6 5 3 2" xfId="34952" xr:uid="{00000000-0005-0000-0000-0000008A0000}"/>
    <cellStyle name="Normal 57 4 6 5 4" xfId="18218" xr:uid="{00000000-0005-0000-0000-0000018A0000}"/>
    <cellStyle name="Normal 57 4 6 5 4 2" xfId="43771" xr:uid="{00000000-0005-0000-0000-0000028A0000}"/>
    <cellStyle name="Normal 57 4 6 5 5" xfId="29708" xr:uid="{00000000-0005-0000-0000-0000038A0000}"/>
    <cellStyle name="Normal 57 4 6 6" xfId="1913" xr:uid="{00000000-0005-0000-0000-0000048A0000}"/>
    <cellStyle name="Normal 57 4 6 6 2" xfId="11278" xr:uid="{00000000-0005-0000-0000-0000058A0000}"/>
    <cellStyle name="Normal 57 4 6 6 2 2" xfId="36833" xr:uid="{00000000-0005-0000-0000-0000068A0000}"/>
    <cellStyle name="Normal 57 4 6 6 3" xfId="21282" xr:uid="{00000000-0005-0000-0000-0000078A0000}"/>
    <cellStyle name="Normal 57 4 6 6 3 2" xfId="46835" xr:uid="{00000000-0005-0000-0000-0000088A0000}"/>
    <cellStyle name="Normal 57 4 6 6 4" xfId="27765" xr:uid="{00000000-0005-0000-0000-0000098A0000}"/>
    <cellStyle name="Normal 57 4 6 7" xfId="5594" xr:uid="{00000000-0005-0000-0000-00000A8A0000}"/>
    <cellStyle name="Normal 57 4 6 7 2" xfId="14421" xr:uid="{00000000-0005-0000-0000-00000B8A0000}"/>
    <cellStyle name="Normal 57 4 6 7 2 2" xfId="39976" xr:uid="{00000000-0005-0000-0000-00000C8A0000}"/>
    <cellStyle name="Normal 57 4 6 7 3" xfId="24672" xr:uid="{00000000-0005-0000-0000-00000D8A0000}"/>
    <cellStyle name="Normal 57 4 6 7 3 2" xfId="50225" xr:uid="{00000000-0005-0000-0000-00000E8A0000}"/>
    <cellStyle name="Normal 57 4 6 7 4" xfId="31155" xr:uid="{00000000-0005-0000-0000-00000F8A0000}"/>
    <cellStyle name="Normal 57 4 6 8" xfId="7038" xr:uid="{00000000-0005-0000-0000-0000108A0000}"/>
    <cellStyle name="Normal 57 4 6 8 2" xfId="19764" xr:uid="{00000000-0005-0000-0000-0000118A0000}"/>
    <cellStyle name="Normal 57 4 6 8 2 2" xfId="45317" xr:uid="{00000000-0005-0000-0000-0000128A0000}"/>
    <cellStyle name="Normal 57 4 6 8 3" xfId="32595" xr:uid="{00000000-0005-0000-0000-0000138A0000}"/>
    <cellStyle name="Normal 57 4 6 9" xfId="16275" xr:uid="{00000000-0005-0000-0000-0000148A0000}"/>
    <cellStyle name="Normal 57 4 6 9 2" xfId="41828" xr:uid="{00000000-0005-0000-0000-0000158A0000}"/>
    <cellStyle name="Normal 57 4 6_Degree data" xfId="3965" xr:uid="{00000000-0005-0000-0000-0000168A0000}"/>
    <cellStyle name="Normal 57 4 7" xfId="849" xr:uid="{00000000-0005-0000-0000-0000178A0000}"/>
    <cellStyle name="Normal 57 4 7 2" xfId="3334" xr:uid="{00000000-0005-0000-0000-0000188A0000}"/>
    <cellStyle name="Normal 57 4 7 2 2" xfId="12476" xr:uid="{00000000-0005-0000-0000-0000198A0000}"/>
    <cellStyle name="Normal 57 4 7 2 2 2" xfId="22695" xr:uid="{00000000-0005-0000-0000-00001A8A0000}"/>
    <cellStyle name="Normal 57 4 7 2 2 2 2" xfId="48248" xr:uid="{00000000-0005-0000-0000-00001B8A0000}"/>
    <cellStyle name="Normal 57 4 7 2 2 3" xfId="38031" xr:uid="{00000000-0005-0000-0000-00001C8A0000}"/>
    <cellStyle name="Normal 57 4 7 2 3" xfId="8898" xr:uid="{00000000-0005-0000-0000-00001D8A0000}"/>
    <cellStyle name="Normal 57 4 7 2 3 2" xfId="34455" xr:uid="{00000000-0005-0000-0000-00001E8A0000}"/>
    <cellStyle name="Normal 57 4 7 2 4" xfId="17688" xr:uid="{00000000-0005-0000-0000-00001F8A0000}"/>
    <cellStyle name="Normal 57 4 7 2 4 2" xfId="43241" xr:uid="{00000000-0005-0000-0000-0000208A0000}"/>
    <cellStyle name="Normal 57 4 7 2 5" xfId="29178" xr:uid="{00000000-0005-0000-0000-0000218A0000}"/>
    <cellStyle name="Normal 57 4 7 3" xfId="4663" xr:uid="{00000000-0005-0000-0000-0000228A0000}"/>
    <cellStyle name="Normal 57 4 7 3 2" xfId="13501" xr:uid="{00000000-0005-0000-0000-0000238A0000}"/>
    <cellStyle name="Normal 57 4 7 3 2 2" xfId="23752" xr:uid="{00000000-0005-0000-0000-0000248A0000}"/>
    <cellStyle name="Normal 57 4 7 3 2 2 2" xfId="49305" xr:uid="{00000000-0005-0000-0000-0000258A0000}"/>
    <cellStyle name="Normal 57 4 7 3 2 3" xfId="39056" xr:uid="{00000000-0005-0000-0000-0000268A0000}"/>
    <cellStyle name="Normal 57 4 7 3 3" xfId="9922" xr:uid="{00000000-0005-0000-0000-0000278A0000}"/>
    <cellStyle name="Normal 57 4 7 3 3 2" xfId="35479" xr:uid="{00000000-0005-0000-0000-0000288A0000}"/>
    <cellStyle name="Normal 57 4 7 3 4" xfId="18745" xr:uid="{00000000-0005-0000-0000-0000298A0000}"/>
    <cellStyle name="Normal 57 4 7 3 4 2" xfId="44298" xr:uid="{00000000-0005-0000-0000-00002A8A0000}"/>
    <cellStyle name="Normal 57 4 7 3 5" xfId="30235" xr:uid="{00000000-0005-0000-0000-00002B8A0000}"/>
    <cellStyle name="Normal 57 4 7 4" xfId="2443" xr:uid="{00000000-0005-0000-0000-00002C8A0000}"/>
    <cellStyle name="Normal 57 4 7 4 2" xfId="11808" xr:uid="{00000000-0005-0000-0000-00002D8A0000}"/>
    <cellStyle name="Normal 57 4 7 4 2 2" xfId="37363" xr:uid="{00000000-0005-0000-0000-00002E8A0000}"/>
    <cellStyle name="Normal 57 4 7 4 3" xfId="21812" xr:uid="{00000000-0005-0000-0000-00002F8A0000}"/>
    <cellStyle name="Normal 57 4 7 4 3 2" xfId="47365" xr:uid="{00000000-0005-0000-0000-0000308A0000}"/>
    <cellStyle name="Normal 57 4 7 4 4" xfId="28295" xr:uid="{00000000-0005-0000-0000-0000318A0000}"/>
    <cellStyle name="Normal 57 4 7 5" xfId="6119" xr:uid="{00000000-0005-0000-0000-0000328A0000}"/>
    <cellStyle name="Normal 57 4 7 5 2" xfId="14946" xr:uid="{00000000-0005-0000-0000-0000338A0000}"/>
    <cellStyle name="Normal 57 4 7 5 2 2" xfId="40501" xr:uid="{00000000-0005-0000-0000-0000348A0000}"/>
    <cellStyle name="Normal 57 4 7 5 3" xfId="25197" xr:uid="{00000000-0005-0000-0000-0000358A0000}"/>
    <cellStyle name="Normal 57 4 7 5 3 2" xfId="50750" xr:uid="{00000000-0005-0000-0000-0000368A0000}"/>
    <cellStyle name="Normal 57 4 7 5 4" xfId="31680" xr:uid="{00000000-0005-0000-0000-0000378A0000}"/>
    <cellStyle name="Normal 57 4 7 6" xfId="7564" xr:uid="{00000000-0005-0000-0000-0000388A0000}"/>
    <cellStyle name="Normal 57 4 7 6 2" xfId="20294" xr:uid="{00000000-0005-0000-0000-0000398A0000}"/>
    <cellStyle name="Normal 57 4 7 6 2 2" xfId="45847" xr:uid="{00000000-0005-0000-0000-00003A8A0000}"/>
    <cellStyle name="Normal 57 4 7 6 3" xfId="33121" xr:uid="{00000000-0005-0000-0000-00003B8A0000}"/>
    <cellStyle name="Normal 57 4 7 7" xfId="16805" xr:uid="{00000000-0005-0000-0000-00003C8A0000}"/>
    <cellStyle name="Normal 57 4 7 7 2" xfId="42358" xr:uid="{00000000-0005-0000-0000-00003D8A0000}"/>
    <cellStyle name="Normal 57 4 7 8" xfId="26777" xr:uid="{00000000-0005-0000-0000-00003E8A0000}"/>
    <cellStyle name="Normal 57 4 8" xfId="1047" xr:uid="{00000000-0005-0000-0000-00003F8A0000}"/>
    <cellStyle name="Normal 57 4 8 2" xfId="3476" xr:uid="{00000000-0005-0000-0000-0000408A0000}"/>
    <cellStyle name="Normal 57 4 8 2 2" xfId="12612" xr:uid="{00000000-0005-0000-0000-0000418A0000}"/>
    <cellStyle name="Normal 57 4 8 2 2 2" xfId="22831" xr:uid="{00000000-0005-0000-0000-0000428A0000}"/>
    <cellStyle name="Normal 57 4 8 2 2 2 2" xfId="48384" xr:uid="{00000000-0005-0000-0000-0000438A0000}"/>
    <cellStyle name="Normal 57 4 8 2 2 3" xfId="38167" xr:uid="{00000000-0005-0000-0000-0000448A0000}"/>
    <cellStyle name="Normal 57 4 8 2 3" xfId="9034" xr:uid="{00000000-0005-0000-0000-0000458A0000}"/>
    <cellStyle name="Normal 57 4 8 2 3 2" xfId="34591" xr:uid="{00000000-0005-0000-0000-0000468A0000}"/>
    <cellStyle name="Normal 57 4 8 2 4" xfId="17824" xr:uid="{00000000-0005-0000-0000-0000478A0000}"/>
    <cellStyle name="Normal 57 4 8 2 4 2" xfId="43377" xr:uid="{00000000-0005-0000-0000-0000488A0000}"/>
    <cellStyle name="Normal 57 4 8 2 5" xfId="29314" xr:uid="{00000000-0005-0000-0000-0000498A0000}"/>
    <cellStyle name="Normal 57 4 8 3" xfId="5012" xr:uid="{00000000-0005-0000-0000-00004A8A0000}"/>
    <cellStyle name="Normal 57 4 8 3 2" xfId="13849" xr:uid="{00000000-0005-0000-0000-00004B8A0000}"/>
    <cellStyle name="Normal 57 4 8 3 2 2" xfId="24100" xr:uid="{00000000-0005-0000-0000-00004C8A0000}"/>
    <cellStyle name="Normal 57 4 8 3 2 2 2" xfId="49653" xr:uid="{00000000-0005-0000-0000-00004D8A0000}"/>
    <cellStyle name="Normal 57 4 8 3 2 3" xfId="39404" xr:uid="{00000000-0005-0000-0000-00004E8A0000}"/>
    <cellStyle name="Normal 57 4 8 3 3" xfId="10270" xr:uid="{00000000-0005-0000-0000-00004F8A0000}"/>
    <cellStyle name="Normal 57 4 8 3 3 2" xfId="35827" xr:uid="{00000000-0005-0000-0000-0000508A0000}"/>
    <cellStyle name="Normal 57 4 8 3 4" xfId="19093" xr:uid="{00000000-0005-0000-0000-0000518A0000}"/>
    <cellStyle name="Normal 57 4 8 3 4 2" xfId="44646" xr:uid="{00000000-0005-0000-0000-0000528A0000}"/>
    <cellStyle name="Normal 57 4 8 3 5" xfId="30583" xr:uid="{00000000-0005-0000-0000-0000538A0000}"/>
    <cellStyle name="Normal 57 4 8 4" xfId="1717" xr:uid="{00000000-0005-0000-0000-0000548A0000}"/>
    <cellStyle name="Normal 57 4 8 4 2" xfId="11091" xr:uid="{00000000-0005-0000-0000-0000558A0000}"/>
    <cellStyle name="Normal 57 4 8 4 2 2" xfId="36646" xr:uid="{00000000-0005-0000-0000-0000568A0000}"/>
    <cellStyle name="Normal 57 4 8 4 3" xfId="21095" xr:uid="{00000000-0005-0000-0000-0000578A0000}"/>
    <cellStyle name="Normal 57 4 8 4 3 2" xfId="46648" xr:uid="{00000000-0005-0000-0000-0000588A0000}"/>
    <cellStyle name="Normal 57 4 8 4 4" xfId="27578" xr:uid="{00000000-0005-0000-0000-0000598A0000}"/>
    <cellStyle name="Normal 57 4 8 5" xfId="6467" xr:uid="{00000000-0005-0000-0000-00005A8A0000}"/>
    <cellStyle name="Normal 57 4 8 5 2" xfId="15294" xr:uid="{00000000-0005-0000-0000-00005B8A0000}"/>
    <cellStyle name="Normal 57 4 8 5 2 2" xfId="40849" xr:uid="{00000000-0005-0000-0000-00005C8A0000}"/>
    <cellStyle name="Normal 57 4 8 5 3" xfId="25545" xr:uid="{00000000-0005-0000-0000-00005D8A0000}"/>
    <cellStyle name="Normal 57 4 8 5 3 2" xfId="51098" xr:uid="{00000000-0005-0000-0000-00005E8A0000}"/>
    <cellStyle name="Normal 57 4 8 5 4" xfId="32028" xr:uid="{00000000-0005-0000-0000-00005F8A0000}"/>
    <cellStyle name="Normal 57 4 8 6" xfId="7913" xr:uid="{00000000-0005-0000-0000-0000608A0000}"/>
    <cellStyle name="Normal 57 4 8 6 2" xfId="20430" xr:uid="{00000000-0005-0000-0000-0000618A0000}"/>
    <cellStyle name="Normal 57 4 8 6 2 2" xfId="45983" xr:uid="{00000000-0005-0000-0000-0000628A0000}"/>
    <cellStyle name="Normal 57 4 8 6 3" xfId="33470" xr:uid="{00000000-0005-0000-0000-0000638A0000}"/>
    <cellStyle name="Normal 57 4 8 7" xfId="16088" xr:uid="{00000000-0005-0000-0000-0000648A0000}"/>
    <cellStyle name="Normal 57 4 8 7 2" xfId="41641" xr:uid="{00000000-0005-0000-0000-0000658A0000}"/>
    <cellStyle name="Normal 57 4 8 8" xfId="26913" xr:uid="{00000000-0005-0000-0000-0000668A0000}"/>
    <cellStyle name="Normal 57 4 9" xfId="2615" xr:uid="{00000000-0005-0000-0000-0000678A0000}"/>
    <cellStyle name="Normal 57 4 9 2" xfId="5139" xr:uid="{00000000-0005-0000-0000-0000688A0000}"/>
    <cellStyle name="Normal 57 4 9 2 2" xfId="13976" xr:uid="{00000000-0005-0000-0000-0000698A0000}"/>
    <cellStyle name="Normal 57 4 9 2 2 2" xfId="24227" xr:uid="{00000000-0005-0000-0000-00006A8A0000}"/>
    <cellStyle name="Normal 57 4 9 2 2 2 2" xfId="49780" xr:uid="{00000000-0005-0000-0000-00006B8A0000}"/>
    <cellStyle name="Normal 57 4 9 2 2 3" xfId="39531" xr:uid="{00000000-0005-0000-0000-00006C8A0000}"/>
    <cellStyle name="Normal 57 4 9 2 3" xfId="10397" xr:uid="{00000000-0005-0000-0000-00006D8A0000}"/>
    <cellStyle name="Normal 57 4 9 2 3 2" xfId="35954" xr:uid="{00000000-0005-0000-0000-00006E8A0000}"/>
    <cellStyle name="Normal 57 4 9 2 4" xfId="19220" xr:uid="{00000000-0005-0000-0000-00006F8A0000}"/>
    <cellStyle name="Normal 57 4 9 2 4 2" xfId="44773" xr:uid="{00000000-0005-0000-0000-0000708A0000}"/>
    <cellStyle name="Normal 57 4 9 2 5" xfId="30710" xr:uid="{00000000-0005-0000-0000-0000718A0000}"/>
    <cellStyle name="Normal 57 4 9 3" xfId="6594" xr:uid="{00000000-0005-0000-0000-0000728A0000}"/>
    <cellStyle name="Normal 57 4 9 3 2" xfId="15421" xr:uid="{00000000-0005-0000-0000-0000738A0000}"/>
    <cellStyle name="Normal 57 4 9 3 2 2" xfId="40976" xr:uid="{00000000-0005-0000-0000-0000748A0000}"/>
    <cellStyle name="Normal 57 4 9 3 3" xfId="25672" xr:uid="{00000000-0005-0000-0000-0000758A0000}"/>
    <cellStyle name="Normal 57 4 9 3 3 2" xfId="51225" xr:uid="{00000000-0005-0000-0000-0000768A0000}"/>
    <cellStyle name="Normal 57 4 9 3 4" xfId="32155" xr:uid="{00000000-0005-0000-0000-0000778A0000}"/>
    <cellStyle name="Normal 57 4 9 4" xfId="8040" xr:uid="{00000000-0005-0000-0000-0000788A0000}"/>
    <cellStyle name="Normal 57 4 9 4 2" xfId="21978" xr:uid="{00000000-0005-0000-0000-0000798A0000}"/>
    <cellStyle name="Normal 57 4 9 4 2 2" xfId="47531" xr:uid="{00000000-0005-0000-0000-00007A8A0000}"/>
    <cellStyle name="Normal 57 4 9 4 3" xfId="33597" xr:uid="{00000000-0005-0000-0000-00007B8A0000}"/>
    <cellStyle name="Normal 57 4 9 5" xfId="16971" xr:uid="{00000000-0005-0000-0000-00007C8A0000}"/>
    <cellStyle name="Normal 57 4 9 5 2" xfId="42524" xr:uid="{00000000-0005-0000-0000-00007D8A0000}"/>
    <cellStyle name="Normal 57 4 9 6" xfId="28461" xr:uid="{00000000-0005-0000-0000-00007E8A0000}"/>
    <cellStyle name="Normal 57 4_Degree data" xfId="3955" xr:uid="{00000000-0005-0000-0000-00007F8A0000}"/>
    <cellStyle name="Normal 57 5" xfId="93" xr:uid="{00000000-0005-0000-0000-0000808A0000}"/>
    <cellStyle name="Normal 57 5 10" xfId="4107" xr:uid="{00000000-0005-0000-0000-0000818A0000}"/>
    <cellStyle name="Normal 57 5 10 2" xfId="5565" xr:uid="{00000000-0005-0000-0000-0000828A0000}"/>
    <cellStyle name="Normal 57 5 10 2 2" xfId="14392" xr:uid="{00000000-0005-0000-0000-0000838A0000}"/>
    <cellStyle name="Normal 57 5 10 2 2 2" xfId="39947" xr:uid="{00000000-0005-0000-0000-0000848A0000}"/>
    <cellStyle name="Normal 57 5 10 2 3" xfId="24643" xr:uid="{00000000-0005-0000-0000-0000858A0000}"/>
    <cellStyle name="Normal 57 5 10 2 3 2" xfId="50196" xr:uid="{00000000-0005-0000-0000-0000868A0000}"/>
    <cellStyle name="Normal 57 5 10 2 4" xfId="31126" xr:uid="{00000000-0005-0000-0000-0000878A0000}"/>
    <cellStyle name="Normal 57 5 10 3" xfId="7009" xr:uid="{00000000-0005-0000-0000-0000888A0000}"/>
    <cellStyle name="Normal 57 5 10 3 2" xfId="23196" xr:uid="{00000000-0005-0000-0000-0000898A0000}"/>
    <cellStyle name="Normal 57 5 10 3 2 2" xfId="48749" xr:uid="{00000000-0005-0000-0000-00008A8A0000}"/>
    <cellStyle name="Normal 57 5 10 3 3" xfId="32566" xr:uid="{00000000-0005-0000-0000-00008B8A0000}"/>
    <cellStyle name="Normal 57 5 10 4" xfId="18189" xr:uid="{00000000-0005-0000-0000-00008C8A0000}"/>
    <cellStyle name="Normal 57 5 10 4 2" xfId="43742" xr:uid="{00000000-0005-0000-0000-00008D8A0000}"/>
    <cellStyle name="Normal 57 5 10 5" xfId="29679" xr:uid="{00000000-0005-0000-0000-00008E8A0000}"/>
    <cellStyle name="Normal 57 5 11" xfId="1426" xr:uid="{00000000-0005-0000-0000-00008F8A0000}"/>
    <cellStyle name="Normal 57 5 11 2" xfId="10803" xr:uid="{00000000-0005-0000-0000-0000908A0000}"/>
    <cellStyle name="Normal 57 5 11 2 2" xfId="36358" xr:uid="{00000000-0005-0000-0000-0000918A0000}"/>
    <cellStyle name="Normal 57 5 11 3" xfId="20807" xr:uid="{00000000-0005-0000-0000-0000928A0000}"/>
    <cellStyle name="Normal 57 5 11 3 2" xfId="46360" xr:uid="{00000000-0005-0000-0000-0000938A0000}"/>
    <cellStyle name="Normal 57 5 11 4" xfId="27290" xr:uid="{00000000-0005-0000-0000-0000948A0000}"/>
    <cellStyle name="Normal 57 5 12" xfId="5535" xr:uid="{00000000-0005-0000-0000-0000958A0000}"/>
    <cellStyle name="Normal 57 5 12 2" xfId="14362" xr:uid="{00000000-0005-0000-0000-0000968A0000}"/>
    <cellStyle name="Normal 57 5 12 2 2" xfId="39917" xr:uid="{00000000-0005-0000-0000-0000978A0000}"/>
    <cellStyle name="Normal 57 5 12 3" xfId="24613" xr:uid="{00000000-0005-0000-0000-0000988A0000}"/>
    <cellStyle name="Normal 57 5 12 3 2" xfId="50166" xr:uid="{00000000-0005-0000-0000-0000998A0000}"/>
    <cellStyle name="Normal 57 5 12 4" xfId="31096" xr:uid="{00000000-0005-0000-0000-00009A8A0000}"/>
    <cellStyle name="Normal 57 5 13" xfId="6979" xr:uid="{00000000-0005-0000-0000-00009B8A0000}"/>
    <cellStyle name="Normal 57 5 13 2" xfId="19575" xr:uid="{00000000-0005-0000-0000-00009C8A0000}"/>
    <cellStyle name="Normal 57 5 13 2 2" xfId="45128" xr:uid="{00000000-0005-0000-0000-00009D8A0000}"/>
    <cellStyle name="Normal 57 5 13 3" xfId="32536" xr:uid="{00000000-0005-0000-0000-00009E8A0000}"/>
    <cellStyle name="Normal 57 5 14" xfId="15800" xr:uid="{00000000-0005-0000-0000-00009F8A0000}"/>
    <cellStyle name="Normal 57 5 14 2" xfId="41353" xr:uid="{00000000-0005-0000-0000-0000A08A0000}"/>
    <cellStyle name="Normal 57 5 15" xfId="26058" xr:uid="{00000000-0005-0000-0000-0000A18A0000}"/>
    <cellStyle name="Normal 57 5 2" xfId="161" xr:uid="{00000000-0005-0000-0000-0000A28A0000}"/>
    <cellStyle name="Normal 57 5 2 10" xfId="5667" xr:uid="{00000000-0005-0000-0000-0000A38A0000}"/>
    <cellStyle name="Normal 57 5 2 10 2" xfId="14494" xr:uid="{00000000-0005-0000-0000-0000A48A0000}"/>
    <cellStyle name="Normal 57 5 2 10 2 2" xfId="40049" xr:uid="{00000000-0005-0000-0000-0000A58A0000}"/>
    <cellStyle name="Normal 57 5 2 10 3" xfId="24745" xr:uid="{00000000-0005-0000-0000-0000A68A0000}"/>
    <cellStyle name="Normal 57 5 2 10 3 2" xfId="50298" xr:uid="{00000000-0005-0000-0000-0000A78A0000}"/>
    <cellStyle name="Normal 57 5 2 10 4" xfId="31228" xr:uid="{00000000-0005-0000-0000-0000A88A0000}"/>
    <cellStyle name="Normal 57 5 2 11" xfId="7111" xr:uid="{00000000-0005-0000-0000-0000A98A0000}"/>
    <cellStyle name="Normal 57 5 2 11 2" xfId="19620" xr:uid="{00000000-0005-0000-0000-0000AA8A0000}"/>
    <cellStyle name="Normal 57 5 2 11 2 2" xfId="45173" xr:uid="{00000000-0005-0000-0000-0000AB8A0000}"/>
    <cellStyle name="Normal 57 5 2 11 3" xfId="32668" xr:uid="{00000000-0005-0000-0000-0000AC8A0000}"/>
    <cellStyle name="Normal 57 5 2 12" xfId="15857" xr:uid="{00000000-0005-0000-0000-0000AD8A0000}"/>
    <cellStyle name="Normal 57 5 2 12 2" xfId="41410" xr:uid="{00000000-0005-0000-0000-0000AE8A0000}"/>
    <cellStyle name="Normal 57 5 2 13" xfId="26103" xr:uid="{00000000-0005-0000-0000-0000AF8A0000}"/>
    <cellStyle name="Normal 57 5 2 2" xfId="273" xr:uid="{00000000-0005-0000-0000-0000B08A0000}"/>
    <cellStyle name="Normal 57 5 2 2 10" xfId="16061" xr:uid="{00000000-0005-0000-0000-0000B18A0000}"/>
    <cellStyle name="Normal 57 5 2 2 10 2" xfId="41614" xr:uid="{00000000-0005-0000-0000-0000B28A0000}"/>
    <cellStyle name="Normal 57 5 2 2 11" xfId="26207" xr:uid="{00000000-0005-0000-0000-0000B38A0000}"/>
    <cellStyle name="Normal 57 5 2 2 2" xfId="595" xr:uid="{00000000-0005-0000-0000-0000B48A0000}"/>
    <cellStyle name="Normal 57 5 2 2 2 2" xfId="3081" xr:uid="{00000000-0005-0000-0000-0000B58A0000}"/>
    <cellStyle name="Normal 57 5 2 2 2 2 2" xfId="12225" xr:uid="{00000000-0005-0000-0000-0000B68A0000}"/>
    <cellStyle name="Normal 57 5 2 2 2 2 2 2" xfId="22442" xr:uid="{00000000-0005-0000-0000-0000B78A0000}"/>
    <cellStyle name="Normal 57 5 2 2 2 2 2 2 2" xfId="47995" xr:uid="{00000000-0005-0000-0000-0000B88A0000}"/>
    <cellStyle name="Normal 57 5 2 2 2 2 2 3" xfId="37780" xr:uid="{00000000-0005-0000-0000-0000B98A0000}"/>
    <cellStyle name="Normal 57 5 2 2 2 2 3" xfId="8647" xr:uid="{00000000-0005-0000-0000-0000BA8A0000}"/>
    <cellStyle name="Normal 57 5 2 2 2 2 3 2" xfId="34204" xr:uid="{00000000-0005-0000-0000-0000BB8A0000}"/>
    <cellStyle name="Normal 57 5 2 2 2 2 4" xfId="17435" xr:uid="{00000000-0005-0000-0000-0000BC8A0000}"/>
    <cellStyle name="Normal 57 5 2 2 2 2 4 2" xfId="42988" xr:uid="{00000000-0005-0000-0000-0000BD8A0000}"/>
    <cellStyle name="Normal 57 5 2 2 2 2 5" xfId="28925" xr:uid="{00000000-0005-0000-0000-0000BE8A0000}"/>
    <cellStyle name="Normal 57 5 2 2 2 3" xfId="4676" xr:uid="{00000000-0005-0000-0000-0000BF8A0000}"/>
    <cellStyle name="Normal 57 5 2 2 2 3 2" xfId="13514" xr:uid="{00000000-0005-0000-0000-0000C08A0000}"/>
    <cellStyle name="Normal 57 5 2 2 2 3 2 2" xfId="23765" xr:uid="{00000000-0005-0000-0000-0000C18A0000}"/>
    <cellStyle name="Normal 57 5 2 2 2 3 2 2 2" xfId="49318" xr:uid="{00000000-0005-0000-0000-0000C28A0000}"/>
    <cellStyle name="Normal 57 5 2 2 2 3 2 3" xfId="39069" xr:uid="{00000000-0005-0000-0000-0000C38A0000}"/>
    <cellStyle name="Normal 57 5 2 2 2 3 3" xfId="9935" xr:uid="{00000000-0005-0000-0000-0000C48A0000}"/>
    <cellStyle name="Normal 57 5 2 2 2 3 3 2" xfId="35492" xr:uid="{00000000-0005-0000-0000-0000C58A0000}"/>
    <cellStyle name="Normal 57 5 2 2 2 3 4" xfId="18758" xr:uid="{00000000-0005-0000-0000-0000C68A0000}"/>
    <cellStyle name="Normal 57 5 2 2 2 3 4 2" xfId="44311" xr:uid="{00000000-0005-0000-0000-0000C78A0000}"/>
    <cellStyle name="Normal 57 5 2 2 2 3 5" xfId="30248" xr:uid="{00000000-0005-0000-0000-0000C88A0000}"/>
    <cellStyle name="Normal 57 5 2 2 2 4" xfId="2190" xr:uid="{00000000-0005-0000-0000-0000C98A0000}"/>
    <cellStyle name="Normal 57 5 2 2 2 4 2" xfId="11555" xr:uid="{00000000-0005-0000-0000-0000CA8A0000}"/>
    <cellStyle name="Normal 57 5 2 2 2 4 2 2" xfId="37110" xr:uid="{00000000-0005-0000-0000-0000CB8A0000}"/>
    <cellStyle name="Normal 57 5 2 2 2 4 3" xfId="21559" xr:uid="{00000000-0005-0000-0000-0000CC8A0000}"/>
    <cellStyle name="Normal 57 5 2 2 2 4 3 2" xfId="47112" xr:uid="{00000000-0005-0000-0000-0000CD8A0000}"/>
    <cellStyle name="Normal 57 5 2 2 2 4 4" xfId="28042" xr:uid="{00000000-0005-0000-0000-0000CE8A0000}"/>
    <cellStyle name="Normal 57 5 2 2 2 5" xfId="6132" xr:uid="{00000000-0005-0000-0000-0000CF8A0000}"/>
    <cellStyle name="Normal 57 5 2 2 2 5 2" xfId="14959" xr:uid="{00000000-0005-0000-0000-0000D08A0000}"/>
    <cellStyle name="Normal 57 5 2 2 2 5 2 2" xfId="40514" xr:uid="{00000000-0005-0000-0000-0000D18A0000}"/>
    <cellStyle name="Normal 57 5 2 2 2 5 3" xfId="25210" xr:uid="{00000000-0005-0000-0000-0000D28A0000}"/>
    <cellStyle name="Normal 57 5 2 2 2 5 3 2" xfId="50763" xr:uid="{00000000-0005-0000-0000-0000D38A0000}"/>
    <cellStyle name="Normal 57 5 2 2 2 5 4" xfId="31693" xr:uid="{00000000-0005-0000-0000-0000D48A0000}"/>
    <cellStyle name="Normal 57 5 2 2 2 6" xfId="7577" xr:uid="{00000000-0005-0000-0000-0000D58A0000}"/>
    <cellStyle name="Normal 57 5 2 2 2 6 2" xfId="20041" xr:uid="{00000000-0005-0000-0000-0000D68A0000}"/>
    <cellStyle name="Normal 57 5 2 2 2 6 2 2" xfId="45594" xr:uid="{00000000-0005-0000-0000-0000D78A0000}"/>
    <cellStyle name="Normal 57 5 2 2 2 6 3" xfId="33134" xr:uid="{00000000-0005-0000-0000-0000D88A0000}"/>
    <cellStyle name="Normal 57 5 2 2 2 7" xfId="16552" xr:uid="{00000000-0005-0000-0000-0000D98A0000}"/>
    <cellStyle name="Normal 57 5 2 2 2 7 2" xfId="42105" xr:uid="{00000000-0005-0000-0000-0000DA8A0000}"/>
    <cellStyle name="Normal 57 5 2 2 2 8" xfId="26524" xr:uid="{00000000-0005-0000-0000-0000DB8A0000}"/>
    <cellStyle name="Normal 57 5 2 2 3" xfId="862" xr:uid="{00000000-0005-0000-0000-0000DC8A0000}"/>
    <cellStyle name="Normal 57 5 2 2 3 2" xfId="3347" xr:uid="{00000000-0005-0000-0000-0000DD8A0000}"/>
    <cellStyle name="Normal 57 5 2 2 3 2 2" xfId="12489" xr:uid="{00000000-0005-0000-0000-0000DE8A0000}"/>
    <cellStyle name="Normal 57 5 2 2 3 2 2 2" xfId="22708" xr:uid="{00000000-0005-0000-0000-0000DF8A0000}"/>
    <cellStyle name="Normal 57 5 2 2 3 2 2 2 2" xfId="48261" xr:uid="{00000000-0005-0000-0000-0000E08A0000}"/>
    <cellStyle name="Normal 57 5 2 2 3 2 2 3" xfId="38044" xr:uid="{00000000-0005-0000-0000-0000E18A0000}"/>
    <cellStyle name="Normal 57 5 2 2 3 2 3" xfId="8911" xr:uid="{00000000-0005-0000-0000-0000E28A0000}"/>
    <cellStyle name="Normal 57 5 2 2 3 2 3 2" xfId="34468" xr:uid="{00000000-0005-0000-0000-0000E38A0000}"/>
    <cellStyle name="Normal 57 5 2 2 3 2 4" xfId="17701" xr:uid="{00000000-0005-0000-0000-0000E48A0000}"/>
    <cellStyle name="Normal 57 5 2 2 3 2 4 2" xfId="43254" xr:uid="{00000000-0005-0000-0000-0000E58A0000}"/>
    <cellStyle name="Normal 57 5 2 2 3 2 5" xfId="29191" xr:uid="{00000000-0005-0000-0000-0000E68A0000}"/>
    <cellStyle name="Normal 57 5 2 2 3 3" xfId="5025" xr:uid="{00000000-0005-0000-0000-0000E78A0000}"/>
    <cellStyle name="Normal 57 5 2 2 3 3 2" xfId="13862" xr:uid="{00000000-0005-0000-0000-0000E88A0000}"/>
    <cellStyle name="Normal 57 5 2 2 3 3 2 2" xfId="24113" xr:uid="{00000000-0005-0000-0000-0000E98A0000}"/>
    <cellStyle name="Normal 57 5 2 2 3 3 2 2 2" xfId="49666" xr:uid="{00000000-0005-0000-0000-0000EA8A0000}"/>
    <cellStyle name="Normal 57 5 2 2 3 3 2 3" xfId="39417" xr:uid="{00000000-0005-0000-0000-0000EB8A0000}"/>
    <cellStyle name="Normal 57 5 2 2 3 3 3" xfId="10283" xr:uid="{00000000-0005-0000-0000-0000EC8A0000}"/>
    <cellStyle name="Normal 57 5 2 2 3 3 3 2" xfId="35840" xr:uid="{00000000-0005-0000-0000-0000ED8A0000}"/>
    <cellStyle name="Normal 57 5 2 2 3 3 4" xfId="19106" xr:uid="{00000000-0005-0000-0000-0000EE8A0000}"/>
    <cellStyle name="Normal 57 5 2 2 3 3 4 2" xfId="44659" xr:uid="{00000000-0005-0000-0000-0000EF8A0000}"/>
    <cellStyle name="Normal 57 5 2 2 3 3 5" xfId="30596" xr:uid="{00000000-0005-0000-0000-0000F08A0000}"/>
    <cellStyle name="Normal 57 5 2 2 3 4" xfId="2456" xr:uid="{00000000-0005-0000-0000-0000F18A0000}"/>
    <cellStyle name="Normal 57 5 2 2 3 4 2" xfId="11821" xr:uid="{00000000-0005-0000-0000-0000F28A0000}"/>
    <cellStyle name="Normal 57 5 2 2 3 4 2 2" xfId="37376" xr:uid="{00000000-0005-0000-0000-0000F38A0000}"/>
    <cellStyle name="Normal 57 5 2 2 3 4 3" xfId="21825" xr:uid="{00000000-0005-0000-0000-0000F48A0000}"/>
    <cellStyle name="Normal 57 5 2 2 3 4 3 2" xfId="47378" xr:uid="{00000000-0005-0000-0000-0000F58A0000}"/>
    <cellStyle name="Normal 57 5 2 2 3 4 4" xfId="28308" xr:uid="{00000000-0005-0000-0000-0000F68A0000}"/>
    <cellStyle name="Normal 57 5 2 2 3 5" xfId="6480" xr:uid="{00000000-0005-0000-0000-0000F78A0000}"/>
    <cellStyle name="Normal 57 5 2 2 3 5 2" xfId="15307" xr:uid="{00000000-0005-0000-0000-0000F88A0000}"/>
    <cellStyle name="Normal 57 5 2 2 3 5 2 2" xfId="40862" xr:uid="{00000000-0005-0000-0000-0000F98A0000}"/>
    <cellStyle name="Normal 57 5 2 2 3 5 3" xfId="25558" xr:uid="{00000000-0005-0000-0000-0000FA8A0000}"/>
    <cellStyle name="Normal 57 5 2 2 3 5 3 2" xfId="51111" xr:uid="{00000000-0005-0000-0000-0000FB8A0000}"/>
    <cellStyle name="Normal 57 5 2 2 3 5 4" xfId="32041" xr:uid="{00000000-0005-0000-0000-0000FC8A0000}"/>
    <cellStyle name="Normal 57 5 2 2 3 6" xfId="7926" xr:uid="{00000000-0005-0000-0000-0000FD8A0000}"/>
    <cellStyle name="Normal 57 5 2 2 3 6 2" xfId="20307" xr:uid="{00000000-0005-0000-0000-0000FE8A0000}"/>
    <cellStyle name="Normal 57 5 2 2 3 6 2 2" xfId="45860" xr:uid="{00000000-0005-0000-0000-0000FF8A0000}"/>
    <cellStyle name="Normal 57 5 2 2 3 6 3" xfId="33483" xr:uid="{00000000-0005-0000-0000-0000008B0000}"/>
    <cellStyle name="Normal 57 5 2 2 3 7" xfId="16818" xr:uid="{00000000-0005-0000-0000-0000018B0000}"/>
    <cellStyle name="Normal 57 5 2 2 3 7 2" xfId="42371" xr:uid="{00000000-0005-0000-0000-0000028B0000}"/>
    <cellStyle name="Normal 57 5 2 2 3 8" xfId="26790" xr:uid="{00000000-0005-0000-0000-0000038B0000}"/>
    <cellStyle name="Normal 57 5 2 2 4" xfId="1367" xr:uid="{00000000-0005-0000-0000-0000048B0000}"/>
    <cellStyle name="Normal 57 5 2 2 4 2" xfId="3796" xr:uid="{00000000-0005-0000-0000-0000058B0000}"/>
    <cellStyle name="Normal 57 5 2 2 4 2 2" xfId="12932" xr:uid="{00000000-0005-0000-0000-0000068B0000}"/>
    <cellStyle name="Normal 57 5 2 2 4 2 2 2" xfId="23151" xr:uid="{00000000-0005-0000-0000-0000078B0000}"/>
    <cellStyle name="Normal 57 5 2 2 4 2 2 2 2" xfId="48704" xr:uid="{00000000-0005-0000-0000-0000088B0000}"/>
    <cellStyle name="Normal 57 5 2 2 4 2 2 3" xfId="38487" xr:uid="{00000000-0005-0000-0000-0000098B0000}"/>
    <cellStyle name="Normal 57 5 2 2 4 2 3" xfId="9353" xr:uid="{00000000-0005-0000-0000-00000A8B0000}"/>
    <cellStyle name="Normal 57 5 2 2 4 2 3 2" xfId="34910" xr:uid="{00000000-0005-0000-0000-00000B8B0000}"/>
    <cellStyle name="Normal 57 5 2 2 4 2 4" xfId="18144" xr:uid="{00000000-0005-0000-0000-00000C8B0000}"/>
    <cellStyle name="Normal 57 5 2 2 4 2 4 2" xfId="43697" xr:uid="{00000000-0005-0000-0000-00000D8B0000}"/>
    <cellStyle name="Normal 57 5 2 2 4 2 5" xfId="29634" xr:uid="{00000000-0005-0000-0000-00000E8B0000}"/>
    <cellStyle name="Normal 57 5 2 2 4 3" xfId="5459" xr:uid="{00000000-0005-0000-0000-00000F8B0000}"/>
    <cellStyle name="Normal 57 5 2 2 4 3 2" xfId="14296" xr:uid="{00000000-0005-0000-0000-0000108B0000}"/>
    <cellStyle name="Normal 57 5 2 2 4 3 2 2" xfId="24547" xr:uid="{00000000-0005-0000-0000-0000118B0000}"/>
    <cellStyle name="Normal 57 5 2 2 4 3 2 2 2" xfId="50100" xr:uid="{00000000-0005-0000-0000-0000128B0000}"/>
    <cellStyle name="Normal 57 5 2 2 4 3 2 3" xfId="39851" xr:uid="{00000000-0005-0000-0000-0000138B0000}"/>
    <cellStyle name="Normal 57 5 2 2 4 3 3" xfId="10717" xr:uid="{00000000-0005-0000-0000-0000148B0000}"/>
    <cellStyle name="Normal 57 5 2 2 4 3 3 2" xfId="36274" xr:uid="{00000000-0005-0000-0000-0000158B0000}"/>
    <cellStyle name="Normal 57 5 2 2 4 3 4" xfId="19540" xr:uid="{00000000-0005-0000-0000-0000168B0000}"/>
    <cellStyle name="Normal 57 5 2 2 4 3 4 2" xfId="45093" xr:uid="{00000000-0005-0000-0000-0000178B0000}"/>
    <cellStyle name="Normal 57 5 2 2 4 3 5" xfId="31030" xr:uid="{00000000-0005-0000-0000-0000188B0000}"/>
    <cellStyle name="Normal 57 5 2 2 4 4" xfId="1870" xr:uid="{00000000-0005-0000-0000-0000198B0000}"/>
    <cellStyle name="Normal 57 5 2 2 4 4 2" xfId="11238" xr:uid="{00000000-0005-0000-0000-00001A8B0000}"/>
    <cellStyle name="Normal 57 5 2 2 4 4 2 2" xfId="36793" xr:uid="{00000000-0005-0000-0000-00001B8B0000}"/>
    <cellStyle name="Normal 57 5 2 2 4 4 3" xfId="21242" xr:uid="{00000000-0005-0000-0000-00001C8B0000}"/>
    <cellStyle name="Normal 57 5 2 2 4 4 3 2" xfId="46795" xr:uid="{00000000-0005-0000-0000-00001D8B0000}"/>
    <cellStyle name="Normal 57 5 2 2 4 4 4" xfId="27725" xr:uid="{00000000-0005-0000-0000-00001E8B0000}"/>
    <cellStyle name="Normal 57 5 2 2 4 5" xfId="6914" xr:uid="{00000000-0005-0000-0000-00001F8B0000}"/>
    <cellStyle name="Normal 57 5 2 2 4 5 2" xfId="15741" xr:uid="{00000000-0005-0000-0000-0000208B0000}"/>
    <cellStyle name="Normal 57 5 2 2 4 5 2 2" xfId="41296" xr:uid="{00000000-0005-0000-0000-0000218B0000}"/>
    <cellStyle name="Normal 57 5 2 2 4 5 3" xfId="25992" xr:uid="{00000000-0005-0000-0000-0000228B0000}"/>
    <cellStyle name="Normal 57 5 2 2 4 5 3 2" xfId="51545" xr:uid="{00000000-0005-0000-0000-0000238B0000}"/>
    <cellStyle name="Normal 57 5 2 2 4 5 4" xfId="32475" xr:uid="{00000000-0005-0000-0000-0000248B0000}"/>
    <cellStyle name="Normal 57 5 2 2 4 6" xfId="8360" xr:uid="{00000000-0005-0000-0000-0000258B0000}"/>
    <cellStyle name="Normal 57 5 2 2 4 6 2" xfId="20750" xr:uid="{00000000-0005-0000-0000-0000268B0000}"/>
    <cellStyle name="Normal 57 5 2 2 4 6 2 2" xfId="46303" xr:uid="{00000000-0005-0000-0000-0000278B0000}"/>
    <cellStyle name="Normal 57 5 2 2 4 6 3" xfId="33917" xr:uid="{00000000-0005-0000-0000-0000288B0000}"/>
    <cellStyle name="Normal 57 5 2 2 4 7" xfId="16235" xr:uid="{00000000-0005-0000-0000-0000298B0000}"/>
    <cellStyle name="Normal 57 5 2 2 4 7 2" xfId="41788" xr:uid="{00000000-0005-0000-0000-00002A8B0000}"/>
    <cellStyle name="Normal 57 5 2 2 4 8" xfId="27233" xr:uid="{00000000-0005-0000-0000-00002B8B0000}"/>
    <cellStyle name="Normal 57 5 2 2 5" xfId="2764" xr:uid="{00000000-0005-0000-0000-00002C8B0000}"/>
    <cellStyle name="Normal 57 5 2 2 5 2" xfId="12081" xr:uid="{00000000-0005-0000-0000-00002D8B0000}"/>
    <cellStyle name="Normal 57 5 2 2 5 2 2" xfId="22125" xr:uid="{00000000-0005-0000-0000-00002E8B0000}"/>
    <cellStyle name="Normal 57 5 2 2 5 2 2 2" xfId="47678" xr:uid="{00000000-0005-0000-0000-00002F8B0000}"/>
    <cellStyle name="Normal 57 5 2 2 5 2 3" xfId="37636" xr:uid="{00000000-0005-0000-0000-0000308B0000}"/>
    <cellStyle name="Normal 57 5 2 2 5 3" xfId="8587" xr:uid="{00000000-0005-0000-0000-0000318B0000}"/>
    <cellStyle name="Normal 57 5 2 2 5 3 2" xfId="34144" xr:uid="{00000000-0005-0000-0000-0000328B0000}"/>
    <cellStyle name="Normal 57 5 2 2 5 4" xfId="17118" xr:uid="{00000000-0005-0000-0000-0000338B0000}"/>
    <cellStyle name="Normal 57 5 2 2 5 4 2" xfId="42671" xr:uid="{00000000-0005-0000-0000-0000348B0000}"/>
    <cellStyle name="Normal 57 5 2 2 5 5" xfId="28608" xr:uid="{00000000-0005-0000-0000-0000358B0000}"/>
    <cellStyle name="Normal 57 5 2 2 6" xfId="4415" xr:uid="{00000000-0005-0000-0000-0000368B0000}"/>
    <cellStyle name="Normal 57 5 2 2 6 2" xfId="13253" xr:uid="{00000000-0005-0000-0000-0000378B0000}"/>
    <cellStyle name="Normal 57 5 2 2 6 2 2" xfId="23504" xr:uid="{00000000-0005-0000-0000-0000388B0000}"/>
    <cellStyle name="Normal 57 5 2 2 6 2 2 2" xfId="49057" xr:uid="{00000000-0005-0000-0000-0000398B0000}"/>
    <cellStyle name="Normal 57 5 2 2 6 2 3" xfId="38808" xr:uid="{00000000-0005-0000-0000-00003A8B0000}"/>
    <cellStyle name="Normal 57 5 2 2 6 3" xfId="9674" xr:uid="{00000000-0005-0000-0000-00003B8B0000}"/>
    <cellStyle name="Normal 57 5 2 2 6 3 2" xfId="35231" xr:uid="{00000000-0005-0000-0000-00003C8B0000}"/>
    <cellStyle name="Normal 57 5 2 2 6 4" xfId="18497" xr:uid="{00000000-0005-0000-0000-00003D8B0000}"/>
    <cellStyle name="Normal 57 5 2 2 6 4 2" xfId="44050" xr:uid="{00000000-0005-0000-0000-00003E8B0000}"/>
    <cellStyle name="Normal 57 5 2 2 6 5" xfId="29987" xr:uid="{00000000-0005-0000-0000-00003F8B0000}"/>
    <cellStyle name="Normal 57 5 2 2 7" xfId="1687" xr:uid="{00000000-0005-0000-0000-0000408B0000}"/>
    <cellStyle name="Normal 57 5 2 2 7 2" xfId="11064" xr:uid="{00000000-0005-0000-0000-0000418B0000}"/>
    <cellStyle name="Normal 57 5 2 2 7 2 2" xfId="36619" xr:uid="{00000000-0005-0000-0000-0000428B0000}"/>
    <cellStyle name="Normal 57 5 2 2 7 3" xfId="21068" xr:uid="{00000000-0005-0000-0000-0000438B0000}"/>
    <cellStyle name="Normal 57 5 2 2 7 3 2" xfId="46621" xr:uid="{00000000-0005-0000-0000-0000448B0000}"/>
    <cellStyle name="Normal 57 5 2 2 7 4" xfId="27551" xr:uid="{00000000-0005-0000-0000-0000458B0000}"/>
    <cellStyle name="Normal 57 5 2 2 8" xfId="5871" xr:uid="{00000000-0005-0000-0000-0000468B0000}"/>
    <cellStyle name="Normal 57 5 2 2 8 2" xfId="14698" xr:uid="{00000000-0005-0000-0000-0000478B0000}"/>
    <cellStyle name="Normal 57 5 2 2 8 2 2" xfId="40253" xr:uid="{00000000-0005-0000-0000-0000488B0000}"/>
    <cellStyle name="Normal 57 5 2 2 8 3" xfId="24949" xr:uid="{00000000-0005-0000-0000-0000498B0000}"/>
    <cellStyle name="Normal 57 5 2 2 8 3 2" xfId="50502" xr:uid="{00000000-0005-0000-0000-00004A8B0000}"/>
    <cellStyle name="Normal 57 5 2 2 8 4" xfId="31432" xr:uid="{00000000-0005-0000-0000-00004B8B0000}"/>
    <cellStyle name="Normal 57 5 2 2 9" xfId="7315" xr:uid="{00000000-0005-0000-0000-00004C8B0000}"/>
    <cellStyle name="Normal 57 5 2 2 9 2" xfId="19724" xr:uid="{00000000-0005-0000-0000-00004D8B0000}"/>
    <cellStyle name="Normal 57 5 2 2 9 2 2" xfId="45277" xr:uid="{00000000-0005-0000-0000-00004E8B0000}"/>
    <cellStyle name="Normal 57 5 2 2 9 3" xfId="32872" xr:uid="{00000000-0005-0000-0000-00004F8B0000}"/>
    <cellStyle name="Normal 57 5 2 2_Degree data" xfId="3968" xr:uid="{00000000-0005-0000-0000-0000508B0000}"/>
    <cellStyle name="Normal 57 5 2 3" xfId="491" xr:uid="{00000000-0005-0000-0000-0000518B0000}"/>
    <cellStyle name="Normal 57 5 2 3 10" xfId="26420" xr:uid="{00000000-0005-0000-0000-0000528B0000}"/>
    <cellStyle name="Normal 57 5 2 3 2" xfId="863" xr:uid="{00000000-0005-0000-0000-0000538B0000}"/>
    <cellStyle name="Normal 57 5 2 3 2 2" xfId="3348" xr:uid="{00000000-0005-0000-0000-0000548B0000}"/>
    <cellStyle name="Normal 57 5 2 3 2 2 2" xfId="12490" xr:uid="{00000000-0005-0000-0000-0000558B0000}"/>
    <cellStyle name="Normal 57 5 2 3 2 2 2 2" xfId="22709" xr:uid="{00000000-0005-0000-0000-0000568B0000}"/>
    <cellStyle name="Normal 57 5 2 3 2 2 2 2 2" xfId="48262" xr:uid="{00000000-0005-0000-0000-0000578B0000}"/>
    <cellStyle name="Normal 57 5 2 3 2 2 2 3" xfId="38045" xr:uid="{00000000-0005-0000-0000-0000588B0000}"/>
    <cellStyle name="Normal 57 5 2 3 2 2 3" xfId="8912" xr:uid="{00000000-0005-0000-0000-0000598B0000}"/>
    <cellStyle name="Normal 57 5 2 3 2 2 3 2" xfId="34469" xr:uid="{00000000-0005-0000-0000-00005A8B0000}"/>
    <cellStyle name="Normal 57 5 2 3 2 2 4" xfId="17702" xr:uid="{00000000-0005-0000-0000-00005B8B0000}"/>
    <cellStyle name="Normal 57 5 2 3 2 2 4 2" xfId="43255" xr:uid="{00000000-0005-0000-0000-00005C8B0000}"/>
    <cellStyle name="Normal 57 5 2 3 2 2 5" xfId="29192" xr:uid="{00000000-0005-0000-0000-00005D8B0000}"/>
    <cellStyle name="Normal 57 5 2 3 2 3" xfId="4677" xr:uid="{00000000-0005-0000-0000-00005E8B0000}"/>
    <cellStyle name="Normal 57 5 2 3 2 3 2" xfId="13515" xr:uid="{00000000-0005-0000-0000-00005F8B0000}"/>
    <cellStyle name="Normal 57 5 2 3 2 3 2 2" xfId="23766" xr:uid="{00000000-0005-0000-0000-0000608B0000}"/>
    <cellStyle name="Normal 57 5 2 3 2 3 2 2 2" xfId="49319" xr:uid="{00000000-0005-0000-0000-0000618B0000}"/>
    <cellStyle name="Normal 57 5 2 3 2 3 2 3" xfId="39070" xr:uid="{00000000-0005-0000-0000-0000628B0000}"/>
    <cellStyle name="Normal 57 5 2 3 2 3 3" xfId="9936" xr:uid="{00000000-0005-0000-0000-0000638B0000}"/>
    <cellStyle name="Normal 57 5 2 3 2 3 3 2" xfId="35493" xr:uid="{00000000-0005-0000-0000-0000648B0000}"/>
    <cellStyle name="Normal 57 5 2 3 2 3 4" xfId="18759" xr:uid="{00000000-0005-0000-0000-0000658B0000}"/>
    <cellStyle name="Normal 57 5 2 3 2 3 4 2" xfId="44312" xr:uid="{00000000-0005-0000-0000-0000668B0000}"/>
    <cellStyle name="Normal 57 5 2 3 2 3 5" xfId="30249" xr:uid="{00000000-0005-0000-0000-0000678B0000}"/>
    <cellStyle name="Normal 57 5 2 3 2 4" xfId="2457" xr:uid="{00000000-0005-0000-0000-0000688B0000}"/>
    <cellStyle name="Normal 57 5 2 3 2 4 2" xfId="11822" xr:uid="{00000000-0005-0000-0000-0000698B0000}"/>
    <cellStyle name="Normal 57 5 2 3 2 4 2 2" xfId="37377" xr:uid="{00000000-0005-0000-0000-00006A8B0000}"/>
    <cellStyle name="Normal 57 5 2 3 2 4 3" xfId="21826" xr:uid="{00000000-0005-0000-0000-00006B8B0000}"/>
    <cellStyle name="Normal 57 5 2 3 2 4 3 2" xfId="47379" xr:uid="{00000000-0005-0000-0000-00006C8B0000}"/>
    <cellStyle name="Normal 57 5 2 3 2 4 4" xfId="28309" xr:uid="{00000000-0005-0000-0000-00006D8B0000}"/>
    <cellStyle name="Normal 57 5 2 3 2 5" xfId="6133" xr:uid="{00000000-0005-0000-0000-00006E8B0000}"/>
    <cellStyle name="Normal 57 5 2 3 2 5 2" xfId="14960" xr:uid="{00000000-0005-0000-0000-00006F8B0000}"/>
    <cellStyle name="Normal 57 5 2 3 2 5 2 2" xfId="40515" xr:uid="{00000000-0005-0000-0000-0000708B0000}"/>
    <cellStyle name="Normal 57 5 2 3 2 5 3" xfId="25211" xr:uid="{00000000-0005-0000-0000-0000718B0000}"/>
    <cellStyle name="Normal 57 5 2 3 2 5 3 2" xfId="50764" xr:uid="{00000000-0005-0000-0000-0000728B0000}"/>
    <cellStyle name="Normal 57 5 2 3 2 5 4" xfId="31694" xr:uid="{00000000-0005-0000-0000-0000738B0000}"/>
    <cellStyle name="Normal 57 5 2 3 2 6" xfId="7578" xr:uid="{00000000-0005-0000-0000-0000748B0000}"/>
    <cellStyle name="Normal 57 5 2 3 2 6 2" xfId="20308" xr:uid="{00000000-0005-0000-0000-0000758B0000}"/>
    <cellStyle name="Normal 57 5 2 3 2 6 2 2" xfId="45861" xr:uid="{00000000-0005-0000-0000-0000768B0000}"/>
    <cellStyle name="Normal 57 5 2 3 2 6 3" xfId="33135" xr:uid="{00000000-0005-0000-0000-0000778B0000}"/>
    <cellStyle name="Normal 57 5 2 3 2 7" xfId="16819" xr:uid="{00000000-0005-0000-0000-0000788B0000}"/>
    <cellStyle name="Normal 57 5 2 3 2 7 2" xfId="42372" xr:uid="{00000000-0005-0000-0000-0000798B0000}"/>
    <cellStyle name="Normal 57 5 2 3 2 8" xfId="26791" xr:uid="{00000000-0005-0000-0000-00007A8B0000}"/>
    <cellStyle name="Normal 57 5 2 3 3" xfId="1263" xr:uid="{00000000-0005-0000-0000-00007B8B0000}"/>
    <cellStyle name="Normal 57 5 2 3 3 2" xfId="3692" xr:uid="{00000000-0005-0000-0000-00007C8B0000}"/>
    <cellStyle name="Normal 57 5 2 3 3 2 2" xfId="12828" xr:uid="{00000000-0005-0000-0000-00007D8B0000}"/>
    <cellStyle name="Normal 57 5 2 3 3 2 2 2" xfId="23047" xr:uid="{00000000-0005-0000-0000-00007E8B0000}"/>
    <cellStyle name="Normal 57 5 2 3 3 2 2 2 2" xfId="48600" xr:uid="{00000000-0005-0000-0000-00007F8B0000}"/>
    <cellStyle name="Normal 57 5 2 3 3 2 2 3" xfId="38383" xr:uid="{00000000-0005-0000-0000-0000808B0000}"/>
    <cellStyle name="Normal 57 5 2 3 3 2 3" xfId="9249" xr:uid="{00000000-0005-0000-0000-0000818B0000}"/>
    <cellStyle name="Normal 57 5 2 3 3 2 3 2" xfId="34806" xr:uid="{00000000-0005-0000-0000-0000828B0000}"/>
    <cellStyle name="Normal 57 5 2 3 3 2 4" xfId="18040" xr:uid="{00000000-0005-0000-0000-0000838B0000}"/>
    <cellStyle name="Normal 57 5 2 3 3 2 4 2" xfId="43593" xr:uid="{00000000-0005-0000-0000-0000848B0000}"/>
    <cellStyle name="Normal 57 5 2 3 3 2 5" xfId="29530" xr:uid="{00000000-0005-0000-0000-0000858B0000}"/>
    <cellStyle name="Normal 57 5 2 3 3 3" xfId="5026" xr:uid="{00000000-0005-0000-0000-0000868B0000}"/>
    <cellStyle name="Normal 57 5 2 3 3 3 2" xfId="13863" xr:uid="{00000000-0005-0000-0000-0000878B0000}"/>
    <cellStyle name="Normal 57 5 2 3 3 3 2 2" xfId="24114" xr:uid="{00000000-0005-0000-0000-0000888B0000}"/>
    <cellStyle name="Normal 57 5 2 3 3 3 2 2 2" xfId="49667" xr:uid="{00000000-0005-0000-0000-0000898B0000}"/>
    <cellStyle name="Normal 57 5 2 3 3 3 2 3" xfId="39418" xr:uid="{00000000-0005-0000-0000-00008A8B0000}"/>
    <cellStyle name="Normal 57 5 2 3 3 3 3" xfId="10284" xr:uid="{00000000-0005-0000-0000-00008B8B0000}"/>
    <cellStyle name="Normal 57 5 2 3 3 3 3 2" xfId="35841" xr:uid="{00000000-0005-0000-0000-00008C8B0000}"/>
    <cellStyle name="Normal 57 5 2 3 3 3 4" xfId="19107" xr:uid="{00000000-0005-0000-0000-00008D8B0000}"/>
    <cellStyle name="Normal 57 5 2 3 3 3 4 2" xfId="44660" xr:uid="{00000000-0005-0000-0000-00008E8B0000}"/>
    <cellStyle name="Normal 57 5 2 3 3 3 5" xfId="30597" xr:uid="{00000000-0005-0000-0000-00008F8B0000}"/>
    <cellStyle name="Normal 57 5 2 3 3 4" xfId="2086" xr:uid="{00000000-0005-0000-0000-0000908B0000}"/>
    <cellStyle name="Normal 57 5 2 3 3 4 2" xfId="11451" xr:uid="{00000000-0005-0000-0000-0000918B0000}"/>
    <cellStyle name="Normal 57 5 2 3 3 4 2 2" xfId="37006" xr:uid="{00000000-0005-0000-0000-0000928B0000}"/>
    <cellStyle name="Normal 57 5 2 3 3 4 3" xfId="21455" xr:uid="{00000000-0005-0000-0000-0000938B0000}"/>
    <cellStyle name="Normal 57 5 2 3 3 4 3 2" xfId="47008" xr:uid="{00000000-0005-0000-0000-0000948B0000}"/>
    <cellStyle name="Normal 57 5 2 3 3 4 4" xfId="27938" xr:uid="{00000000-0005-0000-0000-0000958B0000}"/>
    <cellStyle name="Normal 57 5 2 3 3 5" xfId="6481" xr:uid="{00000000-0005-0000-0000-0000968B0000}"/>
    <cellStyle name="Normal 57 5 2 3 3 5 2" xfId="15308" xr:uid="{00000000-0005-0000-0000-0000978B0000}"/>
    <cellStyle name="Normal 57 5 2 3 3 5 2 2" xfId="40863" xr:uid="{00000000-0005-0000-0000-0000988B0000}"/>
    <cellStyle name="Normal 57 5 2 3 3 5 3" xfId="25559" xr:uid="{00000000-0005-0000-0000-0000998B0000}"/>
    <cellStyle name="Normal 57 5 2 3 3 5 3 2" xfId="51112" xr:uid="{00000000-0005-0000-0000-00009A8B0000}"/>
    <cellStyle name="Normal 57 5 2 3 3 5 4" xfId="32042" xr:uid="{00000000-0005-0000-0000-00009B8B0000}"/>
    <cellStyle name="Normal 57 5 2 3 3 6" xfId="7927" xr:uid="{00000000-0005-0000-0000-00009C8B0000}"/>
    <cellStyle name="Normal 57 5 2 3 3 6 2" xfId="20646" xr:uid="{00000000-0005-0000-0000-00009D8B0000}"/>
    <cellStyle name="Normal 57 5 2 3 3 6 2 2" xfId="46199" xr:uid="{00000000-0005-0000-0000-00009E8B0000}"/>
    <cellStyle name="Normal 57 5 2 3 3 6 3" xfId="33484" xr:uid="{00000000-0005-0000-0000-00009F8B0000}"/>
    <cellStyle name="Normal 57 5 2 3 3 7" xfId="16448" xr:uid="{00000000-0005-0000-0000-0000A08B0000}"/>
    <cellStyle name="Normal 57 5 2 3 3 7 2" xfId="42001" xr:uid="{00000000-0005-0000-0000-0000A18B0000}"/>
    <cellStyle name="Normal 57 5 2 3 3 8" xfId="27129" xr:uid="{00000000-0005-0000-0000-0000A28B0000}"/>
    <cellStyle name="Normal 57 5 2 3 4" xfId="2977" xr:uid="{00000000-0005-0000-0000-0000A38B0000}"/>
    <cellStyle name="Normal 57 5 2 3 4 2" xfId="5355" xr:uid="{00000000-0005-0000-0000-0000A48B0000}"/>
    <cellStyle name="Normal 57 5 2 3 4 2 2" xfId="14192" xr:uid="{00000000-0005-0000-0000-0000A58B0000}"/>
    <cellStyle name="Normal 57 5 2 3 4 2 2 2" xfId="24443" xr:uid="{00000000-0005-0000-0000-0000A68B0000}"/>
    <cellStyle name="Normal 57 5 2 3 4 2 2 2 2" xfId="49996" xr:uid="{00000000-0005-0000-0000-0000A78B0000}"/>
    <cellStyle name="Normal 57 5 2 3 4 2 2 3" xfId="39747" xr:uid="{00000000-0005-0000-0000-0000A88B0000}"/>
    <cellStyle name="Normal 57 5 2 3 4 2 3" xfId="10613" xr:uid="{00000000-0005-0000-0000-0000A98B0000}"/>
    <cellStyle name="Normal 57 5 2 3 4 2 3 2" xfId="36170" xr:uid="{00000000-0005-0000-0000-0000AA8B0000}"/>
    <cellStyle name="Normal 57 5 2 3 4 2 4" xfId="19436" xr:uid="{00000000-0005-0000-0000-0000AB8B0000}"/>
    <cellStyle name="Normal 57 5 2 3 4 2 4 2" xfId="44989" xr:uid="{00000000-0005-0000-0000-0000AC8B0000}"/>
    <cellStyle name="Normal 57 5 2 3 4 2 5" xfId="30926" xr:uid="{00000000-0005-0000-0000-0000AD8B0000}"/>
    <cellStyle name="Normal 57 5 2 3 4 3" xfId="6810" xr:uid="{00000000-0005-0000-0000-0000AE8B0000}"/>
    <cellStyle name="Normal 57 5 2 3 4 3 2" xfId="15637" xr:uid="{00000000-0005-0000-0000-0000AF8B0000}"/>
    <cellStyle name="Normal 57 5 2 3 4 3 2 2" xfId="41192" xr:uid="{00000000-0005-0000-0000-0000B08B0000}"/>
    <cellStyle name="Normal 57 5 2 3 4 3 3" xfId="25888" xr:uid="{00000000-0005-0000-0000-0000B18B0000}"/>
    <cellStyle name="Normal 57 5 2 3 4 3 3 2" xfId="51441" xr:uid="{00000000-0005-0000-0000-0000B28B0000}"/>
    <cellStyle name="Normal 57 5 2 3 4 3 4" xfId="32371" xr:uid="{00000000-0005-0000-0000-0000B38B0000}"/>
    <cellStyle name="Normal 57 5 2 3 4 4" xfId="8256" xr:uid="{00000000-0005-0000-0000-0000B48B0000}"/>
    <cellStyle name="Normal 57 5 2 3 4 4 2" xfId="22338" xr:uid="{00000000-0005-0000-0000-0000B58B0000}"/>
    <cellStyle name="Normal 57 5 2 3 4 4 2 2" xfId="47891" xr:uid="{00000000-0005-0000-0000-0000B68B0000}"/>
    <cellStyle name="Normal 57 5 2 3 4 4 3" xfId="33813" xr:uid="{00000000-0005-0000-0000-0000B78B0000}"/>
    <cellStyle name="Normal 57 5 2 3 4 5" xfId="17331" xr:uid="{00000000-0005-0000-0000-0000B88B0000}"/>
    <cellStyle name="Normal 57 5 2 3 4 5 2" xfId="42884" xr:uid="{00000000-0005-0000-0000-0000B98B0000}"/>
    <cellStyle name="Normal 57 5 2 3 4 6" xfId="28821" xr:uid="{00000000-0005-0000-0000-0000BA8B0000}"/>
    <cellStyle name="Normal 57 5 2 3 5" xfId="4311" xr:uid="{00000000-0005-0000-0000-0000BB8B0000}"/>
    <cellStyle name="Normal 57 5 2 3 5 2" xfId="13149" xr:uid="{00000000-0005-0000-0000-0000BC8B0000}"/>
    <cellStyle name="Normal 57 5 2 3 5 2 2" xfId="23400" xr:uid="{00000000-0005-0000-0000-0000BD8B0000}"/>
    <cellStyle name="Normal 57 5 2 3 5 2 2 2" xfId="48953" xr:uid="{00000000-0005-0000-0000-0000BE8B0000}"/>
    <cellStyle name="Normal 57 5 2 3 5 2 3" xfId="38704" xr:uid="{00000000-0005-0000-0000-0000BF8B0000}"/>
    <cellStyle name="Normal 57 5 2 3 5 3" xfId="9570" xr:uid="{00000000-0005-0000-0000-0000C08B0000}"/>
    <cellStyle name="Normal 57 5 2 3 5 3 2" xfId="35127" xr:uid="{00000000-0005-0000-0000-0000C18B0000}"/>
    <cellStyle name="Normal 57 5 2 3 5 4" xfId="18393" xr:uid="{00000000-0005-0000-0000-0000C28B0000}"/>
    <cellStyle name="Normal 57 5 2 3 5 4 2" xfId="43946" xr:uid="{00000000-0005-0000-0000-0000C38B0000}"/>
    <cellStyle name="Normal 57 5 2 3 5 5" xfId="29883" xr:uid="{00000000-0005-0000-0000-0000C48B0000}"/>
    <cellStyle name="Normal 57 5 2 3 6" xfId="1583" xr:uid="{00000000-0005-0000-0000-0000C58B0000}"/>
    <cellStyle name="Normal 57 5 2 3 6 2" xfId="10960" xr:uid="{00000000-0005-0000-0000-0000C68B0000}"/>
    <cellStyle name="Normal 57 5 2 3 6 2 2" xfId="36515" xr:uid="{00000000-0005-0000-0000-0000C78B0000}"/>
    <cellStyle name="Normal 57 5 2 3 6 3" xfId="20964" xr:uid="{00000000-0005-0000-0000-0000C88B0000}"/>
    <cellStyle name="Normal 57 5 2 3 6 3 2" xfId="46517" xr:uid="{00000000-0005-0000-0000-0000C98B0000}"/>
    <cellStyle name="Normal 57 5 2 3 6 4" xfId="27447" xr:uid="{00000000-0005-0000-0000-0000CA8B0000}"/>
    <cellStyle name="Normal 57 5 2 3 7" xfId="5767" xr:uid="{00000000-0005-0000-0000-0000CB8B0000}"/>
    <cellStyle name="Normal 57 5 2 3 7 2" xfId="14594" xr:uid="{00000000-0005-0000-0000-0000CC8B0000}"/>
    <cellStyle name="Normal 57 5 2 3 7 2 2" xfId="40149" xr:uid="{00000000-0005-0000-0000-0000CD8B0000}"/>
    <cellStyle name="Normal 57 5 2 3 7 3" xfId="24845" xr:uid="{00000000-0005-0000-0000-0000CE8B0000}"/>
    <cellStyle name="Normal 57 5 2 3 7 3 2" xfId="50398" xr:uid="{00000000-0005-0000-0000-0000CF8B0000}"/>
    <cellStyle name="Normal 57 5 2 3 7 4" xfId="31328" xr:uid="{00000000-0005-0000-0000-0000D08B0000}"/>
    <cellStyle name="Normal 57 5 2 3 8" xfId="7211" xr:uid="{00000000-0005-0000-0000-0000D18B0000}"/>
    <cellStyle name="Normal 57 5 2 3 8 2" xfId="19937" xr:uid="{00000000-0005-0000-0000-0000D28B0000}"/>
    <cellStyle name="Normal 57 5 2 3 8 2 2" xfId="45490" xr:uid="{00000000-0005-0000-0000-0000D38B0000}"/>
    <cellStyle name="Normal 57 5 2 3 8 3" xfId="32768" xr:uid="{00000000-0005-0000-0000-0000D48B0000}"/>
    <cellStyle name="Normal 57 5 2 3 9" xfId="15957" xr:uid="{00000000-0005-0000-0000-0000D58B0000}"/>
    <cellStyle name="Normal 57 5 2 3 9 2" xfId="41510" xr:uid="{00000000-0005-0000-0000-0000D68B0000}"/>
    <cellStyle name="Normal 57 5 2 3_Degree data" xfId="3969" xr:uid="{00000000-0005-0000-0000-0000D78B0000}"/>
    <cellStyle name="Normal 57 5 2 4" xfId="391" xr:uid="{00000000-0005-0000-0000-0000D88B0000}"/>
    <cellStyle name="Normal 57 5 2 4 2" xfId="2877" xr:uid="{00000000-0005-0000-0000-0000D98B0000}"/>
    <cellStyle name="Normal 57 5 2 4 2 2" xfId="12165" xr:uid="{00000000-0005-0000-0000-0000DA8B0000}"/>
    <cellStyle name="Normal 57 5 2 4 2 2 2" xfId="22238" xr:uid="{00000000-0005-0000-0000-0000DB8B0000}"/>
    <cellStyle name="Normal 57 5 2 4 2 2 2 2" xfId="47791" xr:uid="{00000000-0005-0000-0000-0000DC8B0000}"/>
    <cellStyle name="Normal 57 5 2 4 2 2 3" xfId="37720" xr:uid="{00000000-0005-0000-0000-0000DD8B0000}"/>
    <cellStyle name="Normal 57 5 2 4 2 3" xfId="8519" xr:uid="{00000000-0005-0000-0000-0000DE8B0000}"/>
    <cellStyle name="Normal 57 5 2 4 2 3 2" xfId="34076" xr:uid="{00000000-0005-0000-0000-0000DF8B0000}"/>
    <cellStyle name="Normal 57 5 2 4 2 4" xfId="17231" xr:uid="{00000000-0005-0000-0000-0000E08B0000}"/>
    <cellStyle name="Normal 57 5 2 4 2 4 2" xfId="42784" xr:uid="{00000000-0005-0000-0000-0000E18B0000}"/>
    <cellStyle name="Normal 57 5 2 4 2 5" xfId="28721" xr:uid="{00000000-0005-0000-0000-0000E28B0000}"/>
    <cellStyle name="Normal 57 5 2 4 3" xfId="4675" xr:uid="{00000000-0005-0000-0000-0000E38B0000}"/>
    <cellStyle name="Normal 57 5 2 4 3 2" xfId="13513" xr:uid="{00000000-0005-0000-0000-0000E48B0000}"/>
    <cellStyle name="Normal 57 5 2 4 3 2 2" xfId="23764" xr:uid="{00000000-0005-0000-0000-0000E58B0000}"/>
    <cellStyle name="Normal 57 5 2 4 3 2 2 2" xfId="49317" xr:uid="{00000000-0005-0000-0000-0000E68B0000}"/>
    <cellStyle name="Normal 57 5 2 4 3 2 3" xfId="39068" xr:uid="{00000000-0005-0000-0000-0000E78B0000}"/>
    <cellStyle name="Normal 57 5 2 4 3 3" xfId="9934" xr:uid="{00000000-0005-0000-0000-0000E88B0000}"/>
    <cellStyle name="Normal 57 5 2 4 3 3 2" xfId="35491" xr:uid="{00000000-0005-0000-0000-0000E98B0000}"/>
    <cellStyle name="Normal 57 5 2 4 3 4" xfId="18757" xr:uid="{00000000-0005-0000-0000-0000EA8B0000}"/>
    <cellStyle name="Normal 57 5 2 4 3 4 2" xfId="44310" xr:uid="{00000000-0005-0000-0000-0000EB8B0000}"/>
    <cellStyle name="Normal 57 5 2 4 3 5" xfId="30247" xr:uid="{00000000-0005-0000-0000-0000EC8B0000}"/>
    <cellStyle name="Normal 57 5 2 4 4" xfId="1986" xr:uid="{00000000-0005-0000-0000-0000ED8B0000}"/>
    <cellStyle name="Normal 57 5 2 4 4 2" xfId="11351" xr:uid="{00000000-0005-0000-0000-0000EE8B0000}"/>
    <cellStyle name="Normal 57 5 2 4 4 2 2" xfId="36906" xr:uid="{00000000-0005-0000-0000-0000EF8B0000}"/>
    <cellStyle name="Normal 57 5 2 4 4 3" xfId="21355" xr:uid="{00000000-0005-0000-0000-0000F08B0000}"/>
    <cellStyle name="Normal 57 5 2 4 4 3 2" xfId="46908" xr:uid="{00000000-0005-0000-0000-0000F18B0000}"/>
    <cellStyle name="Normal 57 5 2 4 4 4" xfId="27838" xr:uid="{00000000-0005-0000-0000-0000F28B0000}"/>
    <cellStyle name="Normal 57 5 2 4 5" xfId="6131" xr:uid="{00000000-0005-0000-0000-0000F38B0000}"/>
    <cellStyle name="Normal 57 5 2 4 5 2" xfId="14958" xr:uid="{00000000-0005-0000-0000-0000F48B0000}"/>
    <cellStyle name="Normal 57 5 2 4 5 2 2" xfId="40513" xr:uid="{00000000-0005-0000-0000-0000F58B0000}"/>
    <cellStyle name="Normal 57 5 2 4 5 3" xfId="25209" xr:uid="{00000000-0005-0000-0000-0000F68B0000}"/>
    <cellStyle name="Normal 57 5 2 4 5 3 2" xfId="50762" xr:uid="{00000000-0005-0000-0000-0000F78B0000}"/>
    <cellStyle name="Normal 57 5 2 4 5 4" xfId="31692" xr:uid="{00000000-0005-0000-0000-0000F88B0000}"/>
    <cellStyle name="Normal 57 5 2 4 6" xfId="7576" xr:uid="{00000000-0005-0000-0000-0000F98B0000}"/>
    <cellStyle name="Normal 57 5 2 4 6 2" xfId="19837" xr:uid="{00000000-0005-0000-0000-0000FA8B0000}"/>
    <cellStyle name="Normal 57 5 2 4 6 2 2" xfId="45390" xr:uid="{00000000-0005-0000-0000-0000FB8B0000}"/>
    <cellStyle name="Normal 57 5 2 4 6 3" xfId="33133" xr:uid="{00000000-0005-0000-0000-0000FC8B0000}"/>
    <cellStyle name="Normal 57 5 2 4 7" xfId="16348" xr:uid="{00000000-0005-0000-0000-0000FD8B0000}"/>
    <cellStyle name="Normal 57 5 2 4 7 2" xfId="41901" xr:uid="{00000000-0005-0000-0000-0000FE8B0000}"/>
    <cellStyle name="Normal 57 5 2 4 8" xfId="26320" xr:uid="{00000000-0005-0000-0000-0000FF8B0000}"/>
    <cellStyle name="Normal 57 5 2 5" xfId="861" xr:uid="{00000000-0005-0000-0000-0000008C0000}"/>
    <cellStyle name="Normal 57 5 2 5 2" xfId="3346" xr:uid="{00000000-0005-0000-0000-0000018C0000}"/>
    <cellStyle name="Normal 57 5 2 5 2 2" xfId="12488" xr:uid="{00000000-0005-0000-0000-0000028C0000}"/>
    <cellStyle name="Normal 57 5 2 5 2 2 2" xfId="22707" xr:uid="{00000000-0005-0000-0000-0000038C0000}"/>
    <cellStyle name="Normal 57 5 2 5 2 2 2 2" xfId="48260" xr:uid="{00000000-0005-0000-0000-0000048C0000}"/>
    <cellStyle name="Normal 57 5 2 5 2 2 3" xfId="38043" xr:uid="{00000000-0005-0000-0000-0000058C0000}"/>
    <cellStyle name="Normal 57 5 2 5 2 3" xfId="8910" xr:uid="{00000000-0005-0000-0000-0000068C0000}"/>
    <cellStyle name="Normal 57 5 2 5 2 3 2" xfId="34467" xr:uid="{00000000-0005-0000-0000-0000078C0000}"/>
    <cellStyle name="Normal 57 5 2 5 2 4" xfId="17700" xr:uid="{00000000-0005-0000-0000-0000088C0000}"/>
    <cellStyle name="Normal 57 5 2 5 2 4 2" xfId="43253" xr:uid="{00000000-0005-0000-0000-0000098C0000}"/>
    <cellStyle name="Normal 57 5 2 5 2 5" xfId="29190" xr:uid="{00000000-0005-0000-0000-00000A8C0000}"/>
    <cellStyle name="Normal 57 5 2 5 3" xfId="5024" xr:uid="{00000000-0005-0000-0000-00000B8C0000}"/>
    <cellStyle name="Normal 57 5 2 5 3 2" xfId="13861" xr:uid="{00000000-0005-0000-0000-00000C8C0000}"/>
    <cellStyle name="Normal 57 5 2 5 3 2 2" xfId="24112" xr:uid="{00000000-0005-0000-0000-00000D8C0000}"/>
    <cellStyle name="Normal 57 5 2 5 3 2 2 2" xfId="49665" xr:uid="{00000000-0005-0000-0000-00000E8C0000}"/>
    <cellStyle name="Normal 57 5 2 5 3 2 3" xfId="39416" xr:uid="{00000000-0005-0000-0000-00000F8C0000}"/>
    <cellStyle name="Normal 57 5 2 5 3 3" xfId="10282" xr:uid="{00000000-0005-0000-0000-0000108C0000}"/>
    <cellStyle name="Normal 57 5 2 5 3 3 2" xfId="35839" xr:uid="{00000000-0005-0000-0000-0000118C0000}"/>
    <cellStyle name="Normal 57 5 2 5 3 4" xfId="19105" xr:uid="{00000000-0005-0000-0000-0000128C0000}"/>
    <cellStyle name="Normal 57 5 2 5 3 4 2" xfId="44658" xr:uid="{00000000-0005-0000-0000-0000138C0000}"/>
    <cellStyle name="Normal 57 5 2 5 3 5" xfId="30595" xr:uid="{00000000-0005-0000-0000-0000148C0000}"/>
    <cellStyle name="Normal 57 5 2 5 4" xfId="2455" xr:uid="{00000000-0005-0000-0000-0000158C0000}"/>
    <cellStyle name="Normal 57 5 2 5 4 2" xfId="11820" xr:uid="{00000000-0005-0000-0000-0000168C0000}"/>
    <cellStyle name="Normal 57 5 2 5 4 2 2" xfId="37375" xr:uid="{00000000-0005-0000-0000-0000178C0000}"/>
    <cellStyle name="Normal 57 5 2 5 4 3" xfId="21824" xr:uid="{00000000-0005-0000-0000-0000188C0000}"/>
    <cellStyle name="Normal 57 5 2 5 4 3 2" xfId="47377" xr:uid="{00000000-0005-0000-0000-0000198C0000}"/>
    <cellStyle name="Normal 57 5 2 5 4 4" xfId="28307" xr:uid="{00000000-0005-0000-0000-00001A8C0000}"/>
    <cellStyle name="Normal 57 5 2 5 5" xfId="6479" xr:uid="{00000000-0005-0000-0000-00001B8C0000}"/>
    <cellStyle name="Normal 57 5 2 5 5 2" xfId="15306" xr:uid="{00000000-0005-0000-0000-00001C8C0000}"/>
    <cellStyle name="Normal 57 5 2 5 5 2 2" xfId="40861" xr:uid="{00000000-0005-0000-0000-00001D8C0000}"/>
    <cellStyle name="Normal 57 5 2 5 5 3" xfId="25557" xr:uid="{00000000-0005-0000-0000-00001E8C0000}"/>
    <cellStyle name="Normal 57 5 2 5 5 3 2" xfId="51110" xr:uid="{00000000-0005-0000-0000-00001F8C0000}"/>
    <cellStyle name="Normal 57 5 2 5 5 4" xfId="32040" xr:uid="{00000000-0005-0000-0000-0000208C0000}"/>
    <cellStyle name="Normal 57 5 2 5 6" xfId="7925" xr:uid="{00000000-0005-0000-0000-0000218C0000}"/>
    <cellStyle name="Normal 57 5 2 5 6 2" xfId="20306" xr:uid="{00000000-0005-0000-0000-0000228C0000}"/>
    <cellStyle name="Normal 57 5 2 5 6 2 2" xfId="45859" xr:uid="{00000000-0005-0000-0000-0000238C0000}"/>
    <cellStyle name="Normal 57 5 2 5 6 3" xfId="33482" xr:uid="{00000000-0005-0000-0000-0000248C0000}"/>
    <cellStyle name="Normal 57 5 2 5 7" xfId="16817" xr:uid="{00000000-0005-0000-0000-0000258C0000}"/>
    <cellStyle name="Normal 57 5 2 5 7 2" xfId="42370" xr:uid="{00000000-0005-0000-0000-0000268C0000}"/>
    <cellStyle name="Normal 57 5 2 5 8" xfId="26789" xr:uid="{00000000-0005-0000-0000-0000278C0000}"/>
    <cellStyle name="Normal 57 5 2 6" xfId="1163" xr:uid="{00000000-0005-0000-0000-0000288C0000}"/>
    <cellStyle name="Normal 57 5 2 6 2" xfId="3592" xr:uid="{00000000-0005-0000-0000-0000298C0000}"/>
    <cellStyle name="Normal 57 5 2 6 2 2" xfId="12728" xr:uid="{00000000-0005-0000-0000-00002A8C0000}"/>
    <cellStyle name="Normal 57 5 2 6 2 2 2" xfId="22947" xr:uid="{00000000-0005-0000-0000-00002B8C0000}"/>
    <cellStyle name="Normal 57 5 2 6 2 2 2 2" xfId="48500" xr:uid="{00000000-0005-0000-0000-00002C8C0000}"/>
    <cellStyle name="Normal 57 5 2 6 2 2 3" xfId="38283" xr:uid="{00000000-0005-0000-0000-00002D8C0000}"/>
    <cellStyle name="Normal 57 5 2 6 2 3" xfId="9149" xr:uid="{00000000-0005-0000-0000-00002E8C0000}"/>
    <cellStyle name="Normal 57 5 2 6 2 3 2" xfId="34706" xr:uid="{00000000-0005-0000-0000-00002F8C0000}"/>
    <cellStyle name="Normal 57 5 2 6 2 4" xfId="17940" xr:uid="{00000000-0005-0000-0000-0000308C0000}"/>
    <cellStyle name="Normal 57 5 2 6 2 4 2" xfId="43493" xr:uid="{00000000-0005-0000-0000-0000318C0000}"/>
    <cellStyle name="Normal 57 5 2 6 2 5" xfId="29430" xr:uid="{00000000-0005-0000-0000-0000328C0000}"/>
    <cellStyle name="Normal 57 5 2 6 3" xfId="5255" xr:uid="{00000000-0005-0000-0000-0000338C0000}"/>
    <cellStyle name="Normal 57 5 2 6 3 2" xfId="14092" xr:uid="{00000000-0005-0000-0000-0000348C0000}"/>
    <cellStyle name="Normal 57 5 2 6 3 2 2" xfId="24343" xr:uid="{00000000-0005-0000-0000-0000358C0000}"/>
    <cellStyle name="Normal 57 5 2 6 3 2 2 2" xfId="49896" xr:uid="{00000000-0005-0000-0000-0000368C0000}"/>
    <cellStyle name="Normal 57 5 2 6 3 2 3" xfId="39647" xr:uid="{00000000-0005-0000-0000-0000378C0000}"/>
    <cellStyle name="Normal 57 5 2 6 3 3" xfId="10513" xr:uid="{00000000-0005-0000-0000-0000388C0000}"/>
    <cellStyle name="Normal 57 5 2 6 3 3 2" xfId="36070" xr:uid="{00000000-0005-0000-0000-0000398C0000}"/>
    <cellStyle name="Normal 57 5 2 6 3 4" xfId="19336" xr:uid="{00000000-0005-0000-0000-00003A8C0000}"/>
    <cellStyle name="Normal 57 5 2 6 3 4 2" xfId="44889" xr:uid="{00000000-0005-0000-0000-00003B8C0000}"/>
    <cellStyle name="Normal 57 5 2 6 3 5" xfId="30826" xr:uid="{00000000-0005-0000-0000-00003C8C0000}"/>
    <cellStyle name="Normal 57 5 2 6 4" xfId="1763" xr:uid="{00000000-0005-0000-0000-00003D8C0000}"/>
    <cellStyle name="Normal 57 5 2 6 4 2" xfId="11134" xr:uid="{00000000-0005-0000-0000-00003E8C0000}"/>
    <cellStyle name="Normal 57 5 2 6 4 2 2" xfId="36689" xr:uid="{00000000-0005-0000-0000-00003F8C0000}"/>
    <cellStyle name="Normal 57 5 2 6 4 3" xfId="21138" xr:uid="{00000000-0005-0000-0000-0000408C0000}"/>
    <cellStyle name="Normal 57 5 2 6 4 3 2" xfId="46691" xr:uid="{00000000-0005-0000-0000-0000418C0000}"/>
    <cellStyle name="Normal 57 5 2 6 4 4" xfId="27621" xr:uid="{00000000-0005-0000-0000-0000428C0000}"/>
    <cellStyle name="Normal 57 5 2 6 5" xfId="6710" xr:uid="{00000000-0005-0000-0000-0000438C0000}"/>
    <cellStyle name="Normal 57 5 2 6 5 2" xfId="15537" xr:uid="{00000000-0005-0000-0000-0000448C0000}"/>
    <cellStyle name="Normal 57 5 2 6 5 2 2" xfId="41092" xr:uid="{00000000-0005-0000-0000-0000458C0000}"/>
    <cellStyle name="Normal 57 5 2 6 5 3" xfId="25788" xr:uid="{00000000-0005-0000-0000-0000468C0000}"/>
    <cellStyle name="Normal 57 5 2 6 5 3 2" xfId="51341" xr:uid="{00000000-0005-0000-0000-0000478C0000}"/>
    <cellStyle name="Normal 57 5 2 6 5 4" xfId="32271" xr:uid="{00000000-0005-0000-0000-0000488C0000}"/>
    <cellStyle name="Normal 57 5 2 6 6" xfId="8156" xr:uid="{00000000-0005-0000-0000-0000498C0000}"/>
    <cellStyle name="Normal 57 5 2 6 6 2" xfId="20546" xr:uid="{00000000-0005-0000-0000-00004A8C0000}"/>
    <cellStyle name="Normal 57 5 2 6 6 2 2" xfId="46099" xr:uid="{00000000-0005-0000-0000-00004B8C0000}"/>
    <cellStyle name="Normal 57 5 2 6 6 3" xfId="33713" xr:uid="{00000000-0005-0000-0000-00004C8C0000}"/>
    <cellStyle name="Normal 57 5 2 6 7" xfId="16131" xr:uid="{00000000-0005-0000-0000-00004D8C0000}"/>
    <cellStyle name="Normal 57 5 2 6 7 2" xfId="41684" xr:uid="{00000000-0005-0000-0000-00004E8C0000}"/>
    <cellStyle name="Normal 57 5 2 6 8" xfId="27029" xr:uid="{00000000-0005-0000-0000-00004F8C0000}"/>
    <cellStyle name="Normal 57 5 2 7" xfId="2660" xr:uid="{00000000-0005-0000-0000-0000508C0000}"/>
    <cellStyle name="Normal 57 5 2 7 2" xfId="11978" xr:uid="{00000000-0005-0000-0000-0000518C0000}"/>
    <cellStyle name="Normal 57 5 2 7 2 2" xfId="22021" xr:uid="{00000000-0005-0000-0000-0000528C0000}"/>
    <cellStyle name="Normal 57 5 2 7 2 2 2" xfId="47574" xr:uid="{00000000-0005-0000-0000-0000538C0000}"/>
    <cellStyle name="Normal 57 5 2 7 2 3" xfId="37533" xr:uid="{00000000-0005-0000-0000-0000548C0000}"/>
    <cellStyle name="Normal 57 5 2 7 3" xfId="8431" xr:uid="{00000000-0005-0000-0000-0000558C0000}"/>
    <cellStyle name="Normal 57 5 2 7 3 2" xfId="33988" xr:uid="{00000000-0005-0000-0000-0000568C0000}"/>
    <cellStyle name="Normal 57 5 2 7 4" xfId="17014" xr:uid="{00000000-0005-0000-0000-0000578C0000}"/>
    <cellStyle name="Normal 57 5 2 7 4 2" xfId="42567" xr:uid="{00000000-0005-0000-0000-0000588C0000}"/>
    <cellStyle name="Normal 57 5 2 7 5" xfId="28504" xr:uid="{00000000-0005-0000-0000-0000598C0000}"/>
    <cellStyle name="Normal 57 5 2 8" xfId="4211" xr:uid="{00000000-0005-0000-0000-00005A8C0000}"/>
    <cellStyle name="Normal 57 5 2 8 2" xfId="13049" xr:uid="{00000000-0005-0000-0000-00005B8C0000}"/>
    <cellStyle name="Normal 57 5 2 8 2 2" xfId="23300" xr:uid="{00000000-0005-0000-0000-00005C8C0000}"/>
    <cellStyle name="Normal 57 5 2 8 2 2 2" xfId="48853" xr:uid="{00000000-0005-0000-0000-00005D8C0000}"/>
    <cellStyle name="Normal 57 5 2 8 2 3" xfId="38604" xr:uid="{00000000-0005-0000-0000-00005E8C0000}"/>
    <cellStyle name="Normal 57 5 2 8 3" xfId="9470" xr:uid="{00000000-0005-0000-0000-00005F8C0000}"/>
    <cellStyle name="Normal 57 5 2 8 3 2" xfId="35027" xr:uid="{00000000-0005-0000-0000-0000608C0000}"/>
    <cellStyle name="Normal 57 5 2 8 4" xfId="18293" xr:uid="{00000000-0005-0000-0000-0000618C0000}"/>
    <cellStyle name="Normal 57 5 2 8 4 2" xfId="43846" xr:uid="{00000000-0005-0000-0000-0000628C0000}"/>
    <cellStyle name="Normal 57 5 2 8 5" xfId="29783" xr:uid="{00000000-0005-0000-0000-0000638C0000}"/>
    <cellStyle name="Normal 57 5 2 9" xfId="1483" xr:uid="{00000000-0005-0000-0000-0000648C0000}"/>
    <cellStyle name="Normal 57 5 2 9 2" xfId="10860" xr:uid="{00000000-0005-0000-0000-0000658C0000}"/>
    <cellStyle name="Normal 57 5 2 9 2 2" xfId="36415" xr:uid="{00000000-0005-0000-0000-0000668C0000}"/>
    <cellStyle name="Normal 57 5 2 9 3" xfId="20864" xr:uid="{00000000-0005-0000-0000-0000678C0000}"/>
    <cellStyle name="Normal 57 5 2 9 3 2" xfId="46417" xr:uid="{00000000-0005-0000-0000-0000688C0000}"/>
    <cellStyle name="Normal 57 5 2 9 4" xfId="27347" xr:uid="{00000000-0005-0000-0000-0000698C0000}"/>
    <cellStyle name="Normal 57 5 2_Degree data" xfId="3967" xr:uid="{00000000-0005-0000-0000-00006A8C0000}"/>
    <cellStyle name="Normal 57 5 3" xfId="208" xr:uid="{00000000-0005-0000-0000-00006B8C0000}"/>
    <cellStyle name="Normal 57 5 3 10" xfId="7154" xr:uid="{00000000-0005-0000-0000-00006C8C0000}"/>
    <cellStyle name="Normal 57 5 3 10 2" xfId="19663" xr:uid="{00000000-0005-0000-0000-00006D8C0000}"/>
    <cellStyle name="Normal 57 5 3 10 2 2" xfId="45216" xr:uid="{00000000-0005-0000-0000-00006E8C0000}"/>
    <cellStyle name="Normal 57 5 3 10 3" xfId="32711" xr:uid="{00000000-0005-0000-0000-00006F8C0000}"/>
    <cellStyle name="Normal 57 5 3 11" xfId="15900" xr:uid="{00000000-0005-0000-0000-0000708C0000}"/>
    <cellStyle name="Normal 57 5 3 11 2" xfId="41453" xr:uid="{00000000-0005-0000-0000-0000718C0000}"/>
    <cellStyle name="Normal 57 5 3 12" xfId="26146" xr:uid="{00000000-0005-0000-0000-0000728C0000}"/>
    <cellStyle name="Normal 57 5 3 2" xfId="534" xr:uid="{00000000-0005-0000-0000-0000738C0000}"/>
    <cellStyle name="Normal 57 5 3 2 10" xfId="26463" xr:uid="{00000000-0005-0000-0000-0000748C0000}"/>
    <cellStyle name="Normal 57 5 3 2 2" xfId="865" xr:uid="{00000000-0005-0000-0000-0000758C0000}"/>
    <cellStyle name="Normal 57 5 3 2 2 2" xfId="3350" xr:uid="{00000000-0005-0000-0000-0000768C0000}"/>
    <cellStyle name="Normal 57 5 3 2 2 2 2" xfId="12492" xr:uid="{00000000-0005-0000-0000-0000778C0000}"/>
    <cellStyle name="Normal 57 5 3 2 2 2 2 2" xfId="22711" xr:uid="{00000000-0005-0000-0000-0000788C0000}"/>
    <cellStyle name="Normal 57 5 3 2 2 2 2 2 2" xfId="48264" xr:uid="{00000000-0005-0000-0000-0000798C0000}"/>
    <cellStyle name="Normal 57 5 3 2 2 2 2 3" xfId="38047" xr:uid="{00000000-0005-0000-0000-00007A8C0000}"/>
    <cellStyle name="Normal 57 5 3 2 2 2 3" xfId="8914" xr:uid="{00000000-0005-0000-0000-00007B8C0000}"/>
    <cellStyle name="Normal 57 5 3 2 2 2 3 2" xfId="34471" xr:uid="{00000000-0005-0000-0000-00007C8C0000}"/>
    <cellStyle name="Normal 57 5 3 2 2 2 4" xfId="17704" xr:uid="{00000000-0005-0000-0000-00007D8C0000}"/>
    <cellStyle name="Normal 57 5 3 2 2 2 4 2" xfId="43257" xr:uid="{00000000-0005-0000-0000-00007E8C0000}"/>
    <cellStyle name="Normal 57 5 3 2 2 2 5" xfId="29194" xr:uid="{00000000-0005-0000-0000-00007F8C0000}"/>
    <cellStyle name="Normal 57 5 3 2 2 3" xfId="4679" xr:uid="{00000000-0005-0000-0000-0000808C0000}"/>
    <cellStyle name="Normal 57 5 3 2 2 3 2" xfId="13517" xr:uid="{00000000-0005-0000-0000-0000818C0000}"/>
    <cellStyle name="Normal 57 5 3 2 2 3 2 2" xfId="23768" xr:uid="{00000000-0005-0000-0000-0000828C0000}"/>
    <cellStyle name="Normal 57 5 3 2 2 3 2 2 2" xfId="49321" xr:uid="{00000000-0005-0000-0000-0000838C0000}"/>
    <cellStyle name="Normal 57 5 3 2 2 3 2 3" xfId="39072" xr:uid="{00000000-0005-0000-0000-0000848C0000}"/>
    <cellStyle name="Normal 57 5 3 2 2 3 3" xfId="9938" xr:uid="{00000000-0005-0000-0000-0000858C0000}"/>
    <cellStyle name="Normal 57 5 3 2 2 3 3 2" xfId="35495" xr:uid="{00000000-0005-0000-0000-0000868C0000}"/>
    <cellStyle name="Normal 57 5 3 2 2 3 4" xfId="18761" xr:uid="{00000000-0005-0000-0000-0000878C0000}"/>
    <cellStyle name="Normal 57 5 3 2 2 3 4 2" xfId="44314" xr:uid="{00000000-0005-0000-0000-0000888C0000}"/>
    <cellStyle name="Normal 57 5 3 2 2 3 5" xfId="30251" xr:uid="{00000000-0005-0000-0000-0000898C0000}"/>
    <cellStyle name="Normal 57 5 3 2 2 4" xfId="2459" xr:uid="{00000000-0005-0000-0000-00008A8C0000}"/>
    <cellStyle name="Normal 57 5 3 2 2 4 2" xfId="11824" xr:uid="{00000000-0005-0000-0000-00008B8C0000}"/>
    <cellStyle name="Normal 57 5 3 2 2 4 2 2" xfId="37379" xr:uid="{00000000-0005-0000-0000-00008C8C0000}"/>
    <cellStyle name="Normal 57 5 3 2 2 4 3" xfId="21828" xr:uid="{00000000-0005-0000-0000-00008D8C0000}"/>
    <cellStyle name="Normal 57 5 3 2 2 4 3 2" xfId="47381" xr:uid="{00000000-0005-0000-0000-00008E8C0000}"/>
    <cellStyle name="Normal 57 5 3 2 2 4 4" xfId="28311" xr:uid="{00000000-0005-0000-0000-00008F8C0000}"/>
    <cellStyle name="Normal 57 5 3 2 2 5" xfId="6135" xr:uid="{00000000-0005-0000-0000-0000908C0000}"/>
    <cellStyle name="Normal 57 5 3 2 2 5 2" xfId="14962" xr:uid="{00000000-0005-0000-0000-0000918C0000}"/>
    <cellStyle name="Normal 57 5 3 2 2 5 2 2" xfId="40517" xr:uid="{00000000-0005-0000-0000-0000928C0000}"/>
    <cellStyle name="Normal 57 5 3 2 2 5 3" xfId="25213" xr:uid="{00000000-0005-0000-0000-0000938C0000}"/>
    <cellStyle name="Normal 57 5 3 2 2 5 3 2" xfId="50766" xr:uid="{00000000-0005-0000-0000-0000948C0000}"/>
    <cellStyle name="Normal 57 5 3 2 2 5 4" xfId="31696" xr:uid="{00000000-0005-0000-0000-0000958C0000}"/>
    <cellStyle name="Normal 57 5 3 2 2 6" xfId="7580" xr:uid="{00000000-0005-0000-0000-0000968C0000}"/>
    <cellStyle name="Normal 57 5 3 2 2 6 2" xfId="20310" xr:uid="{00000000-0005-0000-0000-0000978C0000}"/>
    <cellStyle name="Normal 57 5 3 2 2 6 2 2" xfId="45863" xr:uid="{00000000-0005-0000-0000-0000988C0000}"/>
    <cellStyle name="Normal 57 5 3 2 2 6 3" xfId="33137" xr:uid="{00000000-0005-0000-0000-0000998C0000}"/>
    <cellStyle name="Normal 57 5 3 2 2 7" xfId="16821" xr:uid="{00000000-0005-0000-0000-00009A8C0000}"/>
    <cellStyle name="Normal 57 5 3 2 2 7 2" xfId="42374" xr:uid="{00000000-0005-0000-0000-00009B8C0000}"/>
    <cellStyle name="Normal 57 5 3 2 2 8" xfId="26793" xr:uid="{00000000-0005-0000-0000-00009C8C0000}"/>
    <cellStyle name="Normal 57 5 3 2 3" xfId="1306" xr:uid="{00000000-0005-0000-0000-00009D8C0000}"/>
    <cellStyle name="Normal 57 5 3 2 3 2" xfId="3735" xr:uid="{00000000-0005-0000-0000-00009E8C0000}"/>
    <cellStyle name="Normal 57 5 3 2 3 2 2" xfId="12871" xr:uid="{00000000-0005-0000-0000-00009F8C0000}"/>
    <cellStyle name="Normal 57 5 3 2 3 2 2 2" xfId="23090" xr:uid="{00000000-0005-0000-0000-0000A08C0000}"/>
    <cellStyle name="Normal 57 5 3 2 3 2 2 2 2" xfId="48643" xr:uid="{00000000-0005-0000-0000-0000A18C0000}"/>
    <cellStyle name="Normal 57 5 3 2 3 2 2 3" xfId="38426" xr:uid="{00000000-0005-0000-0000-0000A28C0000}"/>
    <cellStyle name="Normal 57 5 3 2 3 2 3" xfId="9292" xr:uid="{00000000-0005-0000-0000-0000A38C0000}"/>
    <cellStyle name="Normal 57 5 3 2 3 2 3 2" xfId="34849" xr:uid="{00000000-0005-0000-0000-0000A48C0000}"/>
    <cellStyle name="Normal 57 5 3 2 3 2 4" xfId="18083" xr:uid="{00000000-0005-0000-0000-0000A58C0000}"/>
    <cellStyle name="Normal 57 5 3 2 3 2 4 2" xfId="43636" xr:uid="{00000000-0005-0000-0000-0000A68C0000}"/>
    <cellStyle name="Normal 57 5 3 2 3 2 5" xfId="29573" xr:uid="{00000000-0005-0000-0000-0000A78C0000}"/>
    <cellStyle name="Normal 57 5 3 2 3 3" xfId="5028" xr:uid="{00000000-0005-0000-0000-0000A88C0000}"/>
    <cellStyle name="Normal 57 5 3 2 3 3 2" xfId="13865" xr:uid="{00000000-0005-0000-0000-0000A98C0000}"/>
    <cellStyle name="Normal 57 5 3 2 3 3 2 2" xfId="24116" xr:uid="{00000000-0005-0000-0000-0000AA8C0000}"/>
    <cellStyle name="Normal 57 5 3 2 3 3 2 2 2" xfId="49669" xr:uid="{00000000-0005-0000-0000-0000AB8C0000}"/>
    <cellStyle name="Normal 57 5 3 2 3 3 2 3" xfId="39420" xr:uid="{00000000-0005-0000-0000-0000AC8C0000}"/>
    <cellStyle name="Normal 57 5 3 2 3 3 3" xfId="10286" xr:uid="{00000000-0005-0000-0000-0000AD8C0000}"/>
    <cellStyle name="Normal 57 5 3 2 3 3 3 2" xfId="35843" xr:uid="{00000000-0005-0000-0000-0000AE8C0000}"/>
    <cellStyle name="Normal 57 5 3 2 3 3 4" xfId="19109" xr:uid="{00000000-0005-0000-0000-0000AF8C0000}"/>
    <cellStyle name="Normal 57 5 3 2 3 3 4 2" xfId="44662" xr:uid="{00000000-0005-0000-0000-0000B08C0000}"/>
    <cellStyle name="Normal 57 5 3 2 3 3 5" xfId="30599" xr:uid="{00000000-0005-0000-0000-0000B18C0000}"/>
    <cellStyle name="Normal 57 5 3 2 3 4" xfId="2129" xr:uid="{00000000-0005-0000-0000-0000B28C0000}"/>
    <cellStyle name="Normal 57 5 3 2 3 4 2" xfId="11494" xr:uid="{00000000-0005-0000-0000-0000B38C0000}"/>
    <cellStyle name="Normal 57 5 3 2 3 4 2 2" xfId="37049" xr:uid="{00000000-0005-0000-0000-0000B48C0000}"/>
    <cellStyle name="Normal 57 5 3 2 3 4 3" xfId="21498" xr:uid="{00000000-0005-0000-0000-0000B58C0000}"/>
    <cellStyle name="Normal 57 5 3 2 3 4 3 2" xfId="47051" xr:uid="{00000000-0005-0000-0000-0000B68C0000}"/>
    <cellStyle name="Normal 57 5 3 2 3 4 4" xfId="27981" xr:uid="{00000000-0005-0000-0000-0000B78C0000}"/>
    <cellStyle name="Normal 57 5 3 2 3 5" xfId="6483" xr:uid="{00000000-0005-0000-0000-0000B88C0000}"/>
    <cellStyle name="Normal 57 5 3 2 3 5 2" xfId="15310" xr:uid="{00000000-0005-0000-0000-0000B98C0000}"/>
    <cellStyle name="Normal 57 5 3 2 3 5 2 2" xfId="40865" xr:uid="{00000000-0005-0000-0000-0000BA8C0000}"/>
    <cellStyle name="Normal 57 5 3 2 3 5 3" xfId="25561" xr:uid="{00000000-0005-0000-0000-0000BB8C0000}"/>
    <cellStyle name="Normal 57 5 3 2 3 5 3 2" xfId="51114" xr:uid="{00000000-0005-0000-0000-0000BC8C0000}"/>
    <cellStyle name="Normal 57 5 3 2 3 5 4" xfId="32044" xr:uid="{00000000-0005-0000-0000-0000BD8C0000}"/>
    <cellStyle name="Normal 57 5 3 2 3 6" xfId="7929" xr:uid="{00000000-0005-0000-0000-0000BE8C0000}"/>
    <cellStyle name="Normal 57 5 3 2 3 6 2" xfId="20689" xr:uid="{00000000-0005-0000-0000-0000BF8C0000}"/>
    <cellStyle name="Normal 57 5 3 2 3 6 2 2" xfId="46242" xr:uid="{00000000-0005-0000-0000-0000C08C0000}"/>
    <cellStyle name="Normal 57 5 3 2 3 6 3" xfId="33486" xr:uid="{00000000-0005-0000-0000-0000C18C0000}"/>
    <cellStyle name="Normal 57 5 3 2 3 7" xfId="16491" xr:uid="{00000000-0005-0000-0000-0000C28C0000}"/>
    <cellStyle name="Normal 57 5 3 2 3 7 2" xfId="42044" xr:uid="{00000000-0005-0000-0000-0000C38C0000}"/>
    <cellStyle name="Normal 57 5 3 2 3 8" xfId="27172" xr:uid="{00000000-0005-0000-0000-0000C48C0000}"/>
    <cellStyle name="Normal 57 5 3 2 4" xfId="3020" xr:uid="{00000000-0005-0000-0000-0000C58C0000}"/>
    <cellStyle name="Normal 57 5 3 2 4 2" xfId="5398" xr:uid="{00000000-0005-0000-0000-0000C68C0000}"/>
    <cellStyle name="Normal 57 5 3 2 4 2 2" xfId="14235" xr:uid="{00000000-0005-0000-0000-0000C78C0000}"/>
    <cellStyle name="Normal 57 5 3 2 4 2 2 2" xfId="24486" xr:uid="{00000000-0005-0000-0000-0000C88C0000}"/>
    <cellStyle name="Normal 57 5 3 2 4 2 2 2 2" xfId="50039" xr:uid="{00000000-0005-0000-0000-0000C98C0000}"/>
    <cellStyle name="Normal 57 5 3 2 4 2 2 3" xfId="39790" xr:uid="{00000000-0005-0000-0000-0000CA8C0000}"/>
    <cellStyle name="Normal 57 5 3 2 4 2 3" xfId="10656" xr:uid="{00000000-0005-0000-0000-0000CB8C0000}"/>
    <cellStyle name="Normal 57 5 3 2 4 2 3 2" xfId="36213" xr:uid="{00000000-0005-0000-0000-0000CC8C0000}"/>
    <cellStyle name="Normal 57 5 3 2 4 2 4" xfId="19479" xr:uid="{00000000-0005-0000-0000-0000CD8C0000}"/>
    <cellStyle name="Normal 57 5 3 2 4 2 4 2" xfId="45032" xr:uid="{00000000-0005-0000-0000-0000CE8C0000}"/>
    <cellStyle name="Normal 57 5 3 2 4 2 5" xfId="30969" xr:uid="{00000000-0005-0000-0000-0000CF8C0000}"/>
    <cellStyle name="Normal 57 5 3 2 4 3" xfId="6853" xr:uid="{00000000-0005-0000-0000-0000D08C0000}"/>
    <cellStyle name="Normal 57 5 3 2 4 3 2" xfId="15680" xr:uid="{00000000-0005-0000-0000-0000D18C0000}"/>
    <cellStyle name="Normal 57 5 3 2 4 3 2 2" xfId="41235" xr:uid="{00000000-0005-0000-0000-0000D28C0000}"/>
    <cellStyle name="Normal 57 5 3 2 4 3 3" xfId="25931" xr:uid="{00000000-0005-0000-0000-0000D38C0000}"/>
    <cellStyle name="Normal 57 5 3 2 4 3 3 2" xfId="51484" xr:uid="{00000000-0005-0000-0000-0000D48C0000}"/>
    <cellStyle name="Normal 57 5 3 2 4 3 4" xfId="32414" xr:uid="{00000000-0005-0000-0000-0000D58C0000}"/>
    <cellStyle name="Normal 57 5 3 2 4 4" xfId="8299" xr:uid="{00000000-0005-0000-0000-0000D68C0000}"/>
    <cellStyle name="Normal 57 5 3 2 4 4 2" xfId="22381" xr:uid="{00000000-0005-0000-0000-0000D78C0000}"/>
    <cellStyle name="Normal 57 5 3 2 4 4 2 2" xfId="47934" xr:uid="{00000000-0005-0000-0000-0000D88C0000}"/>
    <cellStyle name="Normal 57 5 3 2 4 4 3" xfId="33856" xr:uid="{00000000-0005-0000-0000-0000D98C0000}"/>
    <cellStyle name="Normal 57 5 3 2 4 5" xfId="17374" xr:uid="{00000000-0005-0000-0000-0000DA8C0000}"/>
    <cellStyle name="Normal 57 5 3 2 4 5 2" xfId="42927" xr:uid="{00000000-0005-0000-0000-0000DB8C0000}"/>
    <cellStyle name="Normal 57 5 3 2 4 6" xfId="28864" xr:uid="{00000000-0005-0000-0000-0000DC8C0000}"/>
    <cellStyle name="Normal 57 5 3 2 5" xfId="4354" xr:uid="{00000000-0005-0000-0000-0000DD8C0000}"/>
    <cellStyle name="Normal 57 5 3 2 5 2" xfId="13192" xr:uid="{00000000-0005-0000-0000-0000DE8C0000}"/>
    <cellStyle name="Normal 57 5 3 2 5 2 2" xfId="23443" xr:uid="{00000000-0005-0000-0000-0000DF8C0000}"/>
    <cellStyle name="Normal 57 5 3 2 5 2 2 2" xfId="48996" xr:uid="{00000000-0005-0000-0000-0000E08C0000}"/>
    <cellStyle name="Normal 57 5 3 2 5 2 3" xfId="38747" xr:uid="{00000000-0005-0000-0000-0000E18C0000}"/>
    <cellStyle name="Normal 57 5 3 2 5 3" xfId="9613" xr:uid="{00000000-0005-0000-0000-0000E28C0000}"/>
    <cellStyle name="Normal 57 5 3 2 5 3 2" xfId="35170" xr:uid="{00000000-0005-0000-0000-0000E38C0000}"/>
    <cellStyle name="Normal 57 5 3 2 5 4" xfId="18436" xr:uid="{00000000-0005-0000-0000-0000E48C0000}"/>
    <cellStyle name="Normal 57 5 3 2 5 4 2" xfId="43989" xr:uid="{00000000-0005-0000-0000-0000E58C0000}"/>
    <cellStyle name="Normal 57 5 3 2 5 5" xfId="29926" xr:uid="{00000000-0005-0000-0000-0000E68C0000}"/>
    <cellStyle name="Normal 57 5 3 2 6" xfId="1626" xr:uid="{00000000-0005-0000-0000-0000E78C0000}"/>
    <cellStyle name="Normal 57 5 3 2 6 2" xfId="11003" xr:uid="{00000000-0005-0000-0000-0000E88C0000}"/>
    <cellStyle name="Normal 57 5 3 2 6 2 2" xfId="36558" xr:uid="{00000000-0005-0000-0000-0000E98C0000}"/>
    <cellStyle name="Normal 57 5 3 2 6 3" xfId="21007" xr:uid="{00000000-0005-0000-0000-0000EA8C0000}"/>
    <cellStyle name="Normal 57 5 3 2 6 3 2" xfId="46560" xr:uid="{00000000-0005-0000-0000-0000EB8C0000}"/>
    <cellStyle name="Normal 57 5 3 2 6 4" xfId="27490" xr:uid="{00000000-0005-0000-0000-0000EC8C0000}"/>
    <cellStyle name="Normal 57 5 3 2 7" xfId="5810" xr:uid="{00000000-0005-0000-0000-0000ED8C0000}"/>
    <cellStyle name="Normal 57 5 3 2 7 2" xfId="14637" xr:uid="{00000000-0005-0000-0000-0000EE8C0000}"/>
    <cellStyle name="Normal 57 5 3 2 7 2 2" xfId="40192" xr:uid="{00000000-0005-0000-0000-0000EF8C0000}"/>
    <cellStyle name="Normal 57 5 3 2 7 3" xfId="24888" xr:uid="{00000000-0005-0000-0000-0000F08C0000}"/>
    <cellStyle name="Normal 57 5 3 2 7 3 2" xfId="50441" xr:uid="{00000000-0005-0000-0000-0000F18C0000}"/>
    <cellStyle name="Normal 57 5 3 2 7 4" xfId="31371" xr:uid="{00000000-0005-0000-0000-0000F28C0000}"/>
    <cellStyle name="Normal 57 5 3 2 8" xfId="7254" xr:uid="{00000000-0005-0000-0000-0000F38C0000}"/>
    <cellStyle name="Normal 57 5 3 2 8 2" xfId="19980" xr:uid="{00000000-0005-0000-0000-0000F48C0000}"/>
    <cellStyle name="Normal 57 5 3 2 8 2 2" xfId="45533" xr:uid="{00000000-0005-0000-0000-0000F58C0000}"/>
    <cellStyle name="Normal 57 5 3 2 8 3" xfId="32811" xr:uid="{00000000-0005-0000-0000-0000F68C0000}"/>
    <cellStyle name="Normal 57 5 3 2 9" xfId="16000" xr:uid="{00000000-0005-0000-0000-0000F78C0000}"/>
    <cellStyle name="Normal 57 5 3 2 9 2" xfId="41553" xr:uid="{00000000-0005-0000-0000-0000F88C0000}"/>
    <cellStyle name="Normal 57 5 3 2_Degree data" xfId="3971" xr:uid="{00000000-0005-0000-0000-0000F98C0000}"/>
    <cellStyle name="Normal 57 5 3 3" xfId="434" xr:uid="{00000000-0005-0000-0000-0000FA8C0000}"/>
    <cellStyle name="Normal 57 5 3 3 2" xfId="2920" xr:uid="{00000000-0005-0000-0000-0000FB8C0000}"/>
    <cellStyle name="Normal 57 5 3 3 2 2" xfId="12208" xr:uid="{00000000-0005-0000-0000-0000FC8C0000}"/>
    <cellStyle name="Normal 57 5 3 3 2 2 2" xfId="22281" xr:uid="{00000000-0005-0000-0000-0000FD8C0000}"/>
    <cellStyle name="Normal 57 5 3 3 2 2 2 2" xfId="47834" xr:uid="{00000000-0005-0000-0000-0000FE8C0000}"/>
    <cellStyle name="Normal 57 5 3 3 2 2 3" xfId="37763" xr:uid="{00000000-0005-0000-0000-0000FF8C0000}"/>
    <cellStyle name="Normal 57 5 3 3 2 3" xfId="8508" xr:uid="{00000000-0005-0000-0000-0000008D0000}"/>
    <cellStyle name="Normal 57 5 3 3 2 3 2" xfId="34065" xr:uid="{00000000-0005-0000-0000-0000018D0000}"/>
    <cellStyle name="Normal 57 5 3 3 2 4" xfId="17274" xr:uid="{00000000-0005-0000-0000-0000028D0000}"/>
    <cellStyle name="Normal 57 5 3 3 2 4 2" xfId="42827" xr:uid="{00000000-0005-0000-0000-0000038D0000}"/>
    <cellStyle name="Normal 57 5 3 3 2 5" xfId="28764" xr:uid="{00000000-0005-0000-0000-0000048D0000}"/>
    <cellStyle name="Normal 57 5 3 3 3" xfId="4678" xr:uid="{00000000-0005-0000-0000-0000058D0000}"/>
    <cellStyle name="Normal 57 5 3 3 3 2" xfId="13516" xr:uid="{00000000-0005-0000-0000-0000068D0000}"/>
    <cellStyle name="Normal 57 5 3 3 3 2 2" xfId="23767" xr:uid="{00000000-0005-0000-0000-0000078D0000}"/>
    <cellStyle name="Normal 57 5 3 3 3 2 2 2" xfId="49320" xr:uid="{00000000-0005-0000-0000-0000088D0000}"/>
    <cellStyle name="Normal 57 5 3 3 3 2 3" xfId="39071" xr:uid="{00000000-0005-0000-0000-0000098D0000}"/>
    <cellStyle name="Normal 57 5 3 3 3 3" xfId="9937" xr:uid="{00000000-0005-0000-0000-00000A8D0000}"/>
    <cellStyle name="Normal 57 5 3 3 3 3 2" xfId="35494" xr:uid="{00000000-0005-0000-0000-00000B8D0000}"/>
    <cellStyle name="Normal 57 5 3 3 3 4" xfId="18760" xr:uid="{00000000-0005-0000-0000-00000C8D0000}"/>
    <cellStyle name="Normal 57 5 3 3 3 4 2" xfId="44313" xr:uid="{00000000-0005-0000-0000-00000D8D0000}"/>
    <cellStyle name="Normal 57 5 3 3 3 5" xfId="30250" xr:uid="{00000000-0005-0000-0000-00000E8D0000}"/>
    <cellStyle name="Normal 57 5 3 3 4" xfId="2029" xr:uid="{00000000-0005-0000-0000-00000F8D0000}"/>
    <cellStyle name="Normal 57 5 3 3 4 2" xfId="11394" xr:uid="{00000000-0005-0000-0000-0000108D0000}"/>
    <cellStyle name="Normal 57 5 3 3 4 2 2" xfId="36949" xr:uid="{00000000-0005-0000-0000-0000118D0000}"/>
    <cellStyle name="Normal 57 5 3 3 4 3" xfId="21398" xr:uid="{00000000-0005-0000-0000-0000128D0000}"/>
    <cellStyle name="Normal 57 5 3 3 4 3 2" xfId="46951" xr:uid="{00000000-0005-0000-0000-0000138D0000}"/>
    <cellStyle name="Normal 57 5 3 3 4 4" xfId="27881" xr:uid="{00000000-0005-0000-0000-0000148D0000}"/>
    <cellStyle name="Normal 57 5 3 3 5" xfId="6134" xr:uid="{00000000-0005-0000-0000-0000158D0000}"/>
    <cellStyle name="Normal 57 5 3 3 5 2" xfId="14961" xr:uid="{00000000-0005-0000-0000-0000168D0000}"/>
    <cellStyle name="Normal 57 5 3 3 5 2 2" xfId="40516" xr:uid="{00000000-0005-0000-0000-0000178D0000}"/>
    <cellStyle name="Normal 57 5 3 3 5 3" xfId="25212" xr:uid="{00000000-0005-0000-0000-0000188D0000}"/>
    <cellStyle name="Normal 57 5 3 3 5 3 2" xfId="50765" xr:uid="{00000000-0005-0000-0000-0000198D0000}"/>
    <cellStyle name="Normal 57 5 3 3 5 4" xfId="31695" xr:uid="{00000000-0005-0000-0000-00001A8D0000}"/>
    <cellStyle name="Normal 57 5 3 3 6" xfId="7579" xr:uid="{00000000-0005-0000-0000-00001B8D0000}"/>
    <cellStyle name="Normal 57 5 3 3 6 2" xfId="19880" xr:uid="{00000000-0005-0000-0000-00001C8D0000}"/>
    <cellStyle name="Normal 57 5 3 3 6 2 2" xfId="45433" xr:uid="{00000000-0005-0000-0000-00001D8D0000}"/>
    <cellStyle name="Normal 57 5 3 3 6 3" xfId="33136" xr:uid="{00000000-0005-0000-0000-00001E8D0000}"/>
    <cellStyle name="Normal 57 5 3 3 7" xfId="16391" xr:uid="{00000000-0005-0000-0000-00001F8D0000}"/>
    <cellStyle name="Normal 57 5 3 3 7 2" xfId="41944" xr:uid="{00000000-0005-0000-0000-0000208D0000}"/>
    <cellStyle name="Normal 57 5 3 3 8" xfId="26363" xr:uid="{00000000-0005-0000-0000-0000218D0000}"/>
    <cellStyle name="Normal 57 5 3 4" xfId="864" xr:uid="{00000000-0005-0000-0000-0000228D0000}"/>
    <cellStyle name="Normal 57 5 3 4 2" xfId="3349" xr:uid="{00000000-0005-0000-0000-0000238D0000}"/>
    <cellStyle name="Normal 57 5 3 4 2 2" xfId="12491" xr:uid="{00000000-0005-0000-0000-0000248D0000}"/>
    <cellStyle name="Normal 57 5 3 4 2 2 2" xfId="22710" xr:uid="{00000000-0005-0000-0000-0000258D0000}"/>
    <cellStyle name="Normal 57 5 3 4 2 2 2 2" xfId="48263" xr:uid="{00000000-0005-0000-0000-0000268D0000}"/>
    <cellStyle name="Normal 57 5 3 4 2 2 3" xfId="38046" xr:uid="{00000000-0005-0000-0000-0000278D0000}"/>
    <cellStyle name="Normal 57 5 3 4 2 3" xfId="8913" xr:uid="{00000000-0005-0000-0000-0000288D0000}"/>
    <cellStyle name="Normal 57 5 3 4 2 3 2" xfId="34470" xr:uid="{00000000-0005-0000-0000-0000298D0000}"/>
    <cellStyle name="Normal 57 5 3 4 2 4" xfId="17703" xr:uid="{00000000-0005-0000-0000-00002A8D0000}"/>
    <cellStyle name="Normal 57 5 3 4 2 4 2" xfId="43256" xr:uid="{00000000-0005-0000-0000-00002B8D0000}"/>
    <cellStyle name="Normal 57 5 3 4 2 5" xfId="29193" xr:uid="{00000000-0005-0000-0000-00002C8D0000}"/>
    <cellStyle name="Normal 57 5 3 4 3" xfId="5027" xr:uid="{00000000-0005-0000-0000-00002D8D0000}"/>
    <cellStyle name="Normal 57 5 3 4 3 2" xfId="13864" xr:uid="{00000000-0005-0000-0000-00002E8D0000}"/>
    <cellStyle name="Normal 57 5 3 4 3 2 2" xfId="24115" xr:uid="{00000000-0005-0000-0000-00002F8D0000}"/>
    <cellStyle name="Normal 57 5 3 4 3 2 2 2" xfId="49668" xr:uid="{00000000-0005-0000-0000-0000308D0000}"/>
    <cellStyle name="Normal 57 5 3 4 3 2 3" xfId="39419" xr:uid="{00000000-0005-0000-0000-0000318D0000}"/>
    <cellStyle name="Normal 57 5 3 4 3 3" xfId="10285" xr:uid="{00000000-0005-0000-0000-0000328D0000}"/>
    <cellStyle name="Normal 57 5 3 4 3 3 2" xfId="35842" xr:uid="{00000000-0005-0000-0000-0000338D0000}"/>
    <cellStyle name="Normal 57 5 3 4 3 4" xfId="19108" xr:uid="{00000000-0005-0000-0000-0000348D0000}"/>
    <cellStyle name="Normal 57 5 3 4 3 4 2" xfId="44661" xr:uid="{00000000-0005-0000-0000-0000358D0000}"/>
    <cellStyle name="Normal 57 5 3 4 3 5" xfId="30598" xr:uid="{00000000-0005-0000-0000-0000368D0000}"/>
    <cellStyle name="Normal 57 5 3 4 4" xfId="2458" xr:uid="{00000000-0005-0000-0000-0000378D0000}"/>
    <cellStyle name="Normal 57 5 3 4 4 2" xfId="11823" xr:uid="{00000000-0005-0000-0000-0000388D0000}"/>
    <cellStyle name="Normal 57 5 3 4 4 2 2" xfId="37378" xr:uid="{00000000-0005-0000-0000-0000398D0000}"/>
    <cellStyle name="Normal 57 5 3 4 4 3" xfId="21827" xr:uid="{00000000-0005-0000-0000-00003A8D0000}"/>
    <cellStyle name="Normal 57 5 3 4 4 3 2" xfId="47380" xr:uid="{00000000-0005-0000-0000-00003B8D0000}"/>
    <cellStyle name="Normal 57 5 3 4 4 4" xfId="28310" xr:uid="{00000000-0005-0000-0000-00003C8D0000}"/>
    <cellStyle name="Normal 57 5 3 4 5" xfId="6482" xr:uid="{00000000-0005-0000-0000-00003D8D0000}"/>
    <cellStyle name="Normal 57 5 3 4 5 2" xfId="15309" xr:uid="{00000000-0005-0000-0000-00003E8D0000}"/>
    <cellStyle name="Normal 57 5 3 4 5 2 2" xfId="40864" xr:uid="{00000000-0005-0000-0000-00003F8D0000}"/>
    <cellStyle name="Normal 57 5 3 4 5 3" xfId="25560" xr:uid="{00000000-0005-0000-0000-0000408D0000}"/>
    <cellStyle name="Normal 57 5 3 4 5 3 2" xfId="51113" xr:uid="{00000000-0005-0000-0000-0000418D0000}"/>
    <cellStyle name="Normal 57 5 3 4 5 4" xfId="32043" xr:uid="{00000000-0005-0000-0000-0000428D0000}"/>
    <cellStyle name="Normal 57 5 3 4 6" xfId="7928" xr:uid="{00000000-0005-0000-0000-0000438D0000}"/>
    <cellStyle name="Normal 57 5 3 4 6 2" xfId="20309" xr:uid="{00000000-0005-0000-0000-0000448D0000}"/>
    <cellStyle name="Normal 57 5 3 4 6 2 2" xfId="45862" xr:uid="{00000000-0005-0000-0000-0000458D0000}"/>
    <cellStyle name="Normal 57 5 3 4 6 3" xfId="33485" xr:uid="{00000000-0005-0000-0000-0000468D0000}"/>
    <cellStyle name="Normal 57 5 3 4 7" xfId="16820" xr:uid="{00000000-0005-0000-0000-0000478D0000}"/>
    <cellStyle name="Normal 57 5 3 4 7 2" xfId="42373" xr:uid="{00000000-0005-0000-0000-0000488D0000}"/>
    <cellStyle name="Normal 57 5 3 4 8" xfId="26792" xr:uid="{00000000-0005-0000-0000-0000498D0000}"/>
    <cellStyle name="Normal 57 5 3 5" xfId="1206" xr:uid="{00000000-0005-0000-0000-00004A8D0000}"/>
    <cellStyle name="Normal 57 5 3 5 2" xfId="3635" xr:uid="{00000000-0005-0000-0000-00004B8D0000}"/>
    <cellStyle name="Normal 57 5 3 5 2 2" xfId="12771" xr:uid="{00000000-0005-0000-0000-00004C8D0000}"/>
    <cellStyle name="Normal 57 5 3 5 2 2 2" xfId="22990" xr:uid="{00000000-0005-0000-0000-00004D8D0000}"/>
    <cellStyle name="Normal 57 5 3 5 2 2 2 2" xfId="48543" xr:uid="{00000000-0005-0000-0000-00004E8D0000}"/>
    <cellStyle name="Normal 57 5 3 5 2 2 3" xfId="38326" xr:uid="{00000000-0005-0000-0000-00004F8D0000}"/>
    <cellStyle name="Normal 57 5 3 5 2 3" xfId="9192" xr:uid="{00000000-0005-0000-0000-0000508D0000}"/>
    <cellStyle name="Normal 57 5 3 5 2 3 2" xfId="34749" xr:uid="{00000000-0005-0000-0000-0000518D0000}"/>
    <cellStyle name="Normal 57 5 3 5 2 4" xfId="17983" xr:uid="{00000000-0005-0000-0000-0000528D0000}"/>
    <cellStyle name="Normal 57 5 3 5 2 4 2" xfId="43536" xr:uid="{00000000-0005-0000-0000-0000538D0000}"/>
    <cellStyle name="Normal 57 5 3 5 2 5" xfId="29473" xr:uid="{00000000-0005-0000-0000-0000548D0000}"/>
    <cellStyle name="Normal 57 5 3 5 3" xfId="5298" xr:uid="{00000000-0005-0000-0000-0000558D0000}"/>
    <cellStyle name="Normal 57 5 3 5 3 2" xfId="14135" xr:uid="{00000000-0005-0000-0000-0000568D0000}"/>
    <cellStyle name="Normal 57 5 3 5 3 2 2" xfId="24386" xr:uid="{00000000-0005-0000-0000-0000578D0000}"/>
    <cellStyle name="Normal 57 5 3 5 3 2 2 2" xfId="49939" xr:uid="{00000000-0005-0000-0000-0000588D0000}"/>
    <cellStyle name="Normal 57 5 3 5 3 2 3" xfId="39690" xr:uid="{00000000-0005-0000-0000-0000598D0000}"/>
    <cellStyle name="Normal 57 5 3 5 3 3" xfId="10556" xr:uid="{00000000-0005-0000-0000-00005A8D0000}"/>
    <cellStyle name="Normal 57 5 3 5 3 3 2" xfId="36113" xr:uid="{00000000-0005-0000-0000-00005B8D0000}"/>
    <cellStyle name="Normal 57 5 3 5 3 4" xfId="19379" xr:uid="{00000000-0005-0000-0000-00005C8D0000}"/>
    <cellStyle name="Normal 57 5 3 5 3 4 2" xfId="44932" xr:uid="{00000000-0005-0000-0000-00005D8D0000}"/>
    <cellStyle name="Normal 57 5 3 5 3 5" xfId="30869" xr:uid="{00000000-0005-0000-0000-00005E8D0000}"/>
    <cellStyle name="Normal 57 5 3 5 4" xfId="1809" xr:uid="{00000000-0005-0000-0000-00005F8D0000}"/>
    <cellStyle name="Normal 57 5 3 5 4 2" xfId="11177" xr:uid="{00000000-0005-0000-0000-0000608D0000}"/>
    <cellStyle name="Normal 57 5 3 5 4 2 2" xfId="36732" xr:uid="{00000000-0005-0000-0000-0000618D0000}"/>
    <cellStyle name="Normal 57 5 3 5 4 3" xfId="21181" xr:uid="{00000000-0005-0000-0000-0000628D0000}"/>
    <cellStyle name="Normal 57 5 3 5 4 3 2" xfId="46734" xr:uid="{00000000-0005-0000-0000-0000638D0000}"/>
    <cellStyle name="Normal 57 5 3 5 4 4" xfId="27664" xr:uid="{00000000-0005-0000-0000-0000648D0000}"/>
    <cellStyle name="Normal 57 5 3 5 5" xfId="6753" xr:uid="{00000000-0005-0000-0000-0000658D0000}"/>
    <cellStyle name="Normal 57 5 3 5 5 2" xfId="15580" xr:uid="{00000000-0005-0000-0000-0000668D0000}"/>
    <cellStyle name="Normal 57 5 3 5 5 2 2" xfId="41135" xr:uid="{00000000-0005-0000-0000-0000678D0000}"/>
    <cellStyle name="Normal 57 5 3 5 5 3" xfId="25831" xr:uid="{00000000-0005-0000-0000-0000688D0000}"/>
    <cellStyle name="Normal 57 5 3 5 5 3 2" xfId="51384" xr:uid="{00000000-0005-0000-0000-0000698D0000}"/>
    <cellStyle name="Normal 57 5 3 5 5 4" xfId="32314" xr:uid="{00000000-0005-0000-0000-00006A8D0000}"/>
    <cellStyle name="Normal 57 5 3 5 6" xfId="8199" xr:uid="{00000000-0005-0000-0000-00006B8D0000}"/>
    <cellStyle name="Normal 57 5 3 5 6 2" xfId="20589" xr:uid="{00000000-0005-0000-0000-00006C8D0000}"/>
    <cellStyle name="Normal 57 5 3 5 6 2 2" xfId="46142" xr:uid="{00000000-0005-0000-0000-00006D8D0000}"/>
    <cellStyle name="Normal 57 5 3 5 6 3" xfId="33756" xr:uid="{00000000-0005-0000-0000-00006E8D0000}"/>
    <cellStyle name="Normal 57 5 3 5 7" xfId="16174" xr:uid="{00000000-0005-0000-0000-00006F8D0000}"/>
    <cellStyle name="Normal 57 5 3 5 7 2" xfId="41727" xr:uid="{00000000-0005-0000-0000-0000708D0000}"/>
    <cellStyle name="Normal 57 5 3 5 8" xfId="27072" xr:uid="{00000000-0005-0000-0000-0000718D0000}"/>
    <cellStyle name="Normal 57 5 3 6" xfId="2703" xr:uid="{00000000-0005-0000-0000-0000728D0000}"/>
    <cellStyle name="Normal 57 5 3 6 2" xfId="12020" xr:uid="{00000000-0005-0000-0000-0000738D0000}"/>
    <cellStyle name="Normal 57 5 3 6 2 2" xfId="22064" xr:uid="{00000000-0005-0000-0000-0000748D0000}"/>
    <cellStyle name="Normal 57 5 3 6 2 2 2" xfId="47617" xr:uid="{00000000-0005-0000-0000-0000758D0000}"/>
    <cellStyle name="Normal 57 5 3 6 2 3" xfId="37575" xr:uid="{00000000-0005-0000-0000-0000768D0000}"/>
    <cellStyle name="Normal 57 5 3 6 3" xfId="8381" xr:uid="{00000000-0005-0000-0000-0000778D0000}"/>
    <cellStyle name="Normal 57 5 3 6 3 2" xfId="33938" xr:uid="{00000000-0005-0000-0000-0000788D0000}"/>
    <cellStyle name="Normal 57 5 3 6 4" xfId="17057" xr:uid="{00000000-0005-0000-0000-0000798D0000}"/>
    <cellStyle name="Normal 57 5 3 6 4 2" xfId="42610" xr:uid="{00000000-0005-0000-0000-00007A8D0000}"/>
    <cellStyle name="Normal 57 5 3 6 5" xfId="28547" xr:uid="{00000000-0005-0000-0000-00007B8D0000}"/>
    <cellStyle name="Normal 57 5 3 7" xfId="4254" xr:uid="{00000000-0005-0000-0000-00007C8D0000}"/>
    <cellStyle name="Normal 57 5 3 7 2" xfId="13092" xr:uid="{00000000-0005-0000-0000-00007D8D0000}"/>
    <cellStyle name="Normal 57 5 3 7 2 2" xfId="23343" xr:uid="{00000000-0005-0000-0000-00007E8D0000}"/>
    <cellStyle name="Normal 57 5 3 7 2 2 2" xfId="48896" xr:uid="{00000000-0005-0000-0000-00007F8D0000}"/>
    <cellStyle name="Normal 57 5 3 7 2 3" xfId="38647" xr:uid="{00000000-0005-0000-0000-0000808D0000}"/>
    <cellStyle name="Normal 57 5 3 7 3" xfId="9513" xr:uid="{00000000-0005-0000-0000-0000818D0000}"/>
    <cellStyle name="Normal 57 5 3 7 3 2" xfId="35070" xr:uid="{00000000-0005-0000-0000-0000828D0000}"/>
    <cellStyle name="Normal 57 5 3 7 4" xfId="18336" xr:uid="{00000000-0005-0000-0000-0000838D0000}"/>
    <cellStyle name="Normal 57 5 3 7 4 2" xfId="43889" xr:uid="{00000000-0005-0000-0000-0000848D0000}"/>
    <cellStyle name="Normal 57 5 3 7 5" xfId="29826" xr:uid="{00000000-0005-0000-0000-0000858D0000}"/>
    <cellStyle name="Normal 57 5 3 8" xfId="1526" xr:uid="{00000000-0005-0000-0000-0000868D0000}"/>
    <cellStyle name="Normal 57 5 3 8 2" xfId="10903" xr:uid="{00000000-0005-0000-0000-0000878D0000}"/>
    <cellStyle name="Normal 57 5 3 8 2 2" xfId="36458" xr:uid="{00000000-0005-0000-0000-0000888D0000}"/>
    <cellStyle name="Normal 57 5 3 8 3" xfId="20907" xr:uid="{00000000-0005-0000-0000-0000898D0000}"/>
    <cellStyle name="Normal 57 5 3 8 3 2" xfId="46460" xr:uid="{00000000-0005-0000-0000-00008A8D0000}"/>
    <cellStyle name="Normal 57 5 3 8 4" xfId="27390" xr:uid="{00000000-0005-0000-0000-00008B8D0000}"/>
    <cellStyle name="Normal 57 5 3 9" xfId="5710" xr:uid="{00000000-0005-0000-0000-00008C8D0000}"/>
    <cellStyle name="Normal 57 5 3 9 2" xfId="14537" xr:uid="{00000000-0005-0000-0000-00008D8D0000}"/>
    <cellStyle name="Normal 57 5 3 9 2 2" xfId="40092" xr:uid="{00000000-0005-0000-0000-00008E8D0000}"/>
    <cellStyle name="Normal 57 5 3 9 3" xfId="24788" xr:uid="{00000000-0005-0000-0000-00008F8D0000}"/>
    <cellStyle name="Normal 57 5 3 9 3 2" xfId="50341" xr:uid="{00000000-0005-0000-0000-0000908D0000}"/>
    <cellStyle name="Normal 57 5 3 9 4" xfId="31271" xr:uid="{00000000-0005-0000-0000-0000918D0000}"/>
    <cellStyle name="Normal 57 5 3_Degree data" xfId="3970" xr:uid="{00000000-0005-0000-0000-0000928D0000}"/>
    <cellStyle name="Normal 57 5 4" xfId="228" xr:uid="{00000000-0005-0000-0000-0000938D0000}"/>
    <cellStyle name="Normal 57 5 4 10" xfId="7066" xr:uid="{00000000-0005-0000-0000-0000948D0000}"/>
    <cellStyle name="Normal 57 5 4 10 2" xfId="19680" xr:uid="{00000000-0005-0000-0000-0000958D0000}"/>
    <cellStyle name="Normal 57 5 4 10 2 2" xfId="45233" xr:uid="{00000000-0005-0000-0000-0000968D0000}"/>
    <cellStyle name="Normal 57 5 4 10 3" xfId="32623" xr:uid="{00000000-0005-0000-0000-0000978D0000}"/>
    <cellStyle name="Normal 57 5 4 11" xfId="15812" xr:uid="{00000000-0005-0000-0000-0000988D0000}"/>
    <cellStyle name="Normal 57 5 4 11 2" xfId="41365" xr:uid="{00000000-0005-0000-0000-0000998D0000}"/>
    <cellStyle name="Normal 57 5 4 12" xfId="26163" xr:uid="{00000000-0005-0000-0000-00009A8D0000}"/>
    <cellStyle name="Normal 57 5 4 2" xfId="551" xr:uid="{00000000-0005-0000-0000-00009B8D0000}"/>
    <cellStyle name="Normal 57 5 4 2 10" xfId="26480" xr:uid="{00000000-0005-0000-0000-00009C8D0000}"/>
    <cellStyle name="Normal 57 5 4 2 2" xfId="867" xr:uid="{00000000-0005-0000-0000-00009D8D0000}"/>
    <cellStyle name="Normal 57 5 4 2 2 2" xfId="3352" xr:uid="{00000000-0005-0000-0000-00009E8D0000}"/>
    <cellStyle name="Normal 57 5 4 2 2 2 2" xfId="12494" xr:uid="{00000000-0005-0000-0000-00009F8D0000}"/>
    <cellStyle name="Normal 57 5 4 2 2 2 2 2" xfId="22713" xr:uid="{00000000-0005-0000-0000-0000A08D0000}"/>
    <cellStyle name="Normal 57 5 4 2 2 2 2 2 2" xfId="48266" xr:uid="{00000000-0005-0000-0000-0000A18D0000}"/>
    <cellStyle name="Normal 57 5 4 2 2 2 2 3" xfId="38049" xr:uid="{00000000-0005-0000-0000-0000A28D0000}"/>
    <cellStyle name="Normal 57 5 4 2 2 2 3" xfId="8916" xr:uid="{00000000-0005-0000-0000-0000A38D0000}"/>
    <cellStyle name="Normal 57 5 4 2 2 2 3 2" xfId="34473" xr:uid="{00000000-0005-0000-0000-0000A48D0000}"/>
    <cellStyle name="Normal 57 5 4 2 2 2 4" xfId="17706" xr:uid="{00000000-0005-0000-0000-0000A58D0000}"/>
    <cellStyle name="Normal 57 5 4 2 2 2 4 2" xfId="43259" xr:uid="{00000000-0005-0000-0000-0000A68D0000}"/>
    <cellStyle name="Normal 57 5 4 2 2 2 5" xfId="29196" xr:uid="{00000000-0005-0000-0000-0000A78D0000}"/>
    <cellStyle name="Normal 57 5 4 2 2 3" xfId="4681" xr:uid="{00000000-0005-0000-0000-0000A88D0000}"/>
    <cellStyle name="Normal 57 5 4 2 2 3 2" xfId="13519" xr:uid="{00000000-0005-0000-0000-0000A98D0000}"/>
    <cellStyle name="Normal 57 5 4 2 2 3 2 2" xfId="23770" xr:uid="{00000000-0005-0000-0000-0000AA8D0000}"/>
    <cellStyle name="Normal 57 5 4 2 2 3 2 2 2" xfId="49323" xr:uid="{00000000-0005-0000-0000-0000AB8D0000}"/>
    <cellStyle name="Normal 57 5 4 2 2 3 2 3" xfId="39074" xr:uid="{00000000-0005-0000-0000-0000AC8D0000}"/>
    <cellStyle name="Normal 57 5 4 2 2 3 3" xfId="9940" xr:uid="{00000000-0005-0000-0000-0000AD8D0000}"/>
    <cellStyle name="Normal 57 5 4 2 2 3 3 2" xfId="35497" xr:uid="{00000000-0005-0000-0000-0000AE8D0000}"/>
    <cellStyle name="Normal 57 5 4 2 2 3 4" xfId="18763" xr:uid="{00000000-0005-0000-0000-0000AF8D0000}"/>
    <cellStyle name="Normal 57 5 4 2 2 3 4 2" xfId="44316" xr:uid="{00000000-0005-0000-0000-0000B08D0000}"/>
    <cellStyle name="Normal 57 5 4 2 2 3 5" xfId="30253" xr:uid="{00000000-0005-0000-0000-0000B18D0000}"/>
    <cellStyle name="Normal 57 5 4 2 2 4" xfId="2461" xr:uid="{00000000-0005-0000-0000-0000B28D0000}"/>
    <cellStyle name="Normal 57 5 4 2 2 4 2" xfId="11826" xr:uid="{00000000-0005-0000-0000-0000B38D0000}"/>
    <cellStyle name="Normal 57 5 4 2 2 4 2 2" xfId="37381" xr:uid="{00000000-0005-0000-0000-0000B48D0000}"/>
    <cellStyle name="Normal 57 5 4 2 2 4 3" xfId="21830" xr:uid="{00000000-0005-0000-0000-0000B58D0000}"/>
    <cellStyle name="Normal 57 5 4 2 2 4 3 2" xfId="47383" xr:uid="{00000000-0005-0000-0000-0000B68D0000}"/>
    <cellStyle name="Normal 57 5 4 2 2 4 4" xfId="28313" xr:uid="{00000000-0005-0000-0000-0000B78D0000}"/>
    <cellStyle name="Normal 57 5 4 2 2 5" xfId="6137" xr:uid="{00000000-0005-0000-0000-0000B88D0000}"/>
    <cellStyle name="Normal 57 5 4 2 2 5 2" xfId="14964" xr:uid="{00000000-0005-0000-0000-0000B98D0000}"/>
    <cellStyle name="Normal 57 5 4 2 2 5 2 2" xfId="40519" xr:uid="{00000000-0005-0000-0000-0000BA8D0000}"/>
    <cellStyle name="Normal 57 5 4 2 2 5 3" xfId="25215" xr:uid="{00000000-0005-0000-0000-0000BB8D0000}"/>
    <cellStyle name="Normal 57 5 4 2 2 5 3 2" xfId="50768" xr:uid="{00000000-0005-0000-0000-0000BC8D0000}"/>
    <cellStyle name="Normal 57 5 4 2 2 5 4" xfId="31698" xr:uid="{00000000-0005-0000-0000-0000BD8D0000}"/>
    <cellStyle name="Normal 57 5 4 2 2 6" xfId="7582" xr:uid="{00000000-0005-0000-0000-0000BE8D0000}"/>
    <cellStyle name="Normal 57 5 4 2 2 6 2" xfId="20312" xr:uid="{00000000-0005-0000-0000-0000BF8D0000}"/>
    <cellStyle name="Normal 57 5 4 2 2 6 2 2" xfId="45865" xr:uid="{00000000-0005-0000-0000-0000C08D0000}"/>
    <cellStyle name="Normal 57 5 4 2 2 6 3" xfId="33139" xr:uid="{00000000-0005-0000-0000-0000C18D0000}"/>
    <cellStyle name="Normal 57 5 4 2 2 7" xfId="16823" xr:uid="{00000000-0005-0000-0000-0000C28D0000}"/>
    <cellStyle name="Normal 57 5 4 2 2 7 2" xfId="42376" xr:uid="{00000000-0005-0000-0000-0000C38D0000}"/>
    <cellStyle name="Normal 57 5 4 2 2 8" xfId="26795" xr:uid="{00000000-0005-0000-0000-0000C48D0000}"/>
    <cellStyle name="Normal 57 5 4 2 3" xfId="1323" xr:uid="{00000000-0005-0000-0000-0000C58D0000}"/>
    <cellStyle name="Normal 57 5 4 2 3 2" xfId="3752" xr:uid="{00000000-0005-0000-0000-0000C68D0000}"/>
    <cellStyle name="Normal 57 5 4 2 3 2 2" xfId="12888" xr:uid="{00000000-0005-0000-0000-0000C78D0000}"/>
    <cellStyle name="Normal 57 5 4 2 3 2 2 2" xfId="23107" xr:uid="{00000000-0005-0000-0000-0000C88D0000}"/>
    <cellStyle name="Normal 57 5 4 2 3 2 2 2 2" xfId="48660" xr:uid="{00000000-0005-0000-0000-0000C98D0000}"/>
    <cellStyle name="Normal 57 5 4 2 3 2 2 3" xfId="38443" xr:uid="{00000000-0005-0000-0000-0000CA8D0000}"/>
    <cellStyle name="Normal 57 5 4 2 3 2 3" xfId="9309" xr:uid="{00000000-0005-0000-0000-0000CB8D0000}"/>
    <cellStyle name="Normal 57 5 4 2 3 2 3 2" xfId="34866" xr:uid="{00000000-0005-0000-0000-0000CC8D0000}"/>
    <cellStyle name="Normal 57 5 4 2 3 2 4" xfId="18100" xr:uid="{00000000-0005-0000-0000-0000CD8D0000}"/>
    <cellStyle name="Normal 57 5 4 2 3 2 4 2" xfId="43653" xr:uid="{00000000-0005-0000-0000-0000CE8D0000}"/>
    <cellStyle name="Normal 57 5 4 2 3 2 5" xfId="29590" xr:uid="{00000000-0005-0000-0000-0000CF8D0000}"/>
    <cellStyle name="Normal 57 5 4 2 3 3" xfId="5030" xr:uid="{00000000-0005-0000-0000-0000D08D0000}"/>
    <cellStyle name="Normal 57 5 4 2 3 3 2" xfId="13867" xr:uid="{00000000-0005-0000-0000-0000D18D0000}"/>
    <cellStyle name="Normal 57 5 4 2 3 3 2 2" xfId="24118" xr:uid="{00000000-0005-0000-0000-0000D28D0000}"/>
    <cellStyle name="Normal 57 5 4 2 3 3 2 2 2" xfId="49671" xr:uid="{00000000-0005-0000-0000-0000D38D0000}"/>
    <cellStyle name="Normal 57 5 4 2 3 3 2 3" xfId="39422" xr:uid="{00000000-0005-0000-0000-0000D48D0000}"/>
    <cellStyle name="Normal 57 5 4 2 3 3 3" xfId="10288" xr:uid="{00000000-0005-0000-0000-0000D58D0000}"/>
    <cellStyle name="Normal 57 5 4 2 3 3 3 2" xfId="35845" xr:uid="{00000000-0005-0000-0000-0000D68D0000}"/>
    <cellStyle name="Normal 57 5 4 2 3 3 4" xfId="19111" xr:uid="{00000000-0005-0000-0000-0000D78D0000}"/>
    <cellStyle name="Normal 57 5 4 2 3 3 4 2" xfId="44664" xr:uid="{00000000-0005-0000-0000-0000D88D0000}"/>
    <cellStyle name="Normal 57 5 4 2 3 3 5" xfId="30601" xr:uid="{00000000-0005-0000-0000-0000D98D0000}"/>
    <cellStyle name="Normal 57 5 4 2 3 4" xfId="2146" xr:uid="{00000000-0005-0000-0000-0000DA8D0000}"/>
    <cellStyle name="Normal 57 5 4 2 3 4 2" xfId="11511" xr:uid="{00000000-0005-0000-0000-0000DB8D0000}"/>
    <cellStyle name="Normal 57 5 4 2 3 4 2 2" xfId="37066" xr:uid="{00000000-0005-0000-0000-0000DC8D0000}"/>
    <cellStyle name="Normal 57 5 4 2 3 4 3" xfId="21515" xr:uid="{00000000-0005-0000-0000-0000DD8D0000}"/>
    <cellStyle name="Normal 57 5 4 2 3 4 3 2" xfId="47068" xr:uid="{00000000-0005-0000-0000-0000DE8D0000}"/>
    <cellStyle name="Normal 57 5 4 2 3 4 4" xfId="27998" xr:uid="{00000000-0005-0000-0000-0000DF8D0000}"/>
    <cellStyle name="Normal 57 5 4 2 3 5" xfId="6485" xr:uid="{00000000-0005-0000-0000-0000E08D0000}"/>
    <cellStyle name="Normal 57 5 4 2 3 5 2" xfId="15312" xr:uid="{00000000-0005-0000-0000-0000E18D0000}"/>
    <cellStyle name="Normal 57 5 4 2 3 5 2 2" xfId="40867" xr:uid="{00000000-0005-0000-0000-0000E28D0000}"/>
    <cellStyle name="Normal 57 5 4 2 3 5 3" xfId="25563" xr:uid="{00000000-0005-0000-0000-0000E38D0000}"/>
    <cellStyle name="Normal 57 5 4 2 3 5 3 2" xfId="51116" xr:uid="{00000000-0005-0000-0000-0000E48D0000}"/>
    <cellStyle name="Normal 57 5 4 2 3 5 4" xfId="32046" xr:uid="{00000000-0005-0000-0000-0000E58D0000}"/>
    <cellStyle name="Normal 57 5 4 2 3 6" xfId="7931" xr:uid="{00000000-0005-0000-0000-0000E68D0000}"/>
    <cellStyle name="Normal 57 5 4 2 3 6 2" xfId="20706" xr:uid="{00000000-0005-0000-0000-0000E78D0000}"/>
    <cellStyle name="Normal 57 5 4 2 3 6 2 2" xfId="46259" xr:uid="{00000000-0005-0000-0000-0000E88D0000}"/>
    <cellStyle name="Normal 57 5 4 2 3 6 3" xfId="33488" xr:uid="{00000000-0005-0000-0000-0000E98D0000}"/>
    <cellStyle name="Normal 57 5 4 2 3 7" xfId="16508" xr:uid="{00000000-0005-0000-0000-0000EA8D0000}"/>
    <cellStyle name="Normal 57 5 4 2 3 7 2" xfId="42061" xr:uid="{00000000-0005-0000-0000-0000EB8D0000}"/>
    <cellStyle name="Normal 57 5 4 2 3 8" xfId="27189" xr:uid="{00000000-0005-0000-0000-0000EC8D0000}"/>
    <cellStyle name="Normal 57 5 4 2 4" xfId="3037" xr:uid="{00000000-0005-0000-0000-0000ED8D0000}"/>
    <cellStyle name="Normal 57 5 4 2 4 2" xfId="5415" xr:uid="{00000000-0005-0000-0000-0000EE8D0000}"/>
    <cellStyle name="Normal 57 5 4 2 4 2 2" xfId="14252" xr:uid="{00000000-0005-0000-0000-0000EF8D0000}"/>
    <cellStyle name="Normal 57 5 4 2 4 2 2 2" xfId="24503" xr:uid="{00000000-0005-0000-0000-0000F08D0000}"/>
    <cellStyle name="Normal 57 5 4 2 4 2 2 2 2" xfId="50056" xr:uid="{00000000-0005-0000-0000-0000F18D0000}"/>
    <cellStyle name="Normal 57 5 4 2 4 2 2 3" xfId="39807" xr:uid="{00000000-0005-0000-0000-0000F28D0000}"/>
    <cellStyle name="Normal 57 5 4 2 4 2 3" xfId="10673" xr:uid="{00000000-0005-0000-0000-0000F38D0000}"/>
    <cellStyle name="Normal 57 5 4 2 4 2 3 2" xfId="36230" xr:uid="{00000000-0005-0000-0000-0000F48D0000}"/>
    <cellStyle name="Normal 57 5 4 2 4 2 4" xfId="19496" xr:uid="{00000000-0005-0000-0000-0000F58D0000}"/>
    <cellStyle name="Normal 57 5 4 2 4 2 4 2" xfId="45049" xr:uid="{00000000-0005-0000-0000-0000F68D0000}"/>
    <cellStyle name="Normal 57 5 4 2 4 2 5" xfId="30986" xr:uid="{00000000-0005-0000-0000-0000F78D0000}"/>
    <cellStyle name="Normal 57 5 4 2 4 3" xfId="6870" xr:uid="{00000000-0005-0000-0000-0000F88D0000}"/>
    <cellStyle name="Normal 57 5 4 2 4 3 2" xfId="15697" xr:uid="{00000000-0005-0000-0000-0000F98D0000}"/>
    <cellStyle name="Normal 57 5 4 2 4 3 2 2" xfId="41252" xr:uid="{00000000-0005-0000-0000-0000FA8D0000}"/>
    <cellStyle name="Normal 57 5 4 2 4 3 3" xfId="25948" xr:uid="{00000000-0005-0000-0000-0000FB8D0000}"/>
    <cellStyle name="Normal 57 5 4 2 4 3 3 2" xfId="51501" xr:uid="{00000000-0005-0000-0000-0000FC8D0000}"/>
    <cellStyle name="Normal 57 5 4 2 4 3 4" xfId="32431" xr:uid="{00000000-0005-0000-0000-0000FD8D0000}"/>
    <cellStyle name="Normal 57 5 4 2 4 4" xfId="8316" xr:uid="{00000000-0005-0000-0000-0000FE8D0000}"/>
    <cellStyle name="Normal 57 5 4 2 4 4 2" xfId="22398" xr:uid="{00000000-0005-0000-0000-0000FF8D0000}"/>
    <cellStyle name="Normal 57 5 4 2 4 4 2 2" xfId="47951" xr:uid="{00000000-0005-0000-0000-0000008E0000}"/>
    <cellStyle name="Normal 57 5 4 2 4 4 3" xfId="33873" xr:uid="{00000000-0005-0000-0000-0000018E0000}"/>
    <cellStyle name="Normal 57 5 4 2 4 5" xfId="17391" xr:uid="{00000000-0005-0000-0000-0000028E0000}"/>
    <cellStyle name="Normal 57 5 4 2 4 5 2" xfId="42944" xr:uid="{00000000-0005-0000-0000-0000038E0000}"/>
    <cellStyle name="Normal 57 5 4 2 4 6" xfId="28881" xr:uid="{00000000-0005-0000-0000-0000048E0000}"/>
    <cellStyle name="Normal 57 5 4 2 5" xfId="4371" xr:uid="{00000000-0005-0000-0000-0000058E0000}"/>
    <cellStyle name="Normal 57 5 4 2 5 2" xfId="13209" xr:uid="{00000000-0005-0000-0000-0000068E0000}"/>
    <cellStyle name="Normal 57 5 4 2 5 2 2" xfId="23460" xr:uid="{00000000-0005-0000-0000-0000078E0000}"/>
    <cellStyle name="Normal 57 5 4 2 5 2 2 2" xfId="49013" xr:uid="{00000000-0005-0000-0000-0000088E0000}"/>
    <cellStyle name="Normal 57 5 4 2 5 2 3" xfId="38764" xr:uid="{00000000-0005-0000-0000-0000098E0000}"/>
    <cellStyle name="Normal 57 5 4 2 5 3" xfId="9630" xr:uid="{00000000-0005-0000-0000-00000A8E0000}"/>
    <cellStyle name="Normal 57 5 4 2 5 3 2" xfId="35187" xr:uid="{00000000-0005-0000-0000-00000B8E0000}"/>
    <cellStyle name="Normal 57 5 4 2 5 4" xfId="18453" xr:uid="{00000000-0005-0000-0000-00000C8E0000}"/>
    <cellStyle name="Normal 57 5 4 2 5 4 2" xfId="44006" xr:uid="{00000000-0005-0000-0000-00000D8E0000}"/>
    <cellStyle name="Normal 57 5 4 2 5 5" xfId="29943" xr:uid="{00000000-0005-0000-0000-00000E8E0000}"/>
    <cellStyle name="Normal 57 5 4 2 6" xfId="1643" xr:uid="{00000000-0005-0000-0000-00000F8E0000}"/>
    <cellStyle name="Normal 57 5 4 2 6 2" xfId="11020" xr:uid="{00000000-0005-0000-0000-0000108E0000}"/>
    <cellStyle name="Normal 57 5 4 2 6 2 2" xfId="36575" xr:uid="{00000000-0005-0000-0000-0000118E0000}"/>
    <cellStyle name="Normal 57 5 4 2 6 3" xfId="21024" xr:uid="{00000000-0005-0000-0000-0000128E0000}"/>
    <cellStyle name="Normal 57 5 4 2 6 3 2" xfId="46577" xr:uid="{00000000-0005-0000-0000-0000138E0000}"/>
    <cellStyle name="Normal 57 5 4 2 6 4" xfId="27507" xr:uid="{00000000-0005-0000-0000-0000148E0000}"/>
    <cellStyle name="Normal 57 5 4 2 7" xfId="5827" xr:uid="{00000000-0005-0000-0000-0000158E0000}"/>
    <cellStyle name="Normal 57 5 4 2 7 2" xfId="14654" xr:uid="{00000000-0005-0000-0000-0000168E0000}"/>
    <cellStyle name="Normal 57 5 4 2 7 2 2" xfId="40209" xr:uid="{00000000-0005-0000-0000-0000178E0000}"/>
    <cellStyle name="Normal 57 5 4 2 7 3" xfId="24905" xr:uid="{00000000-0005-0000-0000-0000188E0000}"/>
    <cellStyle name="Normal 57 5 4 2 7 3 2" xfId="50458" xr:uid="{00000000-0005-0000-0000-0000198E0000}"/>
    <cellStyle name="Normal 57 5 4 2 7 4" xfId="31388" xr:uid="{00000000-0005-0000-0000-00001A8E0000}"/>
    <cellStyle name="Normal 57 5 4 2 8" xfId="7271" xr:uid="{00000000-0005-0000-0000-00001B8E0000}"/>
    <cellStyle name="Normal 57 5 4 2 8 2" xfId="19997" xr:uid="{00000000-0005-0000-0000-00001C8E0000}"/>
    <cellStyle name="Normal 57 5 4 2 8 2 2" xfId="45550" xr:uid="{00000000-0005-0000-0000-00001D8E0000}"/>
    <cellStyle name="Normal 57 5 4 2 8 3" xfId="32828" xr:uid="{00000000-0005-0000-0000-00001E8E0000}"/>
    <cellStyle name="Normal 57 5 4 2 9" xfId="16017" xr:uid="{00000000-0005-0000-0000-00001F8E0000}"/>
    <cellStyle name="Normal 57 5 4 2 9 2" xfId="41570" xr:uid="{00000000-0005-0000-0000-0000208E0000}"/>
    <cellStyle name="Normal 57 5 4 2_Degree data" xfId="3973" xr:uid="{00000000-0005-0000-0000-0000218E0000}"/>
    <cellStyle name="Normal 57 5 4 3" xfId="346" xr:uid="{00000000-0005-0000-0000-0000228E0000}"/>
    <cellStyle name="Normal 57 5 4 3 2" xfId="2832" xr:uid="{00000000-0005-0000-0000-0000238E0000}"/>
    <cellStyle name="Normal 57 5 4 3 2 2" xfId="12120" xr:uid="{00000000-0005-0000-0000-0000248E0000}"/>
    <cellStyle name="Normal 57 5 4 3 2 2 2" xfId="22193" xr:uid="{00000000-0005-0000-0000-0000258E0000}"/>
    <cellStyle name="Normal 57 5 4 3 2 2 2 2" xfId="47746" xr:uid="{00000000-0005-0000-0000-0000268E0000}"/>
    <cellStyle name="Normal 57 5 4 3 2 2 3" xfId="37675" xr:uid="{00000000-0005-0000-0000-0000278E0000}"/>
    <cellStyle name="Normal 57 5 4 3 2 3" xfId="8600" xr:uid="{00000000-0005-0000-0000-0000288E0000}"/>
    <cellStyle name="Normal 57 5 4 3 2 3 2" xfId="34157" xr:uid="{00000000-0005-0000-0000-0000298E0000}"/>
    <cellStyle name="Normal 57 5 4 3 2 4" xfId="17186" xr:uid="{00000000-0005-0000-0000-00002A8E0000}"/>
    <cellStyle name="Normal 57 5 4 3 2 4 2" xfId="42739" xr:uid="{00000000-0005-0000-0000-00002B8E0000}"/>
    <cellStyle name="Normal 57 5 4 3 2 5" xfId="28676" xr:uid="{00000000-0005-0000-0000-00002C8E0000}"/>
    <cellStyle name="Normal 57 5 4 3 3" xfId="4680" xr:uid="{00000000-0005-0000-0000-00002D8E0000}"/>
    <cellStyle name="Normal 57 5 4 3 3 2" xfId="13518" xr:uid="{00000000-0005-0000-0000-00002E8E0000}"/>
    <cellStyle name="Normal 57 5 4 3 3 2 2" xfId="23769" xr:uid="{00000000-0005-0000-0000-00002F8E0000}"/>
    <cellStyle name="Normal 57 5 4 3 3 2 2 2" xfId="49322" xr:uid="{00000000-0005-0000-0000-0000308E0000}"/>
    <cellStyle name="Normal 57 5 4 3 3 2 3" xfId="39073" xr:uid="{00000000-0005-0000-0000-0000318E0000}"/>
    <cellStyle name="Normal 57 5 4 3 3 3" xfId="9939" xr:uid="{00000000-0005-0000-0000-0000328E0000}"/>
    <cellStyle name="Normal 57 5 4 3 3 3 2" xfId="35496" xr:uid="{00000000-0005-0000-0000-0000338E0000}"/>
    <cellStyle name="Normal 57 5 4 3 3 4" xfId="18762" xr:uid="{00000000-0005-0000-0000-0000348E0000}"/>
    <cellStyle name="Normal 57 5 4 3 3 4 2" xfId="44315" xr:uid="{00000000-0005-0000-0000-0000358E0000}"/>
    <cellStyle name="Normal 57 5 4 3 3 5" xfId="30252" xr:uid="{00000000-0005-0000-0000-0000368E0000}"/>
    <cellStyle name="Normal 57 5 4 3 4" xfId="1941" xr:uid="{00000000-0005-0000-0000-0000378E0000}"/>
    <cellStyle name="Normal 57 5 4 3 4 2" xfId="11306" xr:uid="{00000000-0005-0000-0000-0000388E0000}"/>
    <cellStyle name="Normal 57 5 4 3 4 2 2" xfId="36861" xr:uid="{00000000-0005-0000-0000-0000398E0000}"/>
    <cellStyle name="Normal 57 5 4 3 4 3" xfId="21310" xr:uid="{00000000-0005-0000-0000-00003A8E0000}"/>
    <cellStyle name="Normal 57 5 4 3 4 3 2" xfId="46863" xr:uid="{00000000-0005-0000-0000-00003B8E0000}"/>
    <cellStyle name="Normal 57 5 4 3 4 4" xfId="27793" xr:uid="{00000000-0005-0000-0000-00003C8E0000}"/>
    <cellStyle name="Normal 57 5 4 3 5" xfId="6136" xr:uid="{00000000-0005-0000-0000-00003D8E0000}"/>
    <cellStyle name="Normal 57 5 4 3 5 2" xfId="14963" xr:uid="{00000000-0005-0000-0000-00003E8E0000}"/>
    <cellStyle name="Normal 57 5 4 3 5 2 2" xfId="40518" xr:uid="{00000000-0005-0000-0000-00003F8E0000}"/>
    <cellStyle name="Normal 57 5 4 3 5 3" xfId="25214" xr:uid="{00000000-0005-0000-0000-0000408E0000}"/>
    <cellStyle name="Normal 57 5 4 3 5 3 2" xfId="50767" xr:uid="{00000000-0005-0000-0000-0000418E0000}"/>
    <cellStyle name="Normal 57 5 4 3 5 4" xfId="31697" xr:uid="{00000000-0005-0000-0000-0000428E0000}"/>
    <cellStyle name="Normal 57 5 4 3 6" xfId="7581" xr:uid="{00000000-0005-0000-0000-0000438E0000}"/>
    <cellStyle name="Normal 57 5 4 3 6 2" xfId="19792" xr:uid="{00000000-0005-0000-0000-0000448E0000}"/>
    <cellStyle name="Normal 57 5 4 3 6 2 2" xfId="45345" xr:uid="{00000000-0005-0000-0000-0000458E0000}"/>
    <cellStyle name="Normal 57 5 4 3 6 3" xfId="33138" xr:uid="{00000000-0005-0000-0000-0000468E0000}"/>
    <cellStyle name="Normal 57 5 4 3 7" xfId="16303" xr:uid="{00000000-0005-0000-0000-0000478E0000}"/>
    <cellStyle name="Normal 57 5 4 3 7 2" xfId="41856" xr:uid="{00000000-0005-0000-0000-0000488E0000}"/>
    <cellStyle name="Normal 57 5 4 3 8" xfId="26275" xr:uid="{00000000-0005-0000-0000-0000498E0000}"/>
    <cellStyle name="Normal 57 5 4 4" xfId="866" xr:uid="{00000000-0005-0000-0000-00004A8E0000}"/>
    <cellStyle name="Normal 57 5 4 4 2" xfId="3351" xr:uid="{00000000-0005-0000-0000-00004B8E0000}"/>
    <cellStyle name="Normal 57 5 4 4 2 2" xfId="12493" xr:uid="{00000000-0005-0000-0000-00004C8E0000}"/>
    <cellStyle name="Normal 57 5 4 4 2 2 2" xfId="22712" xr:uid="{00000000-0005-0000-0000-00004D8E0000}"/>
    <cellStyle name="Normal 57 5 4 4 2 2 2 2" xfId="48265" xr:uid="{00000000-0005-0000-0000-00004E8E0000}"/>
    <cellStyle name="Normal 57 5 4 4 2 2 3" xfId="38048" xr:uid="{00000000-0005-0000-0000-00004F8E0000}"/>
    <cellStyle name="Normal 57 5 4 4 2 3" xfId="8915" xr:uid="{00000000-0005-0000-0000-0000508E0000}"/>
    <cellStyle name="Normal 57 5 4 4 2 3 2" xfId="34472" xr:uid="{00000000-0005-0000-0000-0000518E0000}"/>
    <cellStyle name="Normal 57 5 4 4 2 4" xfId="17705" xr:uid="{00000000-0005-0000-0000-0000528E0000}"/>
    <cellStyle name="Normal 57 5 4 4 2 4 2" xfId="43258" xr:uid="{00000000-0005-0000-0000-0000538E0000}"/>
    <cellStyle name="Normal 57 5 4 4 2 5" xfId="29195" xr:uid="{00000000-0005-0000-0000-0000548E0000}"/>
    <cellStyle name="Normal 57 5 4 4 3" xfId="5029" xr:uid="{00000000-0005-0000-0000-0000558E0000}"/>
    <cellStyle name="Normal 57 5 4 4 3 2" xfId="13866" xr:uid="{00000000-0005-0000-0000-0000568E0000}"/>
    <cellStyle name="Normal 57 5 4 4 3 2 2" xfId="24117" xr:uid="{00000000-0005-0000-0000-0000578E0000}"/>
    <cellStyle name="Normal 57 5 4 4 3 2 2 2" xfId="49670" xr:uid="{00000000-0005-0000-0000-0000588E0000}"/>
    <cellStyle name="Normal 57 5 4 4 3 2 3" xfId="39421" xr:uid="{00000000-0005-0000-0000-0000598E0000}"/>
    <cellStyle name="Normal 57 5 4 4 3 3" xfId="10287" xr:uid="{00000000-0005-0000-0000-00005A8E0000}"/>
    <cellStyle name="Normal 57 5 4 4 3 3 2" xfId="35844" xr:uid="{00000000-0005-0000-0000-00005B8E0000}"/>
    <cellStyle name="Normal 57 5 4 4 3 4" xfId="19110" xr:uid="{00000000-0005-0000-0000-00005C8E0000}"/>
    <cellStyle name="Normal 57 5 4 4 3 4 2" xfId="44663" xr:uid="{00000000-0005-0000-0000-00005D8E0000}"/>
    <cellStyle name="Normal 57 5 4 4 3 5" xfId="30600" xr:uid="{00000000-0005-0000-0000-00005E8E0000}"/>
    <cellStyle name="Normal 57 5 4 4 4" xfId="2460" xr:uid="{00000000-0005-0000-0000-00005F8E0000}"/>
    <cellStyle name="Normal 57 5 4 4 4 2" xfId="11825" xr:uid="{00000000-0005-0000-0000-0000608E0000}"/>
    <cellStyle name="Normal 57 5 4 4 4 2 2" xfId="37380" xr:uid="{00000000-0005-0000-0000-0000618E0000}"/>
    <cellStyle name="Normal 57 5 4 4 4 3" xfId="21829" xr:uid="{00000000-0005-0000-0000-0000628E0000}"/>
    <cellStyle name="Normal 57 5 4 4 4 3 2" xfId="47382" xr:uid="{00000000-0005-0000-0000-0000638E0000}"/>
    <cellStyle name="Normal 57 5 4 4 4 4" xfId="28312" xr:uid="{00000000-0005-0000-0000-0000648E0000}"/>
    <cellStyle name="Normal 57 5 4 4 5" xfId="6484" xr:uid="{00000000-0005-0000-0000-0000658E0000}"/>
    <cellStyle name="Normal 57 5 4 4 5 2" xfId="15311" xr:uid="{00000000-0005-0000-0000-0000668E0000}"/>
    <cellStyle name="Normal 57 5 4 4 5 2 2" xfId="40866" xr:uid="{00000000-0005-0000-0000-0000678E0000}"/>
    <cellStyle name="Normal 57 5 4 4 5 3" xfId="25562" xr:uid="{00000000-0005-0000-0000-0000688E0000}"/>
    <cellStyle name="Normal 57 5 4 4 5 3 2" xfId="51115" xr:uid="{00000000-0005-0000-0000-0000698E0000}"/>
    <cellStyle name="Normal 57 5 4 4 5 4" xfId="32045" xr:uid="{00000000-0005-0000-0000-00006A8E0000}"/>
    <cellStyle name="Normal 57 5 4 4 6" xfId="7930" xr:uid="{00000000-0005-0000-0000-00006B8E0000}"/>
    <cellStyle name="Normal 57 5 4 4 6 2" xfId="20311" xr:uid="{00000000-0005-0000-0000-00006C8E0000}"/>
    <cellStyle name="Normal 57 5 4 4 6 2 2" xfId="45864" xr:uid="{00000000-0005-0000-0000-00006D8E0000}"/>
    <cellStyle name="Normal 57 5 4 4 6 3" xfId="33487" xr:uid="{00000000-0005-0000-0000-00006E8E0000}"/>
    <cellStyle name="Normal 57 5 4 4 7" xfId="16822" xr:uid="{00000000-0005-0000-0000-00006F8E0000}"/>
    <cellStyle name="Normal 57 5 4 4 7 2" xfId="42375" xr:uid="{00000000-0005-0000-0000-0000708E0000}"/>
    <cellStyle name="Normal 57 5 4 4 8" xfId="26794" xr:uid="{00000000-0005-0000-0000-0000718E0000}"/>
    <cellStyle name="Normal 57 5 4 5" xfId="1118" xr:uid="{00000000-0005-0000-0000-0000728E0000}"/>
    <cellStyle name="Normal 57 5 4 5 2" xfId="3547" xr:uid="{00000000-0005-0000-0000-0000738E0000}"/>
    <cellStyle name="Normal 57 5 4 5 2 2" xfId="12683" xr:uid="{00000000-0005-0000-0000-0000748E0000}"/>
    <cellStyle name="Normal 57 5 4 5 2 2 2" xfId="22902" xr:uid="{00000000-0005-0000-0000-0000758E0000}"/>
    <cellStyle name="Normal 57 5 4 5 2 2 2 2" xfId="48455" xr:uid="{00000000-0005-0000-0000-0000768E0000}"/>
    <cellStyle name="Normal 57 5 4 5 2 2 3" xfId="38238" xr:uid="{00000000-0005-0000-0000-0000778E0000}"/>
    <cellStyle name="Normal 57 5 4 5 2 3" xfId="9104" xr:uid="{00000000-0005-0000-0000-0000788E0000}"/>
    <cellStyle name="Normal 57 5 4 5 2 3 2" xfId="34661" xr:uid="{00000000-0005-0000-0000-0000798E0000}"/>
    <cellStyle name="Normal 57 5 4 5 2 4" xfId="17895" xr:uid="{00000000-0005-0000-0000-00007A8E0000}"/>
    <cellStyle name="Normal 57 5 4 5 2 4 2" xfId="43448" xr:uid="{00000000-0005-0000-0000-00007B8E0000}"/>
    <cellStyle name="Normal 57 5 4 5 2 5" xfId="29385" xr:uid="{00000000-0005-0000-0000-00007C8E0000}"/>
    <cellStyle name="Normal 57 5 4 5 3" xfId="5210" xr:uid="{00000000-0005-0000-0000-00007D8E0000}"/>
    <cellStyle name="Normal 57 5 4 5 3 2" xfId="14047" xr:uid="{00000000-0005-0000-0000-00007E8E0000}"/>
    <cellStyle name="Normal 57 5 4 5 3 2 2" xfId="24298" xr:uid="{00000000-0005-0000-0000-00007F8E0000}"/>
    <cellStyle name="Normal 57 5 4 5 3 2 2 2" xfId="49851" xr:uid="{00000000-0005-0000-0000-0000808E0000}"/>
    <cellStyle name="Normal 57 5 4 5 3 2 3" xfId="39602" xr:uid="{00000000-0005-0000-0000-0000818E0000}"/>
    <cellStyle name="Normal 57 5 4 5 3 3" xfId="10468" xr:uid="{00000000-0005-0000-0000-0000828E0000}"/>
    <cellStyle name="Normal 57 5 4 5 3 3 2" xfId="36025" xr:uid="{00000000-0005-0000-0000-0000838E0000}"/>
    <cellStyle name="Normal 57 5 4 5 3 4" xfId="19291" xr:uid="{00000000-0005-0000-0000-0000848E0000}"/>
    <cellStyle name="Normal 57 5 4 5 3 4 2" xfId="44844" xr:uid="{00000000-0005-0000-0000-0000858E0000}"/>
    <cellStyle name="Normal 57 5 4 5 3 5" xfId="30781" xr:uid="{00000000-0005-0000-0000-0000868E0000}"/>
    <cellStyle name="Normal 57 5 4 5 4" xfId="1826" xr:uid="{00000000-0005-0000-0000-0000878E0000}"/>
    <cellStyle name="Normal 57 5 4 5 4 2" xfId="11194" xr:uid="{00000000-0005-0000-0000-0000888E0000}"/>
    <cellStyle name="Normal 57 5 4 5 4 2 2" xfId="36749" xr:uid="{00000000-0005-0000-0000-0000898E0000}"/>
    <cellStyle name="Normal 57 5 4 5 4 3" xfId="21198" xr:uid="{00000000-0005-0000-0000-00008A8E0000}"/>
    <cellStyle name="Normal 57 5 4 5 4 3 2" xfId="46751" xr:uid="{00000000-0005-0000-0000-00008B8E0000}"/>
    <cellStyle name="Normal 57 5 4 5 4 4" xfId="27681" xr:uid="{00000000-0005-0000-0000-00008C8E0000}"/>
    <cellStyle name="Normal 57 5 4 5 5" xfId="6665" xr:uid="{00000000-0005-0000-0000-00008D8E0000}"/>
    <cellStyle name="Normal 57 5 4 5 5 2" xfId="15492" xr:uid="{00000000-0005-0000-0000-00008E8E0000}"/>
    <cellStyle name="Normal 57 5 4 5 5 2 2" xfId="41047" xr:uid="{00000000-0005-0000-0000-00008F8E0000}"/>
    <cellStyle name="Normal 57 5 4 5 5 3" xfId="25743" xr:uid="{00000000-0005-0000-0000-0000908E0000}"/>
    <cellStyle name="Normal 57 5 4 5 5 3 2" xfId="51296" xr:uid="{00000000-0005-0000-0000-0000918E0000}"/>
    <cellStyle name="Normal 57 5 4 5 5 4" xfId="32226" xr:uid="{00000000-0005-0000-0000-0000928E0000}"/>
    <cellStyle name="Normal 57 5 4 5 6" xfId="8111" xr:uid="{00000000-0005-0000-0000-0000938E0000}"/>
    <cellStyle name="Normal 57 5 4 5 6 2" xfId="20501" xr:uid="{00000000-0005-0000-0000-0000948E0000}"/>
    <cellStyle name="Normal 57 5 4 5 6 2 2" xfId="46054" xr:uid="{00000000-0005-0000-0000-0000958E0000}"/>
    <cellStyle name="Normal 57 5 4 5 6 3" xfId="33668" xr:uid="{00000000-0005-0000-0000-0000968E0000}"/>
    <cellStyle name="Normal 57 5 4 5 7" xfId="16191" xr:uid="{00000000-0005-0000-0000-0000978E0000}"/>
    <cellStyle name="Normal 57 5 4 5 7 2" xfId="41744" xr:uid="{00000000-0005-0000-0000-0000988E0000}"/>
    <cellStyle name="Normal 57 5 4 5 8" xfId="26984" xr:uid="{00000000-0005-0000-0000-0000998E0000}"/>
    <cellStyle name="Normal 57 5 4 6" xfId="2720" xr:uid="{00000000-0005-0000-0000-00009A8E0000}"/>
    <cellStyle name="Normal 57 5 4 6 2" xfId="12037" xr:uid="{00000000-0005-0000-0000-00009B8E0000}"/>
    <cellStyle name="Normal 57 5 4 6 2 2" xfId="22081" xr:uid="{00000000-0005-0000-0000-00009C8E0000}"/>
    <cellStyle name="Normal 57 5 4 6 2 2 2" xfId="47634" xr:uid="{00000000-0005-0000-0000-00009D8E0000}"/>
    <cellStyle name="Normal 57 5 4 6 2 3" xfId="37592" xr:uid="{00000000-0005-0000-0000-00009E8E0000}"/>
    <cellStyle name="Normal 57 5 4 6 3" xfId="8487" xr:uid="{00000000-0005-0000-0000-00009F8E0000}"/>
    <cellStyle name="Normal 57 5 4 6 3 2" xfId="34044" xr:uid="{00000000-0005-0000-0000-0000A08E0000}"/>
    <cellStyle name="Normal 57 5 4 6 4" xfId="17074" xr:uid="{00000000-0005-0000-0000-0000A18E0000}"/>
    <cellStyle name="Normal 57 5 4 6 4 2" xfId="42627" xr:uid="{00000000-0005-0000-0000-0000A28E0000}"/>
    <cellStyle name="Normal 57 5 4 6 5" xfId="28564" xr:uid="{00000000-0005-0000-0000-0000A38E0000}"/>
    <cellStyle name="Normal 57 5 4 7" xfId="4166" xr:uid="{00000000-0005-0000-0000-0000A48E0000}"/>
    <cellStyle name="Normal 57 5 4 7 2" xfId="13004" xr:uid="{00000000-0005-0000-0000-0000A58E0000}"/>
    <cellStyle name="Normal 57 5 4 7 2 2" xfId="23255" xr:uid="{00000000-0005-0000-0000-0000A68E0000}"/>
    <cellStyle name="Normal 57 5 4 7 2 2 2" xfId="48808" xr:uid="{00000000-0005-0000-0000-0000A78E0000}"/>
    <cellStyle name="Normal 57 5 4 7 2 3" xfId="38559" xr:uid="{00000000-0005-0000-0000-0000A88E0000}"/>
    <cellStyle name="Normal 57 5 4 7 3" xfId="9425" xr:uid="{00000000-0005-0000-0000-0000A98E0000}"/>
    <cellStyle name="Normal 57 5 4 7 3 2" xfId="34982" xr:uid="{00000000-0005-0000-0000-0000AA8E0000}"/>
    <cellStyle name="Normal 57 5 4 7 4" xfId="18248" xr:uid="{00000000-0005-0000-0000-0000AB8E0000}"/>
    <cellStyle name="Normal 57 5 4 7 4 2" xfId="43801" xr:uid="{00000000-0005-0000-0000-0000AC8E0000}"/>
    <cellStyle name="Normal 57 5 4 7 5" xfId="29738" xr:uid="{00000000-0005-0000-0000-0000AD8E0000}"/>
    <cellStyle name="Normal 57 5 4 8" xfId="1438" xr:uid="{00000000-0005-0000-0000-0000AE8E0000}"/>
    <cellStyle name="Normal 57 5 4 8 2" xfId="10815" xr:uid="{00000000-0005-0000-0000-0000AF8E0000}"/>
    <cellStyle name="Normal 57 5 4 8 2 2" xfId="36370" xr:uid="{00000000-0005-0000-0000-0000B08E0000}"/>
    <cellStyle name="Normal 57 5 4 8 3" xfId="20819" xr:uid="{00000000-0005-0000-0000-0000B18E0000}"/>
    <cellStyle name="Normal 57 5 4 8 3 2" xfId="46372" xr:uid="{00000000-0005-0000-0000-0000B28E0000}"/>
    <cellStyle name="Normal 57 5 4 8 4" xfId="27302" xr:uid="{00000000-0005-0000-0000-0000B38E0000}"/>
    <cellStyle name="Normal 57 5 4 9" xfId="5622" xr:uid="{00000000-0005-0000-0000-0000B48E0000}"/>
    <cellStyle name="Normal 57 5 4 9 2" xfId="14449" xr:uid="{00000000-0005-0000-0000-0000B58E0000}"/>
    <cellStyle name="Normal 57 5 4 9 2 2" xfId="40004" xr:uid="{00000000-0005-0000-0000-0000B68E0000}"/>
    <cellStyle name="Normal 57 5 4 9 3" xfId="24700" xr:uid="{00000000-0005-0000-0000-0000B78E0000}"/>
    <cellStyle name="Normal 57 5 4 9 3 2" xfId="50253" xr:uid="{00000000-0005-0000-0000-0000B88E0000}"/>
    <cellStyle name="Normal 57 5 4 9 4" xfId="31183" xr:uid="{00000000-0005-0000-0000-0000B98E0000}"/>
    <cellStyle name="Normal 57 5 4_Degree data" xfId="3972" xr:uid="{00000000-0005-0000-0000-0000BA8E0000}"/>
    <cellStyle name="Normal 57 5 5" xfId="446" xr:uid="{00000000-0005-0000-0000-0000BB8E0000}"/>
    <cellStyle name="Normal 57 5 5 10" xfId="26375" xr:uid="{00000000-0005-0000-0000-0000BC8E0000}"/>
    <cellStyle name="Normal 57 5 5 2" xfId="868" xr:uid="{00000000-0005-0000-0000-0000BD8E0000}"/>
    <cellStyle name="Normal 57 5 5 2 2" xfId="3353" xr:uid="{00000000-0005-0000-0000-0000BE8E0000}"/>
    <cellStyle name="Normal 57 5 5 2 2 2" xfId="12495" xr:uid="{00000000-0005-0000-0000-0000BF8E0000}"/>
    <cellStyle name="Normal 57 5 5 2 2 2 2" xfId="22714" xr:uid="{00000000-0005-0000-0000-0000C08E0000}"/>
    <cellStyle name="Normal 57 5 5 2 2 2 2 2" xfId="48267" xr:uid="{00000000-0005-0000-0000-0000C18E0000}"/>
    <cellStyle name="Normal 57 5 5 2 2 2 3" xfId="38050" xr:uid="{00000000-0005-0000-0000-0000C28E0000}"/>
    <cellStyle name="Normal 57 5 5 2 2 3" xfId="8917" xr:uid="{00000000-0005-0000-0000-0000C38E0000}"/>
    <cellStyle name="Normal 57 5 5 2 2 3 2" xfId="34474" xr:uid="{00000000-0005-0000-0000-0000C48E0000}"/>
    <cellStyle name="Normal 57 5 5 2 2 4" xfId="17707" xr:uid="{00000000-0005-0000-0000-0000C58E0000}"/>
    <cellStyle name="Normal 57 5 5 2 2 4 2" xfId="43260" xr:uid="{00000000-0005-0000-0000-0000C68E0000}"/>
    <cellStyle name="Normal 57 5 5 2 2 5" xfId="29197" xr:uid="{00000000-0005-0000-0000-0000C78E0000}"/>
    <cellStyle name="Normal 57 5 5 2 3" xfId="4682" xr:uid="{00000000-0005-0000-0000-0000C88E0000}"/>
    <cellStyle name="Normal 57 5 5 2 3 2" xfId="13520" xr:uid="{00000000-0005-0000-0000-0000C98E0000}"/>
    <cellStyle name="Normal 57 5 5 2 3 2 2" xfId="23771" xr:uid="{00000000-0005-0000-0000-0000CA8E0000}"/>
    <cellStyle name="Normal 57 5 5 2 3 2 2 2" xfId="49324" xr:uid="{00000000-0005-0000-0000-0000CB8E0000}"/>
    <cellStyle name="Normal 57 5 5 2 3 2 3" xfId="39075" xr:uid="{00000000-0005-0000-0000-0000CC8E0000}"/>
    <cellStyle name="Normal 57 5 5 2 3 3" xfId="9941" xr:uid="{00000000-0005-0000-0000-0000CD8E0000}"/>
    <cellStyle name="Normal 57 5 5 2 3 3 2" xfId="35498" xr:uid="{00000000-0005-0000-0000-0000CE8E0000}"/>
    <cellStyle name="Normal 57 5 5 2 3 4" xfId="18764" xr:uid="{00000000-0005-0000-0000-0000CF8E0000}"/>
    <cellStyle name="Normal 57 5 5 2 3 4 2" xfId="44317" xr:uid="{00000000-0005-0000-0000-0000D08E0000}"/>
    <cellStyle name="Normal 57 5 5 2 3 5" xfId="30254" xr:uid="{00000000-0005-0000-0000-0000D18E0000}"/>
    <cellStyle name="Normal 57 5 5 2 4" xfId="2462" xr:uid="{00000000-0005-0000-0000-0000D28E0000}"/>
    <cellStyle name="Normal 57 5 5 2 4 2" xfId="11827" xr:uid="{00000000-0005-0000-0000-0000D38E0000}"/>
    <cellStyle name="Normal 57 5 5 2 4 2 2" xfId="37382" xr:uid="{00000000-0005-0000-0000-0000D48E0000}"/>
    <cellStyle name="Normal 57 5 5 2 4 3" xfId="21831" xr:uid="{00000000-0005-0000-0000-0000D58E0000}"/>
    <cellStyle name="Normal 57 5 5 2 4 3 2" xfId="47384" xr:uid="{00000000-0005-0000-0000-0000D68E0000}"/>
    <cellStyle name="Normal 57 5 5 2 4 4" xfId="28314" xr:uid="{00000000-0005-0000-0000-0000D78E0000}"/>
    <cellStyle name="Normal 57 5 5 2 5" xfId="6138" xr:uid="{00000000-0005-0000-0000-0000D88E0000}"/>
    <cellStyle name="Normal 57 5 5 2 5 2" xfId="14965" xr:uid="{00000000-0005-0000-0000-0000D98E0000}"/>
    <cellStyle name="Normal 57 5 5 2 5 2 2" xfId="40520" xr:uid="{00000000-0005-0000-0000-0000DA8E0000}"/>
    <cellStyle name="Normal 57 5 5 2 5 3" xfId="25216" xr:uid="{00000000-0005-0000-0000-0000DB8E0000}"/>
    <cellStyle name="Normal 57 5 5 2 5 3 2" xfId="50769" xr:uid="{00000000-0005-0000-0000-0000DC8E0000}"/>
    <cellStyle name="Normal 57 5 5 2 5 4" xfId="31699" xr:uid="{00000000-0005-0000-0000-0000DD8E0000}"/>
    <cellStyle name="Normal 57 5 5 2 6" xfId="7583" xr:uid="{00000000-0005-0000-0000-0000DE8E0000}"/>
    <cellStyle name="Normal 57 5 5 2 6 2" xfId="20313" xr:uid="{00000000-0005-0000-0000-0000DF8E0000}"/>
    <cellStyle name="Normal 57 5 5 2 6 2 2" xfId="45866" xr:uid="{00000000-0005-0000-0000-0000E08E0000}"/>
    <cellStyle name="Normal 57 5 5 2 6 3" xfId="33140" xr:uid="{00000000-0005-0000-0000-0000E18E0000}"/>
    <cellStyle name="Normal 57 5 5 2 7" xfId="16824" xr:uid="{00000000-0005-0000-0000-0000E28E0000}"/>
    <cellStyle name="Normal 57 5 5 2 7 2" xfId="42377" xr:uid="{00000000-0005-0000-0000-0000E38E0000}"/>
    <cellStyle name="Normal 57 5 5 2 8" xfId="26796" xr:uid="{00000000-0005-0000-0000-0000E48E0000}"/>
    <cellStyle name="Normal 57 5 5 3" xfId="1218" xr:uid="{00000000-0005-0000-0000-0000E58E0000}"/>
    <cellStyle name="Normal 57 5 5 3 2" xfId="3647" xr:uid="{00000000-0005-0000-0000-0000E68E0000}"/>
    <cellStyle name="Normal 57 5 5 3 2 2" xfId="12783" xr:uid="{00000000-0005-0000-0000-0000E78E0000}"/>
    <cellStyle name="Normal 57 5 5 3 2 2 2" xfId="23002" xr:uid="{00000000-0005-0000-0000-0000E88E0000}"/>
    <cellStyle name="Normal 57 5 5 3 2 2 2 2" xfId="48555" xr:uid="{00000000-0005-0000-0000-0000E98E0000}"/>
    <cellStyle name="Normal 57 5 5 3 2 2 3" xfId="38338" xr:uid="{00000000-0005-0000-0000-0000EA8E0000}"/>
    <cellStyle name="Normal 57 5 5 3 2 3" xfId="9204" xr:uid="{00000000-0005-0000-0000-0000EB8E0000}"/>
    <cellStyle name="Normal 57 5 5 3 2 3 2" xfId="34761" xr:uid="{00000000-0005-0000-0000-0000EC8E0000}"/>
    <cellStyle name="Normal 57 5 5 3 2 4" xfId="17995" xr:uid="{00000000-0005-0000-0000-0000ED8E0000}"/>
    <cellStyle name="Normal 57 5 5 3 2 4 2" xfId="43548" xr:uid="{00000000-0005-0000-0000-0000EE8E0000}"/>
    <cellStyle name="Normal 57 5 5 3 2 5" xfId="29485" xr:uid="{00000000-0005-0000-0000-0000EF8E0000}"/>
    <cellStyle name="Normal 57 5 5 3 3" xfId="5031" xr:uid="{00000000-0005-0000-0000-0000F08E0000}"/>
    <cellStyle name="Normal 57 5 5 3 3 2" xfId="13868" xr:uid="{00000000-0005-0000-0000-0000F18E0000}"/>
    <cellStyle name="Normal 57 5 5 3 3 2 2" xfId="24119" xr:uid="{00000000-0005-0000-0000-0000F28E0000}"/>
    <cellStyle name="Normal 57 5 5 3 3 2 2 2" xfId="49672" xr:uid="{00000000-0005-0000-0000-0000F38E0000}"/>
    <cellStyle name="Normal 57 5 5 3 3 2 3" xfId="39423" xr:uid="{00000000-0005-0000-0000-0000F48E0000}"/>
    <cellStyle name="Normal 57 5 5 3 3 3" xfId="10289" xr:uid="{00000000-0005-0000-0000-0000F58E0000}"/>
    <cellStyle name="Normal 57 5 5 3 3 3 2" xfId="35846" xr:uid="{00000000-0005-0000-0000-0000F68E0000}"/>
    <cellStyle name="Normal 57 5 5 3 3 4" xfId="19112" xr:uid="{00000000-0005-0000-0000-0000F78E0000}"/>
    <cellStyle name="Normal 57 5 5 3 3 4 2" xfId="44665" xr:uid="{00000000-0005-0000-0000-0000F88E0000}"/>
    <cellStyle name="Normal 57 5 5 3 3 5" xfId="30602" xr:uid="{00000000-0005-0000-0000-0000F98E0000}"/>
    <cellStyle name="Normal 57 5 5 3 4" xfId="2041" xr:uid="{00000000-0005-0000-0000-0000FA8E0000}"/>
    <cellStyle name="Normal 57 5 5 3 4 2" xfId="11406" xr:uid="{00000000-0005-0000-0000-0000FB8E0000}"/>
    <cellStyle name="Normal 57 5 5 3 4 2 2" xfId="36961" xr:uid="{00000000-0005-0000-0000-0000FC8E0000}"/>
    <cellStyle name="Normal 57 5 5 3 4 3" xfId="21410" xr:uid="{00000000-0005-0000-0000-0000FD8E0000}"/>
    <cellStyle name="Normal 57 5 5 3 4 3 2" xfId="46963" xr:uid="{00000000-0005-0000-0000-0000FE8E0000}"/>
    <cellStyle name="Normal 57 5 5 3 4 4" xfId="27893" xr:uid="{00000000-0005-0000-0000-0000FF8E0000}"/>
    <cellStyle name="Normal 57 5 5 3 5" xfId="6486" xr:uid="{00000000-0005-0000-0000-0000008F0000}"/>
    <cellStyle name="Normal 57 5 5 3 5 2" xfId="15313" xr:uid="{00000000-0005-0000-0000-0000018F0000}"/>
    <cellStyle name="Normal 57 5 5 3 5 2 2" xfId="40868" xr:uid="{00000000-0005-0000-0000-0000028F0000}"/>
    <cellStyle name="Normal 57 5 5 3 5 3" xfId="25564" xr:uid="{00000000-0005-0000-0000-0000038F0000}"/>
    <cellStyle name="Normal 57 5 5 3 5 3 2" xfId="51117" xr:uid="{00000000-0005-0000-0000-0000048F0000}"/>
    <cellStyle name="Normal 57 5 5 3 5 4" xfId="32047" xr:uid="{00000000-0005-0000-0000-0000058F0000}"/>
    <cellStyle name="Normal 57 5 5 3 6" xfId="7932" xr:uid="{00000000-0005-0000-0000-0000068F0000}"/>
    <cellStyle name="Normal 57 5 5 3 6 2" xfId="20601" xr:uid="{00000000-0005-0000-0000-0000078F0000}"/>
    <cellStyle name="Normal 57 5 5 3 6 2 2" xfId="46154" xr:uid="{00000000-0005-0000-0000-0000088F0000}"/>
    <cellStyle name="Normal 57 5 5 3 6 3" xfId="33489" xr:uid="{00000000-0005-0000-0000-0000098F0000}"/>
    <cellStyle name="Normal 57 5 5 3 7" xfId="16403" xr:uid="{00000000-0005-0000-0000-00000A8F0000}"/>
    <cellStyle name="Normal 57 5 5 3 7 2" xfId="41956" xr:uid="{00000000-0005-0000-0000-00000B8F0000}"/>
    <cellStyle name="Normal 57 5 5 3 8" xfId="27084" xr:uid="{00000000-0005-0000-0000-00000C8F0000}"/>
    <cellStyle name="Normal 57 5 5 4" xfId="2932" xr:uid="{00000000-0005-0000-0000-00000D8F0000}"/>
    <cellStyle name="Normal 57 5 5 4 2" xfId="5310" xr:uid="{00000000-0005-0000-0000-00000E8F0000}"/>
    <cellStyle name="Normal 57 5 5 4 2 2" xfId="14147" xr:uid="{00000000-0005-0000-0000-00000F8F0000}"/>
    <cellStyle name="Normal 57 5 5 4 2 2 2" xfId="24398" xr:uid="{00000000-0005-0000-0000-0000108F0000}"/>
    <cellStyle name="Normal 57 5 5 4 2 2 2 2" xfId="49951" xr:uid="{00000000-0005-0000-0000-0000118F0000}"/>
    <cellStyle name="Normal 57 5 5 4 2 2 3" xfId="39702" xr:uid="{00000000-0005-0000-0000-0000128F0000}"/>
    <cellStyle name="Normal 57 5 5 4 2 3" xfId="10568" xr:uid="{00000000-0005-0000-0000-0000138F0000}"/>
    <cellStyle name="Normal 57 5 5 4 2 3 2" xfId="36125" xr:uid="{00000000-0005-0000-0000-0000148F0000}"/>
    <cellStyle name="Normal 57 5 5 4 2 4" xfId="19391" xr:uid="{00000000-0005-0000-0000-0000158F0000}"/>
    <cellStyle name="Normal 57 5 5 4 2 4 2" xfId="44944" xr:uid="{00000000-0005-0000-0000-0000168F0000}"/>
    <cellStyle name="Normal 57 5 5 4 2 5" xfId="30881" xr:uid="{00000000-0005-0000-0000-0000178F0000}"/>
    <cellStyle name="Normal 57 5 5 4 3" xfId="6765" xr:uid="{00000000-0005-0000-0000-0000188F0000}"/>
    <cellStyle name="Normal 57 5 5 4 3 2" xfId="15592" xr:uid="{00000000-0005-0000-0000-0000198F0000}"/>
    <cellStyle name="Normal 57 5 5 4 3 2 2" xfId="41147" xr:uid="{00000000-0005-0000-0000-00001A8F0000}"/>
    <cellStyle name="Normal 57 5 5 4 3 3" xfId="25843" xr:uid="{00000000-0005-0000-0000-00001B8F0000}"/>
    <cellStyle name="Normal 57 5 5 4 3 3 2" xfId="51396" xr:uid="{00000000-0005-0000-0000-00001C8F0000}"/>
    <cellStyle name="Normal 57 5 5 4 3 4" xfId="32326" xr:uid="{00000000-0005-0000-0000-00001D8F0000}"/>
    <cellStyle name="Normal 57 5 5 4 4" xfId="8211" xr:uid="{00000000-0005-0000-0000-00001E8F0000}"/>
    <cellStyle name="Normal 57 5 5 4 4 2" xfId="22293" xr:uid="{00000000-0005-0000-0000-00001F8F0000}"/>
    <cellStyle name="Normal 57 5 5 4 4 2 2" xfId="47846" xr:uid="{00000000-0005-0000-0000-0000208F0000}"/>
    <cellStyle name="Normal 57 5 5 4 4 3" xfId="33768" xr:uid="{00000000-0005-0000-0000-0000218F0000}"/>
    <cellStyle name="Normal 57 5 5 4 5" xfId="17286" xr:uid="{00000000-0005-0000-0000-0000228F0000}"/>
    <cellStyle name="Normal 57 5 5 4 5 2" xfId="42839" xr:uid="{00000000-0005-0000-0000-0000238F0000}"/>
    <cellStyle name="Normal 57 5 5 4 6" xfId="28776" xr:uid="{00000000-0005-0000-0000-0000248F0000}"/>
    <cellStyle name="Normal 57 5 5 5" xfId="4266" xr:uid="{00000000-0005-0000-0000-0000258F0000}"/>
    <cellStyle name="Normal 57 5 5 5 2" xfId="13104" xr:uid="{00000000-0005-0000-0000-0000268F0000}"/>
    <cellStyle name="Normal 57 5 5 5 2 2" xfId="23355" xr:uid="{00000000-0005-0000-0000-0000278F0000}"/>
    <cellStyle name="Normal 57 5 5 5 2 2 2" xfId="48908" xr:uid="{00000000-0005-0000-0000-0000288F0000}"/>
    <cellStyle name="Normal 57 5 5 5 2 3" xfId="38659" xr:uid="{00000000-0005-0000-0000-0000298F0000}"/>
    <cellStyle name="Normal 57 5 5 5 3" xfId="9525" xr:uid="{00000000-0005-0000-0000-00002A8F0000}"/>
    <cellStyle name="Normal 57 5 5 5 3 2" xfId="35082" xr:uid="{00000000-0005-0000-0000-00002B8F0000}"/>
    <cellStyle name="Normal 57 5 5 5 4" xfId="18348" xr:uid="{00000000-0005-0000-0000-00002C8F0000}"/>
    <cellStyle name="Normal 57 5 5 5 4 2" xfId="43901" xr:uid="{00000000-0005-0000-0000-00002D8F0000}"/>
    <cellStyle name="Normal 57 5 5 5 5" xfId="29838" xr:uid="{00000000-0005-0000-0000-00002E8F0000}"/>
    <cellStyle name="Normal 57 5 5 6" xfId="1538" xr:uid="{00000000-0005-0000-0000-00002F8F0000}"/>
    <cellStyle name="Normal 57 5 5 6 2" xfId="10915" xr:uid="{00000000-0005-0000-0000-0000308F0000}"/>
    <cellStyle name="Normal 57 5 5 6 2 2" xfId="36470" xr:uid="{00000000-0005-0000-0000-0000318F0000}"/>
    <cellStyle name="Normal 57 5 5 6 3" xfId="20919" xr:uid="{00000000-0005-0000-0000-0000328F0000}"/>
    <cellStyle name="Normal 57 5 5 6 3 2" xfId="46472" xr:uid="{00000000-0005-0000-0000-0000338F0000}"/>
    <cellStyle name="Normal 57 5 5 6 4" xfId="27402" xr:uid="{00000000-0005-0000-0000-0000348F0000}"/>
    <cellStyle name="Normal 57 5 5 7" xfId="5722" xr:uid="{00000000-0005-0000-0000-0000358F0000}"/>
    <cellStyle name="Normal 57 5 5 7 2" xfId="14549" xr:uid="{00000000-0005-0000-0000-0000368F0000}"/>
    <cellStyle name="Normal 57 5 5 7 2 2" xfId="40104" xr:uid="{00000000-0005-0000-0000-0000378F0000}"/>
    <cellStyle name="Normal 57 5 5 7 3" xfId="24800" xr:uid="{00000000-0005-0000-0000-0000388F0000}"/>
    <cellStyle name="Normal 57 5 5 7 3 2" xfId="50353" xr:uid="{00000000-0005-0000-0000-0000398F0000}"/>
    <cellStyle name="Normal 57 5 5 7 4" xfId="31283" xr:uid="{00000000-0005-0000-0000-00003A8F0000}"/>
    <cellStyle name="Normal 57 5 5 8" xfId="7166" xr:uid="{00000000-0005-0000-0000-00003B8F0000}"/>
    <cellStyle name="Normal 57 5 5 8 2" xfId="19892" xr:uid="{00000000-0005-0000-0000-00003C8F0000}"/>
    <cellStyle name="Normal 57 5 5 8 2 2" xfId="45445" xr:uid="{00000000-0005-0000-0000-00003D8F0000}"/>
    <cellStyle name="Normal 57 5 5 8 3" xfId="32723" xr:uid="{00000000-0005-0000-0000-00003E8F0000}"/>
    <cellStyle name="Normal 57 5 5 9" xfId="15912" xr:uid="{00000000-0005-0000-0000-00003F8F0000}"/>
    <cellStyle name="Normal 57 5 5 9 2" xfId="41465" xr:uid="{00000000-0005-0000-0000-0000408F0000}"/>
    <cellStyle name="Normal 57 5 5_Degree data" xfId="3974" xr:uid="{00000000-0005-0000-0000-0000418F0000}"/>
    <cellStyle name="Normal 57 5 6" xfId="334" xr:uid="{00000000-0005-0000-0000-0000428F0000}"/>
    <cellStyle name="Normal 57 5 6 10" xfId="26263" xr:uid="{00000000-0005-0000-0000-0000438F0000}"/>
    <cellStyle name="Normal 57 5 6 2" xfId="869" xr:uid="{00000000-0005-0000-0000-0000448F0000}"/>
    <cellStyle name="Normal 57 5 6 2 2" xfId="3354" xr:uid="{00000000-0005-0000-0000-0000458F0000}"/>
    <cellStyle name="Normal 57 5 6 2 2 2" xfId="12496" xr:uid="{00000000-0005-0000-0000-0000468F0000}"/>
    <cellStyle name="Normal 57 5 6 2 2 2 2" xfId="22715" xr:uid="{00000000-0005-0000-0000-0000478F0000}"/>
    <cellStyle name="Normal 57 5 6 2 2 2 2 2" xfId="48268" xr:uid="{00000000-0005-0000-0000-0000488F0000}"/>
    <cellStyle name="Normal 57 5 6 2 2 2 3" xfId="38051" xr:uid="{00000000-0005-0000-0000-0000498F0000}"/>
    <cellStyle name="Normal 57 5 6 2 2 3" xfId="8918" xr:uid="{00000000-0005-0000-0000-00004A8F0000}"/>
    <cellStyle name="Normal 57 5 6 2 2 3 2" xfId="34475" xr:uid="{00000000-0005-0000-0000-00004B8F0000}"/>
    <cellStyle name="Normal 57 5 6 2 2 4" xfId="17708" xr:uid="{00000000-0005-0000-0000-00004C8F0000}"/>
    <cellStyle name="Normal 57 5 6 2 2 4 2" xfId="43261" xr:uid="{00000000-0005-0000-0000-00004D8F0000}"/>
    <cellStyle name="Normal 57 5 6 2 2 5" xfId="29198" xr:uid="{00000000-0005-0000-0000-00004E8F0000}"/>
    <cellStyle name="Normal 57 5 6 2 3" xfId="4683" xr:uid="{00000000-0005-0000-0000-00004F8F0000}"/>
    <cellStyle name="Normal 57 5 6 2 3 2" xfId="13521" xr:uid="{00000000-0005-0000-0000-0000508F0000}"/>
    <cellStyle name="Normal 57 5 6 2 3 2 2" xfId="23772" xr:uid="{00000000-0005-0000-0000-0000518F0000}"/>
    <cellStyle name="Normal 57 5 6 2 3 2 2 2" xfId="49325" xr:uid="{00000000-0005-0000-0000-0000528F0000}"/>
    <cellStyle name="Normal 57 5 6 2 3 2 3" xfId="39076" xr:uid="{00000000-0005-0000-0000-0000538F0000}"/>
    <cellStyle name="Normal 57 5 6 2 3 3" xfId="9942" xr:uid="{00000000-0005-0000-0000-0000548F0000}"/>
    <cellStyle name="Normal 57 5 6 2 3 3 2" xfId="35499" xr:uid="{00000000-0005-0000-0000-0000558F0000}"/>
    <cellStyle name="Normal 57 5 6 2 3 4" xfId="18765" xr:uid="{00000000-0005-0000-0000-0000568F0000}"/>
    <cellStyle name="Normal 57 5 6 2 3 4 2" xfId="44318" xr:uid="{00000000-0005-0000-0000-0000578F0000}"/>
    <cellStyle name="Normal 57 5 6 2 3 5" xfId="30255" xr:uid="{00000000-0005-0000-0000-0000588F0000}"/>
    <cellStyle name="Normal 57 5 6 2 4" xfId="2463" xr:uid="{00000000-0005-0000-0000-0000598F0000}"/>
    <cellStyle name="Normal 57 5 6 2 4 2" xfId="11828" xr:uid="{00000000-0005-0000-0000-00005A8F0000}"/>
    <cellStyle name="Normal 57 5 6 2 4 2 2" xfId="37383" xr:uid="{00000000-0005-0000-0000-00005B8F0000}"/>
    <cellStyle name="Normal 57 5 6 2 4 3" xfId="21832" xr:uid="{00000000-0005-0000-0000-00005C8F0000}"/>
    <cellStyle name="Normal 57 5 6 2 4 3 2" xfId="47385" xr:uid="{00000000-0005-0000-0000-00005D8F0000}"/>
    <cellStyle name="Normal 57 5 6 2 4 4" xfId="28315" xr:uid="{00000000-0005-0000-0000-00005E8F0000}"/>
    <cellStyle name="Normal 57 5 6 2 5" xfId="6139" xr:uid="{00000000-0005-0000-0000-00005F8F0000}"/>
    <cellStyle name="Normal 57 5 6 2 5 2" xfId="14966" xr:uid="{00000000-0005-0000-0000-0000608F0000}"/>
    <cellStyle name="Normal 57 5 6 2 5 2 2" xfId="40521" xr:uid="{00000000-0005-0000-0000-0000618F0000}"/>
    <cellStyle name="Normal 57 5 6 2 5 3" xfId="25217" xr:uid="{00000000-0005-0000-0000-0000628F0000}"/>
    <cellStyle name="Normal 57 5 6 2 5 3 2" xfId="50770" xr:uid="{00000000-0005-0000-0000-0000638F0000}"/>
    <cellStyle name="Normal 57 5 6 2 5 4" xfId="31700" xr:uid="{00000000-0005-0000-0000-0000648F0000}"/>
    <cellStyle name="Normal 57 5 6 2 6" xfId="7584" xr:uid="{00000000-0005-0000-0000-0000658F0000}"/>
    <cellStyle name="Normal 57 5 6 2 6 2" xfId="20314" xr:uid="{00000000-0005-0000-0000-0000668F0000}"/>
    <cellStyle name="Normal 57 5 6 2 6 2 2" xfId="45867" xr:uid="{00000000-0005-0000-0000-0000678F0000}"/>
    <cellStyle name="Normal 57 5 6 2 6 3" xfId="33141" xr:uid="{00000000-0005-0000-0000-0000688F0000}"/>
    <cellStyle name="Normal 57 5 6 2 7" xfId="16825" xr:uid="{00000000-0005-0000-0000-0000698F0000}"/>
    <cellStyle name="Normal 57 5 6 2 7 2" xfId="42378" xr:uid="{00000000-0005-0000-0000-00006A8F0000}"/>
    <cellStyle name="Normal 57 5 6 2 8" xfId="26797" xr:uid="{00000000-0005-0000-0000-00006B8F0000}"/>
    <cellStyle name="Normal 57 5 6 3" xfId="1106" xr:uid="{00000000-0005-0000-0000-00006C8F0000}"/>
    <cellStyle name="Normal 57 5 6 3 2" xfId="3535" xr:uid="{00000000-0005-0000-0000-00006D8F0000}"/>
    <cellStyle name="Normal 57 5 6 3 2 2" xfId="12671" xr:uid="{00000000-0005-0000-0000-00006E8F0000}"/>
    <cellStyle name="Normal 57 5 6 3 2 2 2" xfId="22890" xr:uid="{00000000-0005-0000-0000-00006F8F0000}"/>
    <cellStyle name="Normal 57 5 6 3 2 2 2 2" xfId="48443" xr:uid="{00000000-0005-0000-0000-0000708F0000}"/>
    <cellStyle name="Normal 57 5 6 3 2 2 3" xfId="38226" xr:uid="{00000000-0005-0000-0000-0000718F0000}"/>
    <cellStyle name="Normal 57 5 6 3 2 3" xfId="9092" xr:uid="{00000000-0005-0000-0000-0000728F0000}"/>
    <cellStyle name="Normal 57 5 6 3 2 3 2" xfId="34649" xr:uid="{00000000-0005-0000-0000-0000738F0000}"/>
    <cellStyle name="Normal 57 5 6 3 2 4" xfId="17883" xr:uid="{00000000-0005-0000-0000-0000748F0000}"/>
    <cellStyle name="Normal 57 5 6 3 2 4 2" xfId="43436" xr:uid="{00000000-0005-0000-0000-0000758F0000}"/>
    <cellStyle name="Normal 57 5 6 3 2 5" xfId="29373" xr:uid="{00000000-0005-0000-0000-0000768F0000}"/>
    <cellStyle name="Normal 57 5 6 3 3" xfId="5032" xr:uid="{00000000-0005-0000-0000-0000778F0000}"/>
    <cellStyle name="Normal 57 5 6 3 3 2" xfId="13869" xr:uid="{00000000-0005-0000-0000-0000788F0000}"/>
    <cellStyle name="Normal 57 5 6 3 3 2 2" xfId="24120" xr:uid="{00000000-0005-0000-0000-0000798F0000}"/>
    <cellStyle name="Normal 57 5 6 3 3 2 2 2" xfId="49673" xr:uid="{00000000-0005-0000-0000-00007A8F0000}"/>
    <cellStyle name="Normal 57 5 6 3 3 2 3" xfId="39424" xr:uid="{00000000-0005-0000-0000-00007B8F0000}"/>
    <cellStyle name="Normal 57 5 6 3 3 3" xfId="10290" xr:uid="{00000000-0005-0000-0000-00007C8F0000}"/>
    <cellStyle name="Normal 57 5 6 3 3 3 2" xfId="35847" xr:uid="{00000000-0005-0000-0000-00007D8F0000}"/>
    <cellStyle name="Normal 57 5 6 3 3 4" xfId="19113" xr:uid="{00000000-0005-0000-0000-00007E8F0000}"/>
    <cellStyle name="Normal 57 5 6 3 3 4 2" xfId="44666" xr:uid="{00000000-0005-0000-0000-00007F8F0000}"/>
    <cellStyle name="Normal 57 5 6 3 3 5" xfId="30603" xr:uid="{00000000-0005-0000-0000-0000808F0000}"/>
    <cellStyle name="Normal 57 5 6 3 4" xfId="2593" xr:uid="{00000000-0005-0000-0000-0000818F0000}"/>
    <cellStyle name="Normal 57 5 6 3 4 2" xfId="11957" xr:uid="{00000000-0005-0000-0000-0000828F0000}"/>
    <cellStyle name="Normal 57 5 6 3 4 2 2" xfId="37512" xr:uid="{00000000-0005-0000-0000-0000838F0000}"/>
    <cellStyle name="Normal 57 5 6 3 4 3" xfId="21961" xr:uid="{00000000-0005-0000-0000-0000848F0000}"/>
    <cellStyle name="Normal 57 5 6 3 4 3 2" xfId="47514" xr:uid="{00000000-0005-0000-0000-0000858F0000}"/>
    <cellStyle name="Normal 57 5 6 3 4 4" xfId="28444" xr:uid="{00000000-0005-0000-0000-0000868F0000}"/>
    <cellStyle name="Normal 57 5 6 3 5" xfId="6487" xr:uid="{00000000-0005-0000-0000-0000878F0000}"/>
    <cellStyle name="Normal 57 5 6 3 5 2" xfId="15314" xr:uid="{00000000-0005-0000-0000-0000888F0000}"/>
    <cellStyle name="Normal 57 5 6 3 5 2 2" xfId="40869" xr:uid="{00000000-0005-0000-0000-0000898F0000}"/>
    <cellStyle name="Normal 57 5 6 3 5 3" xfId="25565" xr:uid="{00000000-0005-0000-0000-00008A8F0000}"/>
    <cellStyle name="Normal 57 5 6 3 5 3 2" xfId="51118" xr:uid="{00000000-0005-0000-0000-00008B8F0000}"/>
    <cellStyle name="Normal 57 5 6 3 5 4" xfId="32048" xr:uid="{00000000-0005-0000-0000-00008C8F0000}"/>
    <cellStyle name="Normal 57 5 6 3 6" xfId="7933" xr:uid="{00000000-0005-0000-0000-00008D8F0000}"/>
    <cellStyle name="Normal 57 5 6 3 6 2" xfId="20489" xr:uid="{00000000-0005-0000-0000-00008E8F0000}"/>
    <cellStyle name="Normal 57 5 6 3 6 2 2" xfId="46042" xr:uid="{00000000-0005-0000-0000-00008F8F0000}"/>
    <cellStyle name="Normal 57 5 6 3 6 3" xfId="33490" xr:uid="{00000000-0005-0000-0000-0000908F0000}"/>
    <cellStyle name="Normal 57 5 6 3 7" xfId="16954" xr:uid="{00000000-0005-0000-0000-0000918F0000}"/>
    <cellStyle name="Normal 57 5 6 3 7 2" xfId="42507" xr:uid="{00000000-0005-0000-0000-0000928F0000}"/>
    <cellStyle name="Normal 57 5 6 3 8" xfId="26972" xr:uid="{00000000-0005-0000-0000-0000938F0000}"/>
    <cellStyle name="Normal 57 5 6 4" xfId="2820" xr:uid="{00000000-0005-0000-0000-0000948F0000}"/>
    <cellStyle name="Normal 57 5 6 4 2" xfId="5198" xr:uid="{00000000-0005-0000-0000-0000958F0000}"/>
    <cellStyle name="Normal 57 5 6 4 2 2" xfId="14035" xr:uid="{00000000-0005-0000-0000-0000968F0000}"/>
    <cellStyle name="Normal 57 5 6 4 2 2 2" xfId="24286" xr:uid="{00000000-0005-0000-0000-0000978F0000}"/>
    <cellStyle name="Normal 57 5 6 4 2 2 2 2" xfId="49839" xr:uid="{00000000-0005-0000-0000-0000988F0000}"/>
    <cellStyle name="Normal 57 5 6 4 2 2 3" xfId="39590" xr:uid="{00000000-0005-0000-0000-0000998F0000}"/>
    <cellStyle name="Normal 57 5 6 4 2 3" xfId="10456" xr:uid="{00000000-0005-0000-0000-00009A8F0000}"/>
    <cellStyle name="Normal 57 5 6 4 2 3 2" xfId="36013" xr:uid="{00000000-0005-0000-0000-00009B8F0000}"/>
    <cellStyle name="Normal 57 5 6 4 2 4" xfId="19279" xr:uid="{00000000-0005-0000-0000-00009C8F0000}"/>
    <cellStyle name="Normal 57 5 6 4 2 4 2" xfId="44832" xr:uid="{00000000-0005-0000-0000-00009D8F0000}"/>
    <cellStyle name="Normal 57 5 6 4 2 5" xfId="30769" xr:uid="{00000000-0005-0000-0000-00009E8F0000}"/>
    <cellStyle name="Normal 57 5 6 4 3" xfId="6653" xr:uid="{00000000-0005-0000-0000-00009F8F0000}"/>
    <cellStyle name="Normal 57 5 6 4 3 2" xfId="15480" xr:uid="{00000000-0005-0000-0000-0000A08F0000}"/>
    <cellStyle name="Normal 57 5 6 4 3 2 2" xfId="41035" xr:uid="{00000000-0005-0000-0000-0000A18F0000}"/>
    <cellStyle name="Normal 57 5 6 4 3 3" xfId="25731" xr:uid="{00000000-0005-0000-0000-0000A28F0000}"/>
    <cellStyle name="Normal 57 5 6 4 3 3 2" xfId="51284" xr:uid="{00000000-0005-0000-0000-0000A38F0000}"/>
    <cellStyle name="Normal 57 5 6 4 3 4" xfId="32214" xr:uid="{00000000-0005-0000-0000-0000A48F0000}"/>
    <cellStyle name="Normal 57 5 6 4 4" xfId="8099" xr:uid="{00000000-0005-0000-0000-0000A58F0000}"/>
    <cellStyle name="Normal 57 5 6 4 4 2" xfId="22181" xr:uid="{00000000-0005-0000-0000-0000A68F0000}"/>
    <cellStyle name="Normal 57 5 6 4 4 2 2" xfId="47734" xr:uid="{00000000-0005-0000-0000-0000A78F0000}"/>
    <cellStyle name="Normal 57 5 6 4 4 3" xfId="33656" xr:uid="{00000000-0005-0000-0000-0000A88F0000}"/>
    <cellStyle name="Normal 57 5 6 4 5" xfId="17174" xr:uid="{00000000-0005-0000-0000-0000A98F0000}"/>
    <cellStyle name="Normal 57 5 6 4 5 2" xfId="42727" xr:uid="{00000000-0005-0000-0000-0000AA8F0000}"/>
    <cellStyle name="Normal 57 5 6 4 6" xfId="28664" xr:uid="{00000000-0005-0000-0000-0000AB8F0000}"/>
    <cellStyle name="Normal 57 5 6 5" xfId="4152" xr:uid="{00000000-0005-0000-0000-0000AC8F0000}"/>
    <cellStyle name="Normal 57 5 6 5 2" xfId="12990" xr:uid="{00000000-0005-0000-0000-0000AD8F0000}"/>
    <cellStyle name="Normal 57 5 6 5 2 2" xfId="23241" xr:uid="{00000000-0005-0000-0000-0000AE8F0000}"/>
    <cellStyle name="Normal 57 5 6 5 2 2 2" xfId="48794" xr:uid="{00000000-0005-0000-0000-0000AF8F0000}"/>
    <cellStyle name="Normal 57 5 6 5 2 3" xfId="38545" xr:uid="{00000000-0005-0000-0000-0000B08F0000}"/>
    <cellStyle name="Normal 57 5 6 5 3" xfId="9411" xr:uid="{00000000-0005-0000-0000-0000B18F0000}"/>
    <cellStyle name="Normal 57 5 6 5 3 2" xfId="34968" xr:uid="{00000000-0005-0000-0000-0000B28F0000}"/>
    <cellStyle name="Normal 57 5 6 5 4" xfId="18234" xr:uid="{00000000-0005-0000-0000-0000B38F0000}"/>
    <cellStyle name="Normal 57 5 6 5 4 2" xfId="43787" xr:uid="{00000000-0005-0000-0000-0000B48F0000}"/>
    <cellStyle name="Normal 57 5 6 5 5" xfId="29724" xr:uid="{00000000-0005-0000-0000-0000B58F0000}"/>
    <cellStyle name="Normal 57 5 6 6" xfId="1929" xr:uid="{00000000-0005-0000-0000-0000B68F0000}"/>
    <cellStyle name="Normal 57 5 6 6 2" xfId="11294" xr:uid="{00000000-0005-0000-0000-0000B78F0000}"/>
    <cellStyle name="Normal 57 5 6 6 2 2" xfId="36849" xr:uid="{00000000-0005-0000-0000-0000B88F0000}"/>
    <cellStyle name="Normal 57 5 6 6 3" xfId="21298" xr:uid="{00000000-0005-0000-0000-0000B98F0000}"/>
    <cellStyle name="Normal 57 5 6 6 3 2" xfId="46851" xr:uid="{00000000-0005-0000-0000-0000BA8F0000}"/>
    <cellStyle name="Normal 57 5 6 6 4" xfId="27781" xr:uid="{00000000-0005-0000-0000-0000BB8F0000}"/>
    <cellStyle name="Normal 57 5 6 7" xfId="5610" xr:uid="{00000000-0005-0000-0000-0000BC8F0000}"/>
    <cellStyle name="Normal 57 5 6 7 2" xfId="14437" xr:uid="{00000000-0005-0000-0000-0000BD8F0000}"/>
    <cellStyle name="Normal 57 5 6 7 2 2" xfId="39992" xr:uid="{00000000-0005-0000-0000-0000BE8F0000}"/>
    <cellStyle name="Normal 57 5 6 7 3" xfId="24688" xr:uid="{00000000-0005-0000-0000-0000BF8F0000}"/>
    <cellStyle name="Normal 57 5 6 7 3 2" xfId="50241" xr:uid="{00000000-0005-0000-0000-0000C08F0000}"/>
    <cellStyle name="Normal 57 5 6 7 4" xfId="31171" xr:uid="{00000000-0005-0000-0000-0000C18F0000}"/>
    <cellStyle name="Normal 57 5 6 8" xfId="7054" xr:uid="{00000000-0005-0000-0000-0000C28F0000}"/>
    <cellStyle name="Normal 57 5 6 8 2" xfId="19780" xr:uid="{00000000-0005-0000-0000-0000C38F0000}"/>
    <cellStyle name="Normal 57 5 6 8 2 2" xfId="45333" xr:uid="{00000000-0005-0000-0000-0000C48F0000}"/>
    <cellStyle name="Normal 57 5 6 8 3" xfId="32611" xr:uid="{00000000-0005-0000-0000-0000C58F0000}"/>
    <cellStyle name="Normal 57 5 6 9" xfId="16291" xr:uid="{00000000-0005-0000-0000-0000C68F0000}"/>
    <cellStyle name="Normal 57 5 6 9 2" xfId="41844" xr:uid="{00000000-0005-0000-0000-0000C78F0000}"/>
    <cellStyle name="Normal 57 5 6_Degree data" xfId="3975" xr:uid="{00000000-0005-0000-0000-0000C88F0000}"/>
    <cellStyle name="Normal 57 5 7" xfId="860" xr:uid="{00000000-0005-0000-0000-0000C98F0000}"/>
    <cellStyle name="Normal 57 5 7 2" xfId="3345" xr:uid="{00000000-0005-0000-0000-0000CA8F0000}"/>
    <cellStyle name="Normal 57 5 7 2 2" xfId="12487" xr:uid="{00000000-0005-0000-0000-0000CB8F0000}"/>
    <cellStyle name="Normal 57 5 7 2 2 2" xfId="22706" xr:uid="{00000000-0005-0000-0000-0000CC8F0000}"/>
    <cellStyle name="Normal 57 5 7 2 2 2 2" xfId="48259" xr:uid="{00000000-0005-0000-0000-0000CD8F0000}"/>
    <cellStyle name="Normal 57 5 7 2 2 3" xfId="38042" xr:uid="{00000000-0005-0000-0000-0000CE8F0000}"/>
    <cellStyle name="Normal 57 5 7 2 3" xfId="8909" xr:uid="{00000000-0005-0000-0000-0000CF8F0000}"/>
    <cellStyle name="Normal 57 5 7 2 3 2" xfId="34466" xr:uid="{00000000-0005-0000-0000-0000D08F0000}"/>
    <cellStyle name="Normal 57 5 7 2 4" xfId="17699" xr:uid="{00000000-0005-0000-0000-0000D18F0000}"/>
    <cellStyle name="Normal 57 5 7 2 4 2" xfId="43252" xr:uid="{00000000-0005-0000-0000-0000D28F0000}"/>
    <cellStyle name="Normal 57 5 7 2 5" xfId="29189" xr:uid="{00000000-0005-0000-0000-0000D38F0000}"/>
    <cellStyle name="Normal 57 5 7 3" xfId="4674" xr:uid="{00000000-0005-0000-0000-0000D48F0000}"/>
    <cellStyle name="Normal 57 5 7 3 2" xfId="13512" xr:uid="{00000000-0005-0000-0000-0000D58F0000}"/>
    <cellStyle name="Normal 57 5 7 3 2 2" xfId="23763" xr:uid="{00000000-0005-0000-0000-0000D68F0000}"/>
    <cellStyle name="Normal 57 5 7 3 2 2 2" xfId="49316" xr:uid="{00000000-0005-0000-0000-0000D78F0000}"/>
    <cellStyle name="Normal 57 5 7 3 2 3" xfId="39067" xr:uid="{00000000-0005-0000-0000-0000D88F0000}"/>
    <cellStyle name="Normal 57 5 7 3 3" xfId="9933" xr:uid="{00000000-0005-0000-0000-0000D98F0000}"/>
    <cellStyle name="Normal 57 5 7 3 3 2" xfId="35490" xr:uid="{00000000-0005-0000-0000-0000DA8F0000}"/>
    <cellStyle name="Normal 57 5 7 3 4" xfId="18756" xr:uid="{00000000-0005-0000-0000-0000DB8F0000}"/>
    <cellStyle name="Normal 57 5 7 3 4 2" xfId="44309" xr:uid="{00000000-0005-0000-0000-0000DC8F0000}"/>
    <cellStyle name="Normal 57 5 7 3 5" xfId="30246" xr:uid="{00000000-0005-0000-0000-0000DD8F0000}"/>
    <cellStyle name="Normal 57 5 7 4" xfId="2454" xr:uid="{00000000-0005-0000-0000-0000DE8F0000}"/>
    <cellStyle name="Normal 57 5 7 4 2" xfId="11819" xr:uid="{00000000-0005-0000-0000-0000DF8F0000}"/>
    <cellStyle name="Normal 57 5 7 4 2 2" xfId="37374" xr:uid="{00000000-0005-0000-0000-0000E08F0000}"/>
    <cellStyle name="Normal 57 5 7 4 3" xfId="21823" xr:uid="{00000000-0005-0000-0000-0000E18F0000}"/>
    <cellStyle name="Normal 57 5 7 4 3 2" xfId="47376" xr:uid="{00000000-0005-0000-0000-0000E28F0000}"/>
    <cellStyle name="Normal 57 5 7 4 4" xfId="28306" xr:uid="{00000000-0005-0000-0000-0000E38F0000}"/>
    <cellStyle name="Normal 57 5 7 5" xfId="6130" xr:uid="{00000000-0005-0000-0000-0000E48F0000}"/>
    <cellStyle name="Normal 57 5 7 5 2" xfId="14957" xr:uid="{00000000-0005-0000-0000-0000E58F0000}"/>
    <cellStyle name="Normal 57 5 7 5 2 2" xfId="40512" xr:uid="{00000000-0005-0000-0000-0000E68F0000}"/>
    <cellStyle name="Normal 57 5 7 5 3" xfId="25208" xr:uid="{00000000-0005-0000-0000-0000E78F0000}"/>
    <cellStyle name="Normal 57 5 7 5 3 2" xfId="50761" xr:uid="{00000000-0005-0000-0000-0000E88F0000}"/>
    <cellStyle name="Normal 57 5 7 5 4" xfId="31691" xr:uid="{00000000-0005-0000-0000-0000E98F0000}"/>
    <cellStyle name="Normal 57 5 7 6" xfId="7575" xr:uid="{00000000-0005-0000-0000-0000EA8F0000}"/>
    <cellStyle name="Normal 57 5 7 6 2" xfId="20305" xr:uid="{00000000-0005-0000-0000-0000EB8F0000}"/>
    <cellStyle name="Normal 57 5 7 6 2 2" xfId="45858" xr:uid="{00000000-0005-0000-0000-0000EC8F0000}"/>
    <cellStyle name="Normal 57 5 7 6 3" xfId="33132" xr:uid="{00000000-0005-0000-0000-0000ED8F0000}"/>
    <cellStyle name="Normal 57 5 7 7" xfId="16816" xr:uid="{00000000-0005-0000-0000-0000EE8F0000}"/>
    <cellStyle name="Normal 57 5 7 7 2" xfId="42369" xr:uid="{00000000-0005-0000-0000-0000EF8F0000}"/>
    <cellStyle name="Normal 57 5 7 8" xfId="26788" xr:uid="{00000000-0005-0000-0000-0000F08F0000}"/>
    <cellStyle name="Normal 57 5 8" xfId="1061" xr:uid="{00000000-0005-0000-0000-0000F18F0000}"/>
    <cellStyle name="Normal 57 5 8 2" xfId="3490" xr:uid="{00000000-0005-0000-0000-0000F28F0000}"/>
    <cellStyle name="Normal 57 5 8 2 2" xfId="12626" xr:uid="{00000000-0005-0000-0000-0000F38F0000}"/>
    <cellStyle name="Normal 57 5 8 2 2 2" xfId="22845" xr:uid="{00000000-0005-0000-0000-0000F48F0000}"/>
    <cellStyle name="Normal 57 5 8 2 2 2 2" xfId="48398" xr:uid="{00000000-0005-0000-0000-0000F58F0000}"/>
    <cellStyle name="Normal 57 5 8 2 2 3" xfId="38181" xr:uid="{00000000-0005-0000-0000-0000F68F0000}"/>
    <cellStyle name="Normal 57 5 8 2 3" xfId="9048" xr:uid="{00000000-0005-0000-0000-0000F78F0000}"/>
    <cellStyle name="Normal 57 5 8 2 3 2" xfId="34605" xr:uid="{00000000-0005-0000-0000-0000F88F0000}"/>
    <cellStyle name="Normal 57 5 8 2 4" xfId="17838" xr:uid="{00000000-0005-0000-0000-0000F98F0000}"/>
    <cellStyle name="Normal 57 5 8 2 4 2" xfId="43391" xr:uid="{00000000-0005-0000-0000-0000FA8F0000}"/>
    <cellStyle name="Normal 57 5 8 2 5" xfId="29328" xr:uid="{00000000-0005-0000-0000-0000FB8F0000}"/>
    <cellStyle name="Normal 57 5 8 3" xfId="5023" xr:uid="{00000000-0005-0000-0000-0000FC8F0000}"/>
    <cellStyle name="Normal 57 5 8 3 2" xfId="13860" xr:uid="{00000000-0005-0000-0000-0000FD8F0000}"/>
    <cellStyle name="Normal 57 5 8 3 2 2" xfId="24111" xr:uid="{00000000-0005-0000-0000-0000FE8F0000}"/>
    <cellStyle name="Normal 57 5 8 3 2 2 2" xfId="49664" xr:uid="{00000000-0005-0000-0000-0000FF8F0000}"/>
    <cellStyle name="Normal 57 5 8 3 2 3" xfId="39415" xr:uid="{00000000-0005-0000-0000-000000900000}"/>
    <cellStyle name="Normal 57 5 8 3 3" xfId="10281" xr:uid="{00000000-0005-0000-0000-000001900000}"/>
    <cellStyle name="Normal 57 5 8 3 3 2" xfId="35838" xr:uid="{00000000-0005-0000-0000-000002900000}"/>
    <cellStyle name="Normal 57 5 8 3 4" xfId="19104" xr:uid="{00000000-0005-0000-0000-000003900000}"/>
    <cellStyle name="Normal 57 5 8 3 4 2" xfId="44657" xr:uid="{00000000-0005-0000-0000-000004900000}"/>
    <cellStyle name="Normal 57 5 8 3 5" xfId="30594" xr:uid="{00000000-0005-0000-0000-000005900000}"/>
    <cellStyle name="Normal 57 5 8 4" xfId="1714" xr:uid="{00000000-0005-0000-0000-000006900000}"/>
    <cellStyle name="Normal 57 5 8 4 2" xfId="11088" xr:uid="{00000000-0005-0000-0000-000007900000}"/>
    <cellStyle name="Normal 57 5 8 4 2 2" xfId="36643" xr:uid="{00000000-0005-0000-0000-000008900000}"/>
    <cellStyle name="Normal 57 5 8 4 3" xfId="21092" xr:uid="{00000000-0005-0000-0000-000009900000}"/>
    <cellStyle name="Normal 57 5 8 4 3 2" xfId="46645" xr:uid="{00000000-0005-0000-0000-00000A900000}"/>
    <cellStyle name="Normal 57 5 8 4 4" xfId="27575" xr:uid="{00000000-0005-0000-0000-00000B900000}"/>
    <cellStyle name="Normal 57 5 8 5" xfId="6478" xr:uid="{00000000-0005-0000-0000-00000C900000}"/>
    <cellStyle name="Normal 57 5 8 5 2" xfId="15305" xr:uid="{00000000-0005-0000-0000-00000D900000}"/>
    <cellStyle name="Normal 57 5 8 5 2 2" xfId="40860" xr:uid="{00000000-0005-0000-0000-00000E900000}"/>
    <cellStyle name="Normal 57 5 8 5 3" xfId="25556" xr:uid="{00000000-0005-0000-0000-00000F900000}"/>
    <cellStyle name="Normal 57 5 8 5 3 2" xfId="51109" xr:uid="{00000000-0005-0000-0000-000010900000}"/>
    <cellStyle name="Normal 57 5 8 5 4" xfId="32039" xr:uid="{00000000-0005-0000-0000-000011900000}"/>
    <cellStyle name="Normal 57 5 8 6" xfId="7924" xr:uid="{00000000-0005-0000-0000-000012900000}"/>
    <cellStyle name="Normal 57 5 8 6 2" xfId="20444" xr:uid="{00000000-0005-0000-0000-000013900000}"/>
    <cellStyle name="Normal 57 5 8 6 2 2" xfId="45997" xr:uid="{00000000-0005-0000-0000-000014900000}"/>
    <cellStyle name="Normal 57 5 8 6 3" xfId="33481" xr:uid="{00000000-0005-0000-0000-000015900000}"/>
    <cellStyle name="Normal 57 5 8 7" xfId="16085" xr:uid="{00000000-0005-0000-0000-000016900000}"/>
    <cellStyle name="Normal 57 5 8 7 2" xfId="41638" xr:uid="{00000000-0005-0000-0000-000017900000}"/>
    <cellStyle name="Normal 57 5 8 8" xfId="26927" xr:uid="{00000000-0005-0000-0000-000018900000}"/>
    <cellStyle name="Normal 57 5 9" xfId="2612" xr:uid="{00000000-0005-0000-0000-000019900000}"/>
    <cellStyle name="Normal 57 5 9 2" xfId="5153" xr:uid="{00000000-0005-0000-0000-00001A900000}"/>
    <cellStyle name="Normal 57 5 9 2 2" xfId="13990" xr:uid="{00000000-0005-0000-0000-00001B900000}"/>
    <cellStyle name="Normal 57 5 9 2 2 2" xfId="24241" xr:uid="{00000000-0005-0000-0000-00001C900000}"/>
    <cellStyle name="Normal 57 5 9 2 2 2 2" xfId="49794" xr:uid="{00000000-0005-0000-0000-00001D900000}"/>
    <cellStyle name="Normal 57 5 9 2 2 3" xfId="39545" xr:uid="{00000000-0005-0000-0000-00001E900000}"/>
    <cellStyle name="Normal 57 5 9 2 3" xfId="10411" xr:uid="{00000000-0005-0000-0000-00001F900000}"/>
    <cellStyle name="Normal 57 5 9 2 3 2" xfId="35968" xr:uid="{00000000-0005-0000-0000-000020900000}"/>
    <cellStyle name="Normal 57 5 9 2 4" xfId="19234" xr:uid="{00000000-0005-0000-0000-000021900000}"/>
    <cellStyle name="Normal 57 5 9 2 4 2" xfId="44787" xr:uid="{00000000-0005-0000-0000-000022900000}"/>
    <cellStyle name="Normal 57 5 9 2 5" xfId="30724" xr:uid="{00000000-0005-0000-0000-000023900000}"/>
    <cellStyle name="Normal 57 5 9 3" xfId="6608" xr:uid="{00000000-0005-0000-0000-000024900000}"/>
    <cellStyle name="Normal 57 5 9 3 2" xfId="15435" xr:uid="{00000000-0005-0000-0000-000025900000}"/>
    <cellStyle name="Normal 57 5 9 3 2 2" xfId="40990" xr:uid="{00000000-0005-0000-0000-000026900000}"/>
    <cellStyle name="Normal 57 5 9 3 3" xfId="25686" xr:uid="{00000000-0005-0000-0000-000027900000}"/>
    <cellStyle name="Normal 57 5 9 3 3 2" xfId="51239" xr:uid="{00000000-0005-0000-0000-000028900000}"/>
    <cellStyle name="Normal 57 5 9 3 4" xfId="32169" xr:uid="{00000000-0005-0000-0000-000029900000}"/>
    <cellStyle name="Normal 57 5 9 4" xfId="8054" xr:uid="{00000000-0005-0000-0000-00002A900000}"/>
    <cellStyle name="Normal 57 5 9 4 2" xfId="21975" xr:uid="{00000000-0005-0000-0000-00002B900000}"/>
    <cellStyle name="Normal 57 5 9 4 2 2" xfId="47528" xr:uid="{00000000-0005-0000-0000-00002C900000}"/>
    <cellStyle name="Normal 57 5 9 4 3" xfId="33611" xr:uid="{00000000-0005-0000-0000-00002D900000}"/>
    <cellStyle name="Normal 57 5 9 5" xfId="16968" xr:uid="{00000000-0005-0000-0000-00002E900000}"/>
    <cellStyle name="Normal 57 5 9 5 2" xfId="42521" xr:uid="{00000000-0005-0000-0000-00002F900000}"/>
    <cellStyle name="Normal 57 5 9 6" xfId="28458" xr:uid="{00000000-0005-0000-0000-000030900000}"/>
    <cellStyle name="Normal 57 5_Degree data" xfId="3966" xr:uid="{00000000-0005-0000-0000-000031900000}"/>
    <cellStyle name="Normal 57 6" xfId="126" xr:uid="{00000000-0005-0000-0000-000032900000}"/>
    <cellStyle name="Normal 57 6 10" xfId="1400" xr:uid="{00000000-0005-0000-0000-000033900000}"/>
    <cellStyle name="Normal 57 6 10 2" xfId="10777" xr:uid="{00000000-0005-0000-0000-000034900000}"/>
    <cellStyle name="Normal 57 6 10 2 2" xfId="36332" xr:uid="{00000000-0005-0000-0000-000035900000}"/>
    <cellStyle name="Normal 57 6 10 3" xfId="20781" xr:uid="{00000000-0005-0000-0000-000036900000}"/>
    <cellStyle name="Normal 57 6 10 3 2" xfId="46334" xr:uid="{00000000-0005-0000-0000-000037900000}"/>
    <cellStyle name="Normal 57 6 10 4" xfId="27264" xr:uid="{00000000-0005-0000-0000-000038900000}"/>
    <cellStyle name="Normal 57 6 11" xfId="5511" xr:uid="{00000000-0005-0000-0000-000039900000}"/>
    <cellStyle name="Normal 57 6 11 2" xfId="14338" xr:uid="{00000000-0005-0000-0000-00003A900000}"/>
    <cellStyle name="Normal 57 6 11 2 2" xfId="39893" xr:uid="{00000000-0005-0000-0000-00003B900000}"/>
    <cellStyle name="Normal 57 6 11 3" xfId="24589" xr:uid="{00000000-0005-0000-0000-00003C900000}"/>
    <cellStyle name="Normal 57 6 11 3 2" xfId="50142" xr:uid="{00000000-0005-0000-0000-00003D900000}"/>
    <cellStyle name="Normal 57 6 11 4" xfId="31072" xr:uid="{00000000-0005-0000-0000-00003E900000}"/>
    <cellStyle name="Normal 57 6 12" xfId="6951" xr:uid="{00000000-0005-0000-0000-00003F900000}"/>
    <cellStyle name="Normal 57 6 12 2" xfId="19593" xr:uid="{00000000-0005-0000-0000-000040900000}"/>
    <cellStyle name="Normal 57 6 12 2 2" xfId="45146" xr:uid="{00000000-0005-0000-0000-000041900000}"/>
    <cellStyle name="Normal 57 6 12 3" xfId="32509" xr:uid="{00000000-0005-0000-0000-000042900000}"/>
    <cellStyle name="Normal 57 6 13" xfId="15774" xr:uid="{00000000-0005-0000-0000-000043900000}"/>
    <cellStyle name="Normal 57 6 13 2" xfId="41327" xr:uid="{00000000-0005-0000-0000-000044900000}"/>
    <cellStyle name="Normal 57 6 14" xfId="26076" xr:uid="{00000000-0005-0000-0000-000045900000}"/>
    <cellStyle name="Normal 57 6 2" xfId="182" xr:uid="{00000000-0005-0000-0000-000046900000}"/>
    <cellStyle name="Normal 57 6 2 10" xfId="7130" xr:uid="{00000000-0005-0000-0000-000047900000}"/>
    <cellStyle name="Normal 57 6 2 10 2" xfId="19639" xr:uid="{00000000-0005-0000-0000-000048900000}"/>
    <cellStyle name="Normal 57 6 2 10 2 2" xfId="45192" xr:uid="{00000000-0005-0000-0000-000049900000}"/>
    <cellStyle name="Normal 57 6 2 10 3" xfId="32687" xr:uid="{00000000-0005-0000-0000-00004A900000}"/>
    <cellStyle name="Normal 57 6 2 11" xfId="15876" xr:uid="{00000000-0005-0000-0000-00004B900000}"/>
    <cellStyle name="Normal 57 6 2 11 2" xfId="41429" xr:uid="{00000000-0005-0000-0000-00004C900000}"/>
    <cellStyle name="Normal 57 6 2 12" xfId="26122" xr:uid="{00000000-0005-0000-0000-00004D900000}"/>
    <cellStyle name="Normal 57 6 2 2" xfId="510" xr:uid="{00000000-0005-0000-0000-00004E900000}"/>
    <cellStyle name="Normal 57 6 2 2 10" xfId="26439" xr:uid="{00000000-0005-0000-0000-00004F900000}"/>
    <cellStyle name="Normal 57 6 2 2 2" xfId="872" xr:uid="{00000000-0005-0000-0000-000050900000}"/>
    <cellStyle name="Normal 57 6 2 2 2 2" xfId="3357" xr:uid="{00000000-0005-0000-0000-000051900000}"/>
    <cellStyle name="Normal 57 6 2 2 2 2 2" xfId="12499" xr:uid="{00000000-0005-0000-0000-000052900000}"/>
    <cellStyle name="Normal 57 6 2 2 2 2 2 2" xfId="22718" xr:uid="{00000000-0005-0000-0000-000053900000}"/>
    <cellStyle name="Normal 57 6 2 2 2 2 2 2 2" xfId="48271" xr:uid="{00000000-0005-0000-0000-000054900000}"/>
    <cellStyle name="Normal 57 6 2 2 2 2 2 3" xfId="38054" xr:uid="{00000000-0005-0000-0000-000055900000}"/>
    <cellStyle name="Normal 57 6 2 2 2 2 3" xfId="8921" xr:uid="{00000000-0005-0000-0000-000056900000}"/>
    <cellStyle name="Normal 57 6 2 2 2 2 3 2" xfId="34478" xr:uid="{00000000-0005-0000-0000-000057900000}"/>
    <cellStyle name="Normal 57 6 2 2 2 2 4" xfId="17711" xr:uid="{00000000-0005-0000-0000-000058900000}"/>
    <cellStyle name="Normal 57 6 2 2 2 2 4 2" xfId="43264" xr:uid="{00000000-0005-0000-0000-000059900000}"/>
    <cellStyle name="Normal 57 6 2 2 2 2 5" xfId="29201" xr:uid="{00000000-0005-0000-0000-00005A900000}"/>
    <cellStyle name="Normal 57 6 2 2 2 3" xfId="4686" xr:uid="{00000000-0005-0000-0000-00005B900000}"/>
    <cellStyle name="Normal 57 6 2 2 2 3 2" xfId="13524" xr:uid="{00000000-0005-0000-0000-00005C900000}"/>
    <cellStyle name="Normal 57 6 2 2 2 3 2 2" xfId="23775" xr:uid="{00000000-0005-0000-0000-00005D900000}"/>
    <cellStyle name="Normal 57 6 2 2 2 3 2 2 2" xfId="49328" xr:uid="{00000000-0005-0000-0000-00005E900000}"/>
    <cellStyle name="Normal 57 6 2 2 2 3 2 3" xfId="39079" xr:uid="{00000000-0005-0000-0000-00005F900000}"/>
    <cellStyle name="Normal 57 6 2 2 2 3 3" xfId="9945" xr:uid="{00000000-0005-0000-0000-000060900000}"/>
    <cellStyle name="Normal 57 6 2 2 2 3 3 2" xfId="35502" xr:uid="{00000000-0005-0000-0000-000061900000}"/>
    <cellStyle name="Normal 57 6 2 2 2 3 4" xfId="18768" xr:uid="{00000000-0005-0000-0000-000062900000}"/>
    <cellStyle name="Normal 57 6 2 2 2 3 4 2" xfId="44321" xr:uid="{00000000-0005-0000-0000-000063900000}"/>
    <cellStyle name="Normal 57 6 2 2 2 3 5" xfId="30258" xr:uid="{00000000-0005-0000-0000-000064900000}"/>
    <cellStyle name="Normal 57 6 2 2 2 4" xfId="2466" xr:uid="{00000000-0005-0000-0000-000065900000}"/>
    <cellStyle name="Normal 57 6 2 2 2 4 2" xfId="11831" xr:uid="{00000000-0005-0000-0000-000066900000}"/>
    <cellStyle name="Normal 57 6 2 2 2 4 2 2" xfId="37386" xr:uid="{00000000-0005-0000-0000-000067900000}"/>
    <cellStyle name="Normal 57 6 2 2 2 4 3" xfId="21835" xr:uid="{00000000-0005-0000-0000-000068900000}"/>
    <cellStyle name="Normal 57 6 2 2 2 4 3 2" xfId="47388" xr:uid="{00000000-0005-0000-0000-000069900000}"/>
    <cellStyle name="Normal 57 6 2 2 2 4 4" xfId="28318" xr:uid="{00000000-0005-0000-0000-00006A900000}"/>
    <cellStyle name="Normal 57 6 2 2 2 5" xfId="6142" xr:uid="{00000000-0005-0000-0000-00006B900000}"/>
    <cellStyle name="Normal 57 6 2 2 2 5 2" xfId="14969" xr:uid="{00000000-0005-0000-0000-00006C900000}"/>
    <cellStyle name="Normal 57 6 2 2 2 5 2 2" xfId="40524" xr:uid="{00000000-0005-0000-0000-00006D900000}"/>
    <cellStyle name="Normal 57 6 2 2 2 5 3" xfId="25220" xr:uid="{00000000-0005-0000-0000-00006E900000}"/>
    <cellStyle name="Normal 57 6 2 2 2 5 3 2" xfId="50773" xr:uid="{00000000-0005-0000-0000-00006F900000}"/>
    <cellStyle name="Normal 57 6 2 2 2 5 4" xfId="31703" xr:uid="{00000000-0005-0000-0000-000070900000}"/>
    <cellStyle name="Normal 57 6 2 2 2 6" xfId="7587" xr:uid="{00000000-0005-0000-0000-000071900000}"/>
    <cellStyle name="Normal 57 6 2 2 2 6 2" xfId="20317" xr:uid="{00000000-0005-0000-0000-000072900000}"/>
    <cellStyle name="Normal 57 6 2 2 2 6 2 2" xfId="45870" xr:uid="{00000000-0005-0000-0000-000073900000}"/>
    <cellStyle name="Normal 57 6 2 2 2 6 3" xfId="33144" xr:uid="{00000000-0005-0000-0000-000074900000}"/>
    <cellStyle name="Normal 57 6 2 2 2 7" xfId="16828" xr:uid="{00000000-0005-0000-0000-000075900000}"/>
    <cellStyle name="Normal 57 6 2 2 2 7 2" xfId="42381" xr:uid="{00000000-0005-0000-0000-000076900000}"/>
    <cellStyle name="Normal 57 6 2 2 2 8" xfId="26800" xr:uid="{00000000-0005-0000-0000-000077900000}"/>
    <cellStyle name="Normal 57 6 2 2 3" xfId="1282" xr:uid="{00000000-0005-0000-0000-000078900000}"/>
    <cellStyle name="Normal 57 6 2 2 3 2" xfId="3711" xr:uid="{00000000-0005-0000-0000-000079900000}"/>
    <cellStyle name="Normal 57 6 2 2 3 2 2" xfId="12847" xr:uid="{00000000-0005-0000-0000-00007A900000}"/>
    <cellStyle name="Normal 57 6 2 2 3 2 2 2" xfId="23066" xr:uid="{00000000-0005-0000-0000-00007B900000}"/>
    <cellStyle name="Normal 57 6 2 2 3 2 2 2 2" xfId="48619" xr:uid="{00000000-0005-0000-0000-00007C900000}"/>
    <cellStyle name="Normal 57 6 2 2 3 2 2 3" xfId="38402" xr:uid="{00000000-0005-0000-0000-00007D900000}"/>
    <cellStyle name="Normal 57 6 2 2 3 2 3" xfId="9268" xr:uid="{00000000-0005-0000-0000-00007E900000}"/>
    <cellStyle name="Normal 57 6 2 2 3 2 3 2" xfId="34825" xr:uid="{00000000-0005-0000-0000-00007F900000}"/>
    <cellStyle name="Normal 57 6 2 2 3 2 4" xfId="18059" xr:uid="{00000000-0005-0000-0000-000080900000}"/>
    <cellStyle name="Normal 57 6 2 2 3 2 4 2" xfId="43612" xr:uid="{00000000-0005-0000-0000-000081900000}"/>
    <cellStyle name="Normal 57 6 2 2 3 2 5" xfId="29549" xr:uid="{00000000-0005-0000-0000-000082900000}"/>
    <cellStyle name="Normal 57 6 2 2 3 3" xfId="5035" xr:uid="{00000000-0005-0000-0000-000083900000}"/>
    <cellStyle name="Normal 57 6 2 2 3 3 2" xfId="13872" xr:uid="{00000000-0005-0000-0000-000084900000}"/>
    <cellStyle name="Normal 57 6 2 2 3 3 2 2" xfId="24123" xr:uid="{00000000-0005-0000-0000-000085900000}"/>
    <cellStyle name="Normal 57 6 2 2 3 3 2 2 2" xfId="49676" xr:uid="{00000000-0005-0000-0000-000086900000}"/>
    <cellStyle name="Normal 57 6 2 2 3 3 2 3" xfId="39427" xr:uid="{00000000-0005-0000-0000-000087900000}"/>
    <cellStyle name="Normal 57 6 2 2 3 3 3" xfId="10293" xr:uid="{00000000-0005-0000-0000-000088900000}"/>
    <cellStyle name="Normal 57 6 2 2 3 3 3 2" xfId="35850" xr:uid="{00000000-0005-0000-0000-000089900000}"/>
    <cellStyle name="Normal 57 6 2 2 3 3 4" xfId="19116" xr:uid="{00000000-0005-0000-0000-00008A900000}"/>
    <cellStyle name="Normal 57 6 2 2 3 3 4 2" xfId="44669" xr:uid="{00000000-0005-0000-0000-00008B900000}"/>
    <cellStyle name="Normal 57 6 2 2 3 3 5" xfId="30606" xr:uid="{00000000-0005-0000-0000-00008C900000}"/>
    <cellStyle name="Normal 57 6 2 2 3 4" xfId="2105" xr:uid="{00000000-0005-0000-0000-00008D900000}"/>
    <cellStyle name="Normal 57 6 2 2 3 4 2" xfId="11470" xr:uid="{00000000-0005-0000-0000-00008E900000}"/>
    <cellStyle name="Normal 57 6 2 2 3 4 2 2" xfId="37025" xr:uid="{00000000-0005-0000-0000-00008F900000}"/>
    <cellStyle name="Normal 57 6 2 2 3 4 3" xfId="21474" xr:uid="{00000000-0005-0000-0000-000090900000}"/>
    <cellStyle name="Normal 57 6 2 2 3 4 3 2" xfId="47027" xr:uid="{00000000-0005-0000-0000-000091900000}"/>
    <cellStyle name="Normal 57 6 2 2 3 4 4" xfId="27957" xr:uid="{00000000-0005-0000-0000-000092900000}"/>
    <cellStyle name="Normal 57 6 2 2 3 5" xfId="6490" xr:uid="{00000000-0005-0000-0000-000093900000}"/>
    <cellStyle name="Normal 57 6 2 2 3 5 2" xfId="15317" xr:uid="{00000000-0005-0000-0000-000094900000}"/>
    <cellStyle name="Normal 57 6 2 2 3 5 2 2" xfId="40872" xr:uid="{00000000-0005-0000-0000-000095900000}"/>
    <cellStyle name="Normal 57 6 2 2 3 5 3" xfId="25568" xr:uid="{00000000-0005-0000-0000-000096900000}"/>
    <cellStyle name="Normal 57 6 2 2 3 5 3 2" xfId="51121" xr:uid="{00000000-0005-0000-0000-000097900000}"/>
    <cellStyle name="Normal 57 6 2 2 3 5 4" xfId="32051" xr:uid="{00000000-0005-0000-0000-000098900000}"/>
    <cellStyle name="Normal 57 6 2 2 3 6" xfId="7936" xr:uid="{00000000-0005-0000-0000-000099900000}"/>
    <cellStyle name="Normal 57 6 2 2 3 6 2" xfId="20665" xr:uid="{00000000-0005-0000-0000-00009A900000}"/>
    <cellStyle name="Normal 57 6 2 2 3 6 2 2" xfId="46218" xr:uid="{00000000-0005-0000-0000-00009B900000}"/>
    <cellStyle name="Normal 57 6 2 2 3 6 3" xfId="33493" xr:uid="{00000000-0005-0000-0000-00009C900000}"/>
    <cellStyle name="Normal 57 6 2 2 3 7" xfId="16467" xr:uid="{00000000-0005-0000-0000-00009D900000}"/>
    <cellStyle name="Normal 57 6 2 2 3 7 2" xfId="42020" xr:uid="{00000000-0005-0000-0000-00009E900000}"/>
    <cellStyle name="Normal 57 6 2 2 3 8" xfId="27148" xr:uid="{00000000-0005-0000-0000-00009F900000}"/>
    <cellStyle name="Normal 57 6 2 2 4" xfId="2996" xr:uid="{00000000-0005-0000-0000-0000A0900000}"/>
    <cellStyle name="Normal 57 6 2 2 4 2" xfId="5374" xr:uid="{00000000-0005-0000-0000-0000A1900000}"/>
    <cellStyle name="Normal 57 6 2 2 4 2 2" xfId="14211" xr:uid="{00000000-0005-0000-0000-0000A2900000}"/>
    <cellStyle name="Normal 57 6 2 2 4 2 2 2" xfId="24462" xr:uid="{00000000-0005-0000-0000-0000A3900000}"/>
    <cellStyle name="Normal 57 6 2 2 4 2 2 2 2" xfId="50015" xr:uid="{00000000-0005-0000-0000-0000A4900000}"/>
    <cellStyle name="Normal 57 6 2 2 4 2 2 3" xfId="39766" xr:uid="{00000000-0005-0000-0000-0000A5900000}"/>
    <cellStyle name="Normal 57 6 2 2 4 2 3" xfId="10632" xr:uid="{00000000-0005-0000-0000-0000A6900000}"/>
    <cellStyle name="Normal 57 6 2 2 4 2 3 2" xfId="36189" xr:uid="{00000000-0005-0000-0000-0000A7900000}"/>
    <cellStyle name="Normal 57 6 2 2 4 2 4" xfId="19455" xr:uid="{00000000-0005-0000-0000-0000A8900000}"/>
    <cellStyle name="Normal 57 6 2 2 4 2 4 2" xfId="45008" xr:uid="{00000000-0005-0000-0000-0000A9900000}"/>
    <cellStyle name="Normal 57 6 2 2 4 2 5" xfId="30945" xr:uid="{00000000-0005-0000-0000-0000AA900000}"/>
    <cellStyle name="Normal 57 6 2 2 4 3" xfId="6829" xr:uid="{00000000-0005-0000-0000-0000AB900000}"/>
    <cellStyle name="Normal 57 6 2 2 4 3 2" xfId="15656" xr:uid="{00000000-0005-0000-0000-0000AC900000}"/>
    <cellStyle name="Normal 57 6 2 2 4 3 2 2" xfId="41211" xr:uid="{00000000-0005-0000-0000-0000AD900000}"/>
    <cellStyle name="Normal 57 6 2 2 4 3 3" xfId="25907" xr:uid="{00000000-0005-0000-0000-0000AE900000}"/>
    <cellStyle name="Normal 57 6 2 2 4 3 3 2" xfId="51460" xr:uid="{00000000-0005-0000-0000-0000AF900000}"/>
    <cellStyle name="Normal 57 6 2 2 4 3 4" xfId="32390" xr:uid="{00000000-0005-0000-0000-0000B0900000}"/>
    <cellStyle name="Normal 57 6 2 2 4 4" xfId="8275" xr:uid="{00000000-0005-0000-0000-0000B1900000}"/>
    <cellStyle name="Normal 57 6 2 2 4 4 2" xfId="22357" xr:uid="{00000000-0005-0000-0000-0000B2900000}"/>
    <cellStyle name="Normal 57 6 2 2 4 4 2 2" xfId="47910" xr:uid="{00000000-0005-0000-0000-0000B3900000}"/>
    <cellStyle name="Normal 57 6 2 2 4 4 3" xfId="33832" xr:uid="{00000000-0005-0000-0000-0000B4900000}"/>
    <cellStyle name="Normal 57 6 2 2 4 5" xfId="17350" xr:uid="{00000000-0005-0000-0000-0000B5900000}"/>
    <cellStyle name="Normal 57 6 2 2 4 5 2" xfId="42903" xr:uid="{00000000-0005-0000-0000-0000B6900000}"/>
    <cellStyle name="Normal 57 6 2 2 4 6" xfId="28840" xr:uid="{00000000-0005-0000-0000-0000B7900000}"/>
    <cellStyle name="Normal 57 6 2 2 5" xfId="4330" xr:uid="{00000000-0005-0000-0000-0000B8900000}"/>
    <cellStyle name="Normal 57 6 2 2 5 2" xfId="13168" xr:uid="{00000000-0005-0000-0000-0000B9900000}"/>
    <cellStyle name="Normal 57 6 2 2 5 2 2" xfId="23419" xr:uid="{00000000-0005-0000-0000-0000BA900000}"/>
    <cellStyle name="Normal 57 6 2 2 5 2 2 2" xfId="48972" xr:uid="{00000000-0005-0000-0000-0000BB900000}"/>
    <cellStyle name="Normal 57 6 2 2 5 2 3" xfId="38723" xr:uid="{00000000-0005-0000-0000-0000BC900000}"/>
    <cellStyle name="Normal 57 6 2 2 5 3" xfId="9589" xr:uid="{00000000-0005-0000-0000-0000BD900000}"/>
    <cellStyle name="Normal 57 6 2 2 5 3 2" xfId="35146" xr:uid="{00000000-0005-0000-0000-0000BE900000}"/>
    <cellStyle name="Normal 57 6 2 2 5 4" xfId="18412" xr:uid="{00000000-0005-0000-0000-0000BF900000}"/>
    <cellStyle name="Normal 57 6 2 2 5 4 2" xfId="43965" xr:uid="{00000000-0005-0000-0000-0000C0900000}"/>
    <cellStyle name="Normal 57 6 2 2 5 5" xfId="29902" xr:uid="{00000000-0005-0000-0000-0000C1900000}"/>
    <cellStyle name="Normal 57 6 2 2 6" xfId="1602" xr:uid="{00000000-0005-0000-0000-0000C2900000}"/>
    <cellStyle name="Normal 57 6 2 2 6 2" xfId="10979" xr:uid="{00000000-0005-0000-0000-0000C3900000}"/>
    <cellStyle name="Normal 57 6 2 2 6 2 2" xfId="36534" xr:uid="{00000000-0005-0000-0000-0000C4900000}"/>
    <cellStyle name="Normal 57 6 2 2 6 3" xfId="20983" xr:uid="{00000000-0005-0000-0000-0000C5900000}"/>
    <cellStyle name="Normal 57 6 2 2 6 3 2" xfId="46536" xr:uid="{00000000-0005-0000-0000-0000C6900000}"/>
    <cellStyle name="Normal 57 6 2 2 6 4" xfId="27466" xr:uid="{00000000-0005-0000-0000-0000C7900000}"/>
    <cellStyle name="Normal 57 6 2 2 7" xfId="5786" xr:uid="{00000000-0005-0000-0000-0000C8900000}"/>
    <cellStyle name="Normal 57 6 2 2 7 2" xfId="14613" xr:uid="{00000000-0005-0000-0000-0000C9900000}"/>
    <cellStyle name="Normal 57 6 2 2 7 2 2" xfId="40168" xr:uid="{00000000-0005-0000-0000-0000CA900000}"/>
    <cellStyle name="Normal 57 6 2 2 7 3" xfId="24864" xr:uid="{00000000-0005-0000-0000-0000CB900000}"/>
    <cellStyle name="Normal 57 6 2 2 7 3 2" xfId="50417" xr:uid="{00000000-0005-0000-0000-0000CC900000}"/>
    <cellStyle name="Normal 57 6 2 2 7 4" xfId="31347" xr:uid="{00000000-0005-0000-0000-0000CD900000}"/>
    <cellStyle name="Normal 57 6 2 2 8" xfId="7230" xr:uid="{00000000-0005-0000-0000-0000CE900000}"/>
    <cellStyle name="Normal 57 6 2 2 8 2" xfId="19956" xr:uid="{00000000-0005-0000-0000-0000CF900000}"/>
    <cellStyle name="Normal 57 6 2 2 8 2 2" xfId="45509" xr:uid="{00000000-0005-0000-0000-0000D0900000}"/>
    <cellStyle name="Normal 57 6 2 2 8 3" xfId="32787" xr:uid="{00000000-0005-0000-0000-0000D1900000}"/>
    <cellStyle name="Normal 57 6 2 2 9" xfId="15976" xr:uid="{00000000-0005-0000-0000-0000D2900000}"/>
    <cellStyle name="Normal 57 6 2 2 9 2" xfId="41529" xr:uid="{00000000-0005-0000-0000-0000D3900000}"/>
    <cellStyle name="Normal 57 6 2 2_Degree data" xfId="3978" xr:uid="{00000000-0005-0000-0000-0000D4900000}"/>
    <cellStyle name="Normal 57 6 2 3" xfId="410" xr:uid="{00000000-0005-0000-0000-0000D5900000}"/>
    <cellStyle name="Normal 57 6 2 3 2" xfId="2896" xr:uid="{00000000-0005-0000-0000-0000D6900000}"/>
    <cellStyle name="Normal 57 6 2 3 2 2" xfId="12184" xr:uid="{00000000-0005-0000-0000-0000D7900000}"/>
    <cellStyle name="Normal 57 6 2 3 2 2 2" xfId="22257" xr:uid="{00000000-0005-0000-0000-0000D8900000}"/>
    <cellStyle name="Normal 57 6 2 3 2 2 2 2" xfId="47810" xr:uid="{00000000-0005-0000-0000-0000D9900000}"/>
    <cellStyle name="Normal 57 6 2 3 2 2 3" xfId="37739" xr:uid="{00000000-0005-0000-0000-0000DA900000}"/>
    <cellStyle name="Normal 57 6 2 3 2 3" xfId="8513" xr:uid="{00000000-0005-0000-0000-0000DB900000}"/>
    <cellStyle name="Normal 57 6 2 3 2 3 2" xfId="34070" xr:uid="{00000000-0005-0000-0000-0000DC900000}"/>
    <cellStyle name="Normal 57 6 2 3 2 4" xfId="17250" xr:uid="{00000000-0005-0000-0000-0000DD900000}"/>
    <cellStyle name="Normal 57 6 2 3 2 4 2" xfId="42803" xr:uid="{00000000-0005-0000-0000-0000DE900000}"/>
    <cellStyle name="Normal 57 6 2 3 2 5" xfId="28740" xr:uid="{00000000-0005-0000-0000-0000DF900000}"/>
    <cellStyle name="Normal 57 6 2 3 3" xfId="4685" xr:uid="{00000000-0005-0000-0000-0000E0900000}"/>
    <cellStyle name="Normal 57 6 2 3 3 2" xfId="13523" xr:uid="{00000000-0005-0000-0000-0000E1900000}"/>
    <cellStyle name="Normal 57 6 2 3 3 2 2" xfId="23774" xr:uid="{00000000-0005-0000-0000-0000E2900000}"/>
    <cellStyle name="Normal 57 6 2 3 3 2 2 2" xfId="49327" xr:uid="{00000000-0005-0000-0000-0000E3900000}"/>
    <cellStyle name="Normal 57 6 2 3 3 2 3" xfId="39078" xr:uid="{00000000-0005-0000-0000-0000E4900000}"/>
    <cellStyle name="Normal 57 6 2 3 3 3" xfId="9944" xr:uid="{00000000-0005-0000-0000-0000E5900000}"/>
    <cellStyle name="Normal 57 6 2 3 3 3 2" xfId="35501" xr:uid="{00000000-0005-0000-0000-0000E6900000}"/>
    <cellStyle name="Normal 57 6 2 3 3 4" xfId="18767" xr:uid="{00000000-0005-0000-0000-0000E7900000}"/>
    <cellStyle name="Normal 57 6 2 3 3 4 2" xfId="44320" xr:uid="{00000000-0005-0000-0000-0000E8900000}"/>
    <cellStyle name="Normal 57 6 2 3 3 5" xfId="30257" xr:uid="{00000000-0005-0000-0000-0000E9900000}"/>
    <cellStyle name="Normal 57 6 2 3 4" xfId="2005" xr:uid="{00000000-0005-0000-0000-0000EA900000}"/>
    <cellStyle name="Normal 57 6 2 3 4 2" xfId="11370" xr:uid="{00000000-0005-0000-0000-0000EB900000}"/>
    <cellStyle name="Normal 57 6 2 3 4 2 2" xfId="36925" xr:uid="{00000000-0005-0000-0000-0000EC900000}"/>
    <cellStyle name="Normal 57 6 2 3 4 3" xfId="21374" xr:uid="{00000000-0005-0000-0000-0000ED900000}"/>
    <cellStyle name="Normal 57 6 2 3 4 3 2" xfId="46927" xr:uid="{00000000-0005-0000-0000-0000EE900000}"/>
    <cellStyle name="Normal 57 6 2 3 4 4" xfId="27857" xr:uid="{00000000-0005-0000-0000-0000EF900000}"/>
    <cellStyle name="Normal 57 6 2 3 5" xfId="6141" xr:uid="{00000000-0005-0000-0000-0000F0900000}"/>
    <cellStyle name="Normal 57 6 2 3 5 2" xfId="14968" xr:uid="{00000000-0005-0000-0000-0000F1900000}"/>
    <cellStyle name="Normal 57 6 2 3 5 2 2" xfId="40523" xr:uid="{00000000-0005-0000-0000-0000F2900000}"/>
    <cellStyle name="Normal 57 6 2 3 5 3" xfId="25219" xr:uid="{00000000-0005-0000-0000-0000F3900000}"/>
    <cellStyle name="Normal 57 6 2 3 5 3 2" xfId="50772" xr:uid="{00000000-0005-0000-0000-0000F4900000}"/>
    <cellStyle name="Normal 57 6 2 3 5 4" xfId="31702" xr:uid="{00000000-0005-0000-0000-0000F5900000}"/>
    <cellStyle name="Normal 57 6 2 3 6" xfId="7586" xr:uid="{00000000-0005-0000-0000-0000F6900000}"/>
    <cellStyle name="Normal 57 6 2 3 6 2" xfId="19856" xr:uid="{00000000-0005-0000-0000-0000F7900000}"/>
    <cellStyle name="Normal 57 6 2 3 6 2 2" xfId="45409" xr:uid="{00000000-0005-0000-0000-0000F8900000}"/>
    <cellStyle name="Normal 57 6 2 3 6 3" xfId="33143" xr:uid="{00000000-0005-0000-0000-0000F9900000}"/>
    <cellStyle name="Normal 57 6 2 3 7" xfId="16367" xr:uid="{00000000-0005-0000-0000-0000FA900000}"/>
    <cellStyle name="Normal 57 6 2 3 7 2" xfId="41920" xr:uid="{00000000-0005-0000-0000-0000FB900000}"/>
    <cellStyle name="Normal 57 6 2 3 8" xfId="26339" xr:uid="{00000000-0005-0000-0000-0000FC900000}"/>
    <cellStyle name="Normal 57 6 2 4" xfId="871" xr:uid="{00000000-0005-0000-0000-0000FD900000}"/>
    <cellStyle name="Normal 57 6 2 4 2" xfId="3356" xr:uid="{00000000-0005-0000-0000-0000FE900000}"/>
    <cellStyle name="Normal 57 6 2 4 2 2" xfId="12498" xr:uid="{00000000-0005-0000-0000-0000FF900000}"/>
    <cellStyle name="Normal 57 6 2 4 2 2 2" xfId="22717" xr:uid="{00000000-0005-0000-0000-000000910000}"/>
    <cellStyle name="Normal 57 6 2 4 2 2 2 2" xfId="48270" xr:uid="{00000000-0005-0000-0000-000001910000}"/>
    <cellStyle name="Normal 57 6 2 4 2 2 3" xfId="38053" xr:uid="{00000000-0005-0000-0000-000002910000}"/>
    <cellStyle name="Normal 57 6 2 4 2 3" xfId="8920" xr:uid="{00000000-0005-0000-0000-000003910000}"/>
    <cellStyle name="Normal 57 6 2 4 2 3 2" xfId="34477" xr:uid="{00000000-0005-0000-0000-000004910000}"/>
    <cellStyle name="Normal 57 6 2 4 2 4" xfId="17710" xr:uid="{00000000-0005-0000-0000-000005910000}"/>
    <cellStyle name="Normal 57 6 2 4 2 4 2" xfId="43263" xr:uid="{00000000-0005-0000-0000-000006910000}"/>
    <cellStyle name="Normal 57 6 2 4 2 5" xfId="29200" xr:uid="{00000000-0005-0000-0000-000007910000}"/>
    <cellStyle name="Normal 57 6 2 4 3" xfId="5034" xr:uid="{00000000-0005-0000-0000-000008910000}"/>
    <cellStyle name="Normal 57 6 2 4 3 2" xfId="13871" xr:uid="{00000000-0005-0000-0000-000009910000}"/>
    <cellStyle name="Normal 57 6 2 4 3 2 2" xfId="24122" xr:uid="{00000000-0005-0000-0000-00000A910000}"/>
    <cellStyle name="Normal 57 6 2 4 3 2 2 2" xfId="49675" xr:uid="{00000000-0005-0000-0000-00000B910000}"/>
    <cellStyle name="Normal 57 6 2 4 3 2 3" xfId="39426" xr:uid="{00000000-0005-0000-0000-00000C910000}"/>
    <cellStyle name="Normal 57 6 2 4 3 3" xfId="10292" xr:uid="{00000000-0005-0000-0000-00000D910000}"/>
    <cellStyle name="Normal 57 6 2 4 3 3 2" xfId="35849" xr:uid="{00000000-0005-0000-0000-00000E910000}"/>
    <cellStyle name="Normal 57 6 2 4 3 4" xfId="19115" xr:uid="{00000000-0005-0000-0000-00000F910000}"/>
    <cellStyle name="Normal 57 6 2 4 3 4 2" xfId="44668" xr:uid="{00000000-0005-0000-0000-000010910000}"/>
    <cellStyle name="Normal 57 6 2 4 3 5" xfId="30605" xr:uid="{00000000-0005-0000-0000-000011910000}"/>
    <cellStyle name="Normal 57 6 2 4 4" xfId="2465" xr:uid="{00000000-0005-0000-0000-000012910000}"/>
    <cellStyle name="Normal 57 6 2 4 4 2" xfId="11830" xr:uid="{00000000-0005-0000-0000-000013910000}"/>
    <cellStyle name="Normal 57 6 2 4 4 2 2" xfId="37385" xr:uid="{00000000-0005-0000-0000-000014910000}"/>
    <cellStyle name="Normal 57 6 2 4 4 3" xfId="21834" xr:uid="{00000000-0005-0000-0000-000015910000}"/>
    <cellStyle name="Normal 57 6 2 4 4 3 2" xfId="47387" xr:uid="{00000000-0005-0000-0000-000016910000}"/>
    <cellStyle name="Normal 57 6 2 4 4 4" xfId="28317" xr:uid="{00000000-0005-0000-0000-000017910000}"/>
    <cellStyle name="Normal 57 6 2 4 5" xfId="6489" xr:uid="{00000000-0005-0000-0000-000018910000}"/>
    <cellStyle name="Normal 57 6 2 4 5 2" xfId="15316" xr:uid="{00000000-0005-0000-0000-000019910000}"/>
    <cellStyle name="Normal 57 6 2 4 5 2 2" xfId="40871" xr:uid="{00000000-0005-0000-0000-00001A910000}"/>
    <cellStyle name="Normal 57 6 2 4 5 3" xfId="25567" xr:uid="{00000000-0005-0000-0000-00001B910000}"/>
    <cellStyle name="Normal 57 6 2 4 5 3 2" xfId="51120" xr:uid="{00000000-0005-0000-0000-00001C910000}"/>
    <cellStyle name="Normal 57 6 2 4 5 4" xfId="32050" xr:uid="{00000000-0005-0000-0000-00001D910000}"/>
    <cellStyle name="Normal 57 6 2 4 6" xfId="7935" xr:uid="{00000000-0005-0000-0000-00001E910000}"/>
    <cellStyle name="Normal 57 6 2 4 6 2" xfId="20316" xr:uid="{00000000-0005-0000-0000-00001F910000}"/>
    <cellStyle name="Normal 57 6 2 4 6 2 2" xfId="45869" xr:uid="{00000000-0005-0000-0000-000020910000}"/>
    <cellStyle name="Normal 57 6 2 4 6 3" xfId="33492" xr:uid="{00000000-0005-0000-0000-000021910000}"/>
    <cellStyle name="Normal 57 6 2 4 7" xfId="16827" xr:uid="{00000000-0005-0000-0000-000022910000}"/>
    <cellStyle name="Normal 57 6 2 4 7 2" xfId="42380" xr:uid="{00000000-0005-0000-0000-000023910000}"/>
    <cellStyle name="Normal 57 6 2 4 8" xfId="26799" xr:uid="{00000000-0005-0000-0000-000024910000}"/>
    <cellStyle name="Normal 57 6 2 5" xfId="1182" xr:uid="{00000000-0005-0000-0000-000025910000}"/>
    <cellStyle name="Normal 57 6 2 5 2" xfId="3611" xr:uid="{00000000-0005-0000-0000-000026910000}"/>
    <cellStyle name="Normal 57 6 2 5 2 2" xfId="12747" xr:uid="{00000000-0005-0000-0000-000027910000}"/>
    <cellStyle name="Normal 57 6 2 5 2 2 2" xfId="22966" xr:uid="{00000000-0005-0000-0000-000028910000}"/>
    <cellStyle name="Normal 57 6 2 5 2 2 2 2" xfId="48519" xr:uid="{00000000-0005-0000-0000-000029910000}"/>
    <cellStyle name="Normal 57 6 2 5 2 2 3" xfId="38302" xr:uid="{00000000-0005-0000-0000-00002A910000}"/>
    <cellStyle name="Normal 57 6 2 5 2 3" xfId="9168" xr:uid="{00000000-0005-0000-0000-00002B910000}"/>
    <cellStyle name="Normal 57 6 2 5 2 3 2" xfId="34725" xr:uid="{00000000-0005-0000-0000-00002C910000}"/>
    <cellStyle name="Normal 57 6 2 5 2 4" xfId="17959" xr:uid="{00000000-0005-0000-0000-00002D910000}"/>
    <cellStyle name="Normal 57 6 2 5 2 4 2" xfId="43512" xr:uid="{00000000-0005-0000-0000-00002E910000}"/>
    <cellStyle name="Normal 57 6 2 5 2 5" xfId="29449" xr:uid="{00000000-0005-0000-0000-00002F910000}"/>
    <cellStyle name="Normal 57 6 2 5 3" xfId="5274" xr:uid="{00000000-0005-0000-0000-000030910000}"/>
    <cellStyle name="Normal 57 6 2 5 3 2" xfId="14111" xr:uid="{00000000-0005-0000-0000-000031910000}"/>
    <cellStyle name="Normal 57 6 2 5 3 2 2" xfId="24362" xr:uid="{00000000-0005-0000-0000-000032910000}"/>
    <cellStyle name="Normal 57 6 2 5 3 2 2 2" xfId="49915" xr:uid="{00000000-0005-0000-0000-000033910000}"/>
    <cellStyle name="Normal 57 6 2 5 3 2 3" xfId="39666" xr:uid="{00000000-0005-0000-0000-000034910000}"/>
    <cellStyle name="Normal 57 6 2 5 3 3" xfId="10532" xr:uid="{00000000-0005-0000-0000-000035910000}"/>
    <cellStyle name="Normal 57 6 2 5 3 3 2" xfId="36089" xr:uid="{00000000-0005-0000-0000-000036910000}"/>
    <cellStyle name="Normal 57 6 2 5 3 4" xfId="19355" xr:uid="{00000000-0005-0000-0000-000037910000}"/>
    <cellStyle name="Normal 57 6 2 5 3 4 2" xfId="44908" xr:uid="{00000000-0005-0000-0000-000038910000}"/>
    <cellStyle name="Normal 57 6 2 5 3 5" xfId="30845" xr:uid="{00000000-0005-0000-0000-000039910000}"/>
    <cellStyle name="Normal 57 6 2 5 4" xfId="1784" xr:uid="{00000000-0005-0000-0000-00003A910000}"/>
    <cellStyle name="Normal 57 6 2 5 4 2" xfId="11153" xr:uid="{00000000-0005-0000-0000-00003B910000}"/>
    <cellStyle name="Normal 57 6 2 5 4 2 2" xfId="36708" xr:uid="{00000000-0005-0000-0000-00003C910000}"/>
    <cellStyle name="Normal 57 6 2 5 4 3" xfId="21157" xr:uid="{00000000-0005-0000-0000-00003D910000}"/>
    <cellStyle name="Normal 57 6 2 5 4 3 2" xfId="46710" xr:uid="{00000000-0005-0000-0000-00003E910000}"/>
    <cellStyle name="Normal 57 6 2 5 4 4" xfId="27640" xr:uid="{00000000-0005-0000-0000-00003F910000}"/>
    <cellStyle name="Normal 57 6 2 5 5" xfId="6729" xr:uid="{00000000-0005-0000-0000-000040910000}"/>
    <cellStyle name="Normal 57 6 2 5 5 2" xfId="15556" xr:uid="{00000000-0005-0000-0000-000041910000}"/>
    <cellStyle name="Normal 57 6 2 5 5 2 2" xfId="41111" xr:uid="{00000000-0005-0000-0000-000042910000}"/>
    <cellStyle name="Normal 57 6 2 5 5 3" xfId="25807" xr:uid="{00000000-0005-0000-0000-000043910000}"/>
    <cellStyle name="Normal 57 6 2 5 5 3 2" xfId="51360" xr:uid="{00000000-0005-0000-0000-000044910000}"/>
    <cellStyle name="Normal 57 6 2 5 5 4" xfId="32290" xr:uid="{00000000-0005-0000-0000-000045910000}"/>
    <cellStyle name="Normal 57 6 2 5 6" xfId="8175" xr:uid="{00000000-0005-0000-0000-000046910000}"/>
    <cellStyle name="Normal 57 6 2 5 6 2" xfId="20565" xr:uid="{00000000-0005-0000-0000-000047910000}"/>
    <cellStyle name="Normal 57 6 2 5 6 2 2" xfId="46118" xr:uid="{00000000-0005-0000-0000-000048910000}"/>
    <cellStyle name="Normal 57 6 2 5 6 3" xfId="33732" xr:uid="{00000000-0005-0000-0000-000049910000}"/>
    <cellStyle name="Normal 57 6 2 5 7" xfId="16150" xr:uid="{00000000-0005-0000-0000-00004A910000}"/>
    <cellStyle name="Normal 57 6 2 5 7 2" xfId="41703" xr:uid="{00000000-0005-0000-0000-00004B910000}"/>
    <cellStyle name="Normal 57 6 2 5 8" xfId="27048" xr:uid="{00000000-0005-0000-0000-00004C910000}"/>
    <cellStyle name="Normal 57 6 2 6" xfId="2679" xr:uid="{00000000-0005-0000-0000-00004D910000}"/>
    <cellStyle name="Normal 57 6 2 6 2" xfId="11996" xr:uid="{00000000-0005-0000-0000-00004E910000}"/>
    <cellStyle name="Normal 57 6 2 6 2 2" xfId="22040" xr:uid="{00000000-0005-0000-0000-00004F910000}"/>
    <cellStyle name="Normal 57 6 2 6 2 2 2" xfId="47593" xr:uid="{00000000-0005-0000-0000-000050910000}"/>
    <cellStyle name="Normal 57 6 2 6 2 3" xfId="37551" xr:uid="{00000000-0005-0000-0000-000051910000}"/>
    <cellStyle name="Normal 57 6 2 6 3" xfId="8557" xr:uid="{00000000-0005-0000-0000-000052910000}"/>
    <cellStyle name="Normal 57 6 2 6 3 2" xfId="34114" xr:uid="{00000000-0005-0000-0000-000053910000}"/>
    <cellStyle name="Normal 57 6 2 6 4" xfId="17033" xr:uid="{00000000-0005-0000-0000-000054910000}"/>
    <cellStyle name="Normal 57 6 2 6 4 2" xfId="42586" xr:uid="{00000000-0005-0000-0000-000055910000}"/>
    <cellStyle name="Normal 57 6 2 6 5" xfId="28523" xr:uid="{00000000-0005-0000-0000-000056910000}"/>
    <cellStyle name="Normal 57 6 2 7" xfId="4230" xr:uid="{00000000-0005-0000-0000-000057910000}"/>
    <cellStyle name="Normal 57 6 2 7 2" xfId="13068" xr:uid="{00000000-0005-0000-0000-000058910000}"/>
    <cellStyle name="Normal 57 6 2 7 2 2" xfId="23319" xr:uid="{00000000-0005-0000-0000-000059910000}"/>
    <cellStyle name="Normal 57 6 2 7 2 2 2" xfId="48872" xr:uid="{00000000-0005-0000-0000-00005A910000}"/>
    <cellStyle name="Normal 57 6 2 7 2 3" xfId="38623" xr:uid="{00000000-0005-0000-0000-00005B910000}"/>
    <cellStyle name="Normal 57 6 2 7 3" xfId="9489" xr:uid="{00000000-0005-0000-0000-00005C910000}"/>
    <cellStyle name="Normal 57 6 2 7 3 2" xfId="35046" xr:uid="{00000000-0005-0000-0000-00005D910000}"/>
    <cellStyle name="Normal 57 6 2 7 4" xfId="18312" xr:uid="{00000000-0005-0000-0000-00005E910000}"/>
    <cellStyle name="Normal 57 6 2 7 4 2" xfId="43865" xr:uid="{00000000-0005-0000-0000-00005F910000}"/>
    <cellStyle name="Normal 57 6 2 7 5" xfId="29802" xr:uid="{00000000-0005-0000-0000-000060910000}"/>
    <cellStyle name="Normal 57 6 2 8" xfId="1502" xr:uid="{00000000-0005-0000-0000-000061910000}"/>
    <cellStyle name="Normal 57 6 2 8 2" xfId="10879" xr:uid="{00000000-0005-0000-0000-000062910000}"/>
    <cellStyle name="Normal 57 6 2 8 2 2" xfId="36434" xr:uid="{00000000-0005-0000-0000-000063910000}"/>
    <cellStyle name="Normal 57 6 2 8 3" xfId="20883" xr:uid="{00000000-0005-0000-0000-000064910000}"/>
    <cellStyle name="Normal 57 6 2 8 3 2" xfId="46436" xr:uid="{00000000-0005-0000-0000-000065910000}"/>
    <cellStyle name="Normal 57 6 2 8 4" xfId="27366" xr:uid="{00000000-0005-0000-0000-000066910000}"/>
    <cellStyle name="Normal 57 6 2 9" xfId="5686" xr:uid="{00000000-0005-0000-0000-000067910000}"/>
    <cellStyle name="Normal 57 6 2 9 2" xfId="14513" xr:uid="{00000000-0005-0000-0000-000068910000}"/>
    <cellStyle name="Normal 57 6 2 9 2 2" xfId="40068" xr:uid="{00000000-0005-0000-0000-000069910000}"/>
    <cellStyle name="Normal 57 6 2 9 3" xfId="24764" xr:uid="{00000000-0005-0000-0000-00006A910000}"/>
    <cellStyle name="Normal 57 6 2 9 3 2" xfId="50317" xr:uid="{00000000-0005-0000-0000-00006B910000}"/>
    <cellStyle name="Normal 57 6 2 9 4" xfId="31247" xr:uid="{00000000-0005-0000-0000-00006C910000}"/>
    <cellStyle name="Normal 57 6 2_Degree data" xfId="3977" xr:uid="{00000000-0005-0000-0000-00006D910000}"/>
    <cellStyle name="Normal 57 6 3" xfId="246" xr:uid="{00000000-0005-0000-0000-00006E910000}"/>
    <cellStyle name="Normal 57 6 3 10" xfId="7084" xr:uid="{00000000-0005-0000-0000-00006F910000}"/>
    <cellStyle name="Normal 57 6 3 10 2" xfId="19698" xr:uid="{00000000-0005-0000-0000-000070910000}"/>
    <cellStyle name="Normal 57 6 3 10 2 2" xfId="45251" xr:uid="{00000000-0005-0000-0000-000071910000}"/>
    <cellStyle name="Normal 57 6 3 10 3" xfId="32641" xr:uid="{00000000-0005-0000-0000-000072910000}"/>
    <cellStyle name="Normal 57 6 3 11" xfId="15830" xr:uid="{00000000-0005-0000-0000-000073910000}"/>
    <cellStyle name="Normal 57 6 3 11 2" xfId="41383" xr:uid="{00000000-0005-0000-0000-000074910000}"/>
    <cellStyle name="Normal 57 6 3 12" xfId="26181" xr:uid="{00000000-0005-0000-0000-000075910000}"/>
    <cellStyle name="Normal 57 6 3 2" xfId="569" xr:uid="{00000000-0005-0000-0000-000076910000}"/>
    <cellStyle name="Normal 57 6 3 2 10" xfId="26498" xr:uid="{00000000-0005-0000-0000-000077910000}"/>
    <cellStyle name="Normal 57 6 3 2 2" xfId="874" xr:uid="{00000000-0005-0000-0000-000078910000}"/>
    <cellStyle name="Normal 57 6 3 2 2 2" xfId="3359" xr:uid="{00000000-0005-0000-0000-000079910000}"/>
    <cellStyle name="Normal 57 6 3 2 2 2 2" xfId="12501" xr:uid="{00000000-0005-0000-0000-00007A910000}"/>
    <cellStyle name="Normal 57 6 3 2 2 2 2 2" xfId="22720" xr:uid="{00000000-0005-0000-0000-00007B910000}"/>
    <cellStyle name="Normal 57 6 3 2 2 2 2 2 2" xfId="48273" xr:uid="{00000000-0005-0000-0000-00007C910000}"/>
    <cellStyle name="Normal 57 6 3 2 2 2 2 3" xfId="38056" xr:uid="{00000000-0005-0000-0000-00007D910000}"/>
    <cellStyle name="Normal 57 6 3 2 2 2 3" xfId="8923" xr:uid="{00000000-0005-0000-0000-00007E910000}"/>
    <cellStyle name="Normal 57 6 3 2 2 2 3 2" xfId="34480" xr:uid="{00000000-0005-0000-0000-00007F910000}"/>
    <cellStyle name="Normal 57 6 3 2 2 2 4" xfId="17713" xr:uid="{00000000-0005-0000-0000-000080910000}"/>
    <cellStyle name="Normal 57 6 3 2 2 2 4 2" xfId="43266" xr:uid="{00000000-0005-0000-0000-000081910000}"/>
    <cellStyle name="Normal 57 6 3 2 2 2 5" xfId="29203" xr:uid="{00000000-0005-0000-0000-000082910000}"/>
    <cellStyle name="Normal 57 6 3 2 2 3" xfId="4688" xr:uid="{00000000-0005-0000-0000-000083910000}"/>
    <cellStyle name="Normal 57 6 3 2 2 3 2" xfId="13526" xr:uid="{00000000-0005-0000-0000-000084910000}"/>
    <cellStyle name="Normal 57 6 3 2 2 3 2 2" xfId="23777" xr:uid="{00000000-0005-0000-0000-000085910000}"/>
    <cellStyle name="Normal 57 6 3 2 2 3 2 2 2" xfId="49330" xr:uid="{00000000-0005-0000-0000-000086910000}"/>
    <cellStyle name="Normal 57 6 3 2 2 3 2 3" xfId="39081" xr:uid="{00000000-0005-0000-0000-000087910000}"/>
    <cellStyle name="Normal 57 6 3 2 2 3 3" xfId="9947" xr:uid="{00000000-0005-0000-0000-000088910000}"/>
    <cellStyle name="Normal 57 6 3 2 2 3 3 2" xfId="35504" xr:uid="{00000000-0005-0000-0000-000089910000}"/>
    <cellStyle name="Normal 57 6 3 2 2 3 4" xfId="18770" xr:uid="{00000000-0005-0000-0000-00008A910000}"/>
    <cellStyle name="Normal 57 6 3 2 2 3 4 2" xfId="44323" xr:uid="{00000000-0005-0000-0000-00008B910000}"/>
    <cellStyle name="Normal 57 6 3 2 2 3 5" xfId="30260" xr:uid="{00000000-0005-0000-0000-00008C910000}"/>
    <cellStyle name="Normal 57 6 3 2 2 4" xfId="2468" xr:uid="{00000000-0005-0000-0000-00008D910000}"/>
    <cellStyle name="Normal 57 6 3 2 2 4 2" xfId="11833" xr:uid="{00000000-0005-0000-0000-00008E910000}"/>
    <cellStyle name="Normal 57 6 3 2 2 4 2 2" xfId="37388" xr:uid="{00000000-0005-0000-0000-00008F910000}"/>
    <cellStyle name="Normal 57 6 3 2 2 4 3" xfId="21837" xr:uid="{00000000-0005-0000-0000-000090910000}"/>
    <cellStyle name="Normal 57 6 3 2 2 4 3 2" xfId="47390" xr:uid="{00000000-0005-0000-0000-000091910000}"/>
    <cellStyle name="Normal 57 6 3 2 2 4 4" xfId="28320" xr:uid="{00000000-0005-0000-0000-000092910000}"/>
    <cellStyle name="Normal 57 6 3 2 2 5" xfId="6144" xr:uid="{00000000-0005-0000-0000-000093910000}"/>
    <cellStyle name="Normal 57 6 3 2 2 5 2" xfId="14971" xr:uid="{00000000-0005-0000-0000-000094910000}"/>
    <cellStyle name="Normal 57 6 3 2 2 5 2 2" xfId="40526" xr:uid="{00000000-0005-0000-0000-000095910000}"/>
    <cellStyle name="Normal 57 6 3 2 2 5 3" xfId="25222" xr:uid="{00000000-0005-0000-0000-000096910000}"/>
    <cellStyle name="Normal 57 6 3 2 2 5 3 2" xfId="50775" xr:uid="{00000000-0005-0000-0000-000097910000}"/>
    <cellStyle name="Normal 57 6 3 2 2 5 4" xfId="31705" xr:uid="{00000000-0005-0000-0000-000098910000}"/>
    <cellStyle name="Normal 57 6 3 2 2 6" xfId="7589" xr:uid="{00000000-0005-0000-0000-000099910000}"/>
    <cellStyle name="Normal 57 6 3 2 2 6 2" xfId="20319" xr:uid="{00000000-0005-0000-0000-00009A910000}"/>
    <cellStyle name="Normal 57 6 3 2 2 6 2 2" xfId="45872" xr:uid="{00000000-0005-0000-0000-00009B910000}"/>
    <cellStyle name="Normal 57 6 3 2 2 6 3" xfId="33146" xr:uid="{00000000-0005-0000-0000-00009C910000}"/>
    <cellStyle name="Normal 57 6 3 2 2 7" xfId="16830" xr:uid="{00000000-0005-0000-0000-00009D910000}"/>
    <cellStyle name="Normal 57 6 3 2 2 7 2" xfId="42383" xr:uid="{00000000-0005-0000-0000-00009E910000}"/>
    <cellStyle name="Normal 57 6 3 2 2 8" xfId="26802" xr:uid="{00000000-0005-0000-0000-00009F910000}"/>
    <cellStyle name="Normal 57 6 3 2 3" xfId="1341" xr:uid="{00000000-0005-0000-0000-0000A0910000}"/>
    <cellStyle name="Normal 57 6 3 2 3 2" xfId="3770" xr:uid="{00000000-0005-0000-0000-0000A1910000}"/>
    <cellStyle name="Normal 57 6 3 2 3 2 2" xfId="12906" xr:uid="{00000000-0005-0000-0000-0000A2910000}"/>
    <cellStyle name="Normal 57 6 3 2 3 2 2 2" xfId="23125" xr:uid="{00000000-0005-0000-0000-0000A3910000}"/>
    <cellStyle name="Normal 57 6 3 2 3 2 2 2 2" xfId="48678" xr:uid="{00000000-0005-0000-0000-0000A4910000}"/>
    <cellStyle name="Normal 57 6 3 2 3 2 2 3" xfId="38461" xr:uid="{00000000-0005-0000-0000-0000A5910000}"/>
    <cellStyle name="Normal 57 6 3 2 3 2 3" xfId="9327" xr:uid="{00000000-0005-0000-0000-0000A6910000}"/>
    <cellStyle name="Normal 57 6 3 2 3 2 3 2" xfId="34884" xr:uid="{00000000-0005-0000-0000-0000A7910000}"/>
    <cellStyle name="Normal 57 6 3 2 3 2 4" xfId="18118" xr:uid="{00000000-0005-0000-0000-0000A8910000}"/>
    <cellStyle name="Normal 57 6 3 2 3 2 4 2" xfId="43671" xr:uid="{00000000-0005-0000-0000-0000A9910000}"/>
    <cellStyle name="Normal 57 6 3 2 3 2 5" xfId="29608" xr:uid="{00000000-0005-0000-0000-0000AA910000}"/>
    <cellStyle name="Normal 57 6 3 2 3 3" xfId="5037" xr:uid="{00000000-0005-0000-0000-0000AB910000}"/>
    <cellStyle name="Normal 57 6 3 2 3 3 2" xfId="13874" xr:uid="{00000000-0005-0000-0000-0000AC910000}"/>
    <cellStyle name="Normal 57 6 3 2 3 3 2 2" xfId="24125" xr:uid="{00000000-0005-0000-0000-0000AD910000}"/>
    <cellStyle name="Normal 57 6 3 2 3 3 2 2 2" xfId="49678" xr:uid="{00000000-0005-0000-0000-0000AE910000}"/>
    <cellStyle name="Normal 57 6 3 2 3 3 2 3" xfId="39429" xr:uid="{00000000-0005-0000-0000-0000AF910000}"/>
    <cellStyle name="Normal 57 6 3 2 3 3 3" xfId="10295" xr:uid="{00000000-0005-0000-0000-0000B0910000}"/>
    <cellStyle name="Normal 57 6 3 2 3 3 3 2" xfId="35852" xr:uid="{00000000-0005-0000-0000-0000B1910000}"/>
    <cellStyle name="Normal 57 6 3 2 3 3 4" xfId="19118" xr:uid="{00000000-0005-0000-0000-0000B2910000}"/>
    <cellStyle name="Normal 57 6 3 2 3 3 4 2" xfId="44671" xr:uid="{00000000-0005-0000-0000-0000B3910000}"/>
    <cellStyle name="Normal 57 6 3 2 3 3 5" xfId="30608" xr:uid="{00000000-0005-0000-0000-0000B4910000}"/>
    <cellStyle name="Normal 57 6 3 2 3 4" xfId="2164" xr:uid="{00000000-0005-0000-0000-0000B5910000}"/>
    <cellStyle name="Normal 57 6 3 2 3 4 2" xfId="11529" xr:uid="{00000000-0005-0000-0000-0000B6910000}"/>
    <cellStyle name="Normal 57 6 3 2 3 4 2 2" xfId="37084" xr:uid="{00000000-0005-0000-0000-0000B7910000}"/>
    <cellStyle name="Normal 57 6 3 2 3 4 3" xfId="21533" xr:uid="{00000000-0005-0000-0000-0000B8910000}"/>
    <cellStyle name="Normal 57 6 3 2 3 4 3 2" xfId="47086" xr:uid="{00000000-0005-0000-0000-0000B9910000}"/>
    <cellStyle name="Normal 57 6 3 2 3 4 4" xfId="28016" xr:uid="{00000000-0005-0000-0000-0000BA910000}"/>
    <cellStyle name="Normal 57 6 3 2 3 5" xfId="6492" xr:uid="{00000000-0005-0000-0000-0000BB910000}"/>
    <cellStyle name="Normal 57 6 3 2 3 5 2" xfId="15319" xr:uid="{00000000-0005-0000-0000-0000BC910000}"/>
    <cellStyle name="Normal 57 6 3 2 3 5 2 2" xfId="40874" xr:uid="{00000000-0005-0000-0000-0000BD910000}"/>
    <cellStyle name="Normal 57 6 3 2 3 5 3" xfId="25570" xr:uid="{00000000-0005-0000-0000-0000BE910000}"/>
    <cellStyle name="Normal 57 6 3 2 3 5 3 2" xfId="51123" xr:uid="{00000000-0005-0000-0000-0000BF910000}"/>
    <cellStyle name="Normal 57 6 3 2 3 5 4" xfId="32053" xr:uid="{00000000-0005-0000-0000-0000C0910000}"/>
    <cellStyle name="Normal 57 6 3 2 3 6" xfId="7938" xr:uid="{00000000-0005-0000-0000-0000C1910000}"/>
    <cellStyle name="Normal 57 6 3 2 3 6 2" xfId="20724" xr:uid="{00000000-0005-0000-0000-0000C2910000}"/>
    <cellStyle name="Normal 57 6 3 2 3 6 2 2" xfId="46277" xr:uid="{00000000-0005-0000-0000-0000C3910000}"/>
    <cellStyle name="Normal 57 6 3 2 3 6 3" xfId="33495" xr:uid="{00000000-0005-0000-0000-0000C4910000}"/>
    <cellStyle name="Normal 57 6 3 2 3 7" xfId="16526" xr:uid="{00000000-0005-0000-0000-0000C5910000}"/>
    <cellStyle name="Normal 57 6 3 2 3 7 2" xfId="42079" xr:uid="{00000000-0005-0000-0000-0000C6910000}"/>
    <cellStyle name="Normal 57 6 3 2 3 8" xfId="27207" xr:uid="{00000000-0005-0000-0000-0000C7910000}"/>
    <cellStyle name="Normal 57 6 3 2 4" xfId="3055" xr:uid="{00000000-0005-0000-0000-0000C8910000}"/>
    <cellStyle name="Normal 57 6 3 2 4 2" xfId="5433" xr:uid="{00000000-0005-0000-0000-0000C9910000}"/>
    <cellStyle name="Normal 57 6 3 2 4 2 2" xfId="14270" xr:uid="{00000000-0005-0000-0000-0000CA910000}"/>
    <cellStyle name="Normal 57 6 3 2 4 2 2 2" xfId="24521" xr:uid="{00000000-0005-0000-0000-0000CB910000}"/>
    <cellStyle name="Normal 57 6 3 2 4 2 2 2 2" xfId="50074" xr:uid="{00000000-0005-0000-0000-0000CC910000}"/>
    <cellStyle name="Normal 57 6 3 2 4 2 2 3" xfId="39825" xr:uid="{00000000-0005-0000-0000-0000CD910000}"/>
    <cellStyle name="Normal 57 6 3 2 4 2 3" xfId="10691" xr:uid="{00000000-0005-0000-0000-0000CE910000}"/>
    <cellStyle name="Normal 57 6 3 2 4 2 3 2" xfId="36248" xr:uid="{00000000-0005-0000-0000-0000CF910000}"/>
    <cellStyle name="Normal 57 6 3 2 4 2 4" xfId="19514" xr:uid="{00000000-0005-0000-0000-0000D0910000}"/>
    <cellStyle name="Normal 57 6 3 2 4 2 4 2" xfId="45067" xr:uid="{00000000-0005-0000-0000-0000D1910000}"/>
    <cellStyle name="Normal 57 6 3 2 4 2 5" xfId="31004" xr:uid="{00000000-0005-0000-0000-0000D2910000}"/>
    <cellStyle name="Normal 57 6 3 2 4 3" xfId="6888" xr:uid="{00000000-0005-0000-0000-0000D3910000}"/>
    <cellStyle name="Normal 57 6 3 2 4 3 2" xfId="15715" xr:uid="{00000000-0005-0000-0000-0000D4910000}"/>
    <cellStyle name="Normal 57 6 3 2 4 3 2 2" xfId="41270" xr:uid="{00000000-0005-0000-0000-0000D5910000}"/>
    <cellStyle name="Normal 57 6 3 2 4 3 3" xfId="25966" xr:uid="{00000000-0005-0000-0000-0000D6910000}"/>
    <cellStyle name="Normal 57 6 3 2 4 3 3 2" xfId="51519" xr:uid="{00000000-0005-0000-0000-0000D7910000}"/>
    <cellStyle name="Normal 57 6 3 2 4 3 4" xfId="32449" xr:uid="{00000000-0005-0000-0000-0000D8910000}"/>
    <cellStyle name="Normal 57 6 3 2 4 4" xfId="8334" xr:uid="{00000000-0005-0000-0000-0000D9910000}"/>
    <cellStyle name="Normal 57 6 3 2 4 4 2" xfId="22416" xr:uid="{00000000-0005-0000-0000-0000DA910000}"/>
    <cellStyle name="Normal 57 6 3 2 4 4 2 2" xfId="47969" xr:uid="{00000000-0005-0000-0000-0000DB910000}"/>
    <cellStyle name="Normal 57 6 3 2 4 4 3" xfId="33891" xr:uid="{00000000-0005-0000-0000-0000DC910000}"/>
    <cellStyle name="Normal 57 6 3 2 4 5" xfId="17409" xr:uid="{00000000-0005-0000-0000-0000DD910000}"/>
    <cellStyle name="Normal 57 6 3 2 4 5 2" xfId="42962" xr:uid="{00000000-0005-0000-0000-0000DE910000}"/>
    <cellStyle name="Normal 57 6 3 2 4 6" xfId="28899" xr:uid="{00000000-0005-0000-0000-0000DF910000}"/>
    <cellStyle name="Normal 57 6 3 2 5" xfId="4389" xr:uid="{00000000-0005-0000-0000-0000E0910000}"/>
    <cellStyle name="Normal 57 6 3 2 5 2" xfId="13227" xr:uid="{00000000-0005-0000-0000-0000E1910000}"/>
    <cellStyle name="Normal 57 6 3 2 5 2 2" xfId="23478" xr:uid="{00000000-0005-0000-0000-0000E2910000}"/>
    <cellStyle name="Normal 57 6 3 2 5 2 2 2" xfId="49031" xr:uid="{00000000-0005-0000-0000-0000E3910000}"/>
    <cellStyle name="Normal 57 6 3 2 5 2 3" xfId="38782" xr:uid="{00000000-0005-0000-0000-0000E4910000}"/>
    <cellStyle name="Normal 57 6 3 2 5 3" xfId="9648" xr:uid="{00000000-0005-0000-0000-0000E5910000}"/>
    <cellStyle name="Normal 57 6 3 2 5 3 2" xfId="35205" xr:uid="{00000000-0005-0000-0000-0000E6910000}"/>
    <cellStyle name="Normal 57 6 3 2 5 4" xfId="18471" xr:uid="{00000000-0005-0000-0000-0000E7910000}"/>
    <cellStyle name="Normal 57 6 3 2 5 4 2" xfId="44024" xr:uid="{00000000-0005-0000-0000-0000E8910000}"/>
    <cellStyle name="Normal 57 6 3 2 5 5" xfId="29961" xr:uid="{00000000-0005-0000-0000-0000E9910000}"/>
    <cellStyle name="Normal 57 6 3 2 6" xfId="1661" xr:uid="{00000000-0005-0000-0000-0000EA910000}"/>
    <cellStyle name="Normal 57 6 3 2 6 2" xfId="11038" xr:uid="{00000000-0005-0000-0000-0000EB910000}"/>
    <cellStyle name="Normal 57 6 3 2 6 2 2" xfId="36593" xr:uid="{00000000-0005-0000-0000-0000EC910000}"/>
    <cellStyle name="Normal 57 6 3 2 6 3" xfId="21042" xr:uid="{00000000-0005-0000-0000-0000ED910000}"/>
    <cellStyle name="Normal 57 6 3 2 6 3 2" xfId="46595" xr:uid="{00000000-0005-0000-0000-0000EE910000}"/>
    <cellStyle name="Normal 57 6 3 2 6 4" xfId="27525" xr:uid="{00000000-0005-0000-0000-0000EF910000}"/>
    <cellStyle name="Normal 57 6 3 2 7" xfId="5845" xr:uid="{00000000-0005-0000-0000-0000F0910000}"/>
    <cellStyle name="Normal 57 6 3 2 7 2" xfId="14672" xr:uid="{00000000-0005-0000-0000-0000F1910000}"/>
    <cellStyle name="Normal 57 6 3 2 7 2 2" xfId="40227" xr:uid="{00000000-0005-0000-0000-0000F2910000}"/>
    <cellStyle name="Normal 57 6 3 2 7 3" xfId="24923" xr:uid="{00000000-0005-0000-0000-0000F3910000}"/>
    <cellStyle name="Normal 57 6 3 2 7 3 2" xfId="50476" xr:uid="{00000000-0005-0000-0000-0000F4910000}"/>
    <cellStyle name="Normal 57 6 3 2 7 4" xfId="31406" xr:uid="{00000000-0005-0000-0000-0000F5910000}"/>
    <cellStyle name="Normal 57 6 3 2 8" xfId="7289" xr:uid="{00000000-0005-0000-0000-0000F6910000}"/>
    <cellStyle name="Normal 57 6 3 2 8 2" xfId="20015" xr:uid="{00000000-0005-0000-0000-0000F7910000}"/>
    <cellStyle name="Normal 57 6 3 2 8 2 2" xfId="45568" xr:uid="{00000000-0005-0000-0000-0000F8910000}"/>
    <cellStyle name="Normal 57 6 3 2 8 3" xfId="32846" xr:uid="{00000000-0005-0000-0000-0000F9910000}"/>
    <cellStyle name="Normal 57 6 3 2 9" xfId="16035" xr:uid="{00000000-0005-0000-0000-0000FA910000}"/>
    <cellStyle name="Normal 57 6 3 2 9 2" xfId="41588" xr:uid="{00000000-0005-0000-0000-0000FB910000}"/>
    <cellStyle name="Normal 57 6 3 2_Degree data" xfId="3980" xr:uid="{00000000-0005-0000-0000-0000FC910000}"/>
    <cellStyle name="Normal 57 6 3 3" xfId="364" xr:uid="{00000000-0005-0000-0000-0000FD910000}"/>
    <cellStyle name="Normal 57 6 3 3 2" xfId="2850" xr:uid="{00000000-0005-0000-0000-0000FE910000}"/>
    <cellStyle name="Normal 57 6 3 3 2 2" xfId="12138" xr:uid="{00000000-0005-0000-0000-0000FF910000}"/>
    <cellStyle name="Normal 57 6 3 3 2 2 2" xfId="22211" xr:uid="{00000000-0005-0000-0000-000000920000}"/>
    <cellStyle name="Normal 57 6 3 3 2 2 2 2" xfId="47764" xr:uid="{00000000-0005-0000-0000-000001920000}"/>
    <cellStyle name="Normal 57 6 3 3 2 2 3" xfId="37693" xr:uid="{00000000-0005-0000-0000-000002920000}"/>
    <cellStyle name="Normal 57 6 3 3 2 3" xfId="8525" xr:uid="{00000000-0005-0000-0000-000003920000}"/>
    <cellStyle name="Normal 57 6 3 3 2 3 2" xfId="34082" xr:uid="{00000000-0005-0000-0000-000004920000}"/>
    <cellStyle name="Normal 57 6 3 3 2 4" xfId="17204" xr:uid="{00000000-0005-0000-0000-000005920000}"/>
    <cellStyle name="Normal 57 6 3 3 2 4 2" xfId="42757" xr:uid="{00000000-0005-0000-0000-000006920000}"/>
    <cellStyle name="Normal 57 6 3 3 2 5" xfId="28694" xr:uid="{00000000-0005-0000-0000-000007920000}"/>
    <cellStyle name="Normal 57 6 3 3 3" xfId="4687" xr:uid="{00000000-0005-0000-0000-000008920000}"/>
    <cellStyle name="Normal 57 6 3 3 3 2" xfId="13525" xr:uid="{00000000-0005-0000-0000-000009920000}"/>
    <cellStyle name="Normal 57 6 3 3 3 2 2" xfId="23776" xr:uid="{00000000-0005-0000-0000-00000A920000}"/>
    <cellStyle name="Normal 57 6 3 3 3 2 2 2" xfId="49329" xr:uid="{00000000-0005-0000-0000-00000B920000}"/>
    <cellStyle name="Normal 57 6 3 3 3 2 3" xfId="39080" xr:uid="{00000000-0005-0000-0000-00000C920000}"/>
    <cellStyle name="Normal 57 6 3 3 3 3" xfId="9946" xr:uid="{00000000-0005-0000-0000-00000D920000}"/>
    <cellStyle name="Normal 57 6 3 3 3 3 2" xfId="35503" xr:uid="{00000000-0005-0000-0000-00000E920000}"/>
    <cellStyle name="Normal 57 6 3 3 3 4" xfId="18769" xr:uid="{00000000-0005-0000-0000-00000F920000}"/>
    <cellStyle name="Normal 57 6 3 3 3 4 2" xfId="44322" xr:uid="{00000000-0005-0000-0000-000010920000}"/>
    <cellStyle name="Normal 57 6 3 3 3 5" xfId="30259" xr:uid="{00000000-0005-0000-0000-000011920000}"/>
    <cellStyle name="Normal 57 6 3 3 4" xfId="1959" xr:uid="{00000000-0005-0000-0000-000012920000}"/>
    <cellStyle name="Normal 57 6 3 3 4 2" xfId="11324" xr:uid="{00000000-0005-0000-0000-000013920000}"/>
    <cellStyle name="Normal 57 6 3 3 4 2 2" xfId="36879" xr:uid="{00000000-0005-0000-0000-000014920000}"/>
    <cellStyle name="Normal 57 6 3 3 4 3" xfId="21328" xr:uid="{00000000-0005-0000-0000-000015920000}"/>
    <cellStyle name="Normal 57 6 3 3 4 3 2" xfId="46881" xr:uid="{00000000-0005-0000-0000-000016920000}"/>
    <cellStyle name="Normal 57 6 3 3 4 4" xfId="27811" xr:uid="{00000000-0005-0000-0000-000017920000}"/>
    <cellStyle name="Normal 57 6 3 3 5" xfId="6143" xr:uid="{00000000-0005-0000-0000-000018920000}"/>
    <cellStyle name="Normal 57 6 3 3 5 2" xfId="14970" xr:uid="{00000000-0005-0000-0000-000019920000}"/>
    <cellStyle name="Normal 57 6 3 3 5 2 2" xfId="40525" xr:uid="{00000000-0005-0000-0000-00001A920000}"/>
    <cellStyle name="Normal 57 6 3 3 5 3" xfId="25221" xr:uid="{00000000-0005-0000-0000-00001B920000}"/>
    <cellStyle name="Normal 57 6 3 3 5 3 2" xfId="50774" xr:uid="{00000000-0005-0000-0000-00001C920000}"/>
    <cellStyle name="Normal 57 6 3 3 5 4" xfId="31704" xr:uid="{00000000-0005-0000-0000-00001D920000}"/>
    <cellStyle name="Normal 57 6 3 3 6" xfId="7588" xr:uid="{00000000-0005-0000-0000-00001E920000}"/>
    <cellStyle name="Normal 57 6 3 3 6 2" xfId="19810" xr:uid="{00000000-0005-0000-0000-00001F920000}"/>
    <cellStyle name="Normal 57 6 3 3 6 2 2" xfId="45363" xr:uid="{00000000-0005-0000-0000-000020920000}"/>
    <cellStyle name="Normal 57 6 3 3 6 3" xfId="33145" xr:uid="{00000000-0005-0000-0000-000021920000}"/>
    <cellStyle name="Normal 57 6 3 3 7" xfId="16321" xr:uid="{00000000-0005-0000-0000-000022920000}"/>
    <cellStyle name="Normal 57 6 3 3 7 2" xfId="41874" xr:uid="{00000000-0005-0000-0000-000023920000}"/>
    <cellStyle name="Normal 57 6 3 3 8" xfId="26293" xr:uid="{00000000-0005-0000-0000-000024920000}"/>
    <cellStyle name="Normal 57 6 3 4" xfId="873" xr:uid="{00000000-0005-0000-0000-000025920000}"/>
    <cellStyle name="Normal 57 6 3 4 2" xfId="3358" xr:uid="{00000000-0005-0000-0000-000026920000}"/>
    <cellStyle name="Normal 57 6 3 4 2 2" xfId="12500" xr:uid="{00000000-0005-0000-0000-000027920000}"/>
    <cellStyle name="Normal 57 6 3 4 2 2 2" xfId="22719" xr:uid="{00000000-0005-0000-0000-000028920000}"/>
    <cellStyle name="Normal 57 6 3 4 2 2 2 2" xfId="48272" xr:uid="{00000000-0005-0000-0000-000029920000}"/>
    <cellStyle name="Normal 57 6 3 4 2 2 3" xfId="38055" xr:uid="{00000000-0005-0000-0000-00002A920000}"/>
    <cellStyle name="Normal 57 6 3 4 2 3" xfId="8922" xr:uid="{00000000-0005-0000-0000-00002B920000}"/>
    <cellStyle name="Normal 57 6 3 4 2 3 2" xfId="34479" xr:uid="{00000000-0005-0000-0000-00002C920000}"/>
    <cellStyle name="Normal 57 6 3 4 2 4" xfId="17712" xr:uid="{00000000-0005-0000-0000-00002D920000}"/>
    <cellStyle name="Normal 57 6 3 4 2 4 2" xfId="43265" xr:uid="{00000000-0005-0000-0000-00002E920000}"/>
    <cellStyle name="Normal 57 6 3 4 2 5" xfId="29202" xr:uid="{00000000-0005-0000-0000-00002F920000}"/>
    <cellStyle name="Normal 57 6 3 4 3" xfId="5036" xr:uid="{00000000-0005-0000-0000-000030920000}"/>
    <cellStyle name="Normal 57 6 3 4 3 2" xfId="13873" xr:uid="{00000000-0005-0000-0000-000031920000}"/>
    <cellStyle name="Normal 57 6 3 4 3 2 2" xfId="24124" xr:uid="{00000000-0005-0000-0000-000032920000}"/>
    <cellStyle name="Normal 57 6 3 4 3 2 2 2" xfId="49677" xr:uid="{00000000-0005-0000-0000-000033920000}"/>
    <cellStyle name="Normal 57 6 3 4 3 2 3" xfId="39428" xr:uid="{00000000-0005-0000-0000-000034920000}"/>
    <cellStyle name="Normal 57 6 3 4 3 3" xfId="10294" xr:uid="{00000000-0005-0000-0000-000035920000}"/>
    <cellStyle name="Normal 57 6 3 4 3 3 2" xfId="35851" xr:uid="{00000000-0005-0000-0000-000036920000}"/>
    <cellStyle name="Normal 57 6 3 4 3 4" xfId="19117" xr:uid="{00000000-0005-0000-0000-000037920000}"/>
    <cellStyle name="Normal 57 6 3 4 3 4 2" xfId="44670" xr:uid="{00000000-0005-0000-0000-000038920000}"/>
    <cellStyle name="Normal 57 6 3 4 3 5" xfId="30607" xr:uid="{00000000-0005-0000-0000-000039920000}"/>
    <cellStyle name="Normal 57 6 3 4 4" xfId="2467" xr:uid="{00000000-0005-0000-0000-00003A920000}"/>
    <cellStyle name="Normal 57 6 3 4 4 2" xfId="11832" xr:uid="{00000000-0005-0000-0000-00003B920000}"/>
    <cellStyle name="Normal 57 6 3 4 4 2 2" xfId="37387" xr:uid="{00000000-0005-0000-0000-00003C920000}"/>
    <cellStyle name="Normal 57 6 3 4 4 3" xfId="21836" xr:uid="{00000000-0005-0000-0000-00003D920000}"/>
    <cellStyle name="Normal 57 6 3 4 4 3 2" xfId="47389" xr:uid="{00000000-0005-0000-0000-00003E920000}"/>
    <cellStyle name="Normal 57 6 3 4 4 4" xfId="28319" xr:uid="{00000000-0005-0000-0000-00003F920000}"/>
    <cellStyle name="Normal 57 6 3 4 5" xfId="6491" xr:uid="{00000000-0005-0000-0000-000040920000}"/>
    <cellStyle name="Normal 57 6 3 4 5 2" xfId="15318" xr:uid="{00000000-0005-0000-0000-000041920000}"/>
    <cellStyle name="Normal 57 6 3 4 5 2 2" xfId="40873" xr:uid="{00000000-0005-0000-0000-000042920000}"/>
    <cellStyle name="Normal 57 6 3 4 5 3" xfId="25569" xr:uid="{00000000-0005-0000-0000-000043920000}"/>
    <cellStyle name="Normal 57 6 3 4 5 3 2" xfId="51122" xr:uid="{00000000-0005-0000-0000-000044920000}"/>
    <cellStyle name="Normal 57 6 3 4 5 4" xfId="32052" xr:uid="{00000000-0005-0000-0000-000045920000}"/>
    <cellStyle name="Normal 57 6 3 4 6" xfId="7937" xr:uid="{00000000-0005-0000-0000-000046920000}"/>
    <cellStyle name="Normal 57 6 3 4 6 2" xfId="20318" xr:uid="{00000000-0005-0000-0000-000047920000}"/>
    <cellStyle name="Normal 57 6 3 4 6 2 2" xfId="45871" xr:uid="{00000000-0005-0000-0000-000048920000}"/>
    <cellStyle name="Normal 57 6 3 4 6 3" xfId="33494" xr:uid="{00000000-0005-0000-0000-000049920000}"/>
    <cellStyle name="Normal 57 6 3 4 7" xfId="16829" xr:uid="{00000000-0005-0000-0000-00004A920000}"/>
    <cellStyle name="Normal 57 6 3 4 7 2" xfId="42382" xr:uid="{00000000-0005-0000-0000-00004B920000}"/>
    <cellStyle name="Normal 57 6 3 4 8" xfId="26801" xr:uid="{00000000-0005-0000-0000-00004C920000}"/>
    <cellStyle name="Normal 57 6 3 5" xfId="1136" xr:uid="{00000000-0005-0000-0000-00004D920000}"/>
    <cellStyle name="Normal 57 6 3 5 2" xfId="3565" xr:uid="{00000000-0005-0000-0000-00004E920000}"/>
    <cellStyle name="Normal 57 6 3 5 2 2" xfId="12701" xr:uid="{00000000-0005-0000-0000-00004F920000}"/>
    <cellStyle name="Normal 57 6 3 5 2 2 2" xfId="22920" xr:uid="{00000000-0005-0000-0000-000050920000}"/>
    <cellStyle name="Normal 57 6 3 5 2 2 2 2" xfId="48473" xr:uid="{00000000-0005-0000-0000-000051920000}"/>
    <cellStyle name="Normal 57 6 3 5 2 2 3" xfId="38256" xr:uid="{00000000-0005-0000-0000-000052920000}"/>
    <cellStyle name="Normal 57 6 3 5 2 3" xfId="9122" xr:uid="{00000000-0005-0000-0000-000053920000}"/>
    <cellStyle name="Normal 57 6 3 5 2 3 2" xfId="34679" xr:uid="{00000000-0005-0000-0000-000054920000}"/>
    <cellStyle name="Normal 57 6 3 5 2 4" xfId="17913" xr:uid="{00000000-0005-0000-0000-000055920000}"/>
    <cellStyle name="Normal 57 6 3 5 2 4 2" xfId="43466" xr:uid="{00000000-0005-0000-0000-000056920000}"/>
    <cellStyle name="Normal 57 6 3 5 2 5" xfId="29403" xr:uid="{00000000-0005-0000-0000-000057920000}"/>
    <cellStyle name="Normal 57 6 3 5 3" xfId="5228" xr:uid="{00000000-0005-0000-0000-000058920000}"/>
    <cellStyle name="Normal 57 6 3 5 3 2" xfId="14065" xr:uid="{00000000-0005-0000-0000-000059920000}"/>
    <cellStyle name="Normal 57 6 3 5 3 2 2" xfId="24316" xr:uid="{00000000-0005-0000-0000-00005A920000}"/>
    <cellStyle name="Normal 57 6 3 5 3 2 2 2" xfId="49869" xr:uid="{00000000-0005-0000-0000-00005B920000}"/>
    <cellStyle name="Normal 57 6 3 5 3 2 3" xfId="39620" xr:uid="{00000000-0005-0000-0000-00005C920000}"/>
    <cellStyle name="Normal 57 6 3 5 3 3" xfId="10486" xr:uid="{00000000-0005-0000-0000-00005D920000}"/>
    <cellStyle name="Normal 57 6 3 5 3 3 2" xfId="36043" xr:uid="{00000000-0005-0000-0000-00005E920000}"/>
    <cellStyle name="Normal 57 6 3 5 3 4" xfId="19309" xr:uid="{00000000-0005-0000-0000-00005F920000}"/>
    <cellStyle name="Normal 57 6 3 5 3 4 2" xfId="44862" xr:uid="{00000000-0005-0000-0000-000060920000}"/>
    <cellStyle name="Normal 57 6 3 5 3 5" xfId="30799" xr:uid="{00000000-0005-0000-0000-000061920000}"/>
    <cellStyle name="Normal 57 6 3 5 4" xfId="1844" xr:uid="{00000000-0005-0000-0000-000062920000}"/>
    <cellStyle name="Normal 57 6 3 5 4 2" xfId="11212" xr:uid="{00000000-0005-0000-0000-000063920000}"/>
    <cellStyle name="Normal 57 6 3 5 4 2 2" xfId="36767" xr:uid="{00000000-0005-0000-0000-000064920000}"/>
    <cellStyle name="Normal 57 6 3 5 4 3" xfId="21216" xr:uid="{00000000-0005-0000-0000-000065920000}"/>
    <cellStyle name="Normal 57 6 3 5 4 3 2" xfId="46769" xr:uid="{00000000-0005-0000-0000-000066920000}"/>
    <cellStyle name="Normal 57 6 3 5 4 4" xfId="27699" xr:uid="{00000000-0005-0000-0000-000067920000}"/>
    <cellStyle name="Normal 57 6 3 5 5" xfId="6683" xr:uid="{00000000-0005-0000-0000-000068920000}"/>
    <cellStyle name="Normal 57 6 3 5 5 2" xfId="15510" xr:uid="{00000000-0005-0000-0000-000069920000}"/>
    <cellStyle name="Normal 57 6 3 5 5 2 2" xfId="41065" xr:uid="{00000000-0005-0000-0000-00006A920000}"/>
    <cellStyle name="Normal 57 6 3 5 5 3" xfId="25761" xr:uid="{00000000-0005-0000-0000-00006B920000}"/>
    <cellStyle name="Normal 57 6 3 5 5 3 2" xfId="51314" xr:uid="{00000000-0005-0000-0000-00006C920000}"/>
    <cellStyle name="Normal 57 6 3 5 5 4" xfId="32244" xr:uid="{00000000-0005-0000-0000-00006D920000}"/>
    <cellStyle name="Normal 57 6 3 5 6" xfId="8129" xr:uid="{00000000-0005-0000-0000-00006E920000}"/>
    <cellStyle name="Normal 57 6 3 5 6 2" xfId="20519" xr:uid="{00000000-0005-0000-0000-00006F920000}"/>
    <cellStyle name="Normal 57 6 3 5 6 2 2" xfId="46072" xr:uid="{00000000-0005-0000-0000-000070920000}"/>
    <cellStyle name="Normal 57 6 3 5 6 3" xfId="33686" xr:uid="{00000000-0005-0000-0000-000071920000}"/>
    <cellStyle name="Normal 57 6 3 5 7" xfId="16209" xr:uid="{00000000-0005-0000-0000-000072920000}"/>
    <cellStyle name="Normal 57 6 3 5 7 2" xfId="41762" xr:uid="{00000000-0005-0000-0000-000073920000}"/>
    <cellStyle name="Normal 57 6 3 5 8" xfId="27002" xr:uid="{00000000-0005-0000-0000-000074920000}"/>
    <cellStyle name="Normal 57 6 3 6" xfId="2738" xr:uid="{00000000-0005-0000-0000-000075920000}"/>
    <cellStyle name="Normal 57 6 3 6 2" xfId="12055" xr:uid="{00000000-0005-0000-0000-000076920000}"/>
    <cellStyle name="Normal 57 6 3 6 2 2" xfId="22099" xr:uid="{00000000-0005-0000-0000-000077920000}"/>
    <cellStyle name="Normal 57 6 3 6 2 2 2" xfId="47652" xr:uid="{00000000-0005-0000-0000-000078920000}"/>
    <cellStyle name="Normal 57 6 3 6 2 3" xfId="37610" xr:uid="{00000000-0005-0000-0000-000079920000}"/>
    <cellStyle name="Normal 57 6 3 6 3" xfId="8545" xr:uid="{00000000-0005-0000-0000-00007A920000}"/>
    <cellStyle name="Normal 57 6 3 6 3 2" xfId="34102" xr:uid="{00000000-0005-0000-0000-00007B920000}"/>
    <cellStyle name="Normal 57 6 3 6 4" xfId="17092" xr:uid="{00000000-0005-0000-0000-00007C920000}"/>
    <cellStyle name="Normal 57 6 3 6 4 2" xfId="42645" xr:uid="{00000000-0005-0000-0000-00007D920000}"/>
    <cellStyle name="Normal 57 6 3 6 5" xfId="28582" xr:uid="{00000000-0005-0000-0000-00007E920000}"/>
    <cellStyle name="Normal 57 6 3 7" xfId="4184" xr:uid="{00000000-0005-0000-0000-00007F920000}"/>
    <cellStyle name="Normal 57 6 3 7 2" xfId="13022" xr:uid="{00000000-0005-0000-0000-000080920000}"/>
    <cellStyle name="Normal 57 6 3 7 2 2" xfId="23273" xr:uid="{00000000-0005-0000-0000-000081920000}"/>
    <cellStyle name="Normal 57 6 3 7 2 2 2" xfId="48826" xr:uid="{00000000-0005-0000-0000-000082920000}"/>
    <cellStyle name="Normal 57 6 3 7 2 3" xfId="38577" xr:uid="{00000000-0005-0000-0000-000083920000}"/>
    <cellStyle name="Normal 57 6 3 7 3" xfId="9443" xr:uid="{00000000-0005-0000-0000-000084920000}"/>
    <cellStyle name="Normal 57 6 3 7 3 2" xfId="35000" xr:uid="{00000000-0005-0000-0000-000085920000}"/>
    <cellStyle name="Normal 57 6 3 7 4" xfId="18266" xr:uid="{00000000-0005-0000-0000-000086920000}"/>
    <cellStyle name="Normal 57 6 3 7 4 2" xfId="43819" xr:uid="{00000000-0005-0000-0000-000087920000}"/>
    <cellStyle name="Normal 57 6 3 7 5" xfId="29756" xr:uid="{00000000-0005-0000-0000-000088920000}"/>
    <cellStyle name="Normal 57 6 3 8" xfId="1456" xr:uid="{00000000-0005-0000-0000-000089920000}"/>
    <cellStyle name="Normal 57 6 3 8 2" xfId="10833" xr:uid="{00000000-0005-0000-0000-00008A920000}"/>
    <cellStyle name="Normal 57 6 3 8 2 2" xfId="36388" xr:uid="{00000000-0005-0000-0000-00008B920000}"/>
    <cellStyle name="Normal 57 6 3 8 3" xfId="20837" xr:uid="{00000000-0005-0000-0000-00008C920000}"/>
    <cellStyle name="Normal 57 6 3 8 3 2" xfId="46390" xr:uid="{00000000-0005-0000-0000-00008D920000}"/>
    <cellStyle name="Normal 57 6 3 8 4" xfId="27320" xr:uid="{00000000-0005-0000-0000-00008E920000}"/>
    <cellStyle name="Normal 57 6 3 9" xfId="5640" xr:uid="{00000000-0005-0000-0000-00008F920000}"/>
    <cellStyle name="Normal 57 6 3 9 2" xfId="14467" xr:uid="{00000000-0005-0000-0000-000090920000}"/>
    <cellStyle name="Normal 57 6 3 9 2 2" xfId="40022" xr:uid="{00000000-0005-0000-0000-000091920000}"/>
    <cellStyle name="Normal 57 6 3 9 3" xfId="24718" xr:uid="{00000000-0005-0000-0000-000092920000}"/>
    <cellStyle name="Normal 57 6 3 9 3 2" xfId="50271" xr:uid="{00000000-0005-0000-0000-000093920000}"/>
    <cellStyle name="Normal 57 6 3 9 4" xfId="31201" xr:uid="{00000000-0005-0000-0000-000094920000}"/>
    <cellStyle name="Normal 57 6 3_Degree data" xfId="3979" xr:uid="{00000000-0005-0000-0000-000095920000}"/>
    <cellStyle name="Normal 57 6 4" xfId="464" xr:uid="{00000000-0005-0000-0000-000096920000}"/>
    <cellStyle name="Normal 57 6 4 10" xfId="26393" xr:uid="{00000000-0005-0000-0000-000097920000}"/>
    <cellStyle name="Normal 57 6 4 2" xfId="875" xr:uid="{00000000-0005-0000-0000-000098920000}"/>
    <cellStyle name="Normal 57 6 4 2 2" xfId="3360" xr:uid="{00000000-0005-0000-0000-000099920000}"/>
    <cellStyle name="Normal 57 6 4 2 2 2" xfId="12502" xr:uid="{00000000-0005-0000-0000-00009A920000}"/>
    <cellStyle name="Normal 57 6 4 2 2 2 2" xfId="22721" xr:uid="{00000000-0005-0000-0000-00009B920000}"/>
    <cellStyle name="Normal 57 6 4 2 2 2 2 2" xfId="48274" xr:uid="{00000000-0005-0000-0000-00009C920000}"/>
    <cellStyle name="Normal 57 6 4 2 2 2 3" xfId="38057" xr:uid="{00000000-0005-0000-0000-00009D920000}"/>
    <cellStyle name="Normal 57 6 4 2 2 3" xfId="8924" xr:uid="{00000000-0005-0000-0000-00009E920000}"/>
    <cellStyle name="Normal 57 6 4 2 2 3 2" xfId="34481" xr:uid="{00000000-0005-0000-0000-00009F920000}"/>
    <cellStyle name="Normal 57 6 4 2 2 4" xfId="17714" xr:uid="{00000000-0005-0000-0000-0000A0920000}"/>
    <cellStyle name="Normal 57 6 4 2 2 4 2" xfId="43267" xr:uid="{00000000-0005-0000-0000-0000A1920000}"/>
    <cellStyle name="Normal 57 6 4 2 2 5" xfId="29204" xr:uid="{00000000-0005-0000-0000-0000A2920000}"/>
    <cellStyle name="Normal 57 6 4 2 3" xfId="4689" xr:uid="{00000000-0005-0000-0000-0000A3920000}"/>
    <cellStyle name="Normal 57 6 4 2 3 2" xfId="13527" xr:uid="{00000000-0005-0000-0000-0000A4920000}"/>
    <cellStyle name="Normal 57 6 4 2 3 2 2" xfId="23778" xr:uid="{00000000-0005-0000-0000-0000A5920000}"/>
    <cellStyle name="Normal 57 6 4 2 3 2 2 2" xfId="49331" xr:uid="{00000000-0005-0000-0000-0000A6920000}"/>
    <cellStyle name="Normal 57 6 4 2 3 2 3" xfId="39082" xr:uid="{00000000-0005-0000-0000-0000A7920000}"/>
    <cellStyle name="Normal 57 6 4 2 3 3" xfId="9948" xr:uid="{00000000-0005-0000-0000-0000A8920000}"/>
    <cellStyle name="Normal 57 6 4 2 3 3 2" xfId="35505" xr:uid="{00000000-0005-0000-0000-0000A9920000}"/>
    <cellStyle name="Normal 57 6 4 2 3 4" xfId="18771" xr:uid="{00000000-0005-0000-0000-0000AA920000}"/>
    <cellStyle name="Normal 57 6 4 2 3 4 2" xfId="44324" xr:uid="{00000000-0005-0000-0000-0000AB920000}"/>
    <cellStyle name="Normal 57 6 4 2 3 5" xfId="30261" xr:uid="{00000000-0005-0000-0000-0000AC920000}"/>
    <cellStyle name="Normal 57 6 4 2 4" xfId="2469" xr:uid="{00000000-0005-0000-0000-0000AD920000}"/>
    <cellStyle name="Normal 57 6 4 2 4 2" xfId="11834" xr:uid="{00000000-0005-0000-0000-0000AE920000}"/>
    <cellStyle name="Normal 57 6 4 2 4 2 2" xfId="37389" xr:uid="{00000000-0005-0000-0000-0000AF920000}"/>
    <cellStyle name="Normal 57 6 4 2 4 3" xfId="21838" xr:uid="{00000000-0005-0000-0000-0000B0920000}"/>
    <cellStyle name="Normal 57 6 4 2 4 3 2" xfId="47391" xr:uid="{00000000-0005-0000-0000-0000B1920000}"/>
    <cellStyle name="Normal 57 6 4 2 4 4" xfId="28321" xr:uid="{00000000-0005-0000-0000-0000B2920000}"/>
    <cellStyle name="Normal 57 6 4 2 5" xfId="6145" xr:uid="{00000000-0005-0000-0000-0000B3920000}"/>
    <cellStyle name="Normal 57 6 4 2 5 2" xfId="14972" xr:uid="{00000000-0005-0000-0000-0000B4920000}"/>
    <cellStyle name="Normal 57 6 4 2 5 2 2" xfId="40527" xr:uid="{00000000-0005-0000-0000-0000B5920000}"/>
    <cellStyle name="Normal 57 6 4 2 5 3" xfId="25223" xr:uid="{00000000-0005-0000-0000-0000B6920000}"/>
    <cellStyle name="Normal 57 6 4 2 5 3 2" xfId="50776" xr:uid="{00000000-0005-0000-0000-0000B7920000}"/>
    <cellStyle name="Normal 57 6 4 2 5 4" xfId="31706" xr:uid="{00000000-0005-0000-0000-0000B8920000}"/>
    <cellStyle name="Normal 57 6 4 2 6" xfId="7590" xr:uid="{00000000-0005-0000-0000-0000B9920000}"/>
    <cellStyle name="Normal 57 6 4 2 6 2" xfId="20320" xr:uid="{00000000-0005-0000-0000-0000BA920000}"/>
    <cellStyle name="Normal 57 6 4 2 6 2 2" xfId="45873" xr:uid="{00000000-0005-0000-0000-0000BB920000}"/>
    <cellStyle name="Normal 57 6 4 2 6 3" xfId="33147" xr:uid="{00000000-0005-0000-0000-0000BC920000}"/>
    <cellStyle name="Normal 57 6 4 2 7" xfId="16831" xr:uid="{00000000-0005-0000-0000-0000BD920000}"/>
    <cellStyle name="Normal 57 6 4 2 7 2" xfId="42384" xr:uid="{00000000-0005-0000-0000-0000BE920000}"/>
    <cellStyle name="Normal 57 6 4 2 8" xfId="26803" xr:uid="{00000000-0005-0000-0000-0000BF920000}"/>
    <cellStyle name="Normal 57 6 4 3" xfId="1236" xr:uid="{00000000-0005-0000-0000-0000C0920000}"/>
    <cellStyle name="Normal 57 6 4 3 2" xfId="3665" xr:uid="{00000000-0005-0000-0000-0000C1920000}"/>
    <cellStyle name="Normal 57 6 4 3 2 2" xfId="12801" xr:uid="{00000000-0005-0000-0000-0000C2920000}"/>
    <cellStyle name="Normal 57 6 4 3 2 2 2" xfId="23020" xr:uid="{00000000-0005-0000-0000-0000C3920000}"/>
    <cellStyle name="Normal 57 6 4 3 2 2 2 2" xfId="48573" xr:uid="{00000000-0005-0000-0000-0000C4920000}"/>
    <cellStyle name="Normal 57 6 4 3 2 2 3" xfId="38356" xr:uid="{00000000-0005-0000-0000-0000C5920000}"/>
    <cellStyle name="Normal 57 6 4 3 2 3" xfId="9222" xr:uid="{00000000-0005-0000-0000-0000C6920000}"/>
    <cellStyle name="Normal 57 6 4 3 2 3 2" xfId="34779" xr:uid="{00000000-0005-0000-0000-0000C7920000}"/>
    <cellStyle name="Normal 57 6 4 3 2 4" xfId="18013" xr:uid="{00000000-0005-0000-0000-0000C8920000}"/>
    <cellStyle name="Normal 57 6 4 3 2 4 2" xfId="43566" xr:uid="{00000000-0005-0000-0000-0000C9920000}"/>
    <cellStyle name="Normal 57 6 4 3 2 5" xfId="29503" xr:uid="{00000000-0005-0000-0000-0000CA920000}"/>
    <cellStyle name="Normal 57 6 4 3 3" xfId="5038" xr:uid="{00000000-0005-0000-0000-0000CB920000}"/>
    <cellStyle name="Normal 57 6 4 3 3 2" xfId="13875" xr:uid="{00000000-0005-0000-0000-0000CC920000}"/>
    <cellStyle name="Normal 57 6 4 3 3 2 2" xfId="24126" xr:uid="{00000000-0005-0000-0000-0000CD920000}"/>
    <cellStyle name="Normal 57 6 4 3 3 2 2 2" xfId="49679" xr:uid="{00000000-0005-0000-0000-0000CE920000}"/>
    <cellStyle name="Normal 57 6 4 3 3 2 3" xfId="39430" xr:uid="{00000000-0005-0000-0000-0000CF920000}"/>
    <cellStyle name="Normal 57 6 4 3 3 3" xfId="10296" xr:uid="{00000000-0005-0000-0000-0000D0920000}"/>
    <cellStyle name="Normal 57 6 4 3 3 3 2" xfId="35853" xr:uid="{00000000-0005-0000-0000-0000D1920000}"/>
    <cellStyle name="Normal 57 6 4 3 3 4" xfId="19119" xr:uid="{00000000-0005-0000-0000-0000D2920000}"/>
    <cellStyle name="Normal 57 6 4 3 3 4 2" xfId="44672" xr:uid="{00000000-0005-0000-0000-0000D3920000}"/>
    <cellStyle name="Normal 57 6 4 3 3 5" xfId="30609" xr:uid="{00000000-0005-0000-0000-0000D4920000}"/>
    <cellStyle name="Normal 57 6 4 3 4" xfId="2059" xr:uid="{00000000-0005-0000-0000-0000D5920000}"/>
    <cellStyle name="Normal 57 6 4 3 4 2" xfId="11424" xr:uid="{00000000-0005-0000-0000-0000D6920000}"/>
    <cellStyle name="Normal 57 6 4 3 4 2 2" xfId="36979" xr:uid="{00000000-0005-0000-0000-0000D7920000}"/>
    <cellStyle name="Normal 57 6 4 3 4 3" xfId="21428" xr:uid="{00000000-0005-0000-0000-0000D8920000}"/>
    <cellStyle name="Normal 57 6 4 3 4 3 2" xfId="46981" xr:uid="{00000000-0005-0000-0000-0000D9920000}"/>
    <cellStyle name="Normal 57 6 4 3 4 4" xfId="27911" xr:uid="{00000000-0005-0000-0000-0000DA920000}"/>
    <cellStyle name="Normal 57 6 4 3 5" xfId="6493" xr:uid="{00000000-0005-0000-0000-0000DB920000}"/>
    <cellStyle name="Normal 57 6 4 3 5 2" xfId="15320" xr:uid="{00000000-0005-0000-0000-0000DC920000}"/>
    <cellStyle name="Normal 57 6 4 3 5 2 2" xfId="40875" xr:uid="{00000000-0005-0000-0000-0000DD920000}"/>
    <cellStyle name="Normal 57 6 4 3 5 3" xfId="25571" xr:uid="{00000000-0005-0000-0000-0000DE920000}"/>
    <cellStyle name="Normal 57 6 4 3 5 3 2" xfId="51124" xr:uid="{00000000-0005-0000-0000-0000DF920000}"/>
    <cellStyle name="Normal 57 6 4 3 5 4" xfId="32054" xr:uid="{00000000-0005-0000-0000-0000E0920000}"/>
    <cellStyle name="Normal 57 6 4 3 6" xfId="7939" xr:uid="{00000000-0005-0000-0000-0000E1920000}"/>
    <cellStyle name="Normal 57 6 4 3 6 2" xfId="20619" xr:uid="{00000000-0005-0000-0000-0000E2920000}"/>
    <cellStyle name="Normal 57 6 4 3 6 2 2" xfId="46172" xr:uid="{00000000-0005-0000-0000-0000E3920000}"/>
    <cellStyle name="Normal 57 6 4 3 6 3" xfId="33496" xr:uid="{00000000-0005-0000-0000-0000E4920000}"/>
    <cellStyle name="Normal 57 6 4 3 7" xfId="16421" xr:uid="{00000000-0005-0000-0000-0000E5920000}"/>
    <cellStyle name="Normal 57 6 4 3 7 2" xfId="41974" xr:uid="{00000000-0005-0000-0000-0000E6920000}"/>
    <cellStyle name="Normal 57 6 4 3 8" xfId="27102" xr:uid="{00000000-0005-0000-0000-0000E7920000}"/>
    <cellStyle name="Normal 57 6 4 4" xfId="2950" xr:uid="{00000000-0005-0000-0000-0000E8920000}"/>
    <cellStyle name="Normal 57 6 4 4 2" xfId="5328" xr:uid="{00000000-0005-0000-0000-0000E9920000}"/>
    <cellStyle name="Normal 57 6 4 4 2 2" xfId="14165" xr:uid="{00000000-0005-0000-0000-0000EA920000}"/>
    <cellStyle name="Normal 57 6 4 4 2 2 2" xfId="24416" xr:uid="{00000000-0005-0000-0000-0000EB920000}"/>
    <cellStyle name="Normal 57 6 4 4 2 2 2 2" xfId="49969" xr:uid="{00000000-0005-0000-0000-0000EC920000}"/>
    <cellStyle name="Normal 57 6 4 4 2 2 3" xfId="39720" xr:uid="{00000000-0005-0000-0000-0000ED920000}"/>
    <cellStyle name="Normal 57 6 4 4 2 3" xfId="10586" xr:uid="{00000000-0005-0000-0000-0000EE920000}"/>
    <cellStyle name="Normal 57 6 4 4 2 3 2" xfId="36143" xr:uid="{00000000-0005-0000-0000-0000EF920000}"/>
    <cellStyle name="Normal 57 6 4 4 2 4" xfId="19409" xr:uid="{00000000-0005-0000-0000-0000F0920000}"/>
    <cellStyle name="Normal 57 6 4 4 2 4 2" xfId="44962" xr:uid="{00000000-0005-0000-0000-0000F1920000}"/>
    <cellStyle name="Normal 57 6 4 4 2 5" xfId="30899" xr:uid="{00000000-0005-0000-0000-0000F2920000}"/>
    <cellStyle name="Normal 57 6 4 4 3" xfId="6783" xr:uid="{00000000-0005-0000-0000-0000F3920000}"/>
    <cellStyle name="Normal 57 6 4 4 3 2" xfId="15610" xr:uid="{00000000-0005-0000-0000-0000F4920000}"/>
    <cellStyle name="Normal 57 6 4 4 3 2 2" xfId="41165" xr:uid="{00000000-0005-0000-0000-0000F5920000}"/>
    <cellStyle name="Normal 57 6 4 4 3 3" xfId="25861" xr:uid="{00000000-0005-0000-0000-0000F6920000}"/>
    <cellStyle name="Normal 57 6 4 4 3 3 2" xfId="51414" xr:uid="{00000000-0005-0000-0000-0000F7920000}"/>
    <cellStyle name="Normal 57 6 4 4 3 4" xfId="32344" xr:uid="{00000000-0005-0000-0000-0000F8920000}"/>
    <cellStyle name="Normal 57 6 4 4 4" xfId="8229" xr:uid="{00000000-0005-0000-0000-0000F9920000}"/>
    <cellStyle name="Normal 57 6 4 4 4 2" xfId="22311" xr:uid="{00000000-0005-0000-0000-0000FA920000}"/>
    <cellStyle name="Normal 57 6 4 4 4 2 2" xfId="47864" xr:uid="{00000000-0005-0000-0000-0000FB920000}"/>
    <cellStyle name="Normal 57 6 4 4 4 3" xfId="33786" xr:uid="{00000000-0005-0000-0000-0000FC920000}"/>
    <cellStyle name="Normal 57 6 4 4 5" xfId="17304" xr:uid="{00000000-0005-0000-0000-0000FD920000}"/>
    <cellStyle name="Normal 57 6 4 4 5 2" xfId="42857" xr:uid="{00000000-0005-0000-0000-0000FE920000}"/>
    <cellStyle name="Normal 57 6 4 4 6" xfId="28794" xr:uid="{00000000-0005-0000-0000-0000FF920000}"/>
    <cellStyle name="Normal 57 6 4 5" xfId="4284" xr:uid="{00000000-0005-0000-0000-000000930000}"/>
    <cellStyle name="Normal 57 6 4 5 2" xfId="13122" xr:uid="{00000000-0005-0000-0000-000001930000}"/>
    <cellStyle name="Normal 57 6 4 5 2 2" xfId="23373" xr:uid="{00000000-0005-0000-0000-000002930000}"/>
    <cellStyle name="Normal 57 6 4 5 2 2 2" xfId="48926" xr:uid="{00000000-0005-0000-0000-000003930000}"/>
    <cellStyle name="Normal 57 6 4 5 2 3" xfId="38677" xr:uid="{00000000-0005-0000-0000-000004930000}"/>
    <cellStyle name="Normal 57 6 4 5 3" xfId="9543" xr:uid="{00000000-0005-0000-0000-000005930000}"/>
    <cellStyle name="Normal 57 6 4 5 3 2" xfId="35100" xr:uid="{00000000-0005-0000-0000-000006930000}"/>
    <cellStyle name="Normal 57 6 4 5 4" xfId="18366" xr:uid="{00000000-0005-0000-0000-000007930000}"/>
    <cellStyle name="Normal 57 6 4 5 4 2" xfId="43919" xr:uid="{00000000-0005-0000-0000-000008930000}"/>
    <cellStyle name="Normal 57 6 4 5 5" xfId="29856" xr:uid="{00000000-0005-0000-0000-000009930000}"/>
    <cellStyle name="Normal 57 6 4 6" xfId="1556" xr:uid="{00000000-0005-0000-0000-00000A930000}"/>
    <cellStyle name="Normal 57 6 4 6 2" xfId="10933" xr:uid="{00000000-0005-0000-0000-00000B930000}"/>
    <cellStyle name="Normal 57 6 4 6 2 2" xfId="36488" xr:uid="{00000000-0005-0000-0000-00000C930000}"/>
    <cellStyle name="Normal 57 6 4 6 3" xfId="20937" xr:uid="{00000000-0005-0000-0000-00000D930000}"/>
    <cellStyle name="Normal 57 6 4 6 3 2" xfId="46490" xr:uid="{00000000-0005-0000-0000-00000E930000}"/>
    <cellStyle name="Normal 57 6 4 6 4" xfId="27420" xr:uid="{00000000-0005-0000-0000-00000F930000}"/>
    <cellStyle name="Normal 57 6 4 7" xfId="5740" xr:uid="{00000000-0005-0000-0000-000010930000}"/>
    <cellStyle name="Normal 57 6 4 7 2" xfId="14567" xr:uid="{00000000-0005-0000-0000-000011930000}"/>
    <cellStyle name="Normal 57 6 4 7 2 2" xfId="40122" xr:uid="{00000000-0005-0000-0000-000012930000}"/>
    <cellStyle name="Normal 57 6 4 7 3" xfId="24818" xr:uid="{00000000-0005-0000-0000-000013930000}"/>
    <cellStyle name="Normal 57 6 4 7 3 2" xfId="50371" xr:uid="{00000000-0005-0000-0000-000014930000}"/>
    <cellStyle name="Normal 57 6 4 7 4" xfId="31301" xr:uid="{00000000-0005-0000-0000-000015930000}"/>
    <cellStyle name="Normal 57 6 4 8" xfId="7184" xr:uid="{00000000-0005-0000-0000-000016930000}"/>
    <cellStyle name="Normal 57 6 4 8 2" xfId="19910" xr:uid="{00000000-0005-0000-0000-000017930000}"/>
    <cellStyle name="Normal 57 6 4 8 2 2" xfId="45463" xr:uid="{00000000-0005-0000-0000-000018930000}"/>
    <cellStyle name="Normal 57 6 4 8 3" xfId="32741" xr:uid="{00000000-0005-0000-0000-000019930000}"/>
    <cellStyle name="Normal 57 6 4 9" xfId="15930" xr:uid="{00000000-0005-0000-0000-00001A930000}"/>
    <cellStyle name="Normal 57 6 4 9 2" xfId="41483" xr:uid="{00000000-0005-0000-0000-00001B930000}"/>
    <cellStyle name="Normal 57 6 4_Degree data" xfId="3981" xr:uid="{00000000-0005-0000-0000-00001C930000}"/>
    <cellStyle name="Normal 57 6 5" xfId="308" xr:uid="{00000000-0005-0000-0000-00001D930000}"/>
    <cellStyle name="Normal 57 6 5 2" xfId="2794" xr:uid="{00000000-0005-0000-0000-00001E930000}"/>
    <cellStyle name="Normal 57 6 5 2 2" xfId="12098" xr:uid="{00000000-0005-0000-0000-00001F930000}"/>
    <cellStyle name="Normal 57 6 5 2 2 2" xfId="22155" xr:uid="{00000000-0005-0000-0000-000020930000}"/>
    <cellStyle name="Normal 57 6 5 2 2 2 2" xfId="47708" xr:uid="{00000000-0005-0000-0000-000021930000}"/>
    <cellStyle name="Normal 57 6 5 2 2 3" xfId="37653" xr:uid="{00000000-0005-0000-0000-000022930000}"/>
    <cellStyle name="Normal 57 6 5 2 3" xfId="8434" xr:uid="{00000000-0005-0000-0000-000023930000}"/>
    <cellStyle name="Normal 57 6 5 2 3 2" xfId="33991" xr:uid="{00000000-0005-0000-0000-000024930000}"/>
    <cellStyle name="Normal 57 6 5 2 4" xfId="17148" xr:uid="{00000000-0005-0000-0000-000025930000}"/>
    <cellStyle name="Normal 57 6 5 2 4 2" xfId="42701" xr:uid="{00000000-0005-0000-0000-000026930000}"/>
    <cellStyle name="Normal 57 6 5 2 5" xfId="28638" xr:uid="{00000000-0005-0000-0000-000027930000}"/>
    <cellStyle name="Normal 57 6 5 3" xfId="4684" xr:uid="{00000000-0005-0000-0000-000028930000}"/>
    <cellStyle name="Normal 57 6 5 3 2" xfId="13522" xr:uid="{00000000-0005-0000-0000-000029930000}"/>
    <cellStyle name="Normal 57 6 5 3 2 2" xfId="23773" xr:uid="{00000000-0005-0000-0000-00002A930000}"/>
    <cellStyle name="Normal 57 6 5 3 2 2 2" xfId="49326" xr:uid="{00000000-0005-0000-0000-00002B930000}"/>
    <cellStyle name="Normal 57 6 5 3 2 3" xfId="39077" xr:uid="{00000000-0005-0000-0000-00002C930000}"/>
    <cellStyle name="Normal 57 6 5 3 3" xfId="9943" xr:uid="{00000000-0005-0000-0000-00002D930000}"/>
    <cellStyle name="Normal 57 6 5 3 3 2" xfId="35500" xr:uid="{00000000-0005-0000-0000-00002E930000}"/>
    <cellStyle name="Normal 57 6 5 3 4" xfId="18766" xr:uid="{00000000-0005-0000-0000-00002F930000}"/>
    <cellStyle name="Normal 57 6 5 3 4 2" xfId="44319" xr:uid="{00000000-0005-0000-0000-000030930000}"/>
    <cellStyle name="Normal 57 6 5 3 5" xfId="30256" xr:uid="{00000000-0005-0000-0000-000031930000}"/>
    <cellStyle name="Normal 57 6 5 4" xfId="1903" xr:uid="{00000000-0005-0000-0000-000032930000}"/>
    <cellStyle name="Normal 57 6 5 4 2" xfId="11268" xr:uid="{00000000-0005-0000-0000-000033930000}"/>
    <cellStyle name="Normal 57 6 5 4 2 2" xfId="36823" xr:uid="{00000000-0005-0000-0000-000034930000}"/>
    <cellStyle name="Normal 57 6 5 4 3" xfId="21272" xr:uid="{00000000-0005-0000-0000-000035930000}"/>
    <cellStyle name="Normal 57 6 5 4 3 2" xfId="46825" xr:uid="{00000000-0005-0000-0000-000036930000}"/>
    <cellStyle name="Normal 57 6 5 4 4" xfId="27755" xr:uid="{00000000-0005-0000-0000-000037930000}"/>
    <cellStyle name="Normal 57 6 5 5" xfId="6140" xr:uid="{00000000-0005-0000-0000-000038930000}"/>
    <cellStyle name="Normal 57 6 5 5 2" xfId="14967" xr:uid="{00000000-0005-0000-0000-000039930000}"/>
    <cellStyle name="Normal 57 6 5 5 2 2" xfId="40522" xr:uid="{00000000-0005-0000-0000-00003A930000}"/>
    <cellStyle name="Normal 57 6 5 5 3" xfId="25218" xr:uid="{00000000-0005-0000-0000-00003B930000}"/>
    <cellStyle name="Normal 57 6 5 5 3 2" xfId="50771" xr:uid="{00000000-0005-0000-0000-00003C930000}"/>
    <cellStyle name="Normal 57 6 5 5 4" xfId="31701" xr:uid="{00000000-0005-0000-0000-00003D930000}"/>
    <cellStyle name="Normal 57 6 5 6" xfId="7585" xr:uid="{00000000-0005-0000-0000-00003E930000}"/>
    <cellStyle name="Normal 57 6 5 6 2" xfId="19754" xr:uid="{00000000-0005-0000-0000-00003F930000}"/>
    <cellStyle name="Normal 57 6 5 6 2 2" xfId="45307" xr:uid="{00000000-0005-0000-0000-000040930000}"/>
    <cellStyle name="Normal 57 6 5 6 3" xfId="33142" xr:uid="{00000000-0005-0000-0000-000041930000}"/>
    <cellStyle name="Normal 57 6 5 7" xfId="16265" xr:uid="{00000000-0005-0000-0000-000042930000}"/>
    <cellStyle name="Normal 57 6 5 7 2" xfId="41818" xr:uid="{00000000-0005-0000-0000-000043930000}"/>
    <cellStyle name="Normal 57 6 5 8" xfId="26237" xr:uid="{00000000-0005-0000-0000-000044930000}"/>
    <cellStyle name="Normal 57 6 6" xfId="870" xr:uid="{00000000-0005-0000-0000-000045930000}"/>
    <cellStyle name="Normal 57 6 6 2" xfId="3355" xr:uid="{00000000-0005-0000-0000-000046930000}"/>
    <cellStyle name="Normal 57 6 6 2 2" xfId="12497" xr:uid="{00000000-0005-0000-0000-000047930000}"/>
    <cellStyle name="Normal 57 6 6 2 2 2" xfId="22716" xr:uid="{00000000-0005-0000-0000-000048930000}"/>
    <cellStyle name="Normal 57 6 6 2 2 2 2" xfId="48269" xr:uid="{00000000-0005-0000-0000-000049930000}"/>
    <cellStyle name="Normal 57 6 6 2 2 3" xfId="38052" xr:uid="{00000000-0005-0000-0000-00004A930000}"/>
    <cellStyle name="Normal 57 6 6 2 3" xfId="8919" xr:uid="{00000000-0005-0000-0000-00004B930000}"/>
    <cellStyle name="Normal 57 6 6 2 3 2" xfId="34476" xr:uid="{00000000-0005-0000-0000-00004C930000}"/>
    <cellStyle name="Normal 57 6 6 2 4" xfId="17709" xr:uid="{00000000-0005-0000-0000-00004D930000}"/>
    <cellStyle name="Normal 57 6 6 2 4 2" xfId="43262" xr:uid="{00000000-0005-0000-0000-00004E930000}"/>
    <cellStyle name="Normal 57 6 6 2 5" xfId="29199" xr:uid="{00000000-0005-0000-0000-00004F930000}"/>
    <cellStyle name="Normal 57 6 6 3" xfId="5033" xr:uid="{00000000-0005-0000-0000-000050930000}"/>
    <cellStyle name="Normal 57 6 6 3 2" xfId="13870" xr:uid="{00000000-0005-0000-0000-000051930000}"/>
    <cellStyle name="Normal 57 6 6 3 2 2" xfId="24121" xr:uid="{00000000-0005-0000-0000-000052930000}"/>
    <cellStyle name="Normal 57 6 6 3 2 2 2" xfId="49674" xr:uid="{00000000-0005-0000-0000-000053930000}"/>
    <cellStyle name="Normal 57 6 6 3 2 3" xfId="39425" xr:uid="{00000000-0005-0000-0000-000054930000}"/>
    <cellStyle name="Normal 57 6 6 3 3" xfId="10291" xr:uid="{00000000-0005-0000-0000-000055930000}"/>
    <cellStyle name="Normal 57 6 6 3 3 2" xfId="35848" xr:uid="{00000000-0005-0000-0000-000056930000}"/>
    <cellStyle name="Normal 57 6 6 3 4" xfId="19114" xr:uid="{00000000-0005-0000-0000-000057930000}"/>
    <cellStyle name="Normal 57 6 6 3 4 2" xfId="44667" xr:uid="{00000000-0005-0000-0000-000058930000}"/>
    <cellStyle name="Normal 57 6 6 3 5" xfId="30604" xr:uid="{00000000-0005-0000-0000-000059930000}"/>
    <cellStyle name="Normal 57 6 6 4" xfId="2464" xr:uid="{00000000-0005-0000-0000-00005A930000}"/>
    <cellStyle name="Normal 57 6 6 4 2" xfId="11829" xr:uid="{00000000-0005-0000-0000-00005B930000}"/>
    <cellStyle name="Normal 57 6 6 4 2 2" xfId="37384" xr:uid="{00000000-0005-0000-0000-00005C930000}"/>
    <cellStyle name="Normal 57 6 6 4 3" xfId="21833" xr:uid="{00000000-0005-0000-0000-00005D930000}"/>
    <cellStyle name="Normal 57 6 6 4 3 2" xfId="47386" xr:uid="{00000000-0005-0000-0000-00005E930000}"/>
    <cellStyle name="Normal 57 6 6 4 4" xfId="28316" xr:uid="{00000000-0005-0000-0000-00005F930000}"/>
    <cellStyle name="Normal 57 6 6 5" xfId="6488" xr:uid="{00000000-0005-0000-0000-000060930000}"/>
    <cellStyle name="Normal 57 6 6 5 2" xfId="15315" xr:uid="{00000000-0005-0000-0000-000061930000}"/>
    <cellStyle name="Normal 57 6 6 5 2 2" xfId="40870" xr:uid="{00000000-0005-0000-0000-000062930000}"/>
    <cellStyle name="Normal 57 6 6 5 3" xfId="25566" xr:uid="{00000000-0005-0000-0000-000063930000}"/>
    <cellStyle name="Normal 57 6 6 5 3 2" xfId="51119" xr:uid="{00000000-0005-0000-0000-000064930000}"/>
    <cellStyle name="Normal 57 6 6 5 4" xfId="32049" xr:uid="{00000000-0005-0000-0000-000065930000}"/>
    <cellStyle name="Normal 57 6 6 6" xfId="7934" xr:uid="{00000000-0005-0000-0000-000066930000}"/>
    <cellStyle name="Normal 57 6 6 6 2" xfId="20315" xr:uid="{00000000-0005-0000-0000-000067930000}"/>
    <cellStyle name="Normal 57 6 6 6 2 2" xfId="45868" xr:uid="{00000000-0005-0000-0000-000068930000}"/>
    <cellStyle name="Normal 57 6 6 6 3" xfId="33491" xr:uid="{00000000-0005-0000-0000-000069930000}"/>
    <cellStyle name="Normal 57 6 6 7" xfId="16826" xr:uid="{00000000-0005-0000-0000-00006A930000}"/>
    <cellStyle name="Normal 57 6 6 7 2" xfId="42379" xr:uid="{00000000-0005-0000-0000-00006B930000}"/>
    <cellStyle name="Normal 57 6 6 8" xfId="26798" xr:uid="{00000000-0005-0000-0000-00006C930000}"/>
    <cellStyle name="Normal 57 6 7" xfId="1080" xr:uid="{00000000-0005-0000-0000-00006D930000}"/>
    <cellStyle name="Normal 57 6 7 2" xfId="3509" xr:uid="{00000000-0005-0000-0000-00006E930000}"/>
    <cellStyle name="Normal 57 6 7 2 2" xfId="12645" xr:uid="{00000000-0005-0000-0000-00006F930000}"/>
    <cellStyle name="Normal 57 6 7 2 2 2" xfId="22864" xr:uid="{00000000-0005-0000-0000-000070930000}"/>
    <cellStyle name="Normal 57 6 7 2 2 2 2" xfId="48417" xr:uid="{00000000-0005-0000-0000-000071930000}"/>
    <cellStyle name="Normal 57 6 7 2 2 3" xfId="38200" xr:uid="{00000000-0005-0000-0000-000072930000}"/>
    <cellStyle name="Normal 57 6 7 2 3" xfId="9067" xr:uid="{00000000-0005-0000-0000-000073930000}"/>
    <cellStyle name="Normal 57 6 7 2 3 2" xfId="34624" xr:uid="{00000000-0005-0000-0000-000074930000}"/>
    <cellStyle name="Normal 57 6 7 2 4" xfId="17857" xr:uid="{00000000-0005-0000-0000-000075930000}"/>
    <cellStyle name="Normal 57 6 7 2 4 2" xfId="43410" xr:uid="{00000000-0005-0000-0000-000076930000}"/>
    <cellStyle name="Normal 57 6 7 2 5" xfId="29347" xr:uid="{00000000-0005-0000-0000-000077930000}"/>
    <cellStyle name="Normal 57 6 7 3" xfId="5172" xr:uid="{00000000-0005-0000-0000-000078930000}"/>
    <cellStyle name="Normal 57 6 7 3 2" xfId="14009" xr:uid="{00000000-0005-0000-0000-000079930000}"/>
    <cellStyle name="Normal 57 6 7 3 2 2" xfId="24260" xr:uid="{00000000-0005-0000-0000-00007A930000}"/>
    <cellStyle name="Normal 57 6 7 3 2 2 2" xfId="49813" xr:uid="{00000000-0005-0000-0000-00007B930000}"/>
    <cellStyle name="Normal 57 6 7 3 2 3" xfId="39564" xr:uid="{00000000-0005-0000-0000-00007C930000}"/>
    <cellStyle name="Normal 57 6 7 3 3" xfId="10430" xr:uid="{00000000-0005-0000-0000-00007D930000}"/>
    <cellStyle name="Normal 57 6 7 3 3 2" xfId="35987" xr:uid="{00000000-0005-0000-0000-00007E930000}"/>
    <cellStyle name="Normal 57 6 7 3 4" xfId="19253" xr:uid="{00000000-0005-0000-0000-00007F930000}"/>
    <cellStyle name="Normal 57 6 7 3 4 2" xfId="44806" xr:uid="{00000000-0005-0000-0000-000080930000}"/>
    <cellStyle name="Normal 57 6 7 3 5" xfId="30743" xr:uid="{00000000-0005-0000-0000-000081930000}"/>
    <cellStyle name="Normal 57 6 7 4" xfId="1732" xr:uid="{00000000-0005-0000-0000-000082930000}"/>
    <cellStyle name="Normal 57 6 7 4 2" xfId="11106" xr:uid="{00000000-0005-0000-0000-000083930000}"/>
    <cellStyle name="Normal 57 6 7 4 2 2" xfId="36661" xr:uid="{00000000-0005-0000-0000-000084930000}"/>
    <cellStyle name="Normal 57 6 7 4 3" xfId="21110" xr:uid="{00000000-0005-0000-0000-000085930000}"/>
    <cellStyle name="Normal 57 6 7 4 3 2" xfId="46663" xr:uid="{00000000-0005-0000-0000-000086930000}"/>
    <cellStyle name="Normal 57 6 7 4 4" xfId="27593" xr:uid="{00000000-0005-0000-0000-000087930000}"/>
    <cellStyle name="Normal 57 6 7 5" xfId="6627" xr:uid="{00000000-0005-0000-0000-000088930000}"/>
    <cellStyle name="Normal 57 6 7 5 2" xfId="15454" xr:uid="{00000000-0005-0000-0000-000089930000}"/>
    <cellStyle name="Normal 57 6 7 5 2 2" xfId="41009" xr:uid="{00000000-0005-0000-0000-00008A930000}"/>
    <cellStyle name="Normal 57 6 7 5 3" xfId="25705" xr:uid="{00000000-0005-0000-0000-00008B930000}"/>
    <cellStyle name="Normal 57 6 7 5 3 2" xfId="51258" xr:uid="{00000000-0005-0000-0000-00008C930000}"/>
    <cellStyle name="Normal 57 6 7 5 4" xfId="32188" xr:uid="{00000000-0005-0000-0000-00008D930000}"/>
    <cellStyle name="Normal 57 6 7 6" xfId="8073" xr:uid="{00000000-0005-0000-0000-00008E930000}"/>
    <cellStyle name="Normal 57 6 7 6 2" xfId="20463" xr:uid="{00000000-0005-0000-0000-00008F930000}"/>
    <cellStyle name="Normal 57 6 7 6 2 2" xfId="46016" xr:uid="{00000000-0005-0000-0000-000090930000}"/>
    <cellStyle name="Normal 57 6 7 6 3" xfId="33630" xr:uid="{00000000-0005-0000-0000-000091930000}"/>
    <cellStyle name="Normal 57 6 7 7" xfId="16103" xr:uid="{00000000-0005-0000-0000-000092930000}"/>
    <cellStyle name="Normal 57 6 7 7 2" xfId="41656" xr:uid="{00000000-0005-0000-0000-000093930000}"/>
    <cellStyle name="Normal 57 6 7 8" xfId="26946" xr:uid="{00000000-0005-0000-0000-000094930000}"/>
    <cellStyle name="Normal 57 6 8" xfId="2632" xr:uid="{00000000-0005-0000-0000-000095930000}"/>
    <cellStyle name="Normal 57 6 8 2" xfId="5584" xr:uid="{00000000-0005-0000-0000-000096930000}"/>
    <cellStyle name="Normal 57 6 8 2 2" xfId="14411" xr:uid="{00000000-0005-0000-0000-000097930000}"/>
    <cellStyle name="Normal 57 6 8 2 2 2" xfId="39966" xr:uid="{00000000-0005-0000-0000-000098930000}"/>
    <cellStyle name="Normal 57 6 8 2 3" xfId="24662" xr:uid="{00000000-0005-0000-0000-000099930000}"/>
    <cellStyle name="Normal 57 6 8 2 3 2" xfId="50215" xr:uid="{00000000-0005-0000-0000-00009A930000}"/>
    <cellStyle name="Normal 57 6 8 2 4" xfId="31145" xr:uid="{00000000-0005-0000-0000-00009B930000}"/>
    <cellStyle name="Normal 57 6 8 3" xfId="7028" xr:uid="{00000000-0005-0000-0000-00009C930000}"/>
    <cellStyle name="Normal 57 6 8 3 2" xfId="21994" xr:uid="{00000000-0005-0000-0000-00009D930000}"/>
    <cellStyle name="Normal 57 6 8 3 2 2" xfId="47547" xr:uid="{00000000-0005-0000-0000-00009E930000}"/>
    <cellStyle name="Normal 57 6 8 3 3" xfId="32585" xr:uid="{00000000-0005-0000-0000-00009F930000}"/>
    <cellStyle name="Normal 57 6 8 4" xfId="16987" xr:uid="{00000000-0005-0000-0000-0000A0930000}"/>
    <cellStyle name="Normal 57 6 8 4 2" xfId="42540" xr:uid="{00000000-0005-0000-0000-0000A1930000}"/>
    <cellStyle name="Normal 57 6 8 5" xfId="28477" xr:uid="{00000000-0005-0000-0000-0000A2930000}"/>
    <cellStyle name="Normal 57 6 9" xfId="4126" xr:uid="{00000000-0005-0000-0000-0000A3930000}"/>
    <cellStyle name="Normal 57 6 9 2" xfId="12964" xr:uid="{00000000-0005-0000-0000-0000A4930000}"/>
    <cellStyle name="Normal 57 6 9 2 2" xfId="23215" xr:uid="{00000000-0005-0000-0000-0000A5930000}"/>
    <cellStyle name="Normal 57 6 9 2 2 2" xfId="48768" xr:uid="{00000000-0005-0000-0000-0000A6930000}"/>
    <cellStyle name="Normal 57 6 9 2 3" xfId="38519" xr:uid="{00000000-0005-0000-0000-0000A7930000}"/>
    <cellStyle name="Normal 57 6 9 3" xfId="9385" xr:uid="{00000000-0005-0000-0000-0000A8930000}"/>
    <cellStyle name="Normal 57 6 9 3 2" xfId="34942" xr:uid="{00000000-0005-0000-0000-0000A9930000}"/>
    <cellStyle name="Normal 57 6 9 4" xfId="18208" xr:uid="{00000000-0005-0000-0000-0000AA930000}"/>
    <cellStyle name="Normal 57 6 9 4 2" xfId="43761" xr:uid="{00000000-0005-0000-0000-0000AB930000}"/>
    <cellStyle name="Normal 57 6 9 5" xfId="29698" xr:uid="{00000000-0005-0000-0000-0000AC930000}"/>
    <cellStyle name="Normal 57 6_Degree data" xfId="3976" xr:uid="{00000000-0005-0000-0000-0000AD930000}"/>
    <cellStyle name="Normal 57 7" xfId="132" xr:uid="{00000000-0005-0000-0000-0000AE930000}"/>
    <cellStyle name="Normal 57 7 10" xfId="5643" xr:uid="{00000000-0005-0000-0000-0000AF930000}"/>
    <cellStyle name="Normal 57 7 10 2" xfId="14470" xr:uid="{00000000-0005-0000-0000-0000B0930000}"/>
    <cellStyle name="Normal 57 7 10 2 2" xfId="40025" xr:uid="{00000000-0005-0000-0000-0000B1930000}"/>
    <cellStyle name="Normal 57 7 10 3" xfId="24721" xr:uid="{00000000-0005-0000-0000-0000B2930000}"/>
    <cellStyle name="Normal 57 7 10 3 2" xfId="50274" xr:uid="{00000000-0005-0000-0000-0000B3930000}"/>
    <cellStyle name="Normal 57 7 10 4" xfId="31204" xr:uid="{00000000-0005-0000-0000-0000B4930000}"/>
    <cellStyle name="Normal 57 7 11" xfId="7087" xr:uid="{00000000-0005-0000-0000-0000B5930000}"/>
    <cellStyle name="Normal 57 7 11 2" xfId="19596" xr:uid="{00000000-0005-0000-0000-0000B6930000}"/>
    <cellStyle name="Normal 57 7 11 2 2" xfId="45149" xr:uid="{00000000-0005-0000-0000-0000B7930000}"/>
    <cellStyle name="Normal 57 7 11 3" xfId="32644" xr:uid="{00000000-0005-0000-0000-0000B8930000}"/>
    <cellStyle name="Normal 57 7 12" xfId="15833" xr:uid="{00000000-0005-0000-0000-0000B9930000}"/>
    <cellStyle name="Normal 57 7 12 2" xfId="41386" xr:uid="{00000000-0005-0000-0000-0000BA930000}"/>
    <cellStyle name="Normal 57 7 13" xfId="26079" xr:uid="{00000000-0005-0000-0000-0000BB930000}"/>
    <cellStyle name="Normal 57 7 2" xfId="249" xr:uid="{00000000-0005-0000-0000-0000BC930000}"/>
    <cellStyle name="Normal 57 7 2 10" xfId="16038" xr:uid="{00000000-0005-0000-0000-0000BD930000}"/>
    <cellStyle name="Normal 57 7 2 10 2" xfId="41591" xr:uid="{00000000-0005-0000-0000-0000BE930000}"/>
    <cellStyle name="Normal 57 7 2 11" xfId="26184" xr:uid="{00000000-0005-0000-0000-0000BF930000}"/>
    <cellStyle name="Normal 57 7 2 2" xfId="572" xr:uid="{00000000-0005-0000-0000-0000C0930000}"/>
    <cellStyle name="Normal 57 7 2 2 2" xfId="3058" xr:uid="{00000000-0005-0000-0000-0000C1930000}"/>
    <cellStyle name="Normal 57 7 2 2 2 2" xfId="12219" xr:uid="{00000000-0005-0000-0000-0000C2930000}"/>
    <cellStyle name="Normal 57 7 2 2 2 2 2" xfId="22419" xr:uid="{00000000-0005-0000-0000-0000C3930000}"/>
    <cellStyle name="Normal 57 7 2 2 2 2 2 2" xfId="47972" xr:uid="{00000000-0005-0000-0000-0000C4930000}"/>
    <cellStyle name="Normal 57 7 2 2 2 2 3" xfId="37774" xr:uid="{00000000-0005-0000-0000-0000C5930000}"/>
    <cellStyle name="Normal 57 7 2 2 2 3" xfId="8641" xr:uid="{00000000-0005-0000-0000-0000C6930000}"/>
    <cellStyle name="Normal 57 7 2 2 2 3 2" xfId="34198" xr:uid="{00000000-0005-0000-0000-0000C7930000}"/>
    <cellStyle name="Normal 57 7 2 2 2 4" xfId="17412" xr:uid="{00000000-0005-0000-0000-0000C8930000}"/>
    <cellStyle name="Normal 57 7 2 2 2 4 2" xfId="42965" xr:uid="{00000000-0005-0000-0000-0000C9930000}"/>
    <cellStyle name="Normal 57 7 2 2 2 5" xfId="28902" xr:uid="{00000000-0005-0000-0000-0000CA930000}"/>
    <cellStyle name="Normal 57 7 2 2 3" xfId="4691" xr:uid="{00000000-0005-0000-0000-0000CB930000}"/>
    <cellStyle name="Normal 57 7 2 2 3 2" xfId="13529" xr:uid="{00000000-0005-0000-0000-0000CC930000}"/>
    <cellStyle name="Normal 57 7 2 2 3 2 2" xfId="23780" xr:uid="{00000000-0005-0000-0000-0000CD930000}"/>
    <cellStyle name="Normal 57 7 2 2 3 2 2 2" xfId="49333" xr:uid="{00000000-0005-0000-0000-0000CE930000}"/>
    <cellStyle name="Normal 57 7 2 2 3 2 3" xfId="39084" xr:uid="{00000000-0005-0000-0000-0000CF930000}"/>
    <cellStyle name="Normal 57 7 2 2 3 3" xfId="9950" xr:uid="{00000000-0005-0000-0000-0000D0930000}"/>
    <cellStyle name="Normal 57 7 2 2 3 3 2" xfId="35507" xr:uid="{00000000-0005-0000-0000-0000D1930000}"/>
    <cellStyle name="Normal 57 7 2 2 3 4" xfId="18773" xr:uid="{00000000-0005-0000-0000-0000D2930000}"/>
    <cellStyle name="Normal 57 7 2 2 3 4 2" xfId="44326" xr:uid="{00000000-0005-0000-0000-0000D3930000}"/>
    <cellStyle name="Normal 57 7 2 2 3 5" xfId="30263" xr:uid="{00000000-0005-0000-0000-0000D4930000}"/>
    <cellStyle name="Normal 57 7 2 2 4" xfId="2167" xr:uid="{00000000-0005-0000-0000-0000D5930000}"/>
    <cellStyle name="Normal 57 7 2 2 4 2" xfId="11532" xr:uid="{00000000-0005-0000-0000-0000D6930000}"/>
    <cellStyle name="Normal 57 7 2 2 4 2 2" xfId="37087" xr:uid="{00000000-0005-0000-0000-0000D7930000}"/>
    <cellStyle name="Normal 57 7 2 2 4 3" xfId="21536" xr:uid="{00000000-0005-0000-0000-0000D8930000}"/>
    <cellStyle name="Normal 57 7 2 2 4 3 2" xfId="47089" xr:uid="{00000000-0005-0000-0000-0000D9930000}"/>
    <cellStyle name="Normal 57 7 2 2 4 4" xfId="28019" xr:uid="{00000000-0005-0000-0000-0000DA930000}"/>
    <cellStyle name="Normal 57 7 2 2 5" xfId="6147" xr:uid="{00000000-0005-0000-0000-0000DB930000}"/>
    <cellStyle name="Normal 57 7 2 2 5 2" xfId="14974" xr:uid="{00000000-0005-0000-0000-0000DC930000}"/>
    <cellStyle name="Normal 57 7 2 2 5 2 2" xfId="40529" xr:uid="{00000000-0005-0000-0000-0000DD930000}"/>
    <cellStyle name="Normal 57 7 2 2 5 3" xfId="25225" xr:uid="{00000000-0005-0000-0000-0000DE930000}"/>
    <cellStyle name="Normal 57 7 2 2 5 3 2" xfId="50778" xr:uid="{00000000-0005-0000-0000-0000DF930000}"/>
    <cellStyle name="Normal 57 7 2 2 5 4" xfId="31708" xr:uid="{00000000-0005-0000-0000-0000E0930000}"/>
    <cellStyle name="Normal 57 7 2 2 6" xfId="7592" xr:uid="{00000000-0005-0000-0000-0000E1930000}"/>
    <cellStyle name="Normal 57 7 2 2 6 2" xfId="20018" xr:uid="{00000000-0005-0000-0000-0000E2930000}"/>
    <cellStyle name="Normal 57 7 2 2 6 2 2" xfId="45571" xr:uid="{00000000-0005-0000-0000-0000E3930000}"/>
    <cellStyle name="Normal 57 7 2 2 6 3" xfId="33149" xr:uid="{00000000-0005-0000-0000-0000E4930000}"/>
    <cellStyle name="Normal 57 7 2 2 7" xfId="16529" xr:uid="{00000000-0005-0000-0000-0000E5930000}"/>
    <cellStyle name="Normal 57 7 2 2 7 2" xfId="42082" xr:uid="{00000000-0005-0000-0000-0000E6930000}"/>
    <cellStyle name="Normal 57 7 2 2 8" xfId="26501" xr:uid="{00000000-0005-0000-0000-0000E7930000}"/>
    <cellStyle name="Normal 57 7 2 3" xfId="877" xr:uid="{00000000-0005-0000-0000-0000E8930000}"/>
    <cellStyle name="Normal 57 7 2 3 2" xfId="3362" xr:uid="{00000000-0005-0000-0000-0000E9930000}"/>
    <cellStyle name="Normal 57 7 2 3 2 2" xfId="12504" xr:uid="{00000000-0005-0000-0000-0000EA930000}"/>
    <cellStyle name="Normal 57 7 2 3 2 2 2" xfId="22723" xr:uid="{00000000-0005-0000-0000-0000EB930000}"/>
    <cellStyle name="Normal 57 7 2 3 2 2 2 2" xfId="48276" xr:uid="{00000000-0005-0000-0000-0000EC930000}"/>
    <cellStyle name="Normal 57 7 2 3 2 2 3" xfId="38059" xr:uid="{00000000-0005-0000-0000-0000ED930000}"/>
    <cellStyle name="Normal 57 7 2 3 2 3" xfId="8926" xr:uid="{00000000-0005-0000-0000-0000EE930000}"/>
    <cellStyle name="Normal 57 7 2 3 2 3 2" xfId="34483" xr:uid="{00000000-0005-0000-0000-0000EF930000}"/>
    <cellStyle name="Normal 57 7 2 3 2 4" xfId="17716" xr:uid="{00000000-0005-0000-0000-0000F0930000}"/>
    <cellStyle name="Normal 57 7 2 3 2 4 2" xfId="43269" xr:uid="{00000000-0005-0000-0000-0000F1930000}"/>
    <cellStyle name="Normal 57 7 2 3 2 5" xfId="29206" xr:uid="{00000000-0005-0000-0000-0000F2930000}"/>
    <cellStyle name="Normal 57 7 2 3 3" xfId="5040" xr:uid="{00000000-0005-0000-0000-0000F3930000}"/>
    <cellStyle name="Normal 57 7 2 3 3 2" xfId="13877" xr:uid="{00000000-0005-0000-0000-0000F4930000}"/>
    <cellStyle name="Normal 57 7 2 3 3 2 2" xfId="24128" xr:uid="{00000000-0005-0000-0000-0000F5930000}"/>
    <cellStyle name="Normal 57 7 2 3 3 2 2 2" xfId="49681" xr:uid="{00000000-0005-0000-0000-0000F6930000}"/>
    <cellStyle name="Normal 57 7 2 3 3 2 3" xfId="39432" xr:uid="{00000000-0005-0000-0000-0000F7930000}"/>
    <cellStyle name="Normal 57 7 2 3 3 3" xfId="10298" xr:uid="{00000000-0005-0000-0000-0000F8930000}"/>
    <cellStyle name="Normal 57 7 2 3 3 3 2" xfId="35855" xr:uid="{00000000-0005-0000-0000-0000F9930000}"/>
    <cellStyle name="Normal 57 7 2 3 3 4" xfId="19121" xr:uid="{00000000-0005-0000-0000-0000FA930000}"/>
    <cellStyle name="Normal 57 7 2 3 3 4 2" xfId="44674" xr:uid="{00000000-0005-0000-0000-0000FB930000}"/>
    <cellStyle name="Normal 57 7 2 3 3 5" xfId="30611" xr:uid="{00000000-0005-0000-0000-0000FC930000}"/>
    <cellStyle name="Normal 57 7 2 3 4" xfId="2471" xr:uid="{00000000-0005-0000-0000-0000FD930000}"/>
    <cellStyle name="Normal 57 7 2 3 4 2" xfId="11836" xr:uid="{00000000-0005-0000-0000-0000FE930000}"/>
    <cellStyle name="Normal 57 7 2 3 4 2 2" xfId="37391" xr:uid="{00000000-0005-0000-0000-0000FF930000}"/>
    <cellStyle name="Normal 57 7 2 3 4 3" xfId="21840" xr:uid="{00000000-0005-0000-0000-000000940000}"/>
    <cellStyle name="Normal 57 7 2 3 4 3 2" xfId="47393" xr:uid="{00000000-0005-0000-0000-000001940000}"/>
    <cellStyle name="Normal 57 7 2 3 4 4" xfId="28323" xr:uid="{00000000-0005-0000-0000-000002940000}"/>
    <cellStyle name="Normal 57 7 2 3 5" xfId="6495" xr:uid="{00000000-0005-0000-0000-000003940000}"/>
    <cellStyle name="Normal 57 7 2 3 5 2" xfId="15322" xr:uid="{00000000-0005-0000-0000-000004940000}"/>
    <cellStyle name="Normal 57 7 2 3 5 2 2" xfId="40877" xr:uid="{00000000-0005-0000-0000-000005940000}"/>
    <cellStyle name="Normal 57 7 2 3 5 3" xfId="25573" xr:uid="{00000000-0005-0000-0000-000006940000}"/>
    <cellStyle name="Normal 57 7 2 3 5 3 2" xfId="51126" xr:uid="{00000000-0005-0000-0000-000007940000}"/>
    <cellStyle name="Normal 57 7 2 3 5 4" xfId="32056" xr:uid="{00000000-0005-0000-0000-000008940000}"/>
    <cellStyle name="Normal 57 7 2 3 6" xfId="7941" xr:uid="{00000000-0005-0000-0000-000009940000}"/>
    <cellStyle name="Normal 57 7 2 3 6 2" xfId="20322" xr:uid="{00000000-0005-0000-0000-00000A940000}"/>
    <cellStyle name="Normal 57 7 2 3 6 2 2" xfId="45875" xr:uid="{00000000-0005-0000-0000-00000B940000}"/>
    <cellStyle name="Normal 57 7 2 3 6 3" xfId="33498" xr:uid="{00000000-0005-0000-0000-00000C940000}"/>
    <cellStyle name="Normal 57 7 2 3 7" xfId="16833" xr:uid="{00000000-0005-0000-0000-00000D940000}"/>
    <cellStyle name="Normal 57 7 2 3 7 2" xfId="42386" xr:uid="{00000000-0005-0000-0000-00000E940000}"/>
    <cellStyle name="Normal 57 7 2 3 8" xfId="26805" xr:uid="{00000000-0005-0000-0000-00000F940000}"/>
    <cellStyle name="Normal 57 7 2 4" xfId="1344" xr:uid="{00000000-0005-0000-0000-000010940000}"/>
    <cellStyle name="Normal 57 7 2 4 2" xfId="3773" xr:uid="{00000000-0005-0000-0000-000011940000}"/>
    <cellStyle name="Normal 57 7 2 4 2 2" xfId="12909" xr:uid="{00000000-0005-0000-0000-000012940000}"/>
    <cellStyle name="Normal 57 7 2 4 2 2 2" xfId="23128" xr:uid="{00000000-0005-0000-0000-000013940000}"/>
    <cellStyle name="Normal 57 7 2 4 2 2 2 2" xfId="48681" xr:uid="{00000000-0005-0000-0000-000014940000}"/>
    <cellStyle name="Normal 57 7 2 4 2 2 3" xfId="38464" xr:uid="{00000000-0005-0000-0000-000015940000}"/>
    <cellStyle name="Normal 57 7 2 4 2 3" xfId="9330" xr:uid="{00000000-0005-0000-0000-000016940000}"/>
    <cellStyle name="Normal 57 7 2 4 2 3 2" xfId="34887" xr:uid="{00000000-0005-0000-0000-000017940000}"/>
    <cellStyle name="Normal 57 7 2 4 2 4" xfId="18121" xr:uid="{00000000-0005-0000-0000-000018940000}"/>
    <cellStyle name="Normal 57 7 2 4 2 4 2" xfId="43674" xr:uid="{00000000-0005-0000-0000-000019940000}"/>
    <cellStyle name="Normal 57 7 2 4 2 5" xfId="29611" xr:uid="{00000000-0005-0000-0000-00001A940000}"/>
    <cellStyle name="Normal 57 7 2 4 3" xfId="5436" xr:uid="{00000000-0005-0000-0000-00001B940000}"/>
    <cellStyle name="Normal 57 7 2 4 3 2" xfId="14273" xr:uid="{00000000-0005-0000-0000-00001C940000}"/>
    <cellStyle name="Normal 57 7 2 4 3 2 2" xfId="24524" xr:uid="{00000000-0005-0000-0000-00001D940000}"/>
    <cellStyle name="Normal 57 7 2 4 3 2 2 2" xfId="50077" xr:uid="{00000000-0005-0000-0000-00001E940000}"/>
    <cellStyle name="Normal 57 7 2 4 3 2 3" xfId="39828" xr:uid="{00000000-0005-0000-0000-00001F940000}"/>
    <cellStyle name="Normal 57 7 2 4 3 3" xfId="10694" xr:uid="{00000000-0005-0000-0000-000020940000}"/>
    <cellStyle name="Normal 57 7 2 4 3 3 2" xfId="36251" xr:uid="{00000000-0005-0000-0000-000021940000}"/>
    <cellStyle name="Normal 57 7 2 4 3 4" xfId="19517" xr:uid="{00000000-0005-0000-0000-000022940000}"/>
    <cellStyle name="Normal 57 7 2 4 3 4 2" xfId="45070" xr:uid="{00000000-0005-0000-0000-000023940000}"/>
    <cellStyle name="Normal 57 7 2 4 3 5" xfId="31007" xr:uid="{00000000-0005-0000-0000-000024940000}"/>
    <cellStyle name="Normal 57 7 2 4 4" xfId="1847" xr:uid="{00000000-0005-0000-0000-000025940000}"/>
    <cellStyle name="Normal 57 7 2 4 4 2" xfId="11215" xr:uid="{00000000-0005-0000-0000-000026940000}"/>
    <cellStyle name="Normal 57 7 2 4 4 2 2" xfId="36770" xr:uid="{00000000-0005-0000-0000-000027940000}"/>
    <cellStyle name="Normal 57 7 2 4 4 3" xfId="21219" xr:uid="{00000000-0005-0000-0000-000028940000}"/>
    <cellStyle name="Normal 57 7 2 4 4 3 2" xfId="46772" xr:uid="{00000000-0005-0000-0000-000029940000}"/>
    <cellStyle name="Normal 57 7 2 4 4 4" xfId="27702" xr:uid="{00000000-0005-0000-0000-00002A940000}"/>
    <cellStyle name="Normal 57 7 2 4 5" xfId="6891" xr:uid="{00000000-0005-0000-0000-00002B940000}"/>
    <cellStyle name="Normal 57 7 2 4 5 2" xfId="15718" xr:uid="{00000000-0005-0000-0000-00002C940000}"/>
    <cellStyle name="Normal 57 7 2 4 5 2 2" xfId="41273" xr:uid="{00000000-0005-0000-0000-00002D940000}"/>
    <cellStyle name="Normal 57 7 2 4 5 3" xfId="25969" xr:uid="{00000000-0005-0000-0000-00002E940000}"/>
    <cellStyle name="Normal 57 7 2 4 5 3 2" xfId="51522" xr:uid="{00000000-0005-0000-0000-00002F940000}"/>
    <cellStyle name="Normal 57 7 2 4 5 4" xfId="32452" xr:uid="{00000000-0005-0000-0000-000030940000}"/>
    <cellStyle name="Normal 57 7 2 4 6" xfId="8337" xr:uid="{00000000-0005-0000-0000-000031940000}"/>
    <cellStyle name="Normal 57 7 2 4 6 2" xfId="20727" xr:uid="{00000000-0005-0000-0000-000032940000}"/>
    <cellStyle name="Normal 57 7 2 4 6 2 2" xfId="46280" xr:uid="{00000000-0005-0000-0000-000033940000}"/>
    <cellStyle name="Normal 57 7 2 4 6 3" xfId="33894" xr:uid="{00000000-0005-0000-0000-000034940000}"/>
    <cellStyle name="Normal 57 7 2 4 7" xfId="16212" xr:uid="{00000000-0005-0000-0000-000035940000}"/>
    <cellStyle name="Normal 57 7 2 4 7 2" xfId="41765" xr:uid="{00000000-0005-0000-0000-000036940000}"/>
    <cellStyle name="Normal 57 7 2 4 8" xfId="27210" xr:uid="{00000000-0005-0000-0000-000037940000}"/>
    <cellStyle name="Normal 57 7 2 5" xfId="2741" xr:uid="{00000000-0005-0000-0000-000038940000}"/>
    <cellStyle name="Normal 57 7 2 5 2" xfId="12058" xr:uid="{00000000-0005-0000-0000-000039940000}"/>
    <cellStyle name="Normal 57 7 2 5 2 2" xfId="22102" xr:uid="{00000000-0005-0000-0000-00003A940000}"/>
    <cellStyle name="Normal 57 7 2 5 2 2 2" xfId="47655" xr:uid="{00000000-0005-0000-0000-00003B940000}"/>
    <cellStyle name="Normal 57 7 2 5 2 3" xfId="37613" xr:uid="{00000000-0005-0000-0000-00003C940000}"/>
    <cellStyle name="Normal 57 7 2 5 3" xfId="8628" xr:uid="{00000000-0005-0000-0000-00003D940000}"/>
    <cellStyle name="Normal 57 7 2 5 3 2" xfId="34185" xr:uid="{00000000-0005-0000-0000-00003E940000}"/>
    <cellStyle name="Normal 57 7 2 5 4" xfId="17095" xr:uid="{00000000-0005-0000-0000-00003F940000}"/>
    <cellStyle name="Normal 57 7 2 5 4 2" xfId="42648" xr:uid="{00000000-0005-0000-0000-000040940000}"/>
    <cellStyle name="Normal 57 7 2 5 5" xfId="28585" xr:uid="{00000000-0005-0000-0000-000041940000}"/>
    <cellStyle name="Normal 57 7 2 6" xfId="4392" xr:uid="{00000000-0005-0000-0000-000042940000}"/>
    <cellStyle name="Normal 57 7 2 6 2" xfId="13230" xr:uid="{00000000-0005-0000-0000-000043940000}"/>
    <cellStyle name="Normal 57 7 2 6 2 2" xfId="23481" xr:uid="{00000000-0005-0000-0000-000044940000}"/>
    <cellStyle name="Normal 57 7 2 6 2 2 2" xfId="49034" xr:uid="{00000000-0005-0000-0000-000045940000}"/>
    <cellStyle name="Normal 57 7 2 6 2 3" xfId="38785" xr:uid="{00000000-0005-0000-0000-000046940000}"/>
    <cellStyle name="Normal 57 7 2 6 3" xfId="9651" xr:uid="{00000000-0005-0000-0000-000047940000}"/>
    <cellStyle name="Normal 57 7 2 6 3 2" xfId="35208" xr:uid="{00000000-0005-0000-0000-000048940000}"/>
    <cellStyle name="Normal 57 7 2 6 4" xfId="18474" xr:uid="{00000000-0005-0000-0000-000049940000}"/>
    <cellStyle name="Normal 57 7 2 6 4 2" xfId="44027" xr:uid="{00000000-0005-0000-0000-00004A940000}"/>
    <cellStyle name="Normal 57 7 2 6 5" xfId="29964" xr:uid="{00000000-0005-0000-0000-00004B940000}"/>
    <cellStyle name="Normal 57 7 2 7" xfId="1664" xr:uid="{00000000-0005-0000-0000-00004C940000}"/>
    <cellStyle name="Normal 57 7 2 7 2" xfId="11041" xr:uid="{00000000-0005-0000-0000-00004D940000}"/>
    <cellStyle name="Normal 57 7 2 7 2 2" xfId="36596" xr:uid="{00000000-0005-0000-0000-00004E940000}"/>
    <cellStyle name="Normal 57 7 2 7 3" xfId="21045" xr:uid="{00000000-0005-0000-0000-00004F940000}"/>
    <cellStyle name="Normal 57 7 2 7 3 2" xfId="46598" xr:uid="{00000000-0005-0000-0000-000050940000}"/>
    <cellStyle name="Normal 57 7 2 7 4" xfId="27528" xr:uid="{00000000-0005-0000-0000-000051940000}"/>
    <cellStyle name="Normal 57 7 2 8" xfId="5848" xr:uid="{00000000-0005-0000-0000-000052940000}"/>
    <cellStyle name="Normal 57 7 2 8 2" xfId="14675" xr:uid="{00000000-0005-0000-0000-000053940000}"/>
    <cellStyle name="Normal 57 7 2 8 2 2" xfId="40230" xr:uid="{00000000-0005-0000-0000-000054940000}"/>
    <cellStyle name="Normal 57 7 2 8 3" xfId="24926" xr:uid="{00000000-0005-0000-0000-000055940000}"/>
    <cellStyle name="Normal 57 7 2 8 3 2" xfId="50479" xr:uid="{00000000-0005-0000-0000-000056940000}"/>
    <cellStyle name="Normal 57 7 2 8 4" xfId="31409" xr:uid="{00000000-0005-0000-0000-000057940000}"/>
    <cellStyle name="Normal 57 7 2 9" xfId="7292" xr:uid="{00000000-0005-0000-0000-000058940000}"/>
    <cellStyle name="Normal 57 7 2 9 2" xfId="19701" xr:uid="{00000000-0005-0000-0000-000059940000}"/>
    <cellStyle name="Normal 57 7 2 9 2 2" xfId="45254" xr:uid="{00000000-0005-0000-0000-00005A940000}"/>
    <cellStyle name="Normal 57 7 2 9 3" xfId="32849" xr:uid="{00000000-0005-0000-0000-00005B940000}"/>
    <cellStyle name="Normal 57 7 2_Degree data" xfId="3983" xr:uid="{00000000-0005-0000-0000-00005C940000}"/>
    <cellStyle name="Normal 57 7 3" xfId="467" xr:uid="{00000000-0005-0000-0000-00005D940000}"/>
    <cellStyle name="Normal 57 7 3 10" xfId="26396" xr:uid="{00000000-0005-0000-0000-00005E940000}"/>
    <cellStyle name="Normal 57 7 3 2" xfId="878" xr:uid="{00000000-0005-0000-0000-00005F940000}"/>
    <cellStyle name="Normal 57 7 3 2 2" xfId="3363" xr:uid="{00000000-0005-0000-0000-000060940000}"/>
    <cellStyle name="Normal 57 7 3 2 2 2" xfId="12505" xr:uid="{00000000-0005-0000-0000-000061940000}"/>
    <cellStyle name="Normal 57 7 3 2 2 2 2" xfId="22724" xr:uid="{00000000-0005-0000-0000-000062940000}"/>
    <cellStyle name="Normal 57 7 3 2 2 2 2 2" xfId="48277" xr:uid="{00000000-0005-0000-0000-000063940000}"/>
    <cellStyle name="Normal 57 7 3 2 2 2 3" xfId="38060" xr:uid="{00000000-0005-0000-0000-000064940000}"/>
    <cellStyle name="Normal 57 7 3 2 2 3" xfId="8927" xr:uid="{00000000-0005-0000-0000-000065940000}"/>
    <cellStyle name="Normal 57 7 3 2 2 3 2" xfId="34484" xr:uid="{00000000-0005-0000-0000-000066940000}"/>
    <cellStyle name="Normal 57 7 3 2 2 4" xfId="17717" xr:uid="{00000000-0005-0000-0000-000067940000}"/>
    <cellStyle name="Normal 57 7 3 2 2 4 2" xfId="43270" xr:uid="{00000000-0005-0000-0000-000068940000}"/>
    <cellStyle name="Normal 57 7 3 2 2 5" xfId="29207" xr:uid="{00000000-0005-0000-0000-000069940000}"/>
    <cellStyle name="Normal 57 7 3 2 3" xfId="4692" xr:uid="{00000000-0005-0000-0000-00006A940000}"/>
    <cellStyle name="Normal 57 7 3 2 3 2" xfId="13530" xr:uid="{00000000-0005-0000-0000-00006B940000}"/>
    <cellStyle name="Normal 57 7 3 2 3 2 2" xfId="23781" xr:uid="{00000000-0005-0000-0000-00006C940000}"/>
    <cellStyle name="Normal 57 7 3 2 3 2 2 2" xfId="49334" xr:uid="{00000000-0005-0000-0000-00006D940000}"/>
    <cellStyle name="Normal 57 7 3 2 3 2 3" xfId="39085" xr:uid="{00000000-0005-0000-0000-00006E940000}"/>
    <cellStyle name="Normal 57 7 3 2 3 3" xfId="9951" xr:uid="{00000000-0005-0000-0000-00006F940000}"/>
    <cellStyle name="Normal 57 7 3 2 3 3 2" xfId="35508" xr:uid="{00000000-0005-0000-0000-000070940000}"/>
    <cellStyle name="Normal 57 7 3 2 3 4" xfId="18774" xr:uid="{00000000-0005-0000-0000-000071940000}"/>
    <cellStyle name="Normal 57 7 3 2 3 4 2" xfId="44327" xr:uid="{00000000-0005-0000-0000-000072940000}"/>
    <cellStyle name="Normal 57 7 3 2 3 5" xfId="30264" xr:uid="{00000000-0005-0000-0000-000073940000}"/>
    <cellStyle name="Normal 57 7 3 2 4" xfId="2472" xr:uid="{00000000-0005-0000-0000-000074940000}"/>
    <cellStyle name="Normal 57 7 3 2 4 2" xfId="11837" xr:uid="{00000000-0005-0000-0000-000075940000}"/>
    <cellStyle name="Normal 57 7 3 2 4 2 2" xfId="37392" xr:uid="{00000000-0005-0000-0000-000076940000}"/>
    <cellStyle name="Normal 57 7 3 2 4 3" xfId="21841" xr:uid="{00000000-0005-0000-0000-000077940000}"/>
    <cellStyle name="Normal 57 7 3 2 4 3 2" xfId="47394" xr:uid="{00000000-0005-0000-0000-000078940000}"/>
    <cellStyle name="Normal 57 7 3 2 4 4" xfId="28324" xr:uid="{00000000-0005-0000-0000-000079940000}"/>
    <cellStyle name="Normal 57 7 3 2 5" xfId="6148" xr:uid="{00000000-0005-0000-0000-00007A940000}"/>
    <cellStyle name="Normal 57 7 3 2 5 2" xfId="14975" xr:uid="{00000000-0005-0000-0000-00007B940000}"/>
    <cellStyle name="Normal 57 7 3 2 5 2 2" xfId="40530" xr:uid="{00000000-0005-0000-0000-00007C940000}"/>
    <cellStyle name="Normal 57 7 3 2 5 3" xfId="25226" xr:uid="{00000000-0005-0000-0000-00007D940000}"/>
    <cellStyle name="Normal 57 7 3 2 5 3 2" xfId="50779" xr:uid="{00000000-0005-0000-0000-00007E940000}"/>
    <cellStyle name="Normal 57 7 3 2 5 4" xfId="31709" xr:uid="{00000000-0005-0000-0000-00007F940000}"/>
    <cellStyle name="Normal 57 7 3 2 6" xfId="7593" xr:uid="{00000000-0005-0000-0000-000080940000}"/>
    <cellStyle name="Normal 57 7 3 2 6 2" xfId="20323" xr:uid="{00000000-0005-0000-0000-000081940000}"/>
    <cellStyle name="Normal 57 7 3 2 6 2 2" xfId="45876" xr:uid="{00000000-0005-0000-0000-000082940000}"/>
    <cellStyle name="Normal 57 7 3 2 6 3" xfId="33150" xr:uid="{00000000-0005-0000-0000-000083940000}"/>
    <cellStyle name="Normal 57 7 3 2 7" xfId="16834" xr:uid="{00000000-0005-0000-0000-000084940000}"/>
    <cellStyle name="Normal 57 7 3 2 7 2" xfId="42387" xr:uid="{00000000-0005-0000-0000-000085940000}"/>
    <cellStyle name="Normal 57 7 3 2 8" xfId="26806" xr:uid="{00000000-0005-0000-0000-000086940000}"/>
    <cellStyle name="Normal 57 7 3 3" xfId="1239" xr:uid="{00000000-0005-0000-0000-000087940000}"/>
    <cellStyle name="Normal 57 7 3 3 2" xfId="3668" xr:uid="{00000000-0005-0000-0000-000088940000}"/>
    <cellStyle name="Normal 57 7 3 3 2 2" xfId="12804" xr:uid="{00000000-0005-0000-0000-000089940000}"/>
    <cellStyle name="Normal 57 7 3 3 2 2 2" xfId="23023" xr:uid="{00000000-0005-0000-0000-00008A940000}"/>
    <cellStyle name="Normal 57 7 3 3 2 2 2 2" xfId="48576" xr:uid="{00000000-0005-0000-0000-00008B940000}"/>
    <cellStyle name="Normal 57 7 3 3 2 2 3" xfId="38359" xr:uid="{00000000-0005-0000-0000-00008C940000}"/>
    <cellStyle name="Normal 57 7 3 3 2 3" xfId="9225" xr:uid="{00000000-0005-0000-0000-00008D940000}"/>
    <cellStyle name="Normal 57 7 3 3 2 3 2" xfId="34782" xr:uid="{00000000-0005-0000-0000-00008E940000}"/>
    <cellStyle name="Normal 57 7 3 3 2 4" xfId="18016" xr:uid="{00000000-0005-0000-0000-00008F940000}"/>
    <cellStyle name="Normal 57 7 3 3 2 4 2" xfId="43569" xr:uid="{00000000-0005-0000-0000-000090940000}"/>
    <cellStyle name="Normal 57 7 3 3 2 5" xfId="29506" xr:uid="{00000000-0005-0000-0000-000091940000}"/>
    <cellStyle name="Normal 57 7 3 3 3" xfId="5041" xr:uid="{00000000-0005-0000-0000-000092940000}"/>
    <cellStyle name="Normal 57 7 3 3 3 2" xfId="13878" xr:uid="{00000000-0005-0000-0000-000093940000}"/>
    <cellStyle name="Normal 57 7 3 3 3 2 2" xfId="24129" xr:uid="{00000000-0005-0000-0000-000094940000}"/>
    <cellStyle name="Normal 57 7 3 3 3 2 2 2" xfId="49682" xr:uid="{00000000-0005-0000-0000-000095940000}"/>
    <cellStyle name="Normal 57 7 3 3 3 2 3" xfId="39433" xr:uid="{00000000-0005-0000-0000-000096940000}"/>
    <cellStyle name="Normal 57 7 3 3 3 3" xfId="10299" xr:uid="{00000000-0005-0000-0000-000097940000}"/>
    <cellStyle name="Normal 57 7 3 3 3 3 2" xfId="35856" xr:uid="{00000000-0005-0000-0000-000098940000}"/>
    <cellStyle name="Normal 57 7 3 3 3 4" xfId="19122" xr:uid="{00000000-0005-0000-0000-000099940000}"/>
    <cellStyle name="Normal 57 7 3 3 3 4 2" xfId="44675" xr:uid="{00000000-0005-0000-0000-00009A940000}"/>
    <cellStyle name="Normal 57 7 3 3 3 5" xfId="30612" xr:uid="{00000000-0005-0000-0000-00009B940000}"/>
    <cellStyle name="Normal 57 7 3 3 4" xfId="2062" xr:uid="{00000000-0005-0000-0000-00009C940000}"/>
    <cellStyle name="Normal 57 7 3 3 4 2" xfId="11427" xr:uid="{00000000-0005-0000-0000-00009D940000}"/>
    <cellStyle name="Normal 57 7 3 3 4 2 2" xfId="36982" xr:uid="{00000000-0005-0000-0000-00009E940000}"/>
    <cellStyle name="Normal 57 7 3 3 4 3" xfId="21431" xr:uid="{00000000-0005-0000-0000-00009F940000}"/>
    <cellStyle name="Normal 57 7 3 3 4 3 2" xfId="46984" xr:uid="{00000000-0005-0000-0000-0000A0940000}"/>
    <cellStyle name="Normal 57 7 3 3 4 4" xfId="27914" xr:uid="{00000000-0005-0000-0000-0000A1940000}"/>
    <cellStyle name="Normal 57 7 3 3 5" xfId="6496" xr:uid="{00000000-0005-0000-0000-0000A2940000}"/>
    <cellStyle name="Normal 57 7 3 3 5 2" xfId="15323" xr:uid="{00000000-0005-0000-0000-0000A3940000}"/>
    <cellStyle name="Normal 57 7 3 3 5 2 2" xfId="40878" xr:uid="{00000000-0005-0000-0000-0000A4940000}"/>
    <cellStyle name="Normal 57 7 3 3 5 3" xfId="25574" xr:uid="{00000000-0005-0000-0000-0000A5940000}"/>
    <cellStyle name="Normal 57 7 3 3 5 3 2" xfId="51127" xr:uid="{00000000-0005-0000-0000-0000A6940000}"/>
    <cellStyle name="Normal 57 7 3 3 5 4" xfId="32057" xr:uid="{00000000-0005-0000-0000-0000A7940000}"/>
    <cellStyle name="Normal 57 7 3 3 6" xfId="7942" xr:uid="{00000000-0005-0000-0000-0000A8940000}"/>
    <cellStyle name="Normal 57 7 3 3 6 2" xfId="20622" xr:uid="{00000000-0005-0000-0000-0000A9940000}"/>
    <cellStyle name="Normal 57 7 3 3 6 2 2" xfId="46175" xr:uid="{00000000-0005-0000-0000-0000AA940000}"/>
    <cellStyle name="Normal 57 7 3 3 6 3" xfId="33499" xr:uid="{00000000-0005-0000-0000-0000AB940000}"/>
    <cellStyle name="Normal 57 7 3 3 7" xfId="16424" xr:uid="{00000000-0005-0000-0000-0000AC940000}"/>
    <cellStyle name="Normal 57 7 3 3 7 2" xfId="41977" xr:uid="{00000000-0005-0000-0000-0000AD940000}"/>
    <cellStyle name="Normal 57 7 3 3 8" xfId="27105" xr:uid="{00000000-0005-0000-0000-0000AE940000}"/>
    <cellStyle name="Normal 57 7 3 4" xfId="2953" xr:uid="{00000000-0005-0000-0000-0000AF940000}"/>
    <cellStyle name="Normal 57 7 3 4 2" xfId="5331" xr:uid="{00000000-0005-0000-0000-0000B0940000}"/>
    <cellStyle name="Normal 57 7 3 4 2 2" xfId="14168" xr:uid="{00000000-0005-0000-0000-0000B1940000}"/>
    <cellStyle name="Normal 57 7 3 4 2 2 2" xfId="24419" xr:uid="{00000000-0005-0000-0000-0000B2940000}"/>
    <cellStyle name="Normal 57 7 3 4 2 2 2 2" xfId="49972" xr:uid="{00000000-0005-0000-0000-0000B3940000}"/>
    <cellStyle name="Normal 57 7 3 4 2 2 3" xfId="39723" xr:uid="{00000000-0005-0000-0000-0000B4940000}"/>
    <cellStyle name="Normal 57 7 3 4 2 3" xfId="10589" xr:uid="{00000000-0005-0000-0000-0000B5940000}"/>
    <cellStyle name="Normal 57 7 3 4 2 3 2" xfId="36146" xr:uid="{00000000-0005-0000-0000-0000B6940000}"/>
    <cellStyle name="Normal 57 7 3 4 2 4" xfId="19412" xr:uid="{00000000-0005-0000-0000-0000B7940000}"/>
    <cellStyle name="Normal 57 7 3 4 2 4 2" xfId="44965" xr:uid="{00000000-0005-0000-0000-0000B8940000}"/>
    <cellStyle name="Normal 57 7 3 4 2 5" xfId="30902" xr:uid="{00000000-0005-0000-0000-0000B9940000}"/>
    <cellStyle name="Normal 57 7 3 4 3" xfId="6786" xr:uid="{00000000-0005-0000-0000-0000BA940000}"/>
    <cellStyle name="Normal 57 7 3 4 3 2" xfId="15613" xr:uid="{00000000-0005-0000-0000-0000BB940000}"/>
    <cellStyle name="Normal 57 7 3 4 3 2 2" xfId="41168" xr:uid="{00000000-0005-0000-0000-0000BC940000}"/>
    <cellStyle name="Normal 57 7 3 4 3 3" xfId="25864" xr:uid="{00000000-0005-0000-0000-0000BD940000}"/>
    <cellStyle name="Normal 57 7 3 4 3 3 2" xfId="51417" xr:uid="{00000000-0005-0000-0000-0000BE940000}"/>
    <cellStyle name="Normal 57 7 3 4 3 4" xfId="32347" xr:uid="{00000000-0005-0000-0000-0000BF940000}"/>
    <cellStyle name="Normal 57 7 3 4 4" xfId="8232" xr:uid="{00000000-0005-0000-0000-0000C0940000}"/>
    <cellStyle name="Normal 57 7 3 4 4 2" xfId="22314" xr:uid="{00000000-0005-0000-0000-0000C1940000}"/>
    <cellStyle name="Normal 57 7 3 4 4 2 2" xfId="47867" xr:uid="{00000000-0005-0000-0000-0000C2940000}"/>
    <cellStyle name="Normal 57 7 3 4 4 3" xfId="33789" xr:uid="{00000000-0005-0000-0000-0000C3940000}"/>
    <cellStyle name="Normal 57 7 3 4 5" xfId="17307" xr:uid="{00000000-0005-0000-0000-0000C4940000}"/>
    <cellStyle name="Normal 57 7 3 4 5 2" xfId="42860" xr:uid="{00000000-0005-0000-0000-0000C5940000}"/>
    <cellStyle name="Normal 57 7 3 4 6" xfId="28797" xr:uid="{00000000-0005-0000-0000-0000C6940000}"/>
    <cellStyle name="Normal 57 7 3 5" xfId="4287" xr:uid="{00000000-0005-0000-0000-0000C7940000}"/>
    <cellStyle name="Normal 57 7 3 5 2" xfId="13125" xr:uid="{00000000-0005-0000-0000-0000C8940000}"/>
    <cellStyle name="Normal 57 7 3 5 2 2" xfId="23376" xr:uid="{00000000-0005-0000-0000-0000C9940000}"/>
    <cellStyle name="Normal 57 7 3 5 2 2 2" xfId="48929" xr:uid="{00000000-0005-0000-0000-0000CA940000}"/>
    <cellStyle name="Normal 57 7 3 5 2 3" xfId="38680" xr:uid="{00000000-0005-0000-0000-0000CB940000}"/>
    <cellStyle name="Normal 57 7 3 5 3" xfId="9546" xr:uid="{00000000-0005-0000-0000-0000CC940000}"/>
    <cellStyle name="Normal 57 7 3 5 3 2" xfId="35103" xr:uid="{00000000-0005-0000-0000-0000CD940000}"/>
    <cellStyle name="Normal 57 7 3 5 4" xfId="18369" xr:uid="{00000000-0005-0000-0000-0000CE940000}"/>
    <cellStyle name="Normal 57 7 3 5 4 2" xfId="43922" xr:uid="{00000000-0005-0000-0000-0000CF940000}"/>
    <cellStyle name="Normal 57 7 3 5 5" xfId="29859" xr:uid="{00000000-0005-0000-0000-0000D0940000}"/>
    <cellStyle name="Normal 57 7 3 6" xfId="1559" xr:uid="{00000000-0005-0000-0000-0000D1940000}"/>
    <cellStyle name="Normal 57 7 3 6 2" xfId="10936" xr:uid="{00000000-0005-0000-0000-0000D2940000}"/>
    <cellStyle name="Normal 57 7 3 6 2 2" xfId="36491" xr:uid="{00000000-0005-0000-0000-0000D3940000}"/>
    <cellStyle name="Normal 57 7 3 6 3" xfId="20940" xr:uid="{00000000-0005-0000-0000-0000D4940000}"/>
    <cellStyle name="Normal 57 7 3 6 3 2" xfId="46493" xr:uid="{00000000-0005-0000-0000-0000D5940000}"/>
    <cellStyle name="Normal 57 7 3 6 4" xfId="27423" xr:uid="{00000000-0005-0000-0000-0000D6940000}"/>
    <cellStyle name="Normal 57 7 3 7" xfId="5743" xr:uid="{00000000-0005-0000-0000-0000D7940000}"/>
    <cellStyle name="Normal 57 7 3 7 2" xfId="14570" xr:uid="{00000000-0005-0000-0000-0000D8940000}"/>
    <cellStyle name="Normal 57 7 3 7 2 2" xfId="40125" xr:uid="{00000000-0005-0000-0000-0000D9940000}"/>
    <cellStyle name="Normal 57 7 3 7 3" xfId="24821" xr:uid="{00000000-0005-0000-0000-0000DA940000}"/>
    <cellStyle name="Normal 57 7 3 7 3 2" xfId="50374" xr:uid="{00000000-0005-0000-0000-0000DB940000}"/>
    <cellStyle name="Normal 57 7 3 7 4" xfId="31304" xr:uid="{00000000-0005-0000-0000-0000DC940000}"/>
    <cellStyle name="Normal 57 7 3 8" xfId="7187" xr:uid="{00000000-0005-0000-0000-0000DD940000}"/>
    <cellStyle name="Normal 57 7 3 8 2" xfId="19913" xr:uid="{00000000-0005-0000-0000-0000DE940000}"/>
    <cellStyle name="Normal 57 7 3 8 2 2" xfId="45466" xr:uid="{00000000-0005-0000-0000-0000DF940000}"/>
    <cellStyle name="Normal 57 7 3 8 3" xfId="32744" xr:uid="{00000000-0005-0000-0000-0000E0940000}"/>
    <cellStyle name="Normal 57 7 3 9" xfId="15933" xr:uid="{00000000-0005-0000-0000-0000E1940000}"/>
    <cellStyle name="Normal 57 7 3 9 2" xfId="41486" xr:uid="{00000000-0005-0000-0000-0000E2940000}"/>
    <cellStyle name="Normal 57 7 3_Degree data" xfId="3984" xr:uid="{00000000-0005-0000-0000-0000E3940000}"/>
    <cellStyle name="Normal 57 7 4" xfId="367" xr:uid="{00000000-0005-0000-0000-0000E4940000}"/>
    <cellStyle name="Normal 57 7 4 2" xfId="2853" xr:uid="{00000000-0005-0000-0000-0000E5940000}"/>
    <cellStyle name="Normal 57 7 4 2 2" xfId="12141" xr:uid="{00000000-0005-0000-0000-0000E6940000}"/>
    <cellStyle name="Normal 57 7 4 2 2 2" xfId="22214" xr:uid="{00000000-0005-0000-0000-0000E7940000}"/>
    <cellStyle name="Normal 57 7 4 2 2 2 2" xfId="47767" xr:uid="{00000000-0005-0000-0000-0000E8940000}"/>
    <cellStyle name="Normal 57 7 4 2 2 3" xfId="37696" xr:uid="{00000000-0005-0000-0000-0000E9940000}"/>
    <cellStyle name="Normal 57 7 4 2 3" xfId="8612" xr:uid="{00000000-0005-0000-0000-0000EA940000}"/>
    <cellStyle name="Normal 57 7 4 2 3 2" xfId="34169" xr:uid="{00000000-0005-0000-0000-0000EB940000}"/>
    <cellStyle name="Normal 57 7 4 2 4" xfId="17207" xr:uid="{00000000-0005-0000-0000-0000EC940000}"/>
    <cellStyle name="Normal 57 7 4 2 4 2" xfId="42760" xr:uid="{00000000-0005-0000-0000-0000ED940000}"/>
    <cellStyle name="Normal 57 7 4 2 5" xfId="28697" xr:uid="{00000000-0005-0000-0000-0000EE940000}"/>
    <cellStyle name="Normal 57 7 4 3" xfId="4690" xr:uid="{00000000-0005-0000-0000-0000EF940000}"/>
    <cellStyle name="Normal 57 7 4 3 2" xfId="13528" xr:uid="{00000000-0005-0000-0000-0000F0940000}"/>
    <cellStyle name="Normal 57 7 4 3 2 2" xfId="23779" xr:uid="{00000000-0005-0000-0000-0000F1940000}"/>
    <cellStyle name="Normal 57 7 4 3 2 2 2" xfId="49332" xr:uid="{00000000-0005-0000-0000-0000F2940000}"/>
    <cellStyle name="Normal 57 7 4 3 2 3" xfId="39083" xr:uid="{00000000-0005-0000-0000-0000F3940000}"/>
    <cellStyle name="Normal 57 7 4 3 3" xfId="9949" xr:uid="{00000000-0005-0000-0000-0000F4940000}"/>
    <cellStyle name="Normal 57 7 4 3 3 2" xfId="35506" xr:uid="{00000000-0005-0000-0000-0000F5940000}"/>
    <cellStyle name="Normal 57 7 4 3 4" xfId="18772" xr:uid="{00000000-0005-0000-0000-0000F6940000}"/>
    <cellStyle name="Normal 57 7 4 3 4 2" xfId="44325" xr:uid="{00000000-0005-0000-0000-0000F7940000}"/>
    <cellStyle name="Normal 57 7 4 3 5" xfId="30262" xr:uid="{00000000-0005-0000-0000-0000F8940000}"/>
    <cellStyle name="Normal 57 7 4 4" xfId="1962" xr:uid="{00000000-0005-0000-0000-0000F9940000}"/>
    <cellStyle name="Normal 57 7 4 4 2" xfId="11327" xr:uid="{00000000-0005-0000-0000-0000FA940000}"/>
    <cellStyle name="Normal 57 7 4 4 2 2" xfId="36882" xr:uid="{00000000-0005-0000-0000-0000FB940000}"/>
    <cellStyle name="Normal 57 7 4 4 3" xfId="21331" xr:uid="{00000000-0005-0000-0000-0000FC940000}"/>
    <cellStyle name="Normal 57 7 4 4 3 2" xfId="46884" xr:uid="{00000000-0005-0000-0000-0000FD940000}"/>
    <cellStyle name="Normal 57 7 4 4 4" xfId="27814" xr:uid="{00000000-0005-0000-0000-0000FE940000}"/>
    <cellStyle name="Normal 57 7 4 5" xfId="6146" xr:uid="{00000000-0005-0000-0000-0000FF940000}"/>
    <cellStyle name="Normal 57 7 4 5 2" xfId="14973" xr:uid="{00000000-0005-0000-0000-000000950000}"/>
    <cellStyle name="Normal 57 7 4 5 2 2" xfId="40528" xr:uid="{00000000-0005-0000-0000-000001950000}"/>
    <cellStyle name="Normal 57 7 4 5 3" xfId="25224" xr:uid="{00000000-0005-0000-0000-000002950000}"/>
    <cellStyle name="Normal 57 7 4 5 3 2" xfId="50777" xr:uid="{00000000-0005-0000-0000-000003950000}"/>
    <cellStyle name="Normal 57 7 4 5 4" xfId="31707" xr:uid="{00000000-0005-0000-0000-000004950000}"/>
    <cellStyle name="Normal 57 7 4 6" xfId="7591" xr:uid="{00000000-0005-0000-0000-000005950000}"/>
    <cellStyle name="Normal 57 7 4 6 2" xfId="19813" xr:uid="{00000000-0005-0000-0000-000006950000}"/>
    <cellStyle name="Normal 57 7 4 6 2 2" xfId="45366" xr:uid="{00000000-0005-0000-0000-000007950000}"/>
    <cellStyle name="Normal 57 7 4 6 3" xfId="33148" xr:uid="{00000000-0005-0000-0000-000008950000}"/>
    <cellStyle name="Normal 57 7 4 7" xfId="16324" xr:uid="{00000000-0005-0000-0000-000009950000}"/>
    <cellStyle name="Normal 57 7 4 7 2" xfId="41877" xr:uid="{00000000-0005-0000-0000-00000A950000}"/>
    <cellStyle name="Normal 57 7 4 8" xfId="26296" xr:uid="{00000000-0005-0000-0000-00000B950000}"/>
    <cellStyle name="Normal 57 7 5" xfId="876" xr:uid="{00000000-0005-0000-0000-00000C950000}"/>
    <cellStyle name="Normal 57 7 5 2" xfId="3361" xr:uid="{00000000-0005-0000-0000-00000D950000}"/>
    <cellStyle name="Normal 57 7 5 2 2" xfId="12503" xr:uid="{00000000-0005-0000-0000-00000E950000}"/>
    <cellStyle name="Normal 57 7 5 2 2 2" xfId="22722" xr:uid="{00000000-0005-0000-0000-00000F950000}"/>
    <cellStyle name="Normal 57 7 5 2 2 2 2" xfId="48275" xr:uid="{00000000-0005-0000-0000-000010950000}"/>
    <cellStyle name="Normal 57 7 5 2 2 3" xfId="38058" xr:uid="{00000000-0005-0000-0000-000011950000}"/>
    <cellStyle name="Normal 57 7 5 2 3" xfId="8925" xr:uid="{00000000-0005-0000-0000-000012950000}"/>
    <cellStyle name="Normal 57 7 5 2 3 2" xfId="34482" xr:uid="{00000000-0005-0000-0000-000013950000}"/>
    <cellStyle name="Normal 57 7 5 2 4" xfId="17715" xr:uid="{00000000-0005-0000-0000-000014950000}"/>
    <cellStyle name="Normal 57 7 5 2 4 2" xfId="43268" xr:uid="{00000000-0005-0000-0000-000015950000}"/>
    <cellStyle name="Normal 57 7 5 2 5" xfId="29205" xr:uid="{00000000-0005-0000-0000-000016950000}"/>
    <cellStyle name="Normal 57 7 5 3" xfId="5039" xr:uid="{00000000-0005-0000-0000-000017950000}"/>
    <cellStyle name="Normal 57 7 5 3 2" xfId="13876" xr:uid="{00000000-0005-0000-0000-000018950000}"/>
    <cellStyle name="Normal 57 7 5 3 2 2" xfId="24127" xr:uid="{00000000-0005-0000-0000-000019950000}"/>
    <cellStyle name="Normal 57 7 5 3 2 2 2" xfId="49680" xr:uid="{00000000-0005-0000-0000-00001A950000}"/>
    <cellStyle name="Normal 57 7 5 3 2 3" xfId="39431" xr:uid="{00000000-0005-0000-0000-00001B950000}"/>
    <cellStyle name="Normal 57 7 5 3 3" xfId="10297" xr:uid="{00000000-0005-0000-0000-00001C950000}"/>
    <cellStyle name="Normal 57 7 5 3 3 2" xfId="35854" xr:uid="{00000000-0005-0000-0000-00001D950000}"/>
    <cellStyle name="Normal 57 7 5 3 4" xfId="19120" xr:uid="{00000000-0005-0000-0000-00001E950000}"/>
    <cellStyle name="Normal 57 7 5 3 4 2" xfId="44673" xr:uid="{00000000-0005-0000-0000-00001F950000}"/>
    <cellStyle name="Normal 57 7 5 3 5" xfId="30610" xr:uid="{00000000-0005-0000-0000-000020950000}"/>
    <cellStyle name="Normal 57 7 5 4" xfId="2470" xr:uid="{00000000-0005-0000-0000-000021950000}"/>
    <cellStyle name="Normal 57 7 5 4 2" xfId="11835" xr:uid="{00000000-0005-0000-0000-000022950000}"/>
    <cellStyle name="Normal 57 7 5 4 2 2" xfId="37390" xr:uid="{00000000-0005-0000-0000-000023950000}"/>
    <cellStyle name="Normal 57 7 5 4 3" xfId="21839" xr:uid="{00000000-0005-0000-0000-000024950000}"/>
    <cellStyle name="Normal 57 7 5 4 3 2" xfId="47392" xr:uid="{00000000-0005-0000-0000-000025950000}"/>
    <cellStyle name="Normal 57 7 5 4 4" xfId="28322" xr:uid="{00000000-0005-0000-0000-000026950000}"/>
    <cellStyle name="Normal 57 7 5 5" xfId="6494" xr:uid="{00000000-0005-0000-0000-000027950000}"/>
    <cellStyle name="Normal 57 7 5 5 2" xfId="15321" xr:uid="{00000000-0005-0000-0000-000028950000}"/>
    <cellStyle name="Normal 57 7 5 5 2 2" xfId="40876" xr:uid="{00000000-0005-0000-0000-000029950000}"/>
    <cellStyle name="Normal 57 7 5 5 3" xfId="25572" xr:uid="{00000000-0005-0000-0000-00002A950000}"/>
    <cellStyle name="Normal 57 7 5 5 3 2" xfId="51125" xr:uid="{00000000-0005-0000-0000-00002B950000}"/>
    <cellStyle name="Normal 57 7 5 5 4" xfId="32055" xr:uid="{00000000-0005-0000-0000-00002C950000}"/>
    <cellStyle name="Normal 57 7 5 6" xfId="7940" xr:uid="{00000000-0005-0000-0000-00002D950000}"/>
    <cellStyle name="Normal 57 7 5 6 2" xfId="20321" xr:uid="{00000000-0005-0000-0000-00002E950000}"/>
    <cellStyle name="Normal 57 7 5 6 2 2" xfId="45874" xr:uid="{00000000-0005-0000-0000-00002F950000}"/>
    <cellStyle name="Normal 57 7 5 6 3" xfId="33497" xr:uid="{00000000-0005-0000-0000-000030950000}"/>
    <cellStyle name="Normal 57 7 5 7" xfId="16832" xr:uid="{00000000-0005-0000-0000-000031950000}"/>
    <cellStyle name="Normal 57 7 5 7 2" xfId="42385" xr:uid="{00000000-0005-0000-0000-000032950000}"/>
    <cellStyle name="Normal 57 7 5 8" xfId="26804" xr:uid="{00000000-0005-0000-0000-000033950000}"/>
    <cellStyle name="Normal 57 7 6" xfId="1139" xr:uid="{00000000-0005-0000-0000-000034950000}"/>
    <cellStyle name="Normal 57 7 6 2" xfId="3568" xr:uid="{00000000-0005-0000-0000-000035950000}"/>
    <cellStyle name="Normal 57 7 6 2 2" xfId="12704" xr:uid="{00000000-0005-0000-0000-000036950000}"/>
    <cellStyle name="Normal 57 7 6 2 2 2" xfId="22923" xr:uid="{00000000-0005-0000-0000-000037950000}"/>
    <cellStyle name="Normal 57 7 6 2 2 2 2" xfId="48476" xr:uid="{00000000-0005-0000-0000-000038950000}"/>
    <cellStyle name="Normal 57 7 6 2 2 3" xfId="38259" xr:uid="{00000000-0005-0000-0000-000039950000}"/>
    <cellStyle name="Normal 57 7 6 2 3" xfId="9125" xr:uid="{00000000-0005-0000-0000-00003A950000}"/>
    <cellStyle name="Normal 57 7 6 2 3 2" xfId="34682" xr:uid="{00000000-0005-0000-0000-00003B950000}"/>
    <cellStyle name="Normal 57 7 6 2 4" xfId="17916" xr:uid="{00000000-0005-0000-0000-00003C950000}"/>
    <cellStyle name="Normal 57 7 6 2 4 2" xfId="43469" xr:uid="{00000000-0005-0000-0000-00003D950000}"/>
    <cellStyle name="Normal 57 7 6 2 5" xfId="29406" xr:uid="{00000000-0005-0000-0000-00003E950000}"/>
    <cellStyle name="Normal 57 7 6 3" xfId="5231" xr:uid="{00000000-0005-0000-0000-00003F950000}"/>
    <cellStyle name="Normal 57 7 6 3 2" xfId="14068" xr:uid="{00000000-0005-0000-0000-000040950000}"/>
    <cellStyle name="Normal 57 7 6 3 2 2" xfId="24319" xr:uid="{00000000-0005-0000-0000-000041950000}"/>
    <cellStyle name="Normal 57 7 6 3 2 2 2" xfId="49872" xr:uid="{00000000-0005-0000-0000-000042950000}"/>
    <cellStyle name="Normal 57 7 6 3 2 3" xfId="39623" xr:uid="{00000000-0005-0000-0000-000043950000}"/>
    <cellStyle name="Normal 57 7 6 3 3" xfId="10489" xr:uid="{00000000-0005-0000-0000-000044950000}"/>
    <cellStyle name="Normal 57 7 6 3 3 2" xfId="36046" xr:uid="{00000000-0005-0000-0000-000045950000}"/>
    <cellStyle name="Normal 57 7 6 3 4" xfId="19312" xr:uid="{00000000-0005-0000-0000-000046950000}"/>
    <cellStyle name="Normal 57 7 6 3 4 2" xfId="44865" xr:uid="{00000000-0005-0000-0000-000047950000}"/>
    <cellStyle name="Normal 57 7 6 3 5" xfId="30802" xr:uid="{00000000-0005-0000-0000-000048950000}"/>
    <cellStyle name="Normal 57 7 6 4" xfId="1738" xr:uid="{00000000-0005-0000-0000-000049950000}"/>
    <cellStyle name="Normal 57 7 6 4 2" xfId="11109" xr:uid="{00000000-0005-0000-0000-00004A950000}"/>
    <cellStyle name="Normal 57 7 6 4 2 2" xfId="36664" xr:uid="{00000000-0005-0000-0000-00004B950000}"/>
    <cellStyle name="Normal 57 7 6 4 3" xfId="21113" xr:uid="{00000000-0005-0000-0000-00004C950000}"/>
    <cellStyle name="Normal 57 7 6 4 3 2" xfId="46666" xr:uid="{00000000-0005-0000-0000-00004D950000}"/>
    <cellStyle name="Normal 57 7 6 4 4" xfId="27596" xr:uid="{00000000-0005-0000-0000-00004E950000}"/>
    <cellStyle name="Normal 57 7 6 5" xfId="6686" xr:uid="{00000000-0005-0000-0000-00004F950000}"/>
    <cellStyle name="Normal 57 7 6 5 2" xfId="15513" xr:uid="{00000000-0005-0000-0000-000050950000}"/>
    <cellStyle name="Normal 57 7 6 5 2 2" xfId="41068" xr:uid="{00000000-0005-0000-0000-000051950000}"/>
    <cellStyle name="Normal 57 7 6 5 3" xfId="25764" xr:uid="{00000000-0005-0000-0000-000052950000}"/>
    <cellStyle name="Normal 57 7 6 5 3 2" xfId="51317" xr:uid="{00000000-0005-0000-0000-000053950000}"/>
    <cellStyle name="Normal 57 7 6 5 4" xfId="32247" xr:uid="{00000000-0005-0000-0000-000054950000}"/>
    <cellStyle name="Normal 57 7 6 6" xfId="8132" xr:uid="{00000000-0005-0000-0000-000055950000}"/>
    <cellStyle name="Normal 57 7 6 6 2" xfId="20522" xr:uid="{00000000-0005-0000-0000-000056950000}"/>
    <cellStyle name="Normal 57 7 6 6 2 2" xfId="46075" xr:uid="{00000000-0005-0000-0000-000057950000}"/>
    <cellStyle name="Normal 57 7 6 6 3" xfId="33689" xr:uid="{00000000-0005-0000-0000-000058950000}"/>
    <cellStyle name="Normal 57 7 6 7" xfId="16106" xr:uid="{00000000-0005-0000-0000-000059950000}"/>
    <cellStyle name="Normal 57 7 6 7 2" xfId="41659" xr:uid="{00000000-0005-0000-0000-00005A950000}"/>
    <cellStyle name="Normal 57 7 6 8" xfId="27005" xr:uid="{00000000-0005-0000-0000-00005B950000}"/>
    <cellStyle name="Normal 57 7 7" xfId="2636" xr:uid="{00000000-0005-0000-0000-00005C950000}"/>
    <cellStyle name="Normal 57 7 7 2" xfId="11968" xr:uid="{00000000-0005-0000-0000-00005D950000}"/>
    <cellStyle name="Normal 57 7 7 2 2" xfId="21997" xr:uid="{00000000-0005-0000-0000-00005E950000}"/>
    <cellStyle name="Normal 57 7 7 2 2 2" xfId="47550" xr:uid="{00000000-0005-0000-0000-00005F950000}"/>
    <cellStyle name="Normal 57 7 7 2 3" xfId="37523" xr:uid="{00000000-0005-0000-0000-000060950000}"/>
    <cellStyle name="Normal 57 7 7 3" xfId="8388" xr:uid="{00000000-0005-0000-0000-000061950000}"/>
    <cellStyle name="Normal 57 7 7 3 2" xfId="33945" xr:uid="{00000000-0005-0000-0000-000062950000}"/>
    <cellStyle name="Normal 57 7 7 4" xfId="16990" xr:uid="{00000000-0005-0000-0000-000063950000}"/>
    <cellStyle name="Normal 57 7 7 4 2" xfId="42543" xr:uid="{00000000-0005-0000-0000-000064950000}"/>
    <cellStyle name="Normal 57 7 7 5" xfId="28480" xr:uid="{00000000-0005-0000-0000-000065950000}"/>
    <cellStyle name="Normal 57 7 8" xfId="4187" xr:uid="{00000000-0005-0000-0000-000066950000}"/>
    <cellStyle name="Normal 57 7 8 2" xfId="13025" xr:uid="{00000000-0005-0000-0000-000067950000}"/>
    <cellStyle name="Normal 57 7 8 2 2" xfId="23276" xr:uid="{00000000-0005-0000-0000-000068950000}"/>
    <cellStyle name="Normal 57 7 8 2 2 2" xfId="48829" xr:uid="{00000000-0005-0000-0000-000069950000}"/>
    <cellStyle name="Normal 57 7 8 2 3" xfId="38580" xr:uid="{00000000-0005-0000-0000-00006A950000}"/>
    <cellStyle name="Normal 57 7 8 3" xfId="9446" xr:uid="{00000000-0005-0000-0000-00006B950000}"/>
    <cellStyle name="Normal 57 7 8 3 2" xfId="35003" xr:uid="{00000000-0005-0000-0000-00006C950000}"/>
    <cellStyle name="Normal 57 7 8 4" xfId="18269" xr:uid="{00000000-0005-0000-0000-00006D950000}"/>
    <cellStyle name="Normal 57 7 8 4 2" xfId="43822" xr:uid="{00000000-0005-0000-0000-00006E950000}"/>
    <cellStyle name="Normal 57 7 8 5" xfId="29759" xr:uid="{00000000-0005-0000-0000-00006F950000}"/>
    <cellStyle name="Normal 57 7 9" xfId="1459" xr:uid="{00000000-0005-0000-0000-000070950000}"/>
    <cellStyle name="Normal 57 7 9 2" xfId="10836" xr:uid="{00000000-0005-0000-0000-000071950000}"/>
    <cellStyle name="Normal 57 7 9 2 2" xfId="36391" xr:uid="{00000000-0005-0000-0000-000072950000}"/>
    <cellStyle name="Normal 57 7 9 3" xfId="20840" xr:uid="{00000000-0005-0000-0000-000073950000}"/>
    <cellStyle name="Normal 57 7 9 3 2" xfId="46393" xr:uid="{00000000-0005-0000-0000-000074950000}"/>
    <cellStyle name="Normal 57 7 9 4" xfId="27323" xr:uid="{00000000-0005-0000-0000-000075950000}"/>
    <cellStyle name="Normal 57 7_Degree data" xfId="3982" xr:uid="{00000000-0005-0000-0000-000076950000}"/>
    <cellStyle name="Normal 57 8" xfId="169" xr:uid="{00000000-0005-0000-0000-000077950000}"/>
    <cellStyle name="Normal 57 8 10" xfId="7117" xr:uid="{00000000-0005-0000-0000-000078950000}"/>
    <cellStyle name="Normal 57 8 10 2" xfId="19626" xr:uid="{00000000-0005-0000-0000-000079950000}"/>
    <cellStyle name="Normal 57 8 10 2 2" xfId="45179" xr:uid="{00000000-0005-0000-0000-00007A950000}"/>
    <cellStyle name="Normal 57 8 10 3" xfId="32674" xr:uid="{00000000-0005-0000-0000-00007B950000}"/>
    <cellStyle name="Normal 57 8 11" xfId="15863" xr:uid="{00000000-0005-0000-0000-00007C950000}"/>
    <cellStyle name="Normal 57 8 11 2" xfId="41416" xr:uid="{00000000-0005-0000-0000-00007D950000}"/>
    <cellStyle name="Normal 57 8 12" xfId="26109" xr:uid="{00000000-0005-0000-0000-00007E950000}"/>
    <cellStyle name="Normal 57 8 2" xfId="497" xr:uid="{00000000-0005-0000-0000-00007F950000}"/>
    <cellStyle name="Normal 57 8 2 10" xfId="26426" xr:uid="{00000000-0005-0000-0000-000080950000}"/>
    <cellStyle name="Normal 57 8 2 2" xfId="880" xr:uid="{00000000-0005-0000-0000-000081950000}"/>
    <cellStyle name="Normal 57 8 2 2 2" xfId="3365" xr:uid="{00000000-0005-0000-0000-000082950000}"/>
    <cellStyle name="Normal 57 8 2 2 2 2" xfId="12507" xr:uid="{00000000-0005-0000-0000-000083950000}"/>
    <cellStyle name="Normal 57 8 2 2 2 2 2" xfId="22726" xr:uid="{00000000-0005-0000-0000-000084950000}"/>
    <cellStyle name="Normal 57 8 2 2 2 2 2 2" xfId="48279" xr:uid="{00000000-0005-0000-0000-000085950000}"/>
    <cellStyle name="Normal 57 8 2 2 2 2 3" xfId="38062" xr:uid="{00000000-0005-0000-0000-000086950000}"/>
    <cellStyle name="Normal 57 8 2 2 2 3" xfId="8929" xr:uid="{00000000-0005-0000-0000-000087950000}"/>
    <cellStyle name="Normal 57 8 2 2 2 3 2" xfId="34486" xr:uid="{00000000-0005-0000-0000-000088950000}"/>
    <cellStyle name="Normal 57 8 2 2 2 4" xfId="17719" xr:uid="{00000000-0005-0000-0000-000089950000}"/>
    <cellStyle name="Normal 57 8 2 2 2 4 2" xfId="43272" xr:uid="{00000000-0005-0000-0000-00008A950000}"/>
    <cellStyle name="Normal 57 8 2 2 2 5" xfId="29209" xr:uid="{00000000-0005-0000-0000-00008B950000}"/>
    <cellStyle name="Normal 57 8 2 2 3" xfId="4694" xr:uid="{00000000-0005-0000-0000-00008C950000}"/>
    <cellStyle name="Normal 57 8 2 2 3 2" xfId="13532" xr:uid="{00000000-0005-0000-0000-00008D950000}"/>
    <cellStyle name="Normal 57 8 2 2 3 2 2" xfId="23783" xr:uid="{00000000-0005-0000-0000-00008E950000}"/>
    <cellStyle name="Normal 57 8 2 2 3 2 2 2" xfId="49336" xr:uid="{00000000-0005-0000-0000-00008F950000}"/>
    <cellStyle name="Normal 57 8 2 2 3 2 3" xfId="39087" xr:uid="{00000000-0005-0000-0000-000090950000}"/>
    <cellStyle name="Normal 57 8 2 2 3 3" xfId="9953" xr:uid="{00000000-0005-0000-0000-000091950000}"/>
    <cellStyle name="Normal 57 8 2 2 3 3 2" xfId="35510" xr:uid="{00000000-0005-0000-0000-000092950000}"/>
    <cellStyle name="Normal 57 8 2 2 3 4" xfId="18776" xr:uid="{00000000-0005-0000-0000-000093950000}"/>
    <cellStyle name="Normal 57 8 2 2 3 4 2" xfId="44329" xr:uid="{00000000-0005-0000-0000-000094950000}"/>
    <cellStyle name="Normal 57 8 2 2 3 5" xfId="30266" xr:uid="{00000000-0005-0000-0000-000095950000}"/>
    <cellStyle name="Normal 57 8 2 2 4" xfId="2474" xr:uid="{00000000-0005-0000-0000-000096950000}"/>
    <cellStyle name="Normal 57 8 2 2 4 2" xfId="11839" xr:uid="{00000000-0005-0000-0000-000097950000}"/>
    <cellStyle name="Normal 57 8 2 2 4 2 2" xfId="37394" xr:uid="{00000000-0005-0000-0000-000098950000}"/>
    <cellStyle name="Normal 57 8 2 2 4 3" xfId="21843" xr:uid="{00000000-0005-0000-0000-000099950000}"/>
    <cellStyle name="Normal 57 8 2 2 4 3 2" xfId="47396" xr:uid="{00000000-0005-0000-0000-00009A950000}"/>
    <cellStyle name="Normal 57 8 2 2 4 4" xfId="28326" xr:uid="{00000000-0005-0000-0000-00009B950000}"/>
    <cellStyle name="Normal 57 8 2 2 5" xfId="6150" xr:uid="{00000000-0005-0000-0000-00009C950000}"/>
    <cellStyle name="Normal 57 8 2 2 5 2" xfId="14977" xr:uid="{00000000-0005-0000-0000-00009D950000}"/>
    <cellStyle name="Normal 57 8 2 2 5 2 2" xfId="40532" xr:uid="{00000000-0005-0000-0000-00009E950000}"/>
    <cellStyle name="Normal 57 8 2 2 5 3" xfId="25228" xr:uid="{00000000-0005-0000-0000-00009F950000}"/>
    <cellStyle name="Normal 57 8 2 2 5 3 2" xfId="50781" xr:uid="{00000000-0005-0000-0000-0000A0950000}"/>
    <cellStyle name="Normal 57 8 2 2 5 4" xfId="31711" xr:uid="{00000000-0005-0000-0000-0000A1950000}"/>
    <cellStyle name="Normal 57 8 2 2 6" xfId="7595" xr:uid="{00000000-0005-0000-0000-0000A2950000}"/>
    <cellStyle name="Normal 57 8 2 2 6 2" xfId="20325" xr:uid="{00000000-0005-0000-0000-0000A3950000}"/>
    <cellStyle name="Normal 57 8 2 2 6 2 2" xfId="45878" xr:uid="{00000000-0005-0000-0000-0000A4950000}"/>
    <cellStyle name="Normal 57 8 2 2 6 3" xfId="33152" xr:uid="{00000000-0005-0000-0000-0000A5950000}"/>
    <cellStyle name="Normal 57 8 2 2 7" xfId="16836" xr:uid="{00000000-0005-0000-0000-0000A6950000}"/>
    <cellStyle name="Normal 57 8 2 2 7 2" xfId="42389" xr:uid="{00000000-0005-0000-0000-0000A7950000}"/>
    <cellStyle name="Normal 57 8 2 2 8" xfId="26808" xr:uid="{00000000-0005-0000-0000-0000A8950000}"/>
    <cellStyle name="Normal 57 8 2 3" xfId="1269" xr:uid="{00000000-0005-0000-0000-0000A9950000}"/>
    <cellStyle name="Normal 57 8 2 3 2" xfId="3698" xr:uid="{00000000-0005-0000-0000-0000AA950000}"/>
    <cellStyle name="Normal 57 8 2 3 2 2" xfId="12834" xr:uid="{00000000-0005-0000-0000-0000AB950000}"/>
    <cellStyle name="Normal 57 8 2 3 2 2 2" xfId="23053" xr:uid="{00000000-0005-0000-0000-0000AC950000}"/>
    <cellStyle name="Normal 57 8 2 3 2 2 2 2" xfId="48606" xr:uid="{00000000-0005-0000-0000-0000AD950000}"/>
    <cellStyle name="Normal 57 8 2 3 2 2 3" xfId="38389" xr:uid="{00000000-0005-0000-0000-0000AE950000}"/>
    <cellStyle name="Normal 57 8 2 3 2 3" xfId="9255" xr:uid="{00000000-0005-0000-0000-0000AF950000}"/>
    <cellStyle name="Normal 57 8 2 3 2 3 2" xfId="34812" xr:uid="{00000000-0005-0000-0000-0000B0950000}"/>
    <cellStyle name="Normal 57 8 2 3 2 4" xfId="18046" xr:uid="{00000000-0005-0000-0000-0000B1950000}"/>
    <cellStyle name="Normal 57 8 2 3 2 4 2" xfId="43599" xr:uid="{00000000-0005-0000-0000-0000B2950000}"/>
    <cellStyle name="Normal 57 8 2 3 2 5" xfId="29536" xr:uid="{00000000-0005-0000-0000-0000B3950000}"/>
    <cellStyle name="Normal 57 8 2 3 3" xfId="5043" xr:uid="{00000000-0005-0000-0000-0000B4950000}"/>
    <cellStyle name="Normal 57 8 2 3 3 2" xfId="13880" xr:uid="{00000000-0005-0000-0000-0000B5950000}"/>
    <cellStyle name="Normal 57 8 2 3 3 2 2" xfId="24131" xr:uid="{00000000-0005-0000-0000-0000B6950000}"/>
    <cellStyle name="Normal 57 8 2 3 3 2 2 2" xfId="49684" xr:uid="{00000000-0005-0000-0000-0000B7950000}"/>
    <cellStyle name="Normal 57 8 2 3 3 2 3" xfId="39435" xr:uid="{00000000-0005-0000-0000-0000B8950000}"/>
    <cellStyle name="Normal 57 8 2 3 3 3" xfId="10301" xr:uid="{00000000-0005-0000-0000-0000B9950000}"/>
    <cellStyle name="Normal 57 8 2 3 3 3 2" xfId="35858" xr:uid="{00000000-0005-0000-0000-0000BA950000}"/>
    <cellStyle name="Normal 57 8 2 3 3 4" xfId="19124" xr:uid="{00000000-0005-0000-0000-0000BB950000}"/>
    <cellStyle name="Normal 57 8 2 3 3 4 2" xfId="44677" xr:uid="{00000000-0005-0000-0000-0000BC950000}"/>
    <cellStyle name="Normal 57 8 2 3 3 5" xfId="30614" xr:uid="{00000000-0005-0000-0000-0000BD950000}"/>
    <cellStyle name="Normal 57 8 2 3 4" xfId="2092" xr:uid="{00000000-0005-0000-0000-0000BE950000}"/>
    <cellStyle name="Normal 57 8 2 3 4 2" xfId="11457" xr:uid="{00000000-0005-0000-0000-0000BF950000}"/>
    <cellStyle name="Normal 57 8 2 3 4 2 2" xfId="37012" xr:uid="{00000000-0005-0000-0000-0000C0950000}"/>
    <cellStyle name="Normal 57 8 2 3 4 3" xfId="21461" xr:uid="{00000000-0005-0000-0000-0000C1950000}"/>
    <cellStyle name="Normal 57 8 2 3 4 3 2" xfId="47014" xr:uid="{00000000-0005-0000-0000-0000C2950000}"/>
    <cellStyle name="Normal 57 8 2 3 4 4" xfId="27944" xr:uid="{00000000-0005-0000-0000-0000C3950000}"/>
    <cellStyle name="Normal 57 8 2 3 5" xfId="6498" xr:uid="{00000000-0005-0000-0000-0000C4950000}"/>
    <cellStyle name="Normal 57 8 2 3 5 2" xfId="15325" xr:uid="{00000000-0005-0000-0000-0000C5950000}"/>
    <cellStyle name="Normal 57 8 2 3 5 2 2" xfId="40880" xr:uid="{00000000-0005-0000-0000-0000C6950000}"/>
    <cellStyle name="Normal 57 8 2 3 5 3" xfId="25576" xr:uid="{00000000-0005-0000-0000-0000C7950000}"/>
    <cellStyle name="Normal 57 8 2 3 5 3 2" xfId="51129" xr:uid="{00000000-0005-0000-0000-0000C8950000}"/>
    <cellStyle name="Normal 57 8 2 3 5 4" xfId="32059" xr:uid="{00000000-0005-0000-0000-0000C9950000}"/>
    <cellStyle name="Normal 57 8 2 3 6" xfId="7944" xr:uid="{00000000-0005-0000-0000-0000CA950000}"/>
    <cellStyle name="Normal 57 8 2 3 6 2" xfId="20652" xr:uid="{00000000-0005-0000-0000-0000CB950000}"/>
    <cellStyle name="Normal 57 8 2 3 6 2 2" xfId="46205" xr:uid="{00000000-0005-0000-0000-0000CC950000}"/>
    <cellStyle name="Normal 57 8 2 3 6 3" xfId="33501" xr:uid="{00000000-0005-0000-0000-0000CD950000}"/>
    <cellStyle name="Normal 57 8 2 3 7" xfId="16454" xr:uid="{00000000-0005-0000-0000-0000CE950000}"/>
    <cellStyle name="Normal 57 8 2 3 7 2" xfId="42007" xr:uid="{00000000-0005-0000-0000-0000CF950000}"/>
    <cellStyle name="Normal 57 8 2 3 8" xfId="27135" xr:uid="{00000000-0005-0000-0000-0000D0950000}"/>
    <cellStyle name="Normal 57 8 2 4" xfId="2983" xr:uid="{00000000-0005-0000-0000-0000D1950000}"/>
    <cellStyle name="Normal 57 8 2 4 2" xfId="5361" xr:uid="{00000000-0005-0000-0000-0000D2950000}"/>
    <cellStyle name="Normal 57 8 2 4 2 2" xfId="14198" xr:uid="{00000000-0005-0000-0000-0000D3950000}"/>
    <cellStyle name="Normal 57 8 2 4 2 2 2" xfId="24449" xr:uid="{00000000-0005-0000-0000-0000D4950000}"/>
    <cellStyle name="Normal 57 8 2 4 2 2 2 2" xfId="50002" xr:uid="{00000000-0005-0000-0000-0000D5950000}"/>
    <cellStyle name="Normal 57 8 2 4 2 2 3" xfId="39753" xr:uid="{00000000-0005-0000-0000-0000D6950000}"/>
    <cellStyle name="Normal 57 8 2 4 2 3" xfId="10619" xr:uid="{00000000-0005-0000-0000-0000D7950000}"/>
    <cellStyle name="Normal 57 8 2 4 2 3 2" xfId="36176" xr:uid="{00000000-0005-0000-0000-0000D8950000}"/>
    <cellStyle name="Normal 57 8 2 4 2 4" xfId="19442" xr:uid="{00000000-0005-0000-0000-0000D9950000}"/>
    <cellStyle name="Normal 57 8 2 4 2 4 2" xfId="44995" xr:uid="{00000000-0005-0000-0000-0000DA950000}"/>
    <cellStyle name="Normal 57 8 2 4 2 5" xfId="30932" xr:uid="{00000000-0005-0000-0000-0000DB950000}"/>
    <cellStyle name="Normal 57 8 2 4 3" xfId="6816" xr:uid="{00000000-0005-0000-0000-0000DC950000}"/>
    <cellStyle name="Normal 57 8 2 4 3 2" xfId="15643" xr:uid="{00000000-0005-0000-0000-0000DD950000}"/>
    <cellStyle name="Normal 57 8 2 4 3 2 2" xfId="41198" xr:uid="{00000000-0005-0000-0000-0000DE950000}"/>
    <cellStyle name="Normal 57 8 2 4 3 3" xfId="25894" xr:uid="{00000000-0005-0000-0000-0000DF950000}"/>
    <cellStyle name="Normal 57 8 2 4 3 3 2" xfId="51447" xr:uid="{00000000-0005-0000-0000-0000E0950000}"/>
    <cellStyle name="Normal 57 8 2 4 3 4" xfId="32377" xr:uid="{00000000-0005-0000-0000-0000E1950000}"/>
    <cellStyle name="Normal 57 8 2 4 4" xfId="8262" xr:uid="{00000000-0005-0000-0000-0000E2950000}"/>
    <cellStyle name="Normal 57 8 2 4 4 2" xfId="22344" xr:uid="{00000000-0005-0000-0000-0000E3950000}"/>
    <cellStyle name="Normal 57 8 2 4 4 2 2" xfId="47897" xr:uid="{00000000-0005-0000-0000-0000E4950000}"/>
    <cellStyle name="Normal 57 8 2 4 4 3" xfId="33819" xr:uid="{00000000-0005-0000-0000-0000E5950000}"/>
    <cellStyle name="Normal 57 8 2 4 5" xfId="17337" xr:uid="{00000000-0005-0000-0000-0000E6950000}"/>
    <cellStyle name="Normal 57 8 2 4 5 2" xfId="42890" xr:uid="{00000000-0005-0000-0000-0000E7950000}"/>
    <cellStyle name="Normal 57 8 2 4 6" xfId="28827" xr:uid="{00000000-0005-0000-0000-0000E8950000}"/>
    <cellStyle name="Normal 57 8 2 5" xfId="4317" xr:uid="{00000000-0005-0000-0000-0000E9950000}"/>
    <cellStyle name="Normal 57 8 2 5 2" xfId="13155" xr:uid="{00000000-0005-0000-0000-0000EA950000}"/>
    <cellStyle name="Normal 57 8 2 5 2 2" xfId="23406" xr:uid="{00000000-0005-0000-0000-0000EB950000}"/>
    <cellStyle name="Normal 57 8 2 5 2 2 2" xfId="48959" xr:uid="{00000000-0005-0000-0000-0000EC950000}"/>
    <cellStyle name="Normal 57 8 2 5 2 3" xfId="38710" xr:uid="{00000000-0005-0000-0000-0000ED950000}"/>
    <cellStyle name="Normal 57 8 2 5 3" xfId="9576" xr:uid="{00000000-0005-0000-0000-0000EE950000}"/>
    <cellStyle name="Normal 57 8 2 5 3 2" xfId="35133" xr:uid="{00000000-0005-0000-0000-0000EF950000}"/>
    <cellStyle name="Normal 57 8 2 5 4" xfId="18399" xr:uid="{00000000-0005-0000-0000-0000F0950000}"/>
    <cellStyle name="Normal 57 8 2 5 4 2" xfId="43952" xr:uid="{00000000-0005-0000-0000-0000F1950000}"/>
    <cellStyle name="Normal 57 8 2 5 5" xfId="29889" xr:uid="{00000000-0005-0000-0000-0000F2950000}"/>
    <cellStyle name="Normal 57 8 2 6" xfId="1589" xr:uid="{00000000-0005-0000-0000-0000F3950000}"/>
    <cellStyle name="Normal 57 8 2 6 2" xfId="10966" xr:uid="{00000000-0005-0000-0000-0000F4950000}"/>
    <cellStyle name="Normal 57 8 2 6 2 2" xfId="36521" xr:uid="{00000000-0005-0000-0000-0000F5950000}"/>
    <cellStyle name="Normal 57 8 2 6 3" xfId="20970" xr:uid="{00000000-0005-0000-0000-0000F6950000}"/>
    <cellStyle name="Normal 57 8 2 6 3 2" xfId="46523" xr:uid="{00000000-0005-0000-0000-0000F7950000}"/>
    <cellStyle name="Normal 57 8 2 6 4" xfId="27453" xr:uid="{00000000-0005-0000-0000-0000F8950000}"/>
    <cellStyle name="Normal 57 8 2 7" xfId="5773" xr:uid="{00000000-0005-0000-0000-0000F9950000}"/>
    <cellStyle name="Normal 57 8 2 7 2" xfId="14600" xr:uid="{00000000-0005-0000-0000-0000FA950000}"/>
    <cellStyle name="Normal 57 8 2 7 2 2" xfId="40155" xr:uid="{00000000-0005-0000-0000-0000FB950000}"/>
    <cellStyle name="Normal 57 8 2 7 3" xfId="24851" xr:uid="{00000000-0005-0000-0000-0000FC950000}"/>
    <cellStyle name="Normal 57 8 2 7 3 2" xfId="50404" xr:uid="{00000000-0005-0000-0000-0000FD950000}"/>
    <cellStyle name="Normal 57 8 2 7 4" xfId="31334" xr:uid="{00000000-0005-0000-0000-0000FE950000}"/>
    <cellStyle name="Normal 57 8 2 8" xfId="7217" xr:uid="{00000000-0005-0000-0000-0000FF950000}"/>
    <cellStyle name="Normal 57 8 2 8 2" xfId="19943" xr:uid="{00000000-0005-0000-0000-000000960000}"/>
    <cellStyle name="Normal 57 8 2 8 2 2" xfId="45496" xr:uid="{00000000-0005-0000-0000-000001960000}"/>
    <cellStyle name="Normal 57 8 2 8 3" xfId="32774" xr:uid="{00000000-0005-0000-0000-000002960000}"/>
    <cellStyle name="Normal 57 8 2 9" xfId="15963" xr:uid="{00000000-0005-0000-0000-000003960000}"/>
    <cellStyle name="Normal 57 8 2 9 2" xfId="41516" xr:uid="{00000000-0005-0000-0000-000004960000}"/>
    <cellStyle name="Normal 57 8 2_Degree data" xfId="3986" xr:uid="{00000000-0005-0000-0000-000005960000}"/>
    <cellStyle name="Normal 57 8 3" xfId="397" xr:uid="{00000000-0005-0000-0000-000006960000}"/>
    <cellStyle name="Normal 57 8 3 2" xfId="2883" xr:uid="{00000000-0005-0000-0000-000007960000}"/>
    <cellStyle name="Normal 57 8 3 2 2" xfId="12171" xr:uid="{00000000-0005-0000-0000-000008960000}"/>
    <cellStyle name="Normal 57 8 3 2 2 2" xfId="22244" xr:uid="{00000000-0005-0000-0000-000009960000}"/>
    <cellStyle name="Normal 57 8 3 2 2 2 2" xfId="47797" xr:uid="{00000000-0005-0000-0000-00000A960000}"/>
    <cellStyle name="Normal 57 8 3 2 2 3" xfId="37726" xr:uid="{00000000-0005-0000-0000-00000B960000}"/>
    <cellStyle name="Normal 57 8 3 2 3" xfId="8437" xr:uid="{00000000-0005-0000-0000-00000C960000}"/>
    <cellStyle name="Normal 57 8 3 2 3 2" xfId="33994" xr:uid="{00000000-0005-0000-0000-00000D960000}"/>
    <cellStyle name="Normal 57 8 3 2 4" xfId="17237" xr:uid="{00000000-0005-0000-0000-00000E960000}"/>
    <cellStyle name="Normal 57 8 3 2 4 2" xfId="42790" xr:uid="{00000000-0005-0000-0000-00000F960000}"/>
    <cellStyle name="Normal 57 8 3 2 5" xfId="28727" xr:uid="{00000000-0005-0000-0000-000010960000}"/>
    <cellStyle name="Normal 57 8 3 3" xfId="4693" xr:uid="{00000000-0005-0000-0000-000011960000}"/>
    <cellStyle name="Normal 57 8 3 3 2" xfId="13531" xr:uid="{00000000-0005-0000-0000-000012960000}"/>
    <cellStyle name="Normal 57 8 3 3 2 2" xfId="23782" xr:uid="{00000000-0005-0000-0000-000013960000}"/>
    <cellStyle name="Normal 57 8 3 3 2 2 2" xfId="49335" xr:uid="{00000000-0005-0000-0000-000014960000}"/>
    <cellStyle name="Normal 57 8 3 3 2 3" xfId="39086" xr:uid="{00000000-0005-0000-0000-000015960000}"/>
    <cellStyle name="Normal 57 8 3 3 3" xfId="9952" xr:uid="{00000000-0005-0000-0000-000016960000}"/>
    <cellStyle name="Normal 57 8 3 3 3 2" xfId="35509" xr:uid="{00000000-0005-0000-0000-000017960000}"/>
    <cellStyle name="Normal 57 8 3 3 4" xfId="18775" xr:uid="{00000000-0005-0000-0000-000018960000}"/>
    <cellStyle name="Normal 57 8 3 3 4 2" xfId="44328" xr:uid="{00000000-0005-0000-0000-000019960000}"/>
    <cellStyle name="Normal 57 8 3 3 5" xfId="30265" xr:uid="{00000000-0005-0000-0000-00001A960000}"/>
    <cellStyle name="Normal 57 8 3 4" xfId="1992" xr:uid="{00000000-0005-0000-0000-00001B960000}"/>
    <cellStyle name="Normal 57 8 3 4 2" xfId="11357" xr:uid="{00000000-0005-0000-0000-00001C960000}"/>
    <cellStyle name="Normal 57 8 3 4 2 2" xfId="36912" xr:uid="{00000000-0005-0000-0000-00001D960000}"/>
    <cellStyle name="Normal 57 8 3 4 3" xfId="21361" xr:uid="{00000000-0005-0000-0000-00001E960000}"/>
    <cellStyle name="Normal 57 8 3 4 3 2" xfId="46914" xr:uid="{00000000-0005-0000-0000-00001F960000}"/>
    <cellStyle name="Normal 57 8 3 4 4" xfId="27844" xr:uid="{00000000-0005-0000-0000-000020960000}"/>
    <cellStyle name="Normal 57 8 3 5" xfId="6149" xr:uid="{00000000-0005-0000-0000-000021960000}"/>
    <cellStyle name="Normal 57 8 3 5 2" xfId="14976" xr:uid="{00000000-0005-0000-0000-000022960000}"/>
    <cellStyle name="Normal 57 8 3 5 2 2" xfId="40531" xr:uid="{00000000-0005-0000-0000-000023960000}"/>
    <cellStyle name="Normal 57 8 3 5 3" xfId="25227" xr:uid="{00000000-0005-0000-0000-000024960000}"/>
    <cellStyle name="Normal 57 8 3 5 3 2" xfId="50780" xr:uid="{00000000-0005-0000-0000-000025960000}"/>
    <cellStyle name="Normal 57 8 3 5 4" xfId="31710" xr:uid="{00000000-0005-0000-0000-000026960000}"/>
    <cellStyle name="Normal 57 8 3 6" xfId="7594" xr:uid="{00000000-0005-0000-0000-000027960000}"/>
    <cellStyle name="Normal 57 8 3 6 2" xfId="19843" xr:uid="{00000000-0005-0000-0000-000028960000}"/>
    <cellStyle name="Normal 57 8 3 6 2 2" xfId="45396" xr:uid="{00000000-0005-0000-0000-000029960000}"/>
    <cellStyle name="Normal 57 8 3 6 3" xfId="33151" xr:uid="{00000000-0005-0000-0000-00002A960000}"/>
    <cellStyle name="Normal 57 8 3 7" xfId="16354" xr:uid="{00000000-0005-0000-0000-00002B960000}"/>
    <cellStyle name="Normal 57 8 3 7 2" xfId="41907" xr:uid="{00000000-0005-0000-0000-00002C960000}"/>
    <cellStyle name="Normal 57 8 3 8" xfId="26326" xr:uid="{00000000-0005-0000-0000-00002D960000}"/>
    <cellStyle name="Normal 57 8 4" xfId="879" xr:uid="{00000000-0005-0000-0000-00002E960000}"/>
    <cellStyle name="Normal 57 8 4 2" xfId="3364" xr:uid="{00000000-0005-0000-0000-00002F960000}"/>
    <cellStyle name="Normal 57 8 4 2 2" xfId="12506" xr:uid="{00000000-0005-0000-0000-000030960000}"/>
    <cellStyle name="Normal 57 8 4 2 2 2" xfId="22725" xr:uid="{00000000-0005-0000-0000-000031960000}"/>
    <cellStyle name="Normal 57 8 4 2 2 2 2" xfId="48278" xr:uid="{00000000-0005-0000-0000-000032960000}"/>
    <cellStyle name="Normal 57 8 4 2 2 3" xfId="38061" xr:uid="{00000000-0005-0000-0000-000033960000}"/>
    <cellStyle name="Normal 57 8 4 2 3" xfId="8928" xr:uid="{00000000-0005-0000-0000-000034960000}"/>
    <cellStyle name="Normal 57 8 4 2 3 2" xfId="34485" xr:uid="{00000000-0005-0000-0000-000035960000}"/>
    <cellStyle name="Normal 57 8 4 2 4" xfId="17718" xr:uid="{00000000-0005-0000-0000-000036960000}"/>
    <cellStyle name="Normal 57 8 4 2 4 2" xfId="43271" xr:uid="{00000000-0005-0000-0000-000037960000}"/>
    <cellStyle name="Normal 57 8 4 2 5" xfId="29208" xr:uid="{00000000-0005-0000-0000-000038960000}"/>
    <cellStyle name="Normal 57 8 4 3" xfId="5042" xr:uid="{00000000-0005-0000-0000-000039960000}"/>
    <cellStyle name="Normal 57 8 4 3 2" xfId="13879" xr:uid="{00000000-0005-0000-0000-00003A960000}"/>
    <cellStyle name="Normal 57 8 4 3 2 2" xfId="24130" xr:uid="{00000000-0005-0000-0000-00003B960000}"/>
    <cellStyle name="Normal 57 8 4 3 2 2 2" xfId="49683" xr:uid="{00000000-0005-0000-0000-00003C960000}"/>
    <cellStyle name="Normal 57 8 4 3 2 3" xfId="39434" xr:uid="{00000000-0005-0000-0000-00003D960000}"/>
    <cellStyle name="Normal 57 8 4 3 3" xfId="10300" xr:uid="{00000000-0005-0000-0000-00003E960000}"/>
    <cellStyle name="Normal 57 8 4 3 3 2" xfId="35857" xr:uid="{00000000-0005-0000-0000-00003F960000}"/>
    <cellStyle name="Normal 57 8 4 3 4" xfId="19123" xr:uid="{00000000-0005-0000-0000-000040960000}"/>
    <cellStyle name="Normal 57 8 4 3 4 2" xfId="44676" xr:uid="{00000000-0005-0000-0000-000041960000}"/>
    <cellStyle name="Normal 57 8 4 3 5" xfId="30613" xr:uid="{00000000-0005-0000-0000-000042960000}"/>
    <cellStyle name="Normal 57 8 4 4" xfId="2473" xr:uid="{00000000-0005-0000-0000-000043960000}"/>
    <cellStyle name="Normal 57 8 4 4 2" xfId="11838" xr:uid="{00000000-0005-0000-0000-000044960000}"/>
    <cellStyle name="Normal 57 8 4 4 2 2" xfId="37393" xr:uid="{00000000-0005-0000-0000-000045960000}"/>
    <cellStyle name="Normal 57 8 4 4 3" xfId="21842" xr:uid="{00000000-0005-0000-0000-000046960000}"/>
    <cellStyle name="Normal 57 8 4 4 3 2" xfId="47395" xr:uid="{00000000-0005-0000-0000-000047960000}"/>
    <cellStyle name="Normal 57 8 4 4 4" xfId="28325" xr:uid="{00000000-0005-0000-0000-000048960000}"/>
    <cellStyle name="Normal 57 8 4 5" xfId="6497" xr:uid="{00000000-0005-0000-0000-000049960000}"/>
    <cellStyle name="Normal 57 8 4 5 2" xfId="15324" xr:uid="{00000000-0005-0000-0000-00004A960000}"/>
    <cellStyle name="Normal 57 8 4 5 2 2" xfId="40879" xr:uid="{00000000-0005-0000-0000-00004B960000}"/>
    <cellStyle name="Normal 57 8 4 5 3" xfId="25575" xr:uid="{00000000-0005-0000-0000-00004C960000}"/>
    <cellStyle name="Normal 57 8 4 5 3 2" xfId="51128" xr:uid="{00000000-0005-0000-0000-00004D960000}"/>
    <cellStyle name="Normal 57 8 4 5 4" xfId="32058" xr:uid="{00000000-0005-0000-0000-00004E960000}"/>
    <cellStyle name="Normal 57 8 4 6" xfId="7943" xr:uid="{00000000-0005-0000-0000-00004F960000}"/>
    <cellStyle name="Normal 57 8 4 6 2" xfId="20324" xr:uid="{00000000-0005-0000-0000-000050960000}"/>
    <cellStyle name="Normal 57 8 4 6 2 2" xfId="45877" xr:uid="{00000000-0005-0000-0000-000051960000}"/>
    <cellStyle name="Normal 57 8 4 6 3" xfId="33500" xr:uid="{00000000-0005-0000-0000-000052960000}"/>
    <cellStyle name="Normal 57 8 4 7" xfId="16835" xr:uid="{00000000-0005-0000-0000-000053960000}"/>
    <cellStyle name="Normal 57 8 4 7 2" xfId="42388" xr:uid="{00000000-0005-0000-0000-000054960000}"/>
    <cellStyle name="Normal 57 8 4 8" xfId="26807" xr:uid="{00000000-0005-0000-0000-000055960000}"/>
    <cellStyle name="Normal 57 8 5" xfId="1169" xr:uid="{00000000-0005-0000-0000-000056960000}"/>
    <cellStyle name="Normal 57 8 5 2" xfId="3598" xr:uid="{00000000-0005-0000-0000-000057960000}"/>
    <cellStyle name="Normal 57 8 5 2 2" xfId="12734" xr:uid="{00000000-0005-0000-0000-000058960000}"/>
    <cellStyle name="Normal 57 8 5 2 2 2" xfId="22953" xr:uid="{00000000-0005-0000-0000-000059960000}"/>
    <cellStyle name="Normal 57 8 5 2 2 2 2" xfId="48506" xr:uid="{00000000-0005-0000-0000-00005A960000}"/>
    <cellStyle name="Normal 57 8 5 2 2 3" xfId="38289" xr:uid="{00000000-0005-0000-0000-00005B960000}"/>
    <cellStyle name="Normal 57 8 5 2 3" xfId="9155" xr:uid="{00000000-0005-0000-0000-00005C960000}"/>
    <cellStyle name="Normal 57 8 5 2 3 2" xfId="34712" xr:uid="{00000000-0005-0000-0000-00005D960000}"/>
    <cellStyle name="Normal 57 8 5 2 4" xfId="17946" xr:uid="{00000000-0005-0000-0000-00005E960000}"/>
    <cellStyle name="Normal 57 8 5 2 4 2" xfId="43499" xr:uid="{00000000-0005-0000-0000-00005F960000}"/>
    <cellStyle name="Normal 57 8 5 2 5" xfId="29436" xr:uid="{00000000-0005-0000-0000-000060960000}"/>
    <cellStyle name="Normal 57 8 5 3" xfId="5261" xr:uid="{00000000-0005-0000-0000-000061960000}"/>
    <cellStyle name="Normal 57 8 5 3 2" xfId="14098" xr:uid="{00000000-0005-0000-0000-000062960000}"/>
    <cellStyle name="Normal 57 8 5 3 2 2" xfId="24349" xr:uid="{00000000-0005-0000-0000-000063960000}"/>
    <cellStyle name="Normal 57 8 5 3 2 2 2" xfId="49902" xr:uid="{00000000-0005-0000-0000-000064960000}"/>
    <cellStyle name="Normal 57 8 5 3 2 3" xfId="39653" xr:uid="{00000000-0005-0000-0000-000065960000}"/>
    <cellStyle name="Normal 57 8 5 3 3" xfId="10519" xr:uid="{00000000-0005-0000-0000-000066960000}"/>
    <cellStyle name="Normal 57 8 5 3 3 2" xfId="36076" xr:uid="{00000000-0005-0000-0000-000067960000}"/>
    <cellStyle name="Normal 57 8 5 3 4" xfId="19342" xr:uid="{00000000-0005-0000-0000-000068960000}"/>
    <cellStyle name="Normal 57 8 5 3 4 2" xfId="44895" xr:uid="{00000000-0005-0000-0000-000069960000}"/>
    <cellStyle name="Normal 57 8 5 3 5" xfId="30832" xr:uid="{00000000-0005-0000-0000-00006A960000}"/>
    <cellStyle name="Normal 57 8 5 4" xfId="1771" xr:uid="{00000000-0005-0000-0000-00006B960000}"/>
    <cellStyle name="Normal 57 8 5 4 2" xfId="11140" xr:uid="{00000000-0005-0000-0000-00006C960000}"/>
    <cellStyle name="Normal 57 8 5 4 2 2" xfId="36695" xr:uid="{00000000-0005-0000-0000-00006D960000}"/>
    <cellStyle name="Normal 57 8 5 4 3" xfId="21144" xr:uid="{00000000-0005-0000-0000-00006E960000}"/>
    <cellStyle name="Normal 57 8 5 4 3 2" xfId="46697" xr:uid="{00000000-0005-0000-0000-00006F960000}"/>
    <cellStyle name="Normal 57 8 5 4 4" xfId="27627" xr:uid="{00000000-0005-0000-0000-000070960000}"/>
    <cellStyle name="Normal 57 8 5 5" xfId="6716" xr:uid="{00000000-0005-0000-0000-000071960000}"/>
    <cellStyle name="Normal 57 8 5 5 2" xfId="15543" xr:uid="{00000000-0005-0000-0000-000072960000}"/>
    <cellStyle name="Normal 57 8 5 5 2 2" xfId="41098" xr:uid="{00000000-0005-0000-0000-000073960000}"/>
    <cellStyle name="Normal 57 8 5 5 3" xfId="25794" xr:uid="{00000000-0005-0000-0000-000074960000}"/>
    <cellStyle name="Normal 57 8 5 5 3 2" xfId="51347" xr:uid="{00000000-0005-0000-0000-000075960000}"/>
    <cellStyle name="Normal 57 8 5 5 4" xfId="32277" xr:uid="{00000000-0005-0000-0000-000076960000}"/>
    <cellStyle name="Normal 57 8 5 6" xfId="8162" xr:uid="{00000000-0005-0000-0000-000077960000}"/>
    <cellStyle name="Normal 57 8 5 6 2" xfId="20552" xr:uid="{00000000-0005-0000-0000-000078960000}"/>
    <cellStyle name="Normal 57 8 5 6 2 2" xfId="46105" xr:uid="{00000000-0005-0000-0000-000079960000}"/>
    <cellStyle name="Normal 57 8 5 6 3" xfId="33719" xr:uid="{00000000-0005-0000-0000-00007A960000}"/>
    <cellStyle name="Normal 57 8 5 7" xfId="16137" xr:uid="{00000000-0005-0000-0000-00007B960000}"/>
    <cellStyle name="Normal 57 8 5 7 2" xfId="41690" xr:uid="{00000000-0005-0000-0000-00007C960000}"/>
    <cellStyle name="Normal 57 8 5 8" xfId="27035" xr:uid="{00000000-0005-0000-0000-00007D960000}"/>
    <cellStyle name="Normal 57 8 6" xfId="2666" xr:uid="{00000000-0005-0000-0000-00007E960000}"/>
    <cellStyle name="Normal 57 8 6 2" xfId="11983" xr:uid="{00000000-0005-0000-0000-00007F960000}"/>
    <cellStyle name="Normal 57 8 6 2 2" xfId="22027" xr:uid="{00000000-0005-0000-0000-000080960000}"/>
    <cellStyle name="Normal 57 8 6 2 2 2" xfId="47580" xr:uid="{00000000-0005-0000-0000-000081960000}"/>
    <cellStyle name="Normal 57 8 6 2 3" xfId="37538" xr:uid="{00000000-0005-0000-0000-000082960000}"/>
    <cellStyle name="Normal 57 8 6 3" xfId="8567" xr:uid="{00000000-0005-0000-0000-000083960000}"/>
    <cellStyle name="Normal 57 8 6 3 2" xfId="34124" xr:uid="{00000000-0005-0000-0000-000084960000}"/>
    <cellStyle name="Normal 57 8 6 4" xfId="17020" xr:uid="{00000000-0005-0000-0000-000085960000}"/>
    <cellStyle name="Normal 57 8 6 4 2" xfId="42573" xr:uid="{00000000-0005-0000-0000-000086960000}"/>
    <cellStyle name="Normal 57 8 6 5" xfId="28510" xr:uid="{00000000-0005-0000-0000-000087960000}"/>
    <cellStyle name="Normal 57 8 7" xfId="4217" xr:uid="{00000000-0005-0000-0000-000088960000}"/>
    <cellStyle name="Normal 57 8 7 2" xfId="13055" xr:uid="{00000000-0005-0000-0000-000089960000}"/>
    <cellStyle name="Normal 57 8 7 2 2" xfId="23306" xr:uid="{00000000-0005-0000-0000-00008A960000}"/>
    <cellStyle name="Normal 57 8 7 2 2 2" xfId="48859" xr:uid="{00000000-0005-0000-0000-00008B960000}"/>
    <cellStyle name="Normal 57 8 7 2 3" xfId="38610" xr:uid="{00000000-0005-0000-0000-00008C960000}"/>
    <cellStyle name="Normal 57 8 7 3" xfId="9476" xr:uid="{00000000-0005-0000-0000-00008D960000}"/>
    <cellStyle name="Normal 57 8 7 3 2" xfId="35033" xr:uid="{00000000-0005-0000-0000-00008E960000}"/>
    <cellStyle name="Normal 57 8 7 4" xfId="18299" xr:uid="{00000000-0005-0000-0000-00008F960000}"/>
    <cellStyle name="Normal 57 8 7 4 2" xfId="43852" xr:uid="{00000000-0005-0000-0000-000090960000}"/>
    <cellStyle name="Normal 57 8 7 5" xfId="29789" xr:uid="{00000000-0005-0000-0000-000091960000}"/>
    <cellStyle name="Normal 57 8 8" xfId="1489" xr:uid="{00000000-0005-0000-0000-000092960000}"/>
    <cellStyle name="Normal 57 8 8 2" xfId="10866" xr:uid="{00000000-0005-0000-0000-000093960000}"/>
    <cellStyle name="Normal 57 8 8 2 2" xfId="36421" xr:uid="{00000000-0005-0000-0000-000094960000}"/>
    <cellStyle name="Normal 57 8 8 3" xfId="20870" xr:uid="{00000000-0005-0000-0000-000095960000}"/>
    <cellStyle name="Normal 57 8 8 3 2" xfId="46423" xr:uid="{00000000-0005-0000-0000-000096960000}"/>
    <cellStyle name="Normal 57 8 8 4" xfId="27353" xr:uid="{00000000-0005-0000-0000-000097960000}"/>
    <cellStyle name="Normal 57 8 9" xfId="5673" xr:uid="{00000000-0005-0000-0000-000098960000}"/>
    <cellStyle name="Normal 57 8 9 2" xfId="14500" xr:uid="{00000000-0005-0000-0000-000099960000}"/>
    <cellStyle name="Normal 57 8 9 2 2" xfId="40055" xr:uid="{00000000-0005-0000-0000-00009A960000}"/>
    <cellStyle name="Normal 57 8 9 3" xfId="24751" xr:uid="{00000000-0005-0000-0000-00009B960000}"/>
    <cellStyle name="Normal 57 8 9 3 2" xfId="50304" xr:uid="{00000000-0005-0000-0000-00009C960000}"/>
    <cellStyle name="Normal 57 8 9 4" xfId="31234" xr:uid="{00000000-0005-0000-0000-00009D960000}"/>
    <cellStyle name="Normal 57 8_Degree data" xfId="3985" xr:uid="{00000000-0005-0000-0000-00009E960000}"/>
    <cellStyle name="Normal 57 9" xfId="222" xr:uid="{00000000-0005-0000-0000-00009F960000}"/>
    <cellStyle name="Normal 57 9 10" xfId="7060" xr:uid="{00000000-0005-0000-0000-0000A0960000}"/>
    <cellStyle name="Normal 57 9 10 2" xfId="19674" xr:uid="{00000000-0005-0000-0000-0000A1960000}"/>
    <cellStyle name="Normal 57 9 10 2 2" xfId="45227" xr:uid="{00000000-0005-0000-0000-0000A2960000}"/>
    <cellStyle name="Normal 57 9 10 3" xfId="32617" xr:uid="{00000000-0005-0000-0000-0000A3960000}"/>
    <cellStyle name="Normal 57 9 11" xfId="15806" xr:uid="{00000000-0005-0000-0000-0000A4960000}"/>
    <cellStyle name="Normal 57 9 11 2" xfId="41359" xr:uid="{00000000-0005-0000-0000-0000A5960000}"/>
    <cellStyle name="Normal 57 9 12" xfId="26157" xr:uid="{00000000-0005-0000-0000-0000A6960000}"/>
    <cellStyle name="Normal 57 9 2" xfId="545" xr:uid="{00000000-0005-0000-0000-0000A7960000}"/>
    <cellStyle name="Normal 57 9 2 10" xfId="26474" xr:uid="{00000000-0005-0000-0000-0000A8960000}"/>
    <cellStyle name="Normal 57 9 2 2" xfId="882" xr:uid="{00000000-0005-0000-0000-0000A9960000}"/>
    <cellStyle name="Normal 57 9 2 2 2" xfId="3367" xr:uid="{00000000-0005-0000-0000-0000AA960000}"/>
    <cellStyle name="Normal 57 9 2 2 2 2" xfId="12509" xr:uid="{00000000-0005-0000-0000-0000AB960000}"/>
    <cellStyle name="Normal 57 9 2 2 2 2 2" xfId="22728" xr:uid="{00000000-0005-0000-0000-0000AC960000}"/>
    <cellStyle name="Normal 57 9 2 2 2 2 2 2" xfId="48281" xr:uid="{00000000-0005-0000-0000-0000AD960000}"/>
    <cellStyle name="Normal 57 9 2 2 2 2 3" xfId="38064" xr:uid="{00000000-0005-0000-0000-0000AE960000}"/>
    <cellStyle name="Normal 57 9 2 2 2 3" xfId="8931" xr:uid="{00000000-0005-0000-0000-0000AF960000}"/>
    <cellStyle name="Normal 57 9 2 2 2 3 2" xfId="34488" xr:uid="{00000000-0005-0000-0000-0000B0960000}"/>
    <cellStyle name="Normal 57 9 2 2 2 4" xfId="17721" xr:uid="{00000000-0005-0000-0000-0000B1960000}"/>
    <cellStyle name="Normal 57 9 2 2 2 4 2" xfId="43274" xr:uid="{00000000-0005-0000-0000-0000B2960000}"/>
    <cellStyle name="Normal 57 9 2 2 2 5" xfId="29211" xr:uid="{00000000-0005-0000-0000-0000B3960000}"/>
    <cellStyle name="Normal 57 9 2 2 3" xfId="4696" xr:uid="{00000000-0005-0000-0000-0000B4960000}"/>
    <cellStyle name="Normal 57 9 2 2 3 2" xfId="13534" xr:uid="{00000000-0005-0000-0000-0000B5960000}"/>
    <cellStyle name="Normal 57 9 2 2 3 2 2" xfId="23785" xr:uid="{00000000-0005-0000-0000-0000B6960000}"/>
    <cellStyle name="Normal 57 9 2 2 3 2 2 2" xfId="49338" xr:uid="{00000000-0005-0000-0000-0000B7960000}"/>
    <cellStyle name="Normal 57 9 2 2 3 2 3" xfId="39089" xr:uid="{00000000-0005-0000-0000-0000B8960000}"/>
    <cellStyle name="Normal 57 9 2 2 3 3" xfId="9955" xr:uid="{00000000-0005-0000-0000-0000B9960000}"/>
    <cellStyle name="Normal 57 9 2 2 3 3 2" xfId="35512" xr:uid="{00000000-0005-0000-0000-0000BA960000}"/>
    <cellStyle name="Normal 57 9 2 2 3 4" xfId="18778" xr:uid="{00000000-0005-0000-0000-0000BB960000}"/>
    <cellStyle name="Normal 57 9 2 2 3 4 2" xfId="44331" xr:uid="{00000000-0005-0000-0000-0000BC960000}"/>
    <cellStyle name="Normal 57 9 2 2 3 5" xfId="30268" xr:uid="{00000000-0005-0000-0000-0000BD960000}"/>
    <cellStyle name="Normal 57 9 2 2 4" xfId="2476" xr:uid="{00000000-0005-0000-0000-0000BE960000}"/>
    <cellStyle name="Normal 57 9 2 2 4 2" xfId="11841" xr:uid="{00000000-0005-0000-0000-0000BF960000}"/>
    <cellStyle name="Normal 57 9 2 2 4 2 2" xfId="37396" xr:uid="{00000000-0005-0000-0000-0000C0960000}"/>
    <cellStyle name="Normal 57 9 2 2 4 3" xfId="21845" xr:uid="{00000000-0005-0000-0000-0000C1960000}"/>
    <cellStyle name="Normal 57 9 2 2 4 3 2" xfId="47398" xr:uid="{00000000-0005-0000-0000-0000C2960000}"/>
    <cellStyle name="Normal 57 9 2 2 4 4" xfId="28328" xr:uid="{00000000-0005-0000-0000-0000C3960000}"/>
    <cellStyle name="Normal 57 9 2 2 5" xfId="6152" xr:uid="{00000000-0005-0000-0000-0000C4960000}"/>
    <cellStyle name="Normal 57 9 2 2 5 2" xfId="14979" xr:uid="{00000000-0005-0000-0000-0000C5960000}"/>
    <cellStyle name="Normal 57 9 2 2 5 2 2" xfId="40534" xr:uid="{00000000-0005-0000-0000-0000C6960000}"/>
    <cellStyle name="Normal 57 9 2 2 5 3" xfId="25230" xr:uid="{00000000-0005-0000-0000-0000C7960000}"/>
    <cellStyle name="Normal 57 9 2 2 5 3 2" xfId="50783" xr:uid="{00000000-0005-0000-0000-0000C8960000}"/>
    <cellStyle name="Normal 57 9 2 2 5 4" xfId="31713" xr:uid="{00000000-0005-0000-0000-0000C9960000}"/>
    <cellStyle name="Normal 57 9 2 2 6" xfId="7597" xr:uid="{00000000-0005-0000-0000-0000CA960000}"/>
    <cellStyle name="Normal 57 9 2 2 6 2" xfId="20327" xr:uid="{00000000-0005-0000-0000-0000CB960000}"/>
    <cellStyle name="Normal 57 9 2 2 6 2 2" xfId="45880" xr:uid="{00000000-0005-0000-0000-0000CC960000}"/>
    <cellStyle name="Normal 57 9 2 2 6 3" xfId="33154" xr:uid="{00000000-0005-0000-0000-0000CD960000}"/>
    <cellStyle name="Normal 57 9 2 2 7" xfId="16838" xr:uid="{00000000-0005-0000-0000-0000CE960000}"/>
    <cellStyle name="Normal 57 9 2 2 7 2" xfId="42391" xr:uid="{00000000-0005-0000-0000-0000CF960000}"/>
    <cellStyle name="Normal 57 9 2 2 8" xfId="26810" xr:uid="{00000000-0005-0000-0000-0000D0960000}"/>
    <cellStyle name="Normal 57 9 2 3" xfId="1317" xr:uid="{00000000-0005-0000-0000-0000D1960000}"/>
    <cellStyle name="Normal 57 9 2 3 2" xfId="3746" xr:uid="{00000000-0005-0000-0000-0000D2960000}"/>
    <cellStyle name="Normal 57 9 2 3 2 2" xfId="12882" xr:uid="{00000000-0005-0000-0000-0000D3960000}"/>
    <cellStyle name="Normal 57 9 2 3 2 2 2" xfId="23101" xr:uid="{00000000-0005-0000-0000-0000D4960000}"/>
    <cellStyle name="Normal 57 9 2 3 2 2 2 2" xfId="48654" xr:uid="{00000000-0005-0000-0000-0000D5960000}"/>
    <cellStyle name="Normal 57 9 2 3 2 2 3" xfId="38437" xr:uid="{00000000-0005-0000-0000-0000D6960000}"/>
    <cellStyle name="Normal 57 9 2 3 2 3" xfId="9303" xr:uid="{00000000-0005-0000-0000-0000D7960000}"/>
    <cellStyle name="Normal 57 9 2 3 2 3 2" xfId="34860" xr:uid="{00000000-0005-0000-0000-0000D8960000}"/>
    <cellStyle name="Normal 57 9 2 3 2 4" xfId="18094" xr:uid="{00000000-0005-0000-0000-0000D9960000}"/>
    <cellStyle name="Normal 57 9 2 3 2 4 2" xfId="43647" xr:uid="{00000000-0005-0000-0000-0000DA960000}"/>
    <cellStyle name="Normal 57 9 2 3 2 5" xfId="29584" xr:uid="{00000000-0005-0000-0000-0000DB960000}"/>
    <cellStyle name="Normal 57 9 2 3 3" xfId="5045" xr:uid="{00000000-0005-0000-0000-0000DC960000}"/>
    <cellStyle name="Normal 57 9 2 3 3 2" xfId="13882" xr:uid="{00000000-0005-0000-0000-0000DD960000}"/>
    <cellStyle name="Normal 57 9 2 3 3 2 2" xfId="24133" xr:uid="{00000000-0005-0000-0000-0000DE960000}"/>
    <cellStyle name="Normal 57 9 2 3 3 2 2 2" xfId="49686" xr:uid="{00000000-0005-0000-0000-0000DF960000}"/>
    <cellStyle name="Normal 57 9 2 3 3 2 3" xfId="39437" xr:uid="{00000000-0005-0000-0000-0000E0960000}"/>
    <cellStyle name="Normal 57 9 2 3 3 3" xfId="10303" xr:uid="{00000000-0005-0000-0000-0000E1960000}"/>
    <cellStyle name="Normal 57 9 2 3 3 3 2" xfId="35860" xr:uid="{00000000-0005-0000-0000-0000E2960000}"/>
    <cellStyle name="Normal 57 9 2 3 3 4" xfId="19126" xr:uid="{00000000-0005-0000-0000-0000E3960000}"/>
    <cellStyle name="Normal 57 9 2 3 3 4 2" xfId="44679" xr:uid="{00000000-0005-0000-0000-0000E4960000}"/>
    <cellStyle name="Normal 57 9 2 3 3 5" xfId="30616" xr:uid="{00000000-0005-0000-0000-0000E5960000}"/>
    <cellStyle name="Normal 57 9 2 3 4" xfId="2140" xr:uid="{00000000-0005-0000-0000-0000E6960000}"/>
    <cellStyle name="Normal 57 9 2 3 4 2" xfId="11505" xr:uid="{00000000-0005-0000-0000-0000E7960000}"/>
    <cellStyle name="Normal 57 9 2 3 4 2 2" xfId="37060" xr:uid="{00000000-0005-0000-0000-0000E8960000}"/>
    <cellStyle name="Normal 57 9 2 3 4 3" xfId="21509" xr:uid="{00000000-0005-0000-0000-0000E9960000}"/>
    <cellStyle name="Normal 57 9 2 3 4 3 2" xfId="47062" xr:uid="{00000000-0005-0000-0000-0000EA960000}"/>
    <cellStyle name="Normal 57 9 2 3 4 4" xfId="27992" xr:uid="{00000000-0005-0000-0000-0000EB960000}"/>
    <cellStyle name="Normal 57 9 2 3 5" xfId="6500" xr:uid="{00000000-0005-0000-0000-0000EC960000}"/>
    <cellStyle name="Normal 57 9 2 3 5 2" xfId="15327" xr:uid="{00000000-0005-0000-0000-0000ED960000}"/>
    <cellStyle name="Normal 57 9 2 3 5 2 2" xfId="40882" xr:uid="{00000000-0005-0000-0000-0000EE960000}"/>
    <cellStyle name="Normal 57 9 2 3 5 3" xfId="25578" xr:uid="{00000000-0005-0000-0000-0000EF960000}"/>
    <cellStyle name="Normal 57 9 2 3 5 3 2" xfId="51131" xr:uid="{00000000-0005-0000-0000-0000F0960000}"/>
    <cellStyle name="Normal 57 9 2 3 5 4" xfId="32061" xr:uid="{00000000-0005-0000-0000-0000F1960000}"/>
    <cellStyle name="Normal 57 9 2 3 6" xfId="7946" xr:uid="{00000000-0005-0000-0000-0000F2960000}"/>
    <cellStyle name="Normal 57 9 2 3 6 2" xfId="20700" xr:uid="{00000000-0005-0000-0000-0000F3960000}"/>
    <cellStyle name="Normal 57 9 2 3 6 2 2" xfId="46253" xr:uid="{00000000-0005-0000-0000-0000F4960000}"/>
    <cellStyle name="Normal 57 9 2 3 6 3" xfId="33503" xr:uid="{00000000-0005-0000-0000-0000F5960000}"/>
    <cellStyle name="Normal 57 9 2 3 7" xfId="16502" xr:uid="{00000000-0005-0000-0000-0000F6960000}"/>
    <cellStyle name="Normal 57 9 2 3 7 2" xfId="42055" xr:uid="{00000000-0005-0000-0000-0000F7960000}"/>
    <cellStyle name="Normal 57 9 2 3 8" xfId="27183" xr:uid="{00000000-0005-0000-0000-0000F8960000}"/>
    <cellStyle name="Normal 57 9 2 4" xfId="3031" xr:uid="{00000000-0005-0000-0000-0000F9960000}"/>
    <cellStyle name="Normal 57 9 2 4 2" xfId="5409" xr:uid="{00000000-0005-0000-0000-0000FA960000}"/>
    <cellStyle name="Normal 57 9 2 4 2 2" xfId="14246" xr:uid="{00000000-0005-0000-0000-0000FB960000}"/>
    <cellStyle name="Normal 57 9 2 4 2 2 2" xfId="24497" xr:uid="{00000000-0005-0000-0000-0000FC960000}"/>
    <cellStyle name="Normal 57 9 2 4 2 2 2 2" xfId="50050" xr:uid="{00000000-0005-0000-0000-0000FD960000}"/>
    <cellStyle name="Normal 57 9 2 4 2 2 3" xfId="39801" xr:uid="{00000000-0005-0000-0000-0000FE960000}"/>
    <cellStyle name="Normal 57 9 2 4 2 3" xfId="10667" xr:uid="{00000000-0005-0000-0000-0000FF960000}"/>
    <cellStyle name="Normal 57 9 2 4 2 3 2" xfId="36224" xr:uid="{00000000-0005-0000-0000-000000970000}"/>
    <cellStyle name="Normal 57 9 2 4 2 4" xfId="19490" xr:uid="{00000000-0005-0000-0000-000001970000}"/>
    <cellStyle name="Normal 57 9 2 4 2 4 2" xfId="45043" xr:uid="{00000000-0005-0000-0000-000002970000}"/>
    <cellStyle name="Normal 57 9 2 4 2 5" xfId="30980" xr:uid="{00000000-0005-0000-0000-000003970000}"/>
    <cellStyle name="Normal 57 9 2 4 3" xfId="6864" xr:uid="{00000000-0005-0000-0000-000004970000}"/>
    <cellStyle name="Normal 57 9 2 4 3 2" xfId="15691" xr:uid="{00000000-0005-0000-0000-000005970000}"/>
    <cellStyle name="Normal 57 9 2 4 3 2 2" xfId="41246" xr:uid="{00000000-0005-0000-0000-000006970000}"/>
    <cellStyle name="Normal 57 9 2 4 3 3" xfId="25942" xr:uid="{00000000-0005-0000-0000-000007970000}"/>
    <cellStyle name="Normal 57 9 2 4 3 3 2" xfId="51495" xr:uid="{00000000-0005-0000-0000-000008970000}"/>
    <cellStyle name="Normal 57 9 2 4 3 4" xfId="32425" xr:uid="{00000000-0005-0000-0000-000009970000}"/>
    <cellStyle name="Normal 57 9 2 4 4" xfId="8310" xr:uid="{00000000-0005-0000-0000-00000A970000}"/>
    <cellStyle name="Normal 57 9 2 4 4 2" xfId="22392" xr:uid="{00000000-0005-0000-0000-00000B970000}"/>
    <cellStyle name="Normal 57 9 2 4 4 2 2" xfId="47945" xr:uid="{00000000-0005-0000-0000-00000C970000}"/>
    <cellStyle name="Normal 57 9 2 4 4 3" xfId="33867" xr:uid="{00000000-0005-0000-0000-00000D970000}"/>
    <cellStyle name="Normal 57 9 2 4 5" xfId="17385" xr:uid="{00000000-0005-0000-0000-00000E970000}"/>
    <cellStyle name="Normal 57 9 2 4 5 2" xfId="42938" xr:uid="{00000000-0005-0000-0000-00000F970000}"/>
    <cellStyle name="Normal 57 9 2 4 6" xfId="28875" xr:uid="{00000000-0005-0000-0000-000010970000}"/>
    <cellStyle name="Normal 57 9 2 5" xfId="4365" xr:uid="{00000000-0005-0000-0000-000011970000}"/>
    <cellStyle name="Normal 57 9 2 5 2" xfId="13203" xr:uid="{00000000-0005-0000-0000-000012970000}"/>
    <cellStyle name="Normal 57 9 2 5 2 2" xfId="23454" xr:uid="{00000000-0005-0000-0000-000013970000}"/>
    <cellStyle name="Normal 57 9 2 5 2 2 2" xfId="49007" xr:uid="{00000000-0005-0000-0000-000014970000}"/>
    <cellStyle name="Normal 57 9 2 5 2 3" xfId="38758" xr:uid="{00000000-0005-0000-0000-000015970000}"/>
    <cellStyle name="Normal 57 9 2 5 3" xfId="9624" xr:uid="{00000000-0005-0000-0000-000016970000}"/>
    <cellStyle name="Normal 57 9 2 5 3 2" xfId="35181" xr:uid="{00000000-0005-0000-0000-000017970000}"/>
    <cellStyle name="Normal 57 9 2 5 4" xfId="18447" xr:uid="{00000000-0005-0000-0000-000018970000}"/>
    <cellStyle name="Normal 57 9 2 5 4 2" xfId="44000" xr:uid="{00000000-0005-0000-0000-000019970000}"/>
    <cellStyle name="Normal 57 9 2 5 5" xfId="29937" xr:uid="{00000000-0005-0000-0000-00001A970000}"/>
    <cellStyle name="Normal 57 9 2 6" xfId="1637" xr:uid="{00000000-0005-0000-0000-00001B970000}"/>
    <cellStyle name="Normal 57 9 2 6 2" xfId="11014" xr:uid="{00000000-0005-0000-0000-00001C970000}"/>
    <cellStyle name="Normal 57 9 2 6 2 2" xfId="36569" xr:uid="{00000000-0005-0000-0000-00001D970000}"/>
    <cellStyle name="Normal 57 9 2 6 3" xfId="21018" xr:uid="{00000000-0005-0000-0000-00001E970000}"/>
    <cellStyle name="Normal 57 9 2 6 3 2" xfId="46571" xr:uid="{00000000-0005-0000-0000-00001F970000}"/>
    <cellStyle name="Normal 57 9 2 6 4" xfId="27501" xr:uid="{00000000-0005-0000-0000-000020970000}"/>
    <cellStyle name="Normal 57 9 2 7" xfId="5821" xr:uid="{00000000-0005-0000-0000-000021970000}"/>
    <cellStyle name="Normal 57 9 2 7 2" xfId="14648" xr:uid="{00000000-0005-0000-0000-000022970000}"/>
    <cellStyle name="Normal 57 9 2 7 2 2" xfId="40203" xr:uid="{00000000-0005-0000-0000-000023970000}"/>
    <cellStyle name="Normal 57 9 2 7 3" xfId="24899" xr:uid="{00000000-0005-0000-0000-000024970000}"/>
    <cellStyle name="Normal 57 9 2 7 3 2" xfId="50452" xr:uid="{00000000-0005-0000-0000-000025970000}"/>
    <cellStyle name="Normal 57 9 2 7 4" xfId="31382" xr:uid="{00000000-0005-0000-0000-000026970000}"/>
    <cellStyle name="Normal 57 9 2 8" xfId="7265" xr:uid="{00000000-0005-0000-0000-000027970000}"/>
    <cellStyle name="Normal 57 9 2 8 2" xfId="19991" xr:uid="{00000000-0005-0000-0000-000028970000}"/>
    <cellStyle name="Normal 57 9 2 8 2 2" xfId="45544" xr:uid="{00000000-0005-0000-0000-000029970000}"/>
    <cellStyle name="Normal 57 9 2 8 3" xfId="32822" xr:uid="{00000000-0005-0000-0000-00002A970000}"/>
    <cellStyle name="Normal 57 9 2 9" xfId="16011" xr:uid="{00000000-0005-0000-0000-00002B970000}"/>
    <cellStyle name="Normal 57 9 2 9 2" xfId="41564" xr:uid="{00000000-0005-0000-0000-00002C970000}"/>
    <cellStyle name="Normal 57 9 2_Degree data" xfId="3988" xr:uid="{00000000-0005-0000-0000-00002D970000}"/>
    <cellStyle name="Normal 57 9 3" xfId="340" xr:uid="{00000000-0005-0000-0000-00002E970000}"/>
    <cellStyle name="Normal 57 9 3 2" xfId="2826" xr:uid="{00000000-0005-0000-0000-00002F970000}"/>
    <cellStyle name="Normal 57 9 3 2 2" xfId="12114" xr:uid="{00000000-0005-0000-0000-000030970000}"/>
    <cellStyle name="Normal 57 9 3 2 2 2" xfId="22187" xr:uid="{00000000-0005-0000-0000-000031970000}"/>
    <cellStyle name="Normal 57 9 3 2 2 2 2" xfId="47740" xr:uid="{00000000-0005-0000-0000-000032970000}"/>
    <cellStyle name="Normal 57 9 3 2 2 3" xfId="37669" xr:uid="{00000000-0005-0000-0000-000033970000}"/>
    <cellStyle name="Normal 57 9 3 2 3" xfId="8467" xr:uid="{00000000-0005-0000-0000-000034970000}"/>
    <cellStyle name="Normal 57 9 3 2 3 2" xfId="34024" xr:uid="{00000000-0005-0000-0000-000035970000}"/>
    <cellStyle name="Normal 57 9 3 2 4" xfId="17180" xr:uid="{00000000-0005-0000-0000-000036970000}"/>
    <cellStyle name="Normal 57 9 3 2 4 2" xfId="42733" xr:uid="{00000000-0005-0000-0000-000037970000}"/>
    <cellStyle name="Normal 57 9 3 2 5" xfId="28670" xr:uid="{00000000-0005-0000-0000-000038970000}"/>
    <cellStyle name="Normal 57 9 3 3" xfId="4695" xr:uid="{00000000-0005-0000-0000-000039970000}"/>
    <cellStyle name="Normal 57 9 3 3 2" xfId="13533" xr:uid="{00000000-0005-0000-0000-00003A970000}"/>
    <cellStyle name="Normal 57 9 3 3 2 2" xfId="23784" xr:uid="{00000000-0005-0000-0000-00003B970000}"/>
    <cellStyle name="Normal 57 9 3 3 2 2 2" xfId="49337" xr:uid="{00000000-0005-0000-0000-00003C970000}"/>
    <cellStyle name="Normal 57 9 3 3 2 3" xfId="39088" xr:uid="{00000000-0005-0000-0000-00003D970000}"/>
    <cellStyle name="Normal 57 9 3 3 3" xfId="9954" xr:uid="{00000000-0005-0000-0000-00003E970000}"/>
    <cellStyle name="Normal 57 9 3 3 3 2" xfId="35511" xr:uid="{00000000-0005-0000-0000-00003F970000}"/>
    <cellStyle name="Normal 57 9 3 3 4" xfId="18777" xr:uid="{00000000-0005-0000-0000-000040970000}"/>
    <cellStyle name="Normal 57 9 3 3 4 2" xfId="44330" xr:uid="{00000000-0005-0000-0000-000041970000}"/>
    <cellStyle name="Normal 57 9 3 3 5" xfId="30267" xr:uid="{00000000-0005-0000-0000-000042970000}"/>
    <cellStyle name="Normal 57 9 3 4" xfId="1935" xr:uid="{00000000-0005-0000-0000-000043970000}"/>
    <cellStyle name="Normal 57 9 3 4 2" xfId="11300" xr:uid="{00000000-0005-0000-0000-000044970000}"/>
    <cellStyle name="Normal 57 9 3 4 2 2" xfId="36855" xr:uid="{00000000-0005-0000-0000-000045970000}"/>
    <cellStyle name="Normal 57 9 3 4 3" xfId="21304" xr:uid="{00000000-0005-0000-0000-000046970000}"/>
    <cellStyle name="Normal 57 9 3 4 3 2" xfId="46857" xr:uid="{00000000-0005-0000-0000-000047970000}"/>
    <cellStyle name="Normal 57 9 3 4 4" xfId="27787" xr:uid="{00000000-0005-0000-0000-000048970000}"/>
    <cellStyle name="Normal 57 9 3 5" xfId="6151" xr:uid="{00000000-0005-0000-0000-000049970000}"/>
    <cellStyle name="Normal 57 9 3 5 2" xfId="14978" xr:uid="{00000000-0005-0000-0000-00004A970000}"/>
    <cellStyle name="Normal 57 9 3 5 2 2" xfId="40533" xr:uid="{00000000-0005-0000-0000-00004B970000}"/>
    <cellStyle name="Normal 57 9 3 5 3" xfId="25229" xr:uid="{00000000-0005-0000-0000-00004C970000}"/>
    <cellStyle name="Normal 57 9 3 5 3 2" xfId="50782" xr:uid="{00000000-0005-0000-0000-00004D970000}"/>
    <cellStyle name="Normal 57 9 3 5 4" xfId="31712" xr:uid="{00000000-0005-0000-0000-00004E970000}"/>
    <cellStyle name="Normal 57 9 3 6" xfId="7596" xr:uid="{00000000-0005-0000-0000-00004F970000}"/>
    <cellStyle name="Normal 57 9 3 6 2" xfId="19786" xr:uid="{00000000-0005-0000-0000-000050970000}"/>
    <cellStyle name="Normal 57 9 3 6 2 2" xfId="45339" xr:uid="{00000000-0005-0000-0000-000051970000}"/>
    <cellStyle name="Normal 57 9 3 6 3" xfId="33153" xr:uid="{00000000-0005-0000-0000-000052970000}"/>
    <cellStyle name="Normal 57 9 3 7" xfId="16297" xr:uid="{00000000-0005-0000-0000-000053970000}"/>
    <cellStyle name="Normal 57 9 3 7 2" xfId="41850" xr:uid="{00000000-0005-0000-0000-000054970000}"/>
    <cellStyle name="Normal 57 9 3 8" xfId="26269" xr:uid="{00000000-0005-0000-0000-000055970000}"/>
    <cellStyle name="Normal 57 9 4" xfId="881" xr:uid="{00000000-0005-0000-0000-000056970000}"/>
    <cellStyle name="Normal 57 9 4 2" xfId="3366" xr:uid="{00000000-0005-0000-0000-000057970000}"/>
    <cellStyle name="Normal 57 9 4 2 2" xfId="12508" xr:uid="{00000000-0005-0000-0000-000058970000}"/>
    <cellStyle name="Normal 57 9 4 2 2 2" xfId="22727" xr:uid="{00000000-0005-0000-0000-000059970000}"/>
    <cellStyle name="Normal 57 9 4 2 2 2 2" xfId="48280" xr:uid="{00000000-0005-0000-0000-00005A970000}"/>
    <cellStyle name="Normal 57 9 4 2 2 3" xfId="38063" xr:uid="{00000000-0005-0000-0000-00005B970000}"/>
    <cellStyle name="Normal 57 9 4 2 3" xfId="8930" xr:uid="{00000000-0005-0000-0000-00005C970000}"/>
    <cellStyle name="Normal 57 9 4 2 3 2" xfId="34487" xr:uid="{00000000-0005-0000-0000-00005D970000}"/>
    <cellStyle name="Normal 57 9 4 2 4" xfId="17720" xr:uid="{00000000-0005-0000-0000-00005E970000}"/>
    <cellStyle name="Normal 57 9 4 2 4 2" xfId="43273" xr:uid="{00000000-0005-0000-0000-00005F970000}"/>
    <cellStyle name="Normal 57 9 4 2 5" xfId="29210" xr:uid="{00000000-0005-0000-0000-000060970000}"/>
    <cellStyle name="Normal 57 9 4 3" xfId="5044" xr:uid="{00000000-0005-0000-0000-000061970000}"/>
    <cellStyle name="Normal 57 9 4 3 2" xfId="13881" xr:uid="{00000000-0005-0000-0000-000062970000}"/>
    <cellStyle name="Normal 57 9 4 3 2 2" xfId="24132" xr:uid="{00000000-0005-0000-0000-000063970000}"/>
    <cellStyle name="Normal 57 9 4 3 2 2 2" xfId="49685" xr:uid="{00000000-0005-0000-0000-000064970000}"/>
    <cellStyle name="Normal 57 9 4 3 2 3" xfId="39436" xr:uid="{00000000-0005-0000-0000-000065970000}"/>
    <cellStyle name="Normal 57 9 4 3 3" xfId="10302" xr:uid="{00000000-0005-0000-0000-000066970000}"/>
    <cellStyle name="Normal 57 9 4 3 3 2" xfId="35859" xr:uid="{00000000-0005-0000-0000-000067970000}"/>
    <cellStyle name="Normal 57 9 4 3 4" xfId="19125" xr:uid="{00000000-0005-0000-0000-000068970000}"/>
    <cellStyle name="Normal 57 9 4 3 4 2" xfId="44678" xr:uid="{00000000-0005-0000-0000-000069970000}"/>
    <cellStyle name="Normal 57 9 4 3 5" xfId="30615" xr:uid="{00000000-0005-0000-0000-00006A970000}"/>
    <cellStyle name="Normal 57 9 4 4" xfId="2475" xr:uid="{00000000-0005-0000-0000-00006B970000}"/>
    <cellStyle name="Normal 57 9 4 4 2" xfId="11840" xr:uid="{00000000-0005-0000-0000-00006C970000}"/>
    <cellStyle name="Normal 57 9 4 4 2 2" xfId="37395" xr:uid="{00000000-0005-0000-0000-00006D970000}"/>
    <cellStyle name="Normal 57 9 4 4 3" xfId="21844" xr:uid="{00000000-0005-0000-0000-00006E970000}"/>
    <cellStyle name="Normal 57 9 4 4 3 2" xfId="47397" xr:uid="{00000000-0005-0000-0000-00006F970000}"/>
    <cellStyle name="Normal 57 9 4 4 4" xfId="28327" xr:uid="{00000000-0005-0000-0000-000070970000}"/>
    <cellStyle name="Normal 57 9 4 5" xfId="6499" xr:uid="{00000000-0005-0000-0000-000071970000}"/>
    <cellStyle name="Normal 57 9 4 5 2" xfId="15326" xr:uid="{00000000-0005-0000-0000-000072970000}"/>
    <cellStyle name="Normal 57 9 4 5 2 2" xfId="40881" xr:uid="{00000000-0005-0000-0000-000073970000}"/>
    <cellStyle name="Normal 57 9 4 5 3" xfId="25577" xr:uid="{00000000-0005-0000-0000-000074970000}"/>
    <cellStyle name="Normal 57 9 4 5 3 2" xfId="51130" xr:uid="{00000000-0005-0000-0000-000075970000}"/>
    <cellStyle name="Normal 57 9 4 5 4" xfId="32060" xr:uid="{00000000-0005-0000-0000-000076970000}"/>
    <cellStyle name="Normal 57 9 4 6" xfId="7945" xr:uid="{00000000-0005-0000-0000-000077970000}"/>
    <cellStyle name="Normal 57 9 4 6 2" xfId="20326" xr:uid="{00000000-0005-0000-0000-000078970000}"/>
    <cellStyle name="Normal 57 9 4 6 2 2" xfId="45879" xr:uid="{00000000-0005-0000-0000-000079970000}"/>
    <cellStyle name="Normal 57 9 4 6 3" xfId="33502" xr:uid="{00000000-0005-0000-0000-00007A970000}"/>
    <cellStyle name="Normal 57 9 4 7" xfId="16837" xr:uid="{00000000-0005-0000-0000-00007B970000}"/>
    <cellStyle name="Normal 57 9 4 7 2" xfId="42390" xr:uid="{00000000-0005-0000-0000-00007C970000}"/>
    <cellStyle name="Normal 57 9 4 8" xfId="26809" xr:uid="{00000000-0005-0000-0000-00007D970000}"/>
    <cellStyle name="Normal 57 9 5" xfId="1112" xr:uid="{00000000-0005-0000-0000-00007E970000}"/>
    <cellStyle name="Normal 57 9 5 2" xfId="3541" xr:uid="{00000000-0005-0000-0000-00007F970000}"/>
    <cellStyle name="Normal 57 9 5 2 2" xfId="12677" xr:uid="{00000000-0005-0000-0000-000080970000}"/>
    <cellStyle name="Normal 57 9 5 2 2 2" xfId="22896" xr:uid="{00000000-0005-0000-0000-000081970000}"/>
    <cellStyle name="Normal 57 9 5 2 2 2 2" xfId="48449" xr:uid="{00000000-0005-0000-0000-000082970000}"/>
    <cellStyle name="Normal 57 9 5 2 2 3" xfId="38232" xr:uid="{00000000-0005-0000-0000-000083970000}"/>
    <cellStyle name="Normal 57 9 5 2 3" xfId="9098" xr:uid="{00000000-0005-0000-0000-000084970000}"/>
    <cellStyle name="Normal 57 9 5 2 3 2" xfId="34655" xr:uid="{00000000-0005-0000-0000-000085970000}"/>
    <cellStyle name="Normal 57 9 5 2 4" xfId="17889" xr:uid="{00000000-0005-0000-0000-000086970000}"/>
    <cellStyle name="Normal 57 9 5 2 4 2" xfId="43442" xr:uid="{00000000-0005-0000-0000-000087970000}"/>
    <cellStyle name="Normal 57 9 5 2 5" xfId="29379" xr:uid="{00000000-0005-0000-0000-000088970000}"/>
    <cellStyle name="Normal 57 9 5 3" xfId="5204" xr:uid="{00000000-0005-0000-0000-000089970000}"/>
    <cellStyle name="Normal 57 9 5 3 2" xfId="14041" xr:uid="{00000000-0005-0000-0000-00008A970000}"/>
    <cellStyle name="Normal 57 9 5 3 2 2" xfId="24292" xr:uid="{00000000-0005-0000-0000-00008B970000}"/>
    <cellStyle name="Normal 57 9 5 3 2 2 2" xfId="49845" xr:uid="{00000000-0005-0000-0000-00008C970000}"/>
    <cellStyle name="Normal 57 9 5 3 2 3" xfId="39596" xr:uid="{00000000-0005-0000-0000-00008D970000}"/>
    <cellStyle name="Normal 57 9 5 3 3" xfId="10462" xr:uid="{00000000-0005-0000-0000-00008E970000}"/>
    <cellStyle name="Normal 57 9 5 3 3 2" xfId="36019" xr:uid="{00000000-0005-0000-0000-00008F970000}"/>
    <cellStyle name="Normal 57 9 5 3 4" xfId="19285" xr:uid="{00000000-0005-0000-0000-000090970000}"/>
    <cellStyle name="Normal 57 9 5 3 4 2" xfId="44838" xr:uid="{00000000-0005-0000-0000-000091970000}"/>
    <cellStyle name="Normal 57 9 5 3 5" xfId="30775" xr:uid="{00000000-0005-0000-0000-000092970000}"/>
    <cellStyle name="Normal 57 9 5 4" xfId="1820" xr:uid="{00000000-0005-0000-0000-000093970000}"/>
    <cellStyle name="Normal 57 9 5 4 2" xfId="11188" xr:uid="{00000000-0005-0000-0000-000094970000}"/>
    <cellStyle name="Normal 57 9 5 4 2 2" xfId="36743" xr:uid="{00000000-0005-0000-0000-000095970000}"/>
    <cellStyle name="Normal 57 9 5 4 3" xfId="21192" xr:uid="{00000000-0005-0000-0000-000096970000}"/>
    <cellStyle name="Normal 57 9 5 4 3 2" xfId="46745" xr:uid="{00000000-0005-0000-0000-000097970000}"/>
    <cellStyle name="Normal 57 9 5 4 4" xfId="27675" xr:uid="{00000000-0005-0000-0000-000098970000}"/>
    <cellStyle name="Normal 57 9 5 5" xfId="6659" xr:uid="{00000000-0005-0000-0000-000099970000}"/>
    <cellStyle name="Normal 57 9 5 5 2" xfId="15486" xr:uid="{00000000-0005-0000-0000-00009A970000}"/>
    <cellStyle name="Normal 57 9 5 5 2 2" xfId="41041" xr:uid="{00000000-0005-0000-0000-00009B970000}"/>
    <cellStyle name="Normal 57 9 5 5 3" xfId="25737" xr:uid="{00000000-0005-0000-0000-00009C970000}"/>
    <cellStyle name="Normal 57 9 5 5 3 2" xfId="51290" xr:uid="{00000000-0005-0000-0000-00009D970000}"/>
    <cellStyle name="Normal 57 9 5 5 4" xfId="32220" xr:uid="{00000000-0005-0000-0000-00009E970000}"/>
    <cellStyle name="Normal 57 9 5 6" xfId="8105" xr:uid="{00000000-0005-0000-0000-00009F970000}"/>
    <cellStyle name="Normal 57 9 5 6 2" xfId="20495" xr:uid="{00000000-0005-0000-0000-0000A0970000}"/>
    <cellStyle name="Normal 57 9 5 6 2 2" xfId="46048" xr:uid="{00000000-0005-0000-0000-0000A1970000}"/>
    <cellStyle name="Normal 57 9 5 6 3" xfId="33662" xr:uid="{00000000-0005-0000-0000-0000A2970000}"/>
    <cellStyle name="Normal 57 9 5 7" xfId="16185" xr:uid="{00000000-0005-0000-0000-0000A3970000}"/>
    <cellStyle name="Normal 57 9 5 7 2" xfId="41738" xr:uid="{00000000-0005-0000-0000-0000A4970000}"/>
    <cellStyle name="Normal 57 9 5 8" xfId="26978" xr:uid="{00000000-0005-0000-0000-0000A5970000}"/>
    <cellStyle name="Normal 57 9 6" xfId="2714" xr:uid="{00000000-0005-0000-0000-0000A6970000}"/>
    <cellStyle name="Normal 57 9 6 2" xfId="12031" xr:uid="{00000000-0005-0000-0000-0000A7970000}"/>
    <cellStyle name="Normal 57 9 6 2 2" xfId="22075" xr:uid="{00000000-0005-0000-0000-0000A8970000}"/>
    <cellStyle name="Normal 57 9 6 2 2 2" xfId="47628" xr:uid="{00000000-0005-0000-0000-0000A9970000}"/>
    <cellStyle name="Normal 57 9 6 2 3" xfId="37586" xr:uid="{00000000-0005-0000-0000-0000AA970000}"/>
    <cellStyle name="Normal 57 9 6 3" xfId="8613" xr:uid="{00000000-0005-0000-0000-0000AB970000}"/>
    <cellStyle name="Normal 57 9 6 3 2" xfId="34170" xr:uid="{00000000-0005-0000-0000-0000AC970000}"/>
    <cellStyle name="Normal 57 9 6 4" xfId="17068" xr:uid="{00000000-0005-0000-0000-0000AD970000}"/>
    <cellStyle name="Normal 57 9 6 4 2" xfId="42621" xr:uid="{00000000-0005-0000-0000-0000AE970000}"/>
    <cellStyle name="Normal 57 9 6 5" xfId="28558" xr:uid="{00000000-0005-0000-0000-0000AF970000}"/>
    <cellStyle name="Normal 57 9 7" xfId="4160" xr:uid="{00000000-0005-0000-0000-0000B0970000}"/>
    <cellStyle name="Normal 57 9 7 2" xfId="12998" xr:uid="{00000000-0005-0000-0000-0000B1970000}"/>
    <cellStyle name="Normal 57 9 7 2 2" xfId="23249" xr:uid="{00000000-0005-0000-0000-0000B2970000}"/>
    <cellStyle name="Normal 57 9 7 2 2 2" xfId="48802" xr:uid="{00000000-0005-0000-0000-0000B3970000}"/>
    <cellStyle name="Normal 57 9 7 2 3" xfId="38553" xr:uid="{00000000-0005-0000-0000-0000B4970000}"/>
    <cellStyle name="Normal 57 9 7 3" xfId="9419" xr:uid="{00000000-0005-0000-0000-0000B5970000}"/>
    <cellStyle name="Normal 57 9 7 3 2" xfId="34976" xr:uid="{00000000-0005-0000-0000-0000B6970000}"/>
    <cellStyle name="Normal 57 9 7 4" xfId="18242" xr:uid="{00000000-0005-0000-0000-0000B7970000}"/>
    <cellStyle name="Normal 57 9 7 4 2" xfId="43795" xr:uid="{00000000-0005-0000-0000-0000B8970000}"/>
    <cellStyle name="Normal 57 9 7 5" xfId="29732" xr:uid="{00000000-0005-0000-0000-0000B9970000}"/>
    <cellStyle name="Normal 57 9 8" xfId="1432" xr:uid="{00000000-0005-0000-0000-0000BA970000}"/>
    <cellStyle name="Normal 57 9 8 2" xfId="10809" xr:uid="{00000000-0005-0000-0000-0000BB970000}"/>
    <cellStyle name="Normal 57 9 8 2 2" xfId="36364" xr:uid="{00000000-0005-0000-0000-0000BC970000}"/>
    <cellStyle name="Normal 57 9 8 3" xfId="20813" xr:uid="{00000000-0005-0000-0000-0000BD970000}"/>
    <cellStyle name="Normal 57 9 8 3 2" xfId="46366" xr:uid="{00000000-0005-0000-0000-0000BE970000}"/>
    <cellStyle name="Normal 57 9 8 4" xfId="27296" xr:uid="{00000000-0005-0000-0000-0000BF970000}"/>
    <cellStyle name="Normal 57 9 9" xfId="5616" xr:uid="{00000000-0005-0000-0000-0000C0970000}"/>
    <cellStyle name="Normal 57 9 9 2" xfId="14443" xr:uid="{00000000-0005-0000-0000-0000C1970000}"/>
    <cellStyle name="Normal 57 9 9 2 2" xfId="39998" xr:uid="{00000000-0005-0000-0000-0000C2970000}"/>
    <cellStyle name="Normal 57 9 9 3" xfId="24694" xr:uid="{00000000-0005-0000-0000-0000C3970000}"/>
    <cellStyle name="Normal 57 9 9 3 2" xfId="50247" xr:uid="{00000000-0005-0000-0000-0000C4970000}"/>
    <cellStyle name="Normal 57 9 9 4" xfId="31177" xr:uid="{00000000-0005-0000-0000-0000C5970000}"/>
    <cellStyle name="Normal 57 9_Degree data" xfId="3987" xr:uid="{00000000-0005-0000-0000-0000C6970000}"/>
    <cellStyle name="Normal 57_Degree data" xfId="3931" xr:uid="{00000000-0005-0000-0000-0000C7970000}"/>
    <cellStyle name="Normal 58" xfId="38" xr:uid="{00000000-0005-0000-0000-0000C8970000}"/>
    <cellStyle name="Normal 58 10" xfId="441" xr:uid="{00000000-0005-0000-0000-0000C9970000}"/>
    <cellStyle name="Normal 58 10 10" xfId="26370" xr:uid="{00000000-0005-0000-0000-0000CA970000}"/>
    <cellStyle name="Normal 58 10 2" xfId="884" xr:uid="{00000000-0005-0000-0000-0000CB970000}"/>
    <cellStyle name="Normal 58 10 2 2" xfId="3369" xr:uid="{00000000-0005-0000-0000-0000CC970000}"/>
    <cellStyle name="Normal 58 10 2 2 2" xfId="12511" xr:uid="{00000000-0005-0000-0000-0000CD970000}"/>
    <cellStyle name="Normal 58 10 2 2 2 2" xfId="22730" xr:uid="{00000000-0005-0000-0000-0000CE970000}"/>
    <cellStyle name="Normal 58 10 2 2 2 2 2" xfId="48283" xr:uid="{00000000-0005-0000-0000-0000CF970000}"/>
    <cellStyle name="Normal 58 10 2 2 2 3" xfId="38066" xr:uid="{00000000-0005-0000-0000-0000D0970000}"/>
    <cellStyle name="Normal 58 10 2 2 3" xfId="8933" xr:uid="{00000000-0005-0000-0000-0000D1970000}"/>
    <cellStyle name="Normal 58 10 2 2 3 2" xfId="34490" xr:uid="{00000000-0005-0000-0000-0000D2970000}"/>
    <cellStyle name="Normal 58 10 2 2 4" xfId="17723" xr:uid="{00000000-0005-0000-0000-0000D3970000}"/>
    <cellStyle name="Normal 58 10 2 2 4 2" xfId="43276" xr:uid="{00000000-0005-0000-0000-0000D4970000}"/>
    <cellStyle name="Normal 58 10 2 2 5" xfId="29213" xr:uid="{00000000-0005-0000-0000-0000D5970000}"/>
    <cellStyle name="Normal 58 10 2 3" xfId="4698" xr:uid="{00000000-0005-0000-0000-0000D6970000}"/>
    <cellStyle name="Normal 58 10 2 3 2" xfId="13536" xr:uid="{00000000-0005-0000-0000-0000D7970000}"/>
    <cellStyle name="Normal 58 10 2 3 2 2" xfId="23787" xr:uid="{00000000-0005-0000-0000-0000D8970000}"/>
    <cellStyle name="Normal 58 10 2 3 2 2 2" xfId="49340" xr:uid="{00000000-0005-0000-0000-0000D9970000}"/>
    <cellStyle name="Normal 58 10 2 3 2 3" xfId="39091" xr:uid="{00000000-0005-0000-0000-0000DA970000}"/>
    <cellStyle name="Normal 58 10 2 3 3" xfId="9957" xr:uid="{00000000-0005-0000-0000-0000DB970000}"/>
    <cellStyle name="Normal 58 10 2 3 3 2" xfId="35514" xr:uid="{00000000-0005-0000-0000-0000DC970000}"/>
    <cellStyle name="Normal 58 10 2 3 4" xfId="18780" xr:uid="{00000000-0005-0000-0000-0000DD970000}"/>
    <cellStyle name="Normal 58 10 2 3 4 2" xfId="44333" xr:uid="{00000000-0005-0000-0000-0000DE970000}"/>
    <cellStyle name="Normal 58 10 2 3 5" xfId="30270" xr:uid="{00000000-0005-0000-0000-0000DF970000}"/>
    <cellStyle name="Normal 58 10 2 4" xfId="2478" xr:uid="{00000000-0005-0000-0000-0000E0970000}"/>
    <cellStyle name="Normal 58 10 2 4 2" xfId="11843" xr:uid="{00000000-0005-0000-0000-0000E1970000}"/>
    <cellStyle name="Normal 58 10 2 4 2 2" xfId="37398" xr:uid="{00000000-0005-0000-0000-0000E2970000}"/>
    <cellStyle name="Normal 58 10 2 4 3" xfId="21847" xr:uid="{00000000-0005-0000-0000-0000E3970000}"/>
    <cellStyle name="Normal 58 10 2 4 3 2" xfId="47400" xr:uid="{00000000-0005-0000-0000-0000E4970000}"/>
    <cellStyle name="Normal 58 10 2 4 4" xfId="28330" xr:uid="{00000000-0005-0000-0000-0000E5970000}"/>
    <cellStyle name="Normal 58 10 2 5" xfId="6154" xr:uid="{00000000-0005-0000-0000-0000E6970000}"/>
    <cellStyle name="Normal 58 10 2 5 2" xfId="14981" xr:uid="{00000000-0005-0000-0000-0000E7970000}"/>
    <cellStyle name="Normal 58 10 2 5 2 2" xfId="40536" xr:uid="{00000000-0005-0000-0000-0000E8970000}"/>
    <cellStyle name="Normal 58 10 2 5 3" xfId="25232" xr:uid="{00000000-0005-0000-0000-0000E9970000}"/>
    <cellStyle name="Normal 58 10 2 5 3 2" xfId="50785" xr:uid="{00000000-0005-0000-0000-0000EA970000}"/>
    <cellStyle name="Normal 58 10 2 5 4" xfId="31715" xr:uid="{00000000-0005-0000-0000-0000EB970000}"/>
    <cellStyle name="Normal 58 10 2 6" xfId="7599" xr:uid="{00000000-0005-0000-0000-0000EC970000}"/>
    <cellStyle name="Normal 58 10 2 6 2" xfId="20329" xr:uid="{00000000-0005-0000-0000-0000ED970000}"/>
    <cellStyle name="Normal 58 10 2 6 2 2" xfId="45882" xr:uid="{00000000-0005-0000-0000-0000EE970000}"/>
    <cellStyle name="Normal 58 10 2 6 3" xfId="33156" xr:uid="{00000000-0005-0000-0000-0000EF970000}"/>
    <cellStyle name="Normal 58 10 2 7" xfId="16840" xr:uid="{00000000-0005-0000-0000-0000F0970000}"/>
    <cellStyle name="Normal 58 10 2 7 2" xfId="42393" xr:uid="{00000000-0005-0000-0000-0000F1970000}"/>
    <cellStyle name="Normal 58 10 2 8" xfId="26812" xr:uid="{00000000-0005-0000-0000-0000F2970000}"/>
    <cellStyle name="Normal 58 10 3" xfId="1213" xr:uid="{00000000-0005-0000-0000-0000F3970000}"/>
    <cellStyle name="Normal 58 10 3 2" xfId="3642" xr:uid="{00000000-0005-0000-0000-0000F4970000}"/>
    <cellStyle name="Normal 58 10 3 2 2" xfId="12778" xr:uid="{00000000-0005-0000-0000-0000F5970000}"/>
    <cellStyle name="Normal 58 10 3 2 2 2" xfId="22997" xr:uid="{00000000-0005-0000-0000-0000F6970000}"/>
    <cellStyle name="Normal 58 10 3 2 2 2 2" xfId="48550" xr:uid="{00000000-0005-0000-0000-0000F7970000}"/>
    <cellStyle name="Normal 58 10 3 2 2 3" xfId="38333" xr:uid="{00000000-0005-0000-0000-0000F8970000}"/>
    <cellStyle name="Normal 58 10 3 2 3" xfId="9199" xr:uid="{00000000-0005-0000-0000-0000F9970000}"/>
    <cellStyle name="Normal 58 10 3 2 3 2" xfId="34756" xr:uid="{00000000-0005-0000-0000-0000FA970000}"/>
    <cellStyle name="Normal 58 10 3 2 4" xfId="17990" xr:uid="{00000000-0005-0000-0000-0000FB970000}"/>
    <cellStyle name="Normal 58 10 3 2 4 2" xfId="43543" xr:uid="{00000000-0005-0000-0000-0000FC970000}"/>
    <cellStyle name="Normal 58 10 3 2 5" xfId="29480" xr:uid="{00000000-0005-0000-0000-0000FD970000}"/>
    <cellStyle name="Normal 58 10 3 3" xfId="5047" xr:uid="{00000000-0005-0000-0000-0000FE970000}"/>
    <cellStyle name="Normal 58 10 3 3 2" xfId="13884" xr:uid="{00000000-0005-0000-0000-0000FF970000}"/>
    <cellStyle name="Normal 58 10 3 3 2 2" xfId="24135" xr:uid="{00000000-0005-0000-0000-000000980000}"/>
    <cellStyle name="Normal 58 10 3 3 2 2 2" xfId="49688" xr:uid="{00000000-0005-0000-0000-000001980000}"/>
    <cellStyle name="Normal 58 10 3 3 2 3" xfId="39439" xr:uid="{00000000-0005-0000-0000-000002980000}"/>
    <cellStyle name="Normal 58 10 3 3 3" xfId="10305" xr:uid="{00000000-0005-0000-0000-000003980000}"/>
    <cellStyle name="Normal 58 10 3 3 3 2" xfId="35862" xr:uid="{00000000-0005-0000-0000-000004980000}"/>
    <cellStyle name="Normal 58 10 3 3 4" xfId="19128" xr:uid="{00000000-0005-0000-0000-000005980000}"/>
    <cellStyle name="Normal 58 10 3 3 4 2" xfId="44681" xr:uid="{00000000-0005-0000-0000-000006980000}"/>
    <cellStyle name="Normal 58 10 3 3 5" xfId="30618" xr:uid="{00000000-0005-0000-0000-000007980000}"/>
    <cellStyle name="Normal 58 10 3 4" xfId="2036" xr:uid="{00000000-0005-0000-0000-000008980000}"/>
    <cellStyle name="Normal 58 10 3 4 2" xfId="11401" xr:uid="{00000000-0005-0000-0000-000009980000}"/>
    <cellStyle name="Normal 58 10 3 4 2 2" xfId="36956" xr:uid="{00000000-0005-0000-0000-00000A980000}"/>
    <cellStyle name="Normal 58 10 3 4 3" xfId="21405" xr:uid="{00000000-0005-0000-0000-00000B980000}"/>
    <cellStyle name="Normal 58 10 3 4 3 2" xfId="46958" xr:uid="{00000000-0005-0000-0000-00000C980000}"/>
    <cellStyle name="Normal 58 10 3 4 4" xfId="27888" xr:uid="{00000000-0005-0000-0000-00000D980000}"/>
    <cellStyle name="Normal 58 10 3 5" xfId="6502" xr:uid="{00000000-0005-0000-0000-00000E980000}"/>
    <cellStyle name="Normal 58 10 3 5 2" xfId="15329" xr:uid="{00000000-0005-0000-0000-00000F980000}"/>
    <cellStyle name="Normal 58 10 3 5 2 2" xfId="40884" xr:uid="{00000000-0005-0000-0000-000010980000}"/>
    <cellStyle name="Normal 58 10 3 5 3" xfId="25580" xr:uid="{00000000-0005-0000-0000-000011980000}"/>
    <cellStyle name="Normal 58 10 3 5 3 2" xfId="51133" xr:uid="{00000000-0005-0000-0000-000012980000}"/>
    <cellStyle name="Normal 58 10 3 5 4" xfId="32063" xr:uid="{00000000-0005-0000-0000-000013980000}"/>
    <cellStyle name="Normal 58 10 3 6" xfId="7948" xr:uid="{00000000-0005-0000-0000-000014980000}"/>
    <cellStyle name="Normal 58 10 3 6 2" xfId="20596" xr:uid="{00000000-0005-0000-0000-000015980000}"/>
    <cellStyle name="Normal 58 10 3 6 2 2" xfId="46149" xr:uid="{00000000-0005-0000-0000-000016980000}"/>
    <cellStyle name="Normal 58 10 3 6 3" xfId="33505" xr:uid="{00000000-0005-0000-0000-000017980000}"/>
    <cellStyle name="Normal 58 10 3 7" xfId="16398" xr:uid="{00000000-0005-0000-0000-000018980000}"/>
    <cellStyle name="Normal 58 10 3 7 2" xfId="41951" xr:uid="{00000000-0005-0000-0000-000019980000}"/>
    <cellStyle name="Normal 58 10 3 8" xfId="27079" xr:uid="{00000000-0005-0000-0000-00001A980000}"/>
    <cellStyle name="Normal 58 10 4" xfId="2927" xr:uid="{00000000-0005-0000-0000-00001B980000}"/>
    <cellStyle name="Normal 58 10 4 2" xfId="5305" xr:uid="{00000000-0005-0000-0000-00001C980000}"/>
    <cellStyle name="Normal 58 10 4 2 2" xfId="14142" xr:uid="{00000000-0005-0000-0000-00001D980000}"/>
    <cellStyle name="Normal 58 10 4 2 2 2" xfId="24393" xr:uid="{00000000-0005-0000-0000-00001E980000}"/>
    <cellStyle name="Normal 58 10 4 2 2 2 2" xfId="49946" xr:uid="{00000000-0005-0000-0000-00001F980000}"/>
    <cellStyle name="Normal 58 10 4 2 2 3" xfId="39697" xr:uid="{00000000-0005-0000-0000-000020980000}"/>
    <cellStyle name="Normal 58 10 4 2 3" xfId="10563" xr:uid="{00000000-0005-0000-0000-000021980000}"/>
    <cellStyle name="Normal 58 10 4 2 3 2" xfId="36120" xr:uid="{00000000-0005-0000-0000-000022980000}"/>
    <cellStyle name="Normal 58 10 4 2 4" xfId="19386" xr:uid="{00000000-0005-0000-0000-000023980000}"/>
    <cellStyle name="Normal 58 10 4 2 4 2" xfId="44939" xr:uid="{00000000-0005-0000-0000-000024980000}"/>
    <cellStyle name="Normal 58 10 4 2 5" xfId="30876" xr:uid="{00000000-0005-0000-0000-000025980000}"/>
    <cellStyle name="Normal 58 10 4 3" xfId="6760" xr:uid="{00000000-0005-0000-0000-000026980000}"/>
    <cellStyle name="Normal 58 10 4 3 2" xfId="15587" xr:uid="{00000000-0005-0000-0000-000027980000}"/>
    <cellStyle name="Normal 58 10 4 3 2 2" xfId="41142" xr:uid="{00000000-0005-0000-0000-000028980000}"/>
    <cellStyle name="Normal 58 10 4 3 3" xfId="25838" xr:uid="{00000000-0005-0000-0000-000029980000}"/>
    <cellStyle name="Normal 58 10 4 3 3 2" xfId="51391" xr:uid="{00000000-0005-0000-0000-00002A980000}"/>
    <cellStyle name="Normal 58 10 4 3 4" xfId="32321" xr:uid="{00000000-0005-0000-0000-00002B980000}"/>
    <cellStyle name="Normal 58 10 4 4" xfId="8206" xr:uid="{00000000-0005-0000-0000-00002C980000}"/>
    <cellStyle name="Normal 58 10 4 4 2" xfId="22288" xr:uid="{00000000-0005-0000-0000-00002D980000}"/>
    <cellStyle name="Normal 58 10 4 4 2 2" xfId="47841" xr:uid="{00000000-0005-0000-0000-00002E980000}"/>
    <cellStyle name="Normal 58 10 4 4 3" xfId="33763" xr:uid="{00000000-0005-0000-0000-00002F980000}"/>
    <cellStyle name="Normal 58 10 4 5" xfId="17281" xr:uid="{00000000-0005-0000-0000-000030980000}"/>
    <cellStyle name="Normal 58 10 4 5 2" xfId="42834" xr:uid="{00000000-0005-0000-0000-000031980000}"/>
    <cellStyle name="Normal 58 10 4 6" xfId="28771" xr:uid="{00000000-0005-0000-0000-000032980000}"/>
    <cellStyle name="Normal 58 10 5" xfId="4261" xr:uid="{00000000-0005-0000-0000-000033980000}"/>
    <cellStyle name="Normal 58 10 5 2" xfId="13099" xr:uid="{00000000-0005-0000-0000-000034980000}"/>
    <cellStyle name="Normal 58 10 5 2 2" xfId="23350" xr:uid="{00000000-0005-0000-0000-000035980000}"/>
    <cellStyle name="Normal 58 10 5 2 2 2" xfId="48903" xr:uid="{00000000-0005-0000-0000-000036980000}"/>
    <cellStyle name="Normal 58 10 5 2 3" xfId="38654" xr:uid="{00000000-0005-0000-0000-000037980000}"/>
    <cellStyle name="Normal 58 10 5 3" xfId="9520" xr:uid="{00000000-0005-0000-0000-000038980000}"/>
    <cellStyle name="Normal 58 10 5 3 2" xfId="35077" xr:uid="{00000000-0005-0000-0000-000039980000}"/>
    <cellStyle name="Normal 58 10 5 4" xfId="18343" xr:uid="{00000000-0005-0000-0000-00003A980000}"/>
    <cellStyle name="Normal 58 10 5 4 2" xfId="43896" xr:uid="{00000000-0005-0000-0000-00003B980000}"/>
    <cellStyle name="Normal 58 10 5 5" xfId="29833" xr:uid="{00000000-0005-0000-0000-00003C980000}"/>
    <cellStyle name="Normal 58 10 6" xfId="1533" xr:uid="{00000000-0005-0000-0000-00003D980000}"/>
    <cellStyle name="Normal 58 10 6 2" xfId="10910" xr:uid="{00000000-0005-0000-0000-00003E980000}"/>
    <cellStyle name="Normal 58 10 6 2 2" xfId="36465" xr:uid="{00000000-0005-0000-0000-00003F980000}"/>
    <cellStyle name="Normal 58 10 6 3" xfId="20914" xr:uid="{00000000-0005-0000-0000-000040980000}"/>
    <cellStyle name="Normal 58 10 6 3 2" xfId="46467" xr:uid="{00000000-0005-0000-0000-000041980000}"/>
    <cellStyle name="Normal 58 10 6 4" xfId="27397" xr:uid="{00000000-0005-0000-0000-000042980000}"/>
    <cellStyle name="Normal 58 10 7" xfId="5717" xr:uid="{00000000-0005-0000-0000-000043980000}"/>
    <cellStyle name="Normal 58 10 7 2" xfId="14544" xr:uid="{00000000-0005-0000-0000-000044980000}"/>
    <cellStyle name="Normal 58 10 7 2 2" xfId="40099" xr:uid="{00000000-0005-0000-0000-000045980000}"/>
    <cellStyle name="Normal 58 10 7 3" xfId="24795" xr:uid="{00000000-0005-0000-0000-000046980000}"/>
    <cellStyle name="Normal 58 10 7 3 2" xfId="50348" xr:uid="{00000000-0005-0000-0000-000047980000}"/>
    <cellStyle name="Normal 58 10 7 4" xfId="31278" xr:uid="{00000000-0005-0000-0000-000048980000}"/>
    <cellStyle name="Normal 58 10 8" xfId="7161" xr:uid="{00000000-0005-0000-0000-000049980000}"/>
    <cellStyle name="Normal 58 10 8 2" xfId="19887" xr:uid="{00000000-0005-0000-0000-00004A980000}"/>
    <cellStyle name="Normal 58 10 8 2 2" xfId="45440" xr:uid="{00000000-0005-0000-0000-00004B980000}"/>
    <cellStyle name="Normal 58 10 8 3" xfId="32718" xr:uid="{00000000-0005-0000-0000-00004C980000}"/>
    <cellStyle name="Normal 58 10 9" xfId="15907" xr:uid="{00000000-0005-0000-0000-00004D980000}"/>
    <cellStyle name="Normal 58 10 9 2" xfId="41460" xr:uid="{00000000-0005-0000-0000-00004E980000}"/>
    <cellStyle name="Normal 58 10_Degree data" xfId="3990" xr:uid="{00000000-0005-0000-0000-00004F980000}"/>
    <cellStyle name="Normal 58 11" xfId="297" xr:uid="{00000000-0005-0000-0000-000050980000}"/>
    <cellStyle name="Normal 58 11 10" xfId="26226" xr:uid="{00000000-0005-0000-0000-000051980000}"/>
    <cellStyle name="Normal 58 11 2" xfId="885" xr:uid="{00000000-0005-0000-0000-000052980000}"/>
    <cellStyle name="Normal 58 11 2 2" xfId="3370" xr:uid="{00000000-0005-0000-0000-000053980000}"/>
    <cellStyle name="Normal 58 11 2 2 2" xfId="12512" xr:uid="{00000000-0005-0000-0000-000054980000}"/>
    <cellStyle name="Normal 58 11 2 2 2 2" xfId="22731" xr:uid="{00000000-0005-0000-0000-000055980000}"/>
    <cellStyle name="Normal 58 11 2 2 2 2 2" xfId="48284" xr:uid="{00000000-0005-0000-0000-000056980000}"/>
    <cellStyle name="Normal 58 11 2 2 2 3" xfId="38067" xr:uid="{00000000-0005-0000-0000-000057980000}"/>
    <cellStyle name="Normal 58 11 2 2 3" xfId="8934" xr:uid="{00000000-0005-0000-0000-000058980000}"/>
    <cellStyle name="Normal 58 11 2 2 3 2" xfId="34491" xr:uid="{00000000-0005-0000-0000-000059980000}"/>
    <cellStyle name="Normal 58 11 2 2 4" xfId="17724" xr:uid="{00000000-0005-0000-0000-00005A980000}"/>
    <cellStyle name="Normal 58 11 2 2 4 2" xfId="43277" xr:uid="{00000000-0005-0000-0000-00005B980000}"/>
    <cellStyle name="Normal 58 11 2 2 5" xfId="29214" xr:uid="{00000000-0005-0000-0000-00005C980000}"/>
    <cellStyle name="Normal 58 11 2 3" xfId="4699" xr:uid="{00000000-0005-0000-0000-00005D980000}"/>
    <cellStyle name="Normal 58 11 2 3 2" xfId="13537" xr:uid="{00000000-0005-0000-0000-00005E980000}"/>
    <cellStyle name="Normal 58 11 2 3 2 2" xfId="23788" xr:uid="{00000000-0005-0000-0000-00005F980000}"/>
    <cellStyle name="Normal 58 11 2 3 2 2 2" xfId="49341" xr:uid="{00000000-0005-0000-0000-000060980000}"/>
    <cellStyle name="Normal 58 11 2 3 2 3" xfId="39092" xr:uid="{00000000-0005-0000-0000-000061980000}"/>
    <cellStyle name="Normal 58 11 2 3 3" xfId="9958" xr:uid="{00000000-0005-0000-0000-000062980000}"/>
    <cellStyle name="Normal 58 11 2 3 3 2" xfId="35515" xr:uid="{00000000-0005-0000-0000-000063980000}"/>
    <cellStyle name="Normal 58 11 2 3 4" xfId="18781" xr:uid="{00000000-0005-0000-0000-000064980000}"/>
    <cellStyle name="Normal 58 11 2 3 4 2" xfId="44334" xr:uid="{00000000-0005-0000-0000-000065980000}"/>
    <cellStyle name="Normal 58 11 2 3 5" xfId="30271" xr:uid="{00000000-0005-0000-0000-000066980000}"/>
    <cellStyle name="Normal 58 11 2 4" xfId="2479" xr:uid="{00000000-0005-0000-0000-000067980000}"/>
    <cellStyle name="Normal 58 11 2 4 2" xfId="11844" xr:uid="{00000000-0005-0000-0000-000068980000}"/>
    <cellStyle name="Normal 58 11 2 4 2 2" xfId="37399" xr:uid="{00000000-0005-0000-0000-000069980000}"/>
    <cellStyle name="Normal 58 11 2 4 3" xfId="21848" xr:uid="{00000000-0005-0000-0000-00006A980000}"/>
    <cellStyle name="Normal 58 11 2 4 3 2" xfId="47401" xr:uid="{00000000-0005-0000-0000-00006B980000}"/>
    <cellStyle name="Normal 58 11 2 4 4" xfId="28331" xr:uid="{00000000-0005-0000-0000-00006C980000}"/>
    <cellStyle name="Normal 58 11 2 5" xfId="6155" xr:uid="{00000000-0005-0000-0000-00006D980000}"/>
    <cellStyle name="Normal 58 11 2 5 2" xfId="14982" xr:uid="{00000000-0005-0000-0000-00006E980000}"/>
    <cellStyle name="Normal 58 11 2 5 2 2" xfId="40537" xr:uid="{00000000-0005-0000-0000-00006F980000}"/>
    <cellStyle name="Normal 58 11 2 5 3" xfId="25233" xr:uid="{00000000-0005-0000-0000-000070980000}"/>
    <cellStyle name="Normal 58 11 2 5 3 2" xfId="50786" xr:uid="{00000000-0005-0000-0000-000071980000}"/>
    <cellStyle name="Normal 58 11 2 5 4" xfId="31716" xr:uid="{00000000-0005-0000-0000-000072980000}"/>
    <cellStyle name="Normal 58 11 2 6" xfId="7600" xr:uid="{00000000-0005-0000-0000-000073980000}"/>
    <cellStyle name="Normal 58 11 2 6 2" xfId="20330" xr:uid="{00000000-0005-0000-0000-000074980000}"/>
    <cellStyle name="Normal 58 11 2 6 2 2" xfId="45883" xr:uid="{00000000-0005-0000-0000-000075980000}"/>
    <cellStyle name="Normal 58 11 2 6 3" xfId="33157" xr:uid="{00000000-0005-0000-0000-000076980000}"/>
    <cellStyle name="Normal 58 11 2 7" xfId="16841" xr:uid="{00000000-0005-0000-0000-000077980000}"/>
    <cellStyle name="Normal 58 11 2 7 2" xfId="42394" xr:uid="{00000000-0005-0000-0000-000078980000}"/>
    <cellStyle name="Normal 58 11 2 8" xfId="26813" xr:uid="{00000000-0005-0000-0000-000079980000}"/>
    <cellStyle name="Normal 58 11 3" xfId="1069" xr:uid="{00000000-0005-0000-0000-00007A980000}"/>
    <cellStyle name="Normal 58 11 3 2" xfId="3498" xr:uid="{00000000-0005-0000-0000-00007B980000}"/>
    <cellStyle name="Normal 58 11 3 2 2" xfId="12634" xr:uid="{00000000-0005-0000-0000-00007C980000}"/>
    <cellStyle name="Normal 58 11 3 2 2 2" xfId="22853" xr:uid="{00000000-0005-0000-0000-00007D980000}"/>
    <cellStyle name="Normal 58 11 3 2 2 2 2" xfId="48406" xr:uid="{00000000-0005-0000-0000-00007E980000}"/>
    <cellStyle name="Normal 58 11 3 2 2 3" xfId="38189" xr:uid="{00000000-0005-0000-0000-00007F980000}"/>
    <cellStyle name="Normal 58 11 3 2 3" xfId="9056" xr:uid="{00000000-0005-0000-0000-000080980000}"/>
    <cellStyle name="Normal 58 11 3 2 3 2" xfId="34613" xr:uid="{00000000-0005-0000-0000-000081980000}"/>
    <cellStyle name="Normal 58 11 3 2 4" xfId="17846" xr:uid="{00000000-0005-0000-0000-000082980000}"/>
    <cellStyle name="Normal 58 11 3 2 4 2" xfId="43399" xr:uid="{00000000-0005-0000-0000-000083980000}"/>
    <cellStyle name="Normal 58 11 3 2 5" xfId="29336" xr:uid="{00000000-0005-0000-0000-000084980000}"/>
    <cellStyle name="Normal 58 11 3 3" xfId="5048" xr:uid="{00000000-0005-0000-0000-000085980000}"/>
    <cellStyle name="Normal 58 11 3 3 2" xfId="13885" xr:uid="{00000000-0005-0000-0000-000086980000}"/>
    <cellStyle name="Normal 58 11 3 3 2 2" xfId="24136" xr:uid="{00000000-0005-0000-0000-000087980000}"/>
    <cellStyle name="Normal 58 11 3 3 2 2 2" xfId="49689" xr:uid="{00000000-0005-0000-0000-000088980000}"/>
    <cellStyle name="Normal 58 11 3 3 2 3" xfId="39440" xr:uid="{00000000-0005-0000-0000-000089980000}"/>
    <cellStyle name="Normal 58 11 3 3 3" xfId="10306" xr:uid="{00000000-0005-0000-0000-00008A980000}"/>
    <cellStyle name="Normal 58 11 3 3 3 2" xfId="35863" xr:uid="{00000000-0005-0000-0000-00008B980000}"/>
    <cellStyle name="Normal 58 11 3 3 4" xfId="19129" xr:uid="{00000000-0005-0000-0000-00008C980000}"/>
    <cellStyle name="Normal 58 11 3 3 4 2" xfId="44682" xr:uid="{00000000-0005-0000-0000-00008D980000}"/>
    <cellStyle name="Normal 58 11 3 3 5" xfId="30619" xr:uid="{00000000-0005-0000-0000-00008E980000}"/>
    <cellStyle name="Normal 58 11 3 4" xfId="2594" xr:uid="{00000000-0005-0000-0000-00008F980000}"/>
    <cellStyle name="Normal 58 11 3 4 2" xfId="11958" xr:uid="{00000000-0005-0000-0000-000090980000}"/>
    <cellStyle name="Normal 58 11 3 4 2 2" xfId="37513" xr:uid="{00000000-0005-0000-0000-000091980000}"/>
    <cellStyle name="Normal 58 11 3 4 3" xfId="21962" xr:uid="{00000000-0005-0000-0000-000092980000}"/>
    <cellStyle name="Normal 58 11 3 4 3 2" xfId="47515" xr:uid="{00000000-0005-0000-0000-000093980000}"/>
    <cellStyle name="Normal 58 11 3 4 4" xfId="28445" xr:uid="{00000000-0005-0000-0000-000094980000}"/>
    <cellStyle name="Normal 58 11 3 5" xfId="6503" xr:uid="{00000000-0005-0000-0000-000095980000}"/>
    <cellStyle name="Normal 58 11 3 5 2" xfId="15330" xr:uid="{00000000-0005-0000-0000-000096980000}"/>
    <cellStyle name="Normal 58 11 3 5 2 2" xfId="40885" xr:uid="{00000000-0005-0000-0000-000097980000}"/>
    <cellStyle name="Normal 58 11 3 5 3" xfId="25581" xr:uid="{00000000-0005-0000-0000-000098980000}"/>
    <cellStyle name="Normal 58 11 3 5 3 2" xfId="51134" xr:uid="{00000000-0005-0000-0000-000099980000}"/>
    <cellStyle name="Normal 58 11 3 5 4" xfId="32064" xr:uid="{00000000-0005-0000-0000-00009A980000}"/>
    <cellStyle name="Normal 58 11 3 6" xfId="7949" xr:uid="{00000000-0005-0000-0000-00009B980000}"/>
    <cellStyle name="Normal 58 11 3 6 2" xfId="20452" xr:uid="{00000000-0005-0000-0000-00009C980000}"/>
    <cellStyle name="Normal 58 11 3 6 2 2" xfId="46005" xr:uid="{00000000-0005-0000-0000-00009D980000}"/>
    <cellStyle name="Normal 58 11 3 6 3" xfId="33506" xr:uid="{00000000-0005-0000-0000-00009E980000}"/>
    <cellStyle name="Normal 58 11 3 7" xfId="16955" xr:uid="{00000000-0005-0000-0000-00009F980000}"/>
    <cellStyle name="Normal 58 11 3 7 2" xfId="42508" xr:uid="{00000000-0005-0000-0000-0000A0980000}"/>
    <cellStyle name="Normal 58 11 3 8" xfId="26935" xr:uid="{00000000-0005-0000-0000-0000A1980000}"/>
    <cellStyle name="Normal 58 11 4" xfId="2783" xr:uid="{00000000-0005-0000-0000-0000A2980000}"/>
    <cellStyle name="Normal 58 11 4 2" xfId="5161" xr:uid="{00000000-0005-0000-0000-0000A3980000}"/>
    <cellStyle name="Normal 58 11 4 2 2" xfId="13998" xr:uid="{00000000-0005-0000-0000-0000A4980000}"/>
    <cellStyle name="Normal 58 11 4 2 2 2" xfId="24249" xr:uid="{00000000-0005-0000-0000-0000A5980000}"/>
    <cellStyle name="Normal 58 11 4 2 2 2 2" xfId="49802" xr:uid="{00000000-0005-0000-0000-0000A6980000}"/>
    <cellStyle name="Normal 58 11 4 2 2 3" xfId="39553" xr:uid="{00000000-0005-0000-0000-0000A7980000}"/>
    <cellStyle name="Normal 58 11 4 2 3" xfId="10419" xr:uid="{00000000-0005-0000-0000-0000A8980000}"/>
    <cellStyle name="Normal 58 11 4 2 3 2" xfId="35976" xr:uid="{00000000-0005-0000-0000-0000A9980000}"/>
    <cellStyle name="Normal 58 11 4 2 4" xfId="19242" xr:uid="{00000000-0005-0000-0000-0000AA980000}"/>
    <cellStyle name="Normal 58 11 4 2 4 2" xfId="44795" xr:uid="{00000000-0005-0000-0000-0000AB980000}"/>
    <cellStyle name="Normal 58 11 4 2 5" xfId="30732" xr:uid="{00000000-0005-0000-0000-0000AC980000}"/>
    <cellStyle name="Normal 58 11 4 3" xfId="6616" xr:uid="{00000000-0005-0000-0000-0000AD980000}"/>
    <cellStyle name="Normal 58 11 4 3 2" xfId="15443" xr:uid="{00000000-0005-0000-0000-0000AE980000}"/>
    <cellStyle name="Normal 58 11 4 3 2 2" xfId="40998" xr:uid="{00000000-0005-0000-0000-0000AF980000}"/>
    <cellStyle name="Normal 58 11 4 3 3" xfId="25694" xr:uid="{00000000-0005-0000-0000-0000B0980000}"/>
    <cellStyle name="Normal 58 11 4 3 3 2" xfId="51247" xr:uid="{00000000-0005-0000-0000-0000B1980000}"/>
    <cellStyle name="Normal 58 11 4 3 4" xfId="32177" xr:uid="{00000000-0005-0000-0000-0000B2980000}"/>
    <cellStyle name="Normal 58 11 4 4" xfId="8062" xr:uid="{00000000-0005-0000-0000-0000B3980000}"/>
    <cellStyle name="Normal 58 11 4 4 2" xfId="22144" xr:uid="{00000000-0005-0000-0000-0000B4980000}"/>
    <cellStyle name="Normal 58 11 4 4 2 2" xfId="47697" xr:uid="{00000000-0005-0000-0000-0000B5980000}"/>
    <cellStyle name="Normal 58 11 4 4 3" xfId="33619" xr:uid="{00000000-0005-0000-0000-0000B6980000}"/>
    <cellStyle name="Normal 58 11 4 5" xfId="17137" xr:uid="{00000000-0005-0000-0000-0000B7980000}"/>
    <cellStyle name="Normal 58 11 4 5 2" xfId="42690" xr:uid="{00000000-0005-0000-0000-0000B8980000}"/>
    <cellStyle name="Normal 58 11 4 6" xfId="28627" xr:uid="{00000000-0005-0000-0000-0000B9980000}"/>
    <cellStyle name="Normal 58 11 5" xfId="4115" xr:uid="{00000000-0005-0000-0000-0000BA980000}"/>
    <cellStyle name="Normal 58 11 5 2" xfId="12953" xr:uid="{00000000-0005-0000-0000-0000BB980000}"/>
    <cellStyle name="Normal 58 11 5 2 2" xfId="23204" xr:uid="{00000000-0005-0000-0000-0000BC980000}"/>
    <cellStyle name="Normal 58 11 5 2 2 2" xfId="48757" xr:uid="{00000000-0005-0000-0000-0000BD980000}"/>
    <cellStyle name="Normal 58 11 5 2 3" xfId="38508" xr:uid="{00000000-0005-0000-0000-0000BE980000}"/>
    <cellStyle name="Normal 58 11 5 3" xfId="9374" xr:uid="{00000000-0005-0000-0000-0000BF980000}"/>
    <cellStyle name="Normal 58 11 5 3 2" xfId="34931" xr:uid="{00000000-0005-0000-0000-0000C0980000}"/>
    <cellStyle name="Normal 58 11 5 4" xfId="18197" xr:uid="{00000000-0005-0000-0000-0000C1980000}"/>
    <cellStyle name="Normal 58 11 5 4 2" xfId="43750" xr:uid="{00000000-0005-0000-0000-0000C2980000}"/>
    <cellStyle name="Normal 58 11 5 5" xfId="29687" xr:uid="{00000000-0005-0000-0000-0000C3980000}"/>
    <cellStyle name="Normal 58 11 6" xfId="1892" xr:uid="{00000000-0005-0000-0000-0000C4980000}"/>
    <cellStyle name="Normal 58 11 6 2" xfId="11257" xr:uid="{00000000-0005-0000-0000-0000C5980000}"/>
    <cellStyle name="Normal 58 11 6 2 2" xfId="36812" xr:uid="{00000000-0005-0000-0000-0000C6980000}"/>
    <cellStyle name="Normal 58 11 6 3" xfId="21261" xr:uid="{00000000-0005-0000-0000-0000C7980000}"/>
    <cellStyle name="Normal 58 11 6 3 2" xfId="46814" xr:uid="{00000000-0005-0000-0000-0000C8980000}"/>
    <cellStyle name="Normal 58 11 6 4" xfId="27744" xr:uid="{00000000-0005-0000-0000-0000C9980000}"/>
    <cellStyle name="Normal 58 11 7" xfId="5573" xr:uid="{00000000-0005-0000-0000-0000CA980000}"/>
    <cellStyle name="Normal 58 11 7 2" xfId="14400" xr:uid="{00000000-0005-0000-0000-0000CB980000}"/>
    <cellStyle name="Normal 58 11 7 2 2" xfId="39955" xr:uid="{00000000-0005-0000-0000-0000CC980000}"/>
    <cellStyle name="Normal 58 11 7 3" xfId="24651" xr:uid="{00000000-0005-0000-0000-0000CD980000}"/>
    <cellStyle name="Normal 58 11 7 3 2" xfId="50204" xr:uid="{00000000-0005-0000-0000-0000CE980000}"/>
    <cellStyle name="Normal 58 11 7 4" xfId="31134" xr:uid="{00000000-0005-0000-0000-0000CF980000}"/>
    <cellStyle name="Normal 58 11 8" xfId="7017" xr:uid="{00000000-0005-0000-0000-0000D0980000}"/>
    <cellStyle name="Normal 58 11 8 2" xfId="19743" xr:uid="{00000000-0005-0000-0000-0000D1980000}"/>
    <cellStyle name="Normal 58 11 8 2 2" xfId="45296" xr:uid="{00000000-0005-0000-0000-0000D2980000}"/>
    <cellStyle name="Normal 58 11 8 3" xfId="32574" xr:uid="{00000000-0005-0000-0000-0000D3980000}"/>
    <cellStyle name="Normal 58 11 9" xfId="16254" xr:uid="{00000000-0005-0000-0000-0000D4980000}"/>
    <cellStyle name="Normal 58 11 9 2" xfId="41807" xr:uid="{00000000-0005-0000-0000-0000D5980000}"/>
    <cellStyle name="Normal 58 11_Degree data" xfId="3991" xr:uid="{00000000-0005-0000-0000-0000D6980000}"/>
    <cellStyle name="Normal 58 12" xfId="883" xr:uid="{00000000-0005-0000-0000-0000D7980000}"/>
    <cellStyle name="Normal 58 12 2" xfId="3368" xr:uid="{00000000-0005-0000-0000-0000D8980000}"/>
    <cellStyle name="Normal 58 12 2 2" xfId="12510" xr:uid="{00000000-0005-0000-0000-0000D9980000}"/>
    <cellStyle name="Normal 58 12 2 2 2" xfId="22729" xr:uid="{00000000-0005-0000-0000-0000DA980000}"/>
    <cellStyle name="Normal 58 12 2 2 2 2" xfId="48282" xr:uid="{00000000-0005-0000-0000-0000DB980000}"/>
    <cellStyle name="Normal 58 12 2 2 3" xfId="38065" xr:uid="{00000000-0005-0000-0000-0000DC980000}"/>
    <cellStyle name="Normal 58 12 2 3" xfId="8932" xr:uid="{00000000-0005-0000-0000-0000DD980000}"/>
    <cellStyle name="Normal 58 12 2 3 2" xfId="34489" xr:uid="{00000000-0005-0000-0000-0000DE980000}"/>
    <cellStyle name="Normal 58 12 2 4" xfId="17722" xr:uid="{00000000-0005-0000-0000-0000DF980000}"/>
    <cellStyle name="Normal 58 12 2 4 2" xfId="43275" xr:uid="{00000000-0005-0000-0000-0000E0980000}"/>
    <cellStyle name="Normal 58 12 2 5" xfId="29212" xr:uid="{00000000-0005-0000-0000-0000E1980000}"/>
    <cellStyle name="Normal 58 12 3" xfId="4697" xr:uid="{00000000-0005-0000-0000-0000E2980000}"/>
    <cellStyle name="Normal 58 12 3 2" xfId="13535" xr:uid="{00000000-0005-0000-0000-0000E3980000}"/>
    <cellStyle name="Normal 58 12 3 2 2" xfId="23786" xr:uid="{00000000-0005-0000-0000-0000E4980000}"/>
    <cellStyle name="Normal 58 12 3 2 2 2" xfId="49339" xr:uid="{00000000-0005-0000-0000-0000E5980000}"/>
    <cellStyle name="Normal 58 12 3 2 3" xfId="39090" xr:uid="{00000000-0005-0000-0000-0000E6980000}"/>
    <cellStyle name="Normal 58 12 3 3" xfId="9956" xr:uid="{00000000-0005-0000-0000-0000E7980000}"/>
    <cellStyle name="Normal 58 12 3 3 2" xfId="35513" xr:uid="{00000000-0005-0000-0000-0000E8980000}"/>
    <cellStyle name="Normal 58 12 3 4" xfId="18779" xr:uid="{00000000-0005-0000-0000-0000E9980000}"/>
    <cellStyle name="Normal 58 12 3 4 2" xfId="44332" xr:uid="{00000000-0005-0000-0000-0000EA980000}"/>
    <cellStyle name="Normal 58 12 3 5" xfId="30269" xr:uid="{00000000-0005-0000-0000-0000EB980000}"/>
    <cellStyle name="Normal 58 12 4" xfId="2477" xr:uid="{00000000-0005-0000-0000-0000EC980000}"/>
    <cellStyle name="Normal 58 12 4 2" xfId="11842" xr:uid="{00000000-0005-0000-0000-0000ED980000}"/>
    <cellStyle name="Normal 58 12 4 2 2" xfId="37397" xr:uid="{00000000-0005-0000-0000-0000EE980000}"/>
    <cellStyle name="Normal 58 12 4 3" xfId="21846" xr:uid="{00000000-0005-0000-0000-0000EF980000}"/>
    <cellStyle name="Normal 58 12 4 3 2" xfId="47399" xr:uid="{00000000-0005-0000-0000-0000F0980000}"/>
    <cellStyle name="Normal 58 12 4 4" xfId="28329" xr:uid="{00000000-0005-0000-0000-0000F1980000}"/>
    <cellStyle name="Normal 58 12 5" xfId="6153" xr:uid="{00000000-0005-0000-0000-0000F2980000}"/>
    <cellStyle name="Normal 58 12 5 2" xfId="14980" xr:uid="{00000000-0005-0000-0000-0000F3980000}"/>
    <cellStyle name="Normal 58 12 5 2 2" xfId="40535" xr:uid="{00000000-0005-0000-0000-0000F4980000}"/>
    <cellStyle name="Normal 58 12 5 3" xfId="25231" xr:uid="{00000000-0005-0000-0000-0000F5980000}"/>
    <cellStyle name="Normal 58 12 5 3 2" xfId="50784" xr:uid="{00000000-0005-0000-0000-0000F6980000}"/>
    <cellStyle name="Normal 58 12 5 4" xfId="31714" xr:uid="{00000000-0005-0000-0000-0000F7980000}"/>
    <cellStyle name="Normal 58 12 6" xfId="7598" xr:uid="{00000000-0005-0000-0000-0000F8980000}"/>
    <cellStyle name="Normal 58 12 6 2" xfId="20328" xr:uid="{00000000-0005-0000-0000-0000F9980000}"/>
    <cellStyle name="Normal 58 12 6 2 2" xfId="45881" xr:uid="{00000000-0005-0000-0000-0000FA980000}"/>
    <cellStyle name="Normal 58 12 6 3" xfId="33155" xr:uid="{00000000-0005-0000-0000-0000FB980000}"/>
    <cellStyle name="Normal 58 12 7" xfId="16839" xr:uid="{00000000-0005-0000-0000-0000FC980000}"/>
    <cellStyle name="Normal 58 12 7 2" xfId="42392" xr:uid="{00000000-0005-0000-0000-0000FD980000}"/>
    <cellStyle name="Normal 58 12 8" xfId="26811" xr:uid="{00000000-0005-0000-0000-0000FE980000}"/>
    <cellStyle name="Normal 58 13" xfId="1042" xr:uid="{00000000-0005-0000-0000-0000FF980000}"/>
    <cellStyle name="Normal 58 13 2" xfId="3471" xr:uid="{00000000-0005-0000-0000-000000990000}"/>
    <cellStyle name="Normal 58 13 2 2" xfId="12607" xr:uid="{00000000-0005-0000-0000-000001990000}"/>
    <cellStyle name="Normal 58 13 2 2 2" xfId="22826" xr:uid="{00000000-0005-0000-0000-000002990000}"/>
    <cellStyle name="Normal 58 13 2 2 2 2" xfId="48379" xr:uid="{00000000-0005-0000-0000-000003990000}"/>
    <cellStyle name="Normal 58 13 2 2 3" xfId="38162" xr:uid="{00000000-0005-0000-0000-000004990000}"/>
    <cellStyle name="Normal 58 13 2 3" xfId="9029" xr:uid="{00000000-0005-0000-0000-000005990000}"/>
    <cellStyle name="Normal 58 13 2 3 2" xfId="34586" xr:uid="{00000000-0005-0000-0000-000006990000}"/>
    <cellStyle name="Normal 58 13 2 4" xfId="17819" xr:uid="{00000000-0005-0000-0000-000007990000}"/>
    <cellStyle name="Normal 58 13 2 4 2" xfId="43372" xr:uid="{00000000-0005-0000-0000-000008990000}"/>
    <cellStyle name="Normal 58 13 2 5" xfId="29309" xr:uid="{00000000-0005-0000-0000-000009990000}"/>
    <cellStyle name="Normal 58 13 3" xfId="5046" xr:uid="{00000000-0005-0000-0000-00000A990000}"/>
    <cellStyle name="Normal 58 13 3 2" xfId="13883" xr:uid="{00000000-0005-0000-0000-00000B990000}"/>
    <cellStyle name="Normal 58 13 3 2 2" xfId="24134" xr:uid="{00000000-0005-0000-0000-00000C990000}"/>
    <cellStyle name="Normal 58 13 3 2 2 2" xfId="49687" xr:uid="{00000000-0005-0000-0000-00000D990000}"/>
    <cellStyle name="Normal 58 13 3 2 3" xfId="39438" xr:uid="{00000000-0005-0000-0000-00000E990000}"/>
    <cellStyle name="Normal 58 13 3 3" xfId="10304" xr:uid="{00000000-0005-0000-0000-00000F990000}"/>
    <cellStyle name="Normal 58 13 3 3 2" xfId="35861" xr:uid="{00000000-0005-0000-0000-000010990000}"/>
    <cellStyle name="Normal 58 13 3 4" xfId="19127" xr:uid="{00000000-0005-0000-0000-000011990000}"/>
    <cellStyle name="Normal 58 13 3 4 2" xfId="44680" xr:uid="{00000000-0005-0000-0000-000012990000}"/>
    <cellStyle name="Normal 58 13 3 5" xfId="30617" xr:uid="{00000000-0005-0000-0000-000013990000}"/>
    <cellStyle name="Normal 58 13 4" xfId="1706" xr:uid="{00000000-0005-0000-0000-000014990000}"/>
    <cellStyle name="Normal 58 13 4 2" xfId="11083" xr:uid="{00000000-0005-0000-0000-000015990000}"/>
    <cellStyle name="Normal 58 13 4 2 2" xfId="36638" xr:uid="{00000000-0005-0000-0000-000016990000}"/>
    <cellStyle name="Normal 58 13 4 3" xfId="21087" xr:uid="{00000000-0005-0000-0000-000017990000}"/>
    <cellStyle name="Normal 58 13 4 3 2" xfId="46640" xr:uid="{00000000-0005-0000-0000-000018990000}"/>
    <cellStyle name="Normal 58 13 4 4" xfId="27570" xr:uid="{00000000-0005-0000-0000-000019990000}"/>
    <cellStyle name="Normal 58 13 5" xfId="6501" xr:uid="{00000000-0005-0000-0000-00001A990000}"/>
    <cellStyle name="Normal 58 13 5 2" xfId="15328" xr:uid="{00000000-0005-0000-0000-00001B990000}"/>
    <cellStyle name="Normal 58 13 5 2 2" xfId="40883" xr:uid="{00000000-0005-0000-0000-00001C990000}"/>
    <cellStyle name="Normal 58 13 5 3" xfId="25579" xr:uid="{00000000-0005-0000-0000-00001D990000}"/>
    <cellStyle name="Normal 58 13 5 3 2" xfId="51132" xr:uid="{00000000-0005-0000-0000-00001E990000}"/>
    <cellStyle name="Normal 58 13 5 4" xfId="32062" xr:uid="{00000000-0005-0000-0000-00001F990000}"/>
    <cellStyle name="Normal 58 13 6" xfId="7947" xr:uid="{00000000-0005-0000-0000-000020990000}"/>
    <cellStyle name="Normal 58 13 6 2" xfId="20425" xr:uid="{00000000-0005-0000-0000-000021990000}"/>
    <cellStyle name="Normal 58 13 6 2 2" xfId="45978" xr:uid="{00000000-0005-0000-0000-000022990000}"/>
    <cellStyle name="Normal 58 13 6 3" xfId="33504" xr:uid="{00000000-0005-0000-0000-000023990000}"/>
    <cellStyle name="Normal 58 13 7" xfId="16080" xr:uid="{00000000-0005-0000-0000-000024990000}"/>
    <cellStyle name="Normal 58 13 7 2" xfId="41633" xr:uid="{00000000-0005-0000-0000-000025990000}"/>
    <cellStyle name="Normal 58 13 8" xfId="26908" xr:uid="{00000000-0005-0000-0000-000026990000}"/>
    <cellStyle name="Normal 58 14" xfId="2606" xr:uid="{00000000-0005-0000-0000-000027990000}"/>
    <cellStyle name="Normal 58 14 2" xfId="5134" xr:uid="{00000000-0005-0000-0000-000028990000}"/>
    <cellStyle name="Normal 58 14 2 2" xfId="13971" xr:uid="{00000000-0005-0000-0000-000029990000}"/>
    <cellStyle name="Normal 58 14 2 2 2" xfId="24222" xr:uid="{00000000-0005-0000-0000-00002A990000}"/>
    <cellStyle name="Normal 58 14 2 2 2 2" xfId="49775" xr:uid="{00000000-0005-0000-0000-00002B990000}"/>
    <cellStyle name="Normal 58 14 2 2 3" xfId="39526" xr:uid="{00000000-0005-0000-0000-00002C990000}"/>
    <cellStyle name="Normal 58 14 2 3" xfId="10392" xr:uid="{00000000-0005-0000-0000-00002D990000}"/>
    <cellStyle name="Normal 58 14 2 3 2" xfId="35949" xr:uid="{00000000-0005-0000-0000-00002E990000}"/>
    <cellStyle name="Normal 58 14 2 4" xfId="19215" xr:uid="{00000000-0005-0000-0000-00002F990000}"/>
    <cellStyle name="Normal 58 14 2 4 2" xfId="44768" xr:uid="{00000000-0005-0000-0000-000030990000}"/>
    <cellStyle name="Normal 58 14 2 5" xfId="30705" xr:uid="{00000000-0005-0000-0000-000031990000}"/>
    <cellStyle name="Normal 58 14 3" xfId="6589" xr:uid="{00000000-0005-0000-0000-000032990000}"/>
    <cellStyle name="Normal 58 14 3 2" xfId="15416" xr:uid="{00000000-0005-0000-0000-000033990000}"/>
    <cellStyle name="Normal 58 14 3 2 2" xfId="40971" xr:uid="{00000000-0005-0000-0000-000034990000}"/>
    <cellStyle name="Normal 58 14 3 3" xfId="25667" xr:uid="{00000000-0005-0000-0000-000035990000}"/>
    <cellStyle name="Normal 58 14 3 3 2" xfId="51220" xr:uid="{00000000-0005-0000-0000-000036990000}"/>
    <cellStyle name="Normal 58 14 3 4" xfId="32150" xr:uid="{00000000-0005-0000-0000-000037990000}"/>
    <cellStyle name="Normal 58 14 4" xfId="8035" xr:uid="{00000000-0005-0000-0000-000038990000}"/>
    <cellStyle name="Normal 58 14 4 2" xfId="21970" xr:uid="{00000000-0005-0000-0000-000039990000}"/>
    <cellStyle name="Normal 58 14 4 2 2" xfId="47523" xr:uid="{00000000-0005-0000-0000-00003A990000}"/>
    <cellStyle name="Normal 58 14 4 3" xfId="33592" xr:uid="{00000000-0005-0000-0000-00003B990000}"/>
    <cellStyle name="Normal 58 14 5" xfId="16963" xr:uid="{00000000-0005-0000-0000-00003C990000}"/>
    <cellStyle name="Normal 58 14 5 2" xfId="42516" xr:uid="{00000000-0005-0000-0000-00003D990000}"/>
    <cellStyle name="Normal 58 14 6" xfId="28453" xr:uid="{00000000-0005-0000-0000-00003E990000}"/>
    <cellStyle name="Normal 58 15" xfId="4088" xr:uid="{00000000-0005-0000-0000-00003F990000}"/>
    <cellStyle name="Normal 58 15 2" xfId="5546" xr:uid="{00000000-0005-0000-0000-000040990000}"/>
    <cellStyle name="Normal 58 15 2 2" xfId="14373" xr:uid="{00000000-0005-0000-0000-000041990000}"/>
    <cellStyle name="Normal 58 15 2 2 2" xfId="39928" xr:uid="{00000000-0005-0000-0000-000042990000}"/>
    <cellStyle name="Normal 58 15 2 3" xfId="24624" xr:uid="{00000000-0005-0000-0000-000043990000}"/>
    <cellStyle name="Normal 58 15 2 3 2" xfId="50177" xr:uid="{00000000-0005-0000-0000-000044990000}"/>
    <cellStyle name="Normal 58 15 2 4" xfId="31107" xr:uid="{00000000-0005-0000-0000-000045990000}"/>
    <cellStyle name="Normal 58 15 3" xfId="6990" xr:uid="{00000000-0005-0000-0000-000046990000}"/>
    <cellStyle name="Normal 58 15 3 2" xfId="23177" xr:uid="{00000000-0005-0000-0000-000047990000}"/>
    <cellStyle name="Normal 58 15 3 2 2" xfId="48730" xr:uid="{00000000-0005-0000-0000-000048990000}"/>
    <cellStyle name="Normal 58 15 3 3" xfId="32547" xr:uid="{00000000-0005-0000-0000-000049990000}"/>
    <cellStyle name="Normal 58 15 4" xfId="18170" xr:uid="{00000000-0005-0000-0000-00004A990000}"/>
    <cellStyle name="Normal 58 15 4 2" xfId="43723" xr:uid="{00000000-0005-0000-0000-00004B990000}"/>
    <cellStyle name="Normal 58 15 5" xfId="29660" xr:uid="{00000000-0005-0000-0000-00004C990000}"/>
    <cellStyle name="Normal 58 16" xfId="1389" xr:uid="{00000000-0005-0000-0000-00004D990000}"/>
    <cellStyle name="Normal 58 16 2" xfId="10766" xr:uid="{00000000-0005-0000-0000-00004E990000}"/>
    <cellStyle name="Normal 58 16 2 2" xfId="36321" xr:uid="{00000000-0005-0000-0000-00004F990000}"/>
    <cellStyle name="Normal 58 16 3" xfId="20770" xr:uid="{00000000-0005-0000-0000-000050990000}"/>
    <cellStyle name="Normal 58 16 3 2" xfId="46323" xr:uid="{00000000-0005-0000-0000-000051990000}"/>
    <cellStyle name="Normal 58 16 4" xfId="27253" xr:uid="{00000000-0005-0000-0000-000052990000}"/>
    <cellStyle name="Normal 58 17" xfId="5506" xr:uid="{00000000-0005-0000-0000-000053990000}"/>
    <cellStyle name="Normal 58 17 2" xfId="14333" xr:uid="{00000000-0005-0000-0000-000054990000}"/>
    <cellStyle name="Normal 58 17 2 2" xfId="39888" xr:uid="{00000000-0005-0000-0000-000055990000}"/>
    <cellStyle name="Normal 58 17 3" xfId="24584" xr:uid="{00000000-0005-0000-0000-000056990000}"/>
    <cellStyle name="Normal 58 17 3 2" xfId="50137" xr:uid="{00000000-0005-0000-0000-000057990000}"/>
    <cellStyle name="Normal 58 17 4" xfId="31067" xr:uid="{00000000-0005-0000-0000-000058990000}"/>
    <cellStyle name="Normal 58 18" xfId="6945" xr:uid="{00000000-0005-0000-0000-000059990000}"/>
    <cellStyle name="Normal 58 18 2" xfId="19570" xr:uid="{00000000-0005-0000-0000-00005A990000}"/>
    <cellStyle name="Normal 58 18 2 2" xfId="45123" xr:uid="{00000000-0005-0000-0000-00005B990000}"/>
    <cellStyle name="Normal 58 18 3" xfId="32503" xr:uid="{00000000-0005-0000-0000-00005C990000}"/>
    <cellStyle name="Normal 58 19" xfId="15763" xr:uid="{00000000-0005-0000-0000-00005D990000}"/>
    <cellStyle name="Normal 58 19 2" xfId="41316" xr:uid="{00000000-0005-0000-0000-00005E990000}"/>
    <cellStyle name="Normal 58 2" xfId="37" xr:uid="{00000000-0005-0000-0000-00005F990000}"/>
    <cellStyle name="Normal 58 20" xfId="26053" xr:uid="{00000000-0005-0000-0000-000060990000}"/>
    <cellStyle name="Normal 58 3" xfId="110" xr:uid="{00000000-0005-0000-0000-000061990000}"/>
    <cellStyle name="Normal 58 3 10" xfId="4100" xr:uid="{00000000-0005-0000-0000-000062990000}"/>
    <cellStyle name="Normal 58 3 10 2" xfId="5558" xr:uid="{00000000-0005-0000-0000-000063990000}"/>
    <cellStyle name="Normal 58 3 10 2 2" xfId="14385" xr:uid="{00000000-0005-0000-0000-000064990000}"/>
    <cellStyle name="Normal 58 3 10 2 2 2" xfId="39940" xr:uid="{00000000-0005-0000-0000-000065990000}"/>
    <cellStyle name="Normal 58 3 10 2 3" xfId="24636" xr:uid="{00000000-0005-0000-0000-000066990000}"/>
    <cellStyle name="Normal 58 3 10 2 3 2" xfId="50189" xr:uid="{00000000-0005-0000-0000-000067990000}"/>
    <cellStyle name="Normal 58 3 10 2 4" xfId="31119" xr:uid="{00000000-0005-0000-0000-000068990000}"/>
    <cellStyle name="Normal 58 3 10 3" xfId="7002" xr:uid="{00000000-0005-0000-0000-000069990000}"/>
    <cellStyle name="Normal 58 3 10 3 2" xfId="23189" xr:uid="{00000000-0005-0000-0000-00006A990000}"/>
    <cellStyle name="Normal 58 3 10 3 2 2" xfId="48742" xr:uid="{00000000-0005-0000-0000-00006B990000}"/>
    <cellStyle name="Normal 58 3 10 3 3" xfId="32559" xr:uid="{00000000-0005-0000-0000-00006C990000}"/>
    <cellStyle name="Normal 58 3 10 4" xfId="18182" xr:uid="{00000000-0005-0000-0000-00006D990000}"/>
    <cellStyle name="Normal 58 3 10 4 2" xfId="43735" xr:uid="{00000000-0005-0000-0000-00006E990000}"/>
    <cellStyle name="Normal 58 3 10 5" xfId="29672" xr:uid="{00000000-0005-0000-0000-00006F990000}"/>
    <cellStyle name="Normal 58 3 11" xfId="1394" xr:uid="{00000000-0005-0000-0000-000070990000}"/>
    <cellStyle name="Normal 58 3 11 2" xfId="10771" xr:uid="{00000000-0005-0000-0000-000071990000}"/>
    <cellStyle name="Normal 58 3 11 2 2" xfId="36326" xr:uid="{00000000-0005-0000-0000-000072990000}"/>
    <cellStyle name="Normal 58 3 11 3" xfId="20775" xr:uid="{00000000-0005-0000-0000-000073990000}"/>
    <cellStyle name="Normal 58 3 11 3 2" xfId="46328" xr:uid="{00000000-0005-0000-0000-000074990000}"/>
    <cellStyle name="Normal 58 3 11 4" xfId="27258" xr:uid="{00000000-0005-0000-0000-000075990000}"/>
    <cellStyle name="Normal 58 3 12" xfId="5528" xr:uid="{00000000-0005-0000-0000-000076990000}"/>
    <cellStyle name="Normal 58 3 12 2" xfId="14355" xr:uid="{00000000-0005-0000-0000-000077990000}"/>
    <cellStyle name="Normal 58 3 12 2 2" xfId="39910" xr:uid="{00000000-0005-0000-0000-000078990000}"/>
    <cellStyle name="Normal 58 3 12 3" xfId="24606" xr:uid="{00000000-0005-0000-0000-000079990000}"/>
    <cellStyle name="Normal 58 3 12 3 2" xfId="50159" xr:uid="{00000000-0005-0000-0000-00007A990000}"/>
    <cellStyle name="Normal 58 3 12 4" xfId="31089" xr:uid="{00000000-0005-0000-0000-00007B990000}"/>
    <cellStyle name="Normal 58 3 13" xfId="6972" xr:uid="{00000000-0005-0000-0000-00007C990000}"/>
    <cellStyle name="Normal 58 3 13 2" xfId="19583" xr:uid="{00000000-0005-0000-0000-00007D990000}"/>
    <cellStyle name="Normal 58 3 13 2 2" xfId="45136" xr:uid="{00000000-0005-0000-0000-00007E990000}"/>
    <cellStyle name="Normal 58 3 13 3" xfId="32529" xr:uid="{00000000-0005-0000-0000-00007F990000}"/>
    <cellStyle name="Normal 58 3 14" xfId="15768" xr:uid="{00000000-0005-0000-0000-000080990000}"/>
    <cellStyle name="Normal 58 3 14 2" xfId="41321" xr:uid="{00000000-0005-0000-0000-000081990000}"/>
    <cellStyle name="Normal 58 3 15" xfId="26066" xr:uid="{00000000-0005-0000-0000-000082990000}"/>
    <cellStyle name="Normal 58 3 2" xfId="154" xr:uid="{00000000-0005-0000-0000-000083990000}"/>
    <cellStyle name="Normal 58 3 2 10" xfId="1419" xr:uid="{00000000-0005-0000-0000-000084990000}"/>
    <cellStyle name="Normal 58 3 2 10 2" xfId="10796" xr:uid="{00000000-0005-0000-0000-000085990000}"/>
    <cellStyle name="Normal 58 3 2 10 2 2" xfId="36351" xr:uid="{00000000-0005-0000-0000-000086990000}"/>
    <cellStyle name="Normal 58 3 2 10 3" xfId="20800" xr:uid="{00000000-0005-0000-0000-000087990000}"/>
    <cellStyle name="Normal 58 3 2 10 3 2" xfId="46353" xr:uid="{00000000-0005-0000-0000-000088990000}"/>
    <cellStyle name="Normal 58 3 2 10 4" xfId="27283" xr:uid="{00000000-0005-0000-0000-000089990000}"/>
    <cellStyle name="Normal 58 3 2 11" xfId="5603" xr:uid="{00000000-0005-0000-0000-00008A990000}"/>
    <cellStyle name="Normal 58 3 2 11 2" xfId="14430" xr:uid="{00000000-0005-0000-0000-00008B990000}"/>
    <cellStyle name="Normal 58 3 2 11 2 2" xfId="39985" xr:uid="{00000000-0005-0000-0000-00008C990000}"/>
    <cellStyle name="Normal 58 3 2 11 3" xfId="24681" xr:uid="{00000000-0005-0000-0000-00008D990000}"/>
    <cellStyle name="Normal 58 3 2 11 3 2" xfId="50234" xr:uid="{00000000-0005-0000-0000-00008E990000}"/>
    <cellStyle name="Normal 58 3 2 11 4" xfId="31164" xr:uid="{00000000-0005-0000-0000-00008F990000}"/>
    <cellStyle name="Normal 58 3 2 12" xfId="7047" xr:uid="{00000000-0005-0000-0000-000090990000}"/>
    <cellStyle name="Normal 58 3 2 12 2" xfId="19613" xr:uid="{00000000-0005-0000-0000-000091990000}"/>
    <cellStyle name="Normal 58 3 2 12 2 2" xfId="45166" xr:uid="{00000000-0005-0000-0000-000092990000}"/>
    <cellStyle name="Normal 58 3 2 12 3" xfId="32604" xr:uid="{00000000-0005-0000-0000-000093990000}"/>
    <cellStyle name="Normal 58 3 2 13" xfId="15793" xr:uid="{00000000-0005-0000-0000-000094990000}"/>
    <cellStyle name="Normal 58 3 2 13 2" xfId="41346" xr:uid="{00000000-0005-0000-0000-000095990000}"/>
    <cellStyle name="Normal 58 3 2 14" xfId="26096" xr:uid="{00000000-0005-0000-0000-000096990000}"/>
    <cellStyle name="Normal 58 3 2 2" xfId="266" xr:uid="{00000000-0005-0000-0000-000097990000}"/>
    <cellStyle name="Normal 58 3 2 2 10" xfId="7104" xr:uid="{00000000-0005-0000-0000-000098990000}"/>
    <cellStyle name="Normal 58 3 2 2 10 2" xfId="19717" xr:uid="{00000000-0005-0000-0000-000099990000}"/>
    <cellStyle name="Normal 58 3 2 2 10 2 2" xfId="45270" xr:uid="{00000000-0005-0000-0000-00009A990000}"/>
    <cellStyle name="Normal 58 3 2 2 10 3" xfId="32661" xr:uid="{00000000-0005-0000-0000-00009B990000}"/>
    <cellStyle name="Normal 58 3 2 2 11" xfId="15850" xr:uid="{00000000-0005-0000-0000-00009C990000}"/>
    <cellStyle name="Normal 58 3 2 2 11 2" xfId="41403" xr:uid="{00000000-0005-0000-0000-00009D990000}"/>
    <cellStyle name="Normal 58 3 2 2 12" xfId="26200" xr:uid="{00000000-0005-0000-0000-00009E990000}"/>
    <cellStyle name="Normal 58 3 2 2 2" xfId="588" xr:uid="{00000000-0005-0000-0000-00009F990000}"/>
    <cellStyle name="Normal 58 3 2 2 2 10" xfId="26517" xr:uid="{00000000-0005-0000-0000-0000A0990000}"/>
    <cellStyle name="Normal 58 3 2 2 2 2" xfId="889" xr:uid="{00000000-0005-0000-0000-0000A1990000}"/>
    <cellStyle name="Normal 58 3 2 2 2 2 2" xfId="3374" xr:uid="{00000000-0005-0000-0000-0000A2990000}"/>
    <cellStyle name="Normal 58 3 2 2 2 2 2 2" xfId="12516" xr:uid="{00000000-0005-0000-0000-0000A3990000}"/>
    <cellStyle name="Normal 58 3 2 2 2 2 2 2 2" xfId="22735" xr:uid="{00000000-0005-0000-0000-0000A4990000}"/>
    <cellStyle name="Normal 58 3 2 2 2 2 2 2 2 2" xfId="48288" xr:uid="{00000000-0005-0000-0000-0000A5990000}"/>
    <cellStyle name="Normal 58 3 2 2 2 2 2 2 3" xfId="38071" xr:uid="{00000000-0005-0000-0000-0000A6990000}"/>
    <cellStyle name="Normal 58 3 2 2 2 2 2 3" xfId="8938" xr:uid="{00000000-0005-0000-0000-0000A7990000}"/>
    <cellStyle name="Normal 58 3 2 2 2 2 2 3 2" xfId="34495" xr:uid="{00000000-0005-0000-0000-0000A8990000}"/>
    <cellStyle name="Normal 58 3 2 2 2 2 2 4" xfId="17728" xr:uid="{00000000-0005-0000-0000-0000A9990000}"/>
    <cellStyle name="Normal 58 3 2 2 2 2 2 4 2" xfId="43281" xr:uid="{00000000-0005-0000-0000-0000AA990000}"/>
    <cellStyle name="Normal 58 3 2 2 2 2 2 5" xfId="29218" xr:uid="{00000000-0005-0000-0000-0000AB990000}"/>
    <cellStyle name="Normal 58 3 2 2 2 2 3" xfId="4703" xr:uid="{00000000-0005-0000-0000-0000AC990000}"/>
    <cellStyle name="Normal 58 3 2 2 2 2 3 2" xfId="13541" xr:uid="{00000000-0005-0000-0000-0000AD990000}"/>
    <cellStyle name="Normal 58 3 2 2 2 2 3 2 2" xfId="23792" xr:uid="{00000000-0005-0000-0000-0000AE990000}"/>
    <cellStyle name="Normal 58 3 2 2 2 2 3 2 2 2" xfId="49345" xr:uid="{00000000-0005-0000-0000-0000AF990000}"/>
    <cellStyle name="Normal 58 3 2 2 2 2 3 2 3" xfId="39096" xr:uid="{00000000-0005-0000-0000-0000B0990000}"/>
    <cellStyle name="Normal 58 3 2 2 2 2 3 3" xfId="9962" xr:uid="{00000000-0005-0000-0000-0000B1990000}"/>
    <cellStyle name="Normal 58 3 2 2 2 2 3 3 2" xfId="35519" xr:uid="{00000000-0005-0000-0000-0000B2990000}"/>
    <cellStyle name="Normal 58 3 2 2 2 2 3 4" xfId="18785" xr:uid="{00000000-0005-0000-0000-0000B3990000}"/>
    <cellStyle name="Normal 58 3 2 2 2 2 3 4 2" xfId="44338" xr:uid="{00000000-0005-0000-0000-0000B4990000}"/>
    <cellStyle name="Normal 58 3 2 2 2 2 3 5" xfId="30275" xr:uid="{00000000-0005-0000-0000-0000B5990000}"/>
    <cellStyle name="Normal 58 3 2 2 2 2 4" xfId="2483" xr:uid="{00000000-0005-0000-0000-0000B6990000}"/>
    <cellStyle name="Normal 58 3 2 2 2 2 4 2" xfId="11848" xr:uid="{00000000-0005-0000-0000-0000B7990000}"/>
    <cellStyle name="Normal 58 3 2 2 2 2 4 2 2" xfId="37403" xr:uid="{00000000-0005-0000-0000-0000B8990000}"/>
    <cellStyle name="Normal 58 3 2 2 2 2 4 3" xfId="21852" xr:uid="{00000000-0005-0000-0000-0000B9990000}"/>
    <cellStyle name="Normal 58 3 2 2 2 2 4 3 2" xfId="47405" xr:uid="{00000000-0005-0000-0000-0000BA990000}"/>
    <cellStyle name="Normal 58 3 2 2 2 2 4 4" xfId="28335" xr:uid="{00000000-0005-0000-0000-0000BB990000}"/>
    <cellStyle name="Normal 58 3 2 2 2 2 5" xfId="6159" xr:uid="{00000000-0005-0000-0000-0000BC990000}"/>
    <cellStyle name="Normal 58 3 2 2 2 2 5 2" xfId="14986" xr:uid="{00000000-0005-0000-0000-0000BD990000}"/>
    <cellStyle name="Normal 58 3 2 2 2 2 5 2 2" xfId="40541" xr:uid="{00000000-0005-0000-0000-0000BE990000}"/>
    <cellStyle name="Normal 58 3 2 2 2 2 5 3" xfId="25237" xr:uid="{00000000-0005-0000-0000-0000BF990000}"/>
    <cellStyle name="Normal 58 3 2 2 2 2 5 3 2" xfId="50790" xr:uid="{00000000-0005-0000-0000-0000C0990000}"/>
    <cellStyle name="Normal 58 3 2 2 2 2 5 4" xfId="31720" xr:uid="{00000000-0005-0000-0000-0000C1990000}"/>
    <cellStyle name="Normal 58 3 2 2 2 2 6" xfId="7604" xr:uid="{00000000-0005-0000-0000-0000C2990000}"/>
    <cellStyle name="Normal 58 3 2 2 2 2 6 2" xfId="20334" xr:uid="{00000000-0005-0000-0000-0000C3990000}"/>
    <cellStyle name="Normal 58 3 2 2 2 2 6 2 2" xfId="45887" xr:uid="{00000000-0005-0000-0000-0000C4990000}"/>
    <cellStyle name="Normal 58 3 2 2 2 2 6 3" xfId="33161" xr:uid="{00000000-0005-0000-0000-0000C5990000}"/>
    <cellStyle name="Normal 58 3 2 2 2 2 7" xfId="16845" xr:uid="{00000000-0005-0000-0000-0000C6990000}"/>
    <cellStyle name="Normal 58 3 2 2 2 2 7 2" xfId="42398" xr:uid="{00000000-0005-0000-0000-0000C7990000}"/>
    <cellStyle name="Normal 58 3 2 2 2 2 8" xfId="26817" xr:uid="{00000000-0005-0000-0000-0000C8990000}"/>
    <cellStyle name="Normal 58 3 2 2 2 3" xfId="1360" xr:uid="{00000000-0005-0000-0000-0000C9990000}"/>
    <cellStyle name="Normal 58 3 2 2 2 3 2" xfId="3789" xr:uid="{00000000-0005-0000-0000-0000CA990000}"/>
    <cellStyle name="Normal 58 3 2 2 2 3 2 2" xfId="12925" xr:uid="{00000000-0005-0000-0000-0000CB990000}"/>
    <cellStyle name="Normal 58 3 2 2 2 3 2 2 2" xfId="23144" xr:uid="{00000000-0005-0000-0000-0000CC990000}"/>
    <cellStyle name="Normal 58 3 2 2 2 3 2 2 2 2" xfId="48697" xr:uid="{00000000-0005-0000-0000-0000CD990000}"/>
    <cellStyle name="Normal 58 3 2 2 2 3 2 2 3" xfId="38480" xr:uid="{00000000-0005-0000-0000-0000CE990000}"/>
    <cellStyle name="Normal 58 3 2 2 2 3 2 3" xfId="9346" xr:uid="{00000000-0005-0000-0000-0000CF990000}"/>
    <cellStyle name="Normal 58 3 2 2 2 3 2 3 2" xfId="34903" xr:uid="{00000000-0005-0000-0000-0000D0990000}"/>
    <cellStyle name="Normal 58 3 2 2 2 3 2 4" xfId="18137" xr:uid="{00000000-0005-0000-0000-0000D1990000}"/>
    <cellStyle name="Normal 58 3 2 2 2 3 2 4 2" xfId="43690" xr:uid="{00000000-0005-0000-0000-0000D2990000}"/>
    <cellStyle name="Normal 58 3 2 2 2 3 2 5" xfId="29627" xr:uid="{00000000-0005-0000-0000-0000D3990000}"/>
    <cellStyle name="Normal 58 3 2 2 2 3 3" xfId="5052" xr:uid="{00000000-0005-0000-0000-0000D4990000}"/>
    <cellStyle name="Normal 58 3 2 2 2 3 3 2" xfId="13889" xr:uid="{00000000-0005-0000-0000-0000D5990000}"/>
    <cellStyle name="Normal 58 3 2 2 2 3 3 2 2" xfId="24140" xr:uid="{00000000-0005-0000-0000-0000D6990000}"/>
    <cellStyle name="Normal 58 3 2 2 2 3 3 2 2 2" xfId="49693" xr:uid="{00000000-0005-0000-0000-0000D7990000}"/>
    <cellStyle name="Normal 58 3 2 2 2 3 3 2 3" xfId="39444" xr:uid="{00000000-0005-0000-0000-0000D8990000}"/>
    <cellStyle name="Normal 58 3 2 2 2 3 3 3" xfId="10310" xr:uid="{00000000-0005-0000-0000-0000D9990000}"/>
    <cellStyle name="Normal 58 3 2 2 2 3 3 3 2" xfId="35867" xr:uid="{00000000-0005-0000-0000-0000DA990000}"/>
    <cellStyle name="Normal 58 3 2 2 2 3 3 4" xfId="19133" xr:uid="{00000000-0005-0000-0000-0000DB990000}"/>
    <cellStyle name="Normal 58 3 2 2 2 3 3 4 2" xfId="44686" xr:uid="{00000000-0005-0000-0000-0000DC990000}"/>
    <cellStyle name="Normal 58 3 2 2 2 3 3 5" xfId="30623" xr:uid="{00000000-0005-0000-0000-0000DD990000}"/>
    <cellStyle name="Normal 58 3 2 2 2 3 4" xfId="2183" xr:uid="{00000000-0005-0000-0000-0000DE990000}"/>
    <cellStyle name="Normal 58 3 2 2 2 3 4 2" xfId="11548" xr:uid="{00000000-0005-0000-0000-0000DF990000}"/>
    <cellStyle name="Normal 58 3 2 2 2 3 4 2 2" xfId="37103" xr:uid="{00000000-0005-0000-0000-0000E0990000}"/>
    <cellStyle name="Normal 58 3 2 2 2 3 4 3" xfId="21552" xr:uid="{00000000-0005-0000-0000-0000E1990000}"/>
    <cellStyle name="Normal 58 3 2 2 2 3 4 3 2" xfId="47105" xr:uid="{00000000-0005-0000-0000-0000E2990000}"/>
    <cellStyle name="Normal 58 3 2 2 2 3 4 4" xfId="28035" xr:uid="{00000000-0005-0000-0000-0000E3990000}"/>
    <cellStyle name="Normal 58 3 2 2 2 3 5" xfId="6507" xr:uid="{00000000-0005-0000-0000-0000E4990000}"/>
    <cellStyle name="Normal 58 3 2 2 2 3 5 2" xfId="15334" xr:uid="{00000000-0005-0000-0000-0000E5990000}"/>
    <cellStyle name="Normal 58 3 2 2 2 3 5 2 2" xfId="40889" xr:uid="{00000000-0005-0000-0000-0000E6990000}"/>
    <cellStyle name="Normal 58 3 2 2 2 3 5 3" xfId="25585" xr:uid="{00000000-0005-0000-0000-0000E7990000}"/>
    <cellStyle name="Normal 58 3 2 2 2 3 5 3 2" xfId="51138" xr:uid="{00000000-0005-0000-0000-0000E8990000}"/>
    <cellStyle name="Normal 58 3 2 2 2 3 5 4" xfId="32068" xr:uid="{00000000-0005-0000-0000-0000E9990000}"/>
    <cellStyle name="Normal 58 3 2 2 2 3 6" xfId="7953" xr:uid="{00000000-0005-0000-0000-0000EA990000}"/>
    <cellStyle name="Normal 58 3 2 2 2 3 6 2" xfId="20743" xr:uid="{00000000-0005-0000-0000-0000EB990000}"/>
    <cellStyle name="Normal 58 3 2 2 2 3 6 2 2" xfId="46296" xr:uid="{00000000-0005-0000-0000-0000EC990000}"/>
    <cellStyle name="Normal 58 3 2 2 2 3 6 3" xfId="33510" xr:uid="{00000000-0005-0000-0000-0000ED990000}"/>
    <cellStyle name="Normal 58 3 2 2 2 3 7" xfId="16545" xr:uid="{00000000-0005-0000-0000-0000EE990000}"/>
    <cellStyle name="Normal 58 3 2 2 2 3 7 2" xfId="42098" xr:uid="{00000000-0005-0000-0000-0000EF990000}"/>
    <cellStyle name="Normal 58 3 2 2 2 3 8" xfId="27226" xr:uid="{00000000-0005-0000-0000-0000F0990000}"/>
    <cellStyle name="Normal 58 3 2 2 2 4" xfId="3074" xr:uid="{00000000-0005-0000-0000-0000F1990000}"/>
    <cellStyle name="Normal 58 3 2 2 2 4 2" xfId="5452" xr:uid="{00000000-0005-0000-0000-0000F2990000}"/>
    <cellStyle name="Normal 58 3 2 2 2 4 2 2" xfId="14289" xr:uid="{00000000-0005-0000-0000-0000F3990000}"/>
    <cellStyle name="Normal 58 3 2 2 2 4 2 2 2" xfId="24540" xr:uid="{00000000-0005-0000-0000-0000F4990000}"/>
    <cellStyle name="Normal 58 3 2 2 2 4 2 2 2 2" xfId="50093" xr:uid="{00000000-0005-0000-0000-0000F5990000}"/>
    <cellStyle name="Normal 58 3 2 2 2 4 2 2 3" xfId="39844" xr:uid="{00000000-0005-0000-0000-0000F6990000}"/>
    <cellStyle name="Normal 58 3 2 2 2 4 2 3" xfId="10710" xr:uid="{00000000-0005-0000-0000-0000F7990000}"/>
    <cellStyle name="Normal 58 3 2 2 2 4 2 3 2" xfId="36267" xr:uid="{00000000-0005-0000-0000-0000F8990000}"/>
    <cellStyle name="Normal 58 3 2 2 2 4 2 4" xfId="19533" xr:uid="{00000000-0005-0000-0000-0000F9990000}"/>
    <cellStyle name="Normal 58 3 2 2 2 4 2 4 2" xfId="45086" xr:uid="{00000000-0005-0000-0000-0000FA990000}"/>
    <cellStyle name="Normal 58 3 2 2 2 4 2 5" xfId="31023" xr:uid="{00000000-0005-0000-0000-0000FB990000}"/>
    <cellStyle name="Normal 58 3 2 2 2 4 3" xfId="6907" xr:uid="{00000000-0005-0000-0000-0000FC990000}"/>
    <cellStyle name="Normal 58 3 2 2 2 4 3 2" xfId="15734" xr:uid="{00000000-0005-0000-0000-0000FD990000}"/>
    <cellStyle name="Normal 58 3 2 2 2 4 3 2 2" xfId="41289" xr:uid="{00000000-0005-0000-0000-0000FE990000}"/>
    <cellStyle name="Normal 58 3 2 2 2 4 3 3" xfId="25985" xr:uid="{00000000-0005-0000-0000-0000FF990000}"/>
    <cellStyle name="Normal 58 3 2 2 2 4 3 3 2" xfId="51538" xr:uid="{00000000-0005-0000-0000-0000009A0000}"/>
    <cellStyle name="Normal 58 3 2 2 2 4 3 4" xfId="32468" xr:uid="{00000000-0005-0000-0000-0000019A0000}"/>
    <cellStyle name="Normal 58 3 2 2 2 4 4" xfId="8353" xr:uid="{00000000-0005-0000-0000-0000029A0000}"/>
    <cellStyle name="Normal 58 3 2 2 2 4 4 2" xfId="22435" xr:uid="{00000000-0005-0000-0000-0000039A0000}"/>
    <cellStyle name="Normal 58 3 2 2 2 4 4 2 2" xfId="47988" xr:uid="{00000000-0005-0000-0000-0000049A0000}"/>
    <cellStyle name="Normal 58 3 2 2 2 4 4 3" xfId="33910" xr:uid="{00000000-0005-0000-0000-0000059A0000}"/>
    <cellStyle name="Normal 58 3 2 2 2 4 5" xfId="17428" xr:uid="{00000000-0005-0000-0000-0000069A0000}"/>
    <cellStyle name="Normal 58 3 2 2 2 4 5 2" xfId="42981" xr:uid="{00000000-0005-0000-0000-0000079A0000}"/>
    <cellStyle name="Normal 58 3 2 2 2 4 6" xfId="28918" xr:uid="{00000000-0005-0000-0000-0000089A0000}"/>
    <cellStyle name="Normal 58 3 2 2 2 5" xfId="4408" xr:uid="{00000000-0005-0000-0000-0000099A0000}"/>
    <cellStyle name="Normal 58 3 2 2 2 5 2" xfId="13246" xr:uid="{00000000-0005-0000-0000-00000A9A0000}"/>
    <cellStyle name="Normal 58 3 2 2 2 5 2 2" xfId="23497" xr:uid="{00000000-0005-0000-0000-00000B9A0000}"/>
    <cellStyle name="Normal 58 3 2 2 2 5 2 2 2" xfId="49050" xr:uid="{00000000-0005-0000-0000-00000C9A0000}"/>
    <cellStyle name="Normal 58 3 2 2 2 5 2 3" xfId="38801" xr:uid="{00000000-0005-0000-0000-00000D9A0000}"/>
    <cellStyle name="Normal 58 3 2 2 2 5 3" xfId="9667" xr:uid="{00000000-0005-0000-0000-00000E9A0000}"/>
    <cellStyle name="Normal 58 3 2 2 2 5 3 2" xfId="35224" xr:uid="{00000000-0005-0000-0000-00000F9A0000}"/>
    <cellStyle name="Normal 58 3 2 2 2 5 4" xfId="18490" xr:uid="{00000000-0005-0000-0000-0000109A0000}"/>
    <cellStyle name="Normal 58 3 2 2 2 5 4 2" xfId="44043" xr:uid="{00000000-0005-0000-0000-0000119A0000}"/>
    <cellStyle name="Normal 58 3 2 2 2 5 5" xfId="29980" xr:uid="{00000000-0005-0000-0000-0000129A0000}"/>
    <cellStyle name="Normal 58 3 2 2 2 6" xfId="1680" xr:uid="{00000000-0005-0000-0000-0000139A0000}"/>
    <cellStyle name="Normal 58 3 2 2 2 6 2" xfId="11057" xr:uid="{00000000-0005-0000-0000-0000149A0000}"/>
    <cellStyle name="Normal 58 3 2 2 2 6 2 2" xfId="36612" xr:uid="{00000000-0005-0000-0000-0000159A0000}"/>
    <cellStyle name="Normal 58 3 2 2 2 6 3" xfId="21061" xr:uid="{00000000-0005-0000-0000-0000169A0000}"/>
    <cellStyle name="Normal 58 3 2 2 2 6 3 2" xfId="46614" xr:uid="{00000000-0005-0000-0000-0000179A0000}"/>
    <cellStyle name="Normal 58 3 2 2 2 6 4" xfId="27544" xr:uid="{00000000-0005-0000-0000-0000189A0000}"/>
    <cellStyle name="Normal 58 3 2 2 2 7" xfId="5864" xr:uid="{00000000-0005-0000-0000-0000199A0000}"/>
    <cellStyle name="Normal 58 3 2 2 2 7 2" xfId="14691" xr:uid="{00000000-0005-0000-0000-00001A9A0000}"/>
    <cellStyle name="Normal 58 3 2 2 2 7 2 2" xfId="40246" xr:uid="{00000000-0005-0000-0000-00001B9A0000}"/>
    <cellStyle name="Normal 58 3 2 2 2 7 3" xfId="24942" xr:uid="{00000000-0005-0000-0000-00001C9A0000}"/>
    <cellStyle name="Normal 58 3 2 2 2 7 3 2" xfId="50495" xr:uid="{00000000-0005-0000-0000-00001D9A0000}"/>
    <cellStyle name="Normal 58 3 2 2 2 7 4" xfId="31425" xr:uid="{00000000-0005-0000-0000-00001E9A0000}"/>
    <cellStyle name="Normal 58 3 2 2 2 8" xfId="7308" xr:uid="{00000000-0005-0000-0000-00001F9A0000}"/>
    <cellStyle name="Normal 58 3 2 2 2 8 2" xfId="20034" xr:uid="{00000000-0005-0000-0000-0000209A0000}"/>
    <cellStyle name="Normal 58 3 2 2 2 8 2 2" xfId="45587" xr:uid="{00000000-0005-0000-0000-0000219A0000}"/>
    <cellStyle name="Normal 58 3 2 2 2 8 3" xfId="32865" xr:uid="{00000000-0005-0000-0000-0000229A0000}"/>
    <cellStyle name="Normal 58 3 2 2 2 9" xfId="16054" xr:uid="{00000000-0005-0000-0000-0000239A0000}"/>
    <cellStyle name="Normal 58 3 2 2 2 9 2" xfId="41607" xr:uid="{00000000-0005-0000-0000-0000249A0000}"/>
    <cellStyle name="Normal 58 3 2 2 2_Degree data" xfId="3995" xr:uid="{00000000-0005-0000-0000-0000259A0000}"/>
    <cellStyle name="Normal 58 3 2 2 3" xfId="384" xr:uid="{00000000-0005-0000-0000-0000269A0000}"/>
    <cellStyle name="Normal 58 3 2 2 3 2" xfId="2870" xr:uid="{00000000-0005-0000-0000-0000279A0000}"/>
    <cellStyle name="Normal 58 3 2 2 3 2 2" xfId="12158" xr:uid="{00000000-0005-0000-0000-0000289A0000}"/>
    <cellStyle name="Normal 58 3 2 2 3 2 2 2" xfId="22231" xr:uid="{00000000-0005-0000-0000-0000299A0000}"/>
    <cellStyle name="Normal 58 3 2 2 3 2 2 2 2" xfId="47784" xr:uid="{00000000-0005-0000-0000-00002A9A0000}"/>
    <cellStyle name="Normal 58 3 2 2 3 2 2 3" xfId="37713" xr:uid="{00000000-0005-0000-0000-00002B9A0000}"/>
    <cellStyle name="Normal 58 3 2 2 3 2 3" xfId="8459" xr:uid="{00000000-0005-0000-0000-00002C9A0000}"/>
    <cellStyle name="Normal 58 3 2 2 3 2 3 2" xfId="34016" xr:uid="{00000000-0005-0000-0000-00002D9A0000}"/>
    <cellStyle name="Normal 58 3 2 2 3 2 4" xfId="17224" xr:uid="{00000000-0005-0000-0000-00002E9A0000}"/>
    <cellStyle name="Normal 58 3 2 2 3 2 4 2" xfId="42777" xr:uid="{00000000-0005-0000-0000-00002F9A0000}"/>
    <cellStyle name="Normal 58 3 2 2 3 2 5" xfId="28714" xr:uid="{00000000-0005-0000-0000-0000309A0000}"/>
    <cellStyle name="Normal 58 3 2 2 3 3" xfId="4702" xr:uid="{00000000-0005-0000-0000-0000319A0000}"/>
    <cellStyle name="Normal 58 3 2 2 3 3 2" xfId="13540" xr:uid="{00000000-0005-0000-0000-0000329A0000}"/>
    <cellStyle name="Normal 58 3 2 2 3 3 2 2" xfId="23791" xr:uid="{00000000-0005-0000-0000-0000339A0000}"/>
    <cellStyle name="Normal 58 3 2 2 3 3 2 2 2" xfId="49344" xr:uid="{00000000-0005-0000-0000-0000349A0000}"/>
    <cellStyle name="Normal 58 3 2 2 3 3 2 3" xfId="39095" xr:uid="{00000000-0005-0000-0000-0000359A0000}"/>
    <cellStyle name="Normal 58 3 2 2 3 3 3" xfId="9961" xr:uid="{00000000-0005-0000-0000-0000369A0000}"/>
    <cellStyle name="Normal 58 3 2 2 3 3 3 2" xfId="35518" xr:uid="{00000000-0005-0000-0000-0000379A0000}"/>
    <cellStyle name="Normal 58 3 2 2 3 3 4" xfId="18784" xr:uid="{00000000-0005-0000-0000-0000389A0000}"/>
    <cellStyle name="Normal 58 3 2 2 3 3 4 2" xfId="44337" xr:uid="{00000000-0005-0000-0000-0000399A0000}"/>
    <cellStyle name="Normal 58 3 2 2 3 3 5" xfId="30274" xr:uid="{00000000-0005-0000-0000-00003A9A0000}"/>
    <cellStyle name="Normal 58 3 2 2 3 4" xfId="1979" xr:uid="{00000000-0005-0000-0000-00003B9A0000}"/>
    <cellStyle name="Normal 58 3 2 2 3 4 2" xfId="11344" xr:uid="{00000000-0005-0000-0000-00003C9A0000}"/>
    <cellStyle name="Normal 58 3 2 2 3 4 2 2" xfId="36899" xr:uid="{00000000-0005-0000-0000-00003D9A0000}"/>
    <cellStyle name="Normal 58 3 2 2 3 4 3" xfId="21348" xr:uid="{00000000-0005-0000-0000-00003E9A0000}"/>
    <cellStyle name="Normal 58 3 2 2 3 4 3 2" xfId="46901" xr:uid="{00000000-0005-0000-0000-00003F9A0000}"/>
    <cellStyle name="Normal 58 3 2 2 3 4 4" xfId="27831" xr:uid="{00000000-0005-0000-0000-0000409A0000}"/>
    <cellStyle name="Normal 58 3 2 2 3 5" xfId="6158" xr:uid="{00000000-0005-0000-0000-0000419A0000}"/>
    <cellStyle name="Normal 58 3 2 2 3 5 2" xfId="14985" xr:uid="{00000000-0005-0000-0000-0000429A0000}"/>
    <cellStyle name="Normal 58 3 2 2 3 5 2 2" xfId="40540" xr:uid="{00000000-0005-0000-0000-0000439A0000}"/>
    <cellStyle name="Normal 58 3 2 2 3 5 3" xfId="25236" xr:uid="{00000000-0005-0000-0000-0000449A0000}"/>
    <cellStyle name="Normal 58 3 2 2 3 5 3 2" xfId="50789" xr:uid="{00000000-0005-0000-0000-0000459A0000}"/>
    <cellStyle name="Normal 58 3 2 2 3 5 4" xfId="31719" xr:uid="{00000000-0005-0000-0000-0000469A0000}"/>
    <cellStyle name="Normal 58 3 2 2 3 6" xfId="7603" xr:uid="{00000000-0005-0000-0000-0000479A0000}"/>
    <cellStyle name="Normal 58 3 2 2 3 6 2" xfId="19830" xr:uid="{00000000-0005-0000-0000-0000489A0000}"/>
    <cellStyle name="Normal 58 3 2 2 3 6 2 2" xfId="45383" xr:uid="{00000000-0005-0000-0000-0000499A0000}"/>
    <cellStyle name="Normal 58 3 2 2 3 6 3" xfId="33160" xr:uid="{00000000-0005-0000-0000-00004A9A0000}"/>
    <cellStyle name="Normal 58 3 2 2 3 7" xfId="16341" xr:uid="{00000000-0005-0000-0000-00004B9A0000}"/>
    <cellStyle name="Normal 58 3 2 2 3 7 2" xfId="41894" xr:uid="{00000000-0005-0000-0000-00004C9A0000}"/>
    <cellStyle name="Normal 58 3 2 2 3 8" xfId="26313" xr:uid="{00000000-0005-0000-0000-00004D9A0000}"/>
    <cellStyle name="Normal 58 3 2 2 4" xfId="888" xr:uid="{00000000-0005-0000-0000-00004E9A0000}"/>
    <cellStyle name="Normal 58 3 2 2 4 2" xfId="3373" xr:uid="{00000000-0005-0000-0000-00004F9A0000}"/>
    <cellStyle name="Normal 58 3 2 2 4 2 2" xfId="12515" xr:uid="{00000000-0005-0000-0000-0000509A0000}"/>
    <cellStyle name="Normal 58 3 2 2 4 2 2 2" xfId="22734" xr:uid="{00000000-0005-0000-0000-0000519A0000}"/>
    <cellStyle name="Normal 58 3 2 2 4 2 2 2 2" xfId="48287" xr:uid="{00000000-0005-0000-0000-0000529A0000}"/>
    <cellStyle name="Normal 58 3 2 2 4 2 2 3" xfId="38070" xr:uid="{00000000-0005-0000-0000-0000539A0000}"/>
    <cellStyle name="Normal 58 3 2 2 4 2 3" xfId="8937" xr:uid="{00000000-0005-0000-0000-0000549A0000}"/>
    <cellStyle name="Normal 58 3 2 2 4 2 3 2" xfId="34494" xr:uid="{00000000-0005-0000-0000-0000559A0000}"/>
    <cellStyle name="Normal 58 3 2 2 4 2 4" xfId="17727" xr:uid="{00000000-0005-0000-0000-0000569A0000}"/>
    <cellStyle name="Normal 58 3 2 2 4 2 4 2" xfId="43280" xr:uid="{00000000-0005-0000-0000-0000579A0000}"/>
    <cellStyle name="Normal 58 3 2 2 4 2 5" xfId="29217" xr:uid="{00000000-0005-0000-0000-0000589A0000}"/>
    <cellStyle name="Normal 58 3 2 2 4 3" xfId="5051" xr:uid="{00000000-0005-0000-0000-0000599A0000}"/>
    <cellStyle name="Normal 58 3 2 2 4 3 2" xfId="13888" xr:uid="{00000000-0005-0000-0000-00005A9A0000}"/>
    <cellStyle name="Normal 58 3 2 2 4 3 2 2" xfId="24139" xr:uid="{00000000-0005-0000-0000-00005B9A0000}"/>
    <cellStyle name="Normal 58 3 2 2 4 3 2 2 2" xfId="49692" xr:uid="{00000000-0005-0000-0000-00005C9A0000}"/>
    <cellStyle name="Normal 58 3 2 2 4 3 2 3" xfId="39443" xr:uid="{00000000-0005-0000-0000-00005D9A0000}"/>
    <cellStyle name="Normal 58 3 2 2 4 3 3" xfId="10309" xr:uid="{00000000-0005-0000-0000-00005E9A0000}"/>
    <cellStyle name="Normal 58 3 2 2 4 3 3 2" xfId="35866" xr:uid="{00000000-0005-0000-0000-00005F9A0000}"/>
    <cellStyle name="Normal 58 3 2 2 4 3 4" xfId="19132" xr:uid="{00000000-0005-0000-0000-0000609A0000}"/>
    <cellStyle name="Normal 58 3 2 2 4 3 4 2" xfId="44685" xr:uid="{00000000-0005-0000-0000-0000619A0000}"/>
    <cellStyle name="Normal 58 3 2 2 4 3 5" xfId="30622" xr:uid="{00000000-0005-0000-0000-0000629A0000}"/>
    <cellStyle name="Normal 58 3 2 2 4 4" xfId="2482" xr:uid="{00000000-0005-0000-0000-0000639A0000}"/>
    <cellStyle name="Normal 58 3 2 2 4 4 2" xfId="11847" xr:uid="{00000000-0005-0000-0000-0000649A0000}"/>
    <cellStyle name="Normal 58 3 2 2 4 4 2 2" xfId="37402" xr:uid="{00000000-0005-0000-0000-0000659A0000}"/>
    <cellStyle name="Normal 58 3 2 2 4 4 3" xfId="21851" xr:uid="{00000000-0005-0000-0000-0000669A0000}"/>
    <cellStyle name="Normal 58 3 2 2 4 4 3 2" xfId="47404" xr:uid="{00000000-0005-0000-0000-0000679A0000}"/>
    <cellStyle name="Normal 58 3 2 2 4 4 4" xfId="28334" xr:uid="{00000000-0005-0000-0000-0000689A0000}"/>
    <cellStyle name="Normal 58 3 2 2 4 5" xfId="6506" xr:uid="{00000000-0005-0000-0000-0000699A0000}"/>
    <cellStyle name="Normal 58 3 2 2 4 5 2" xfId="15333" xr:uid="{00000000-0005-0000-0000-00006A9A0000}"/>
    <cellStyle name="Normal 58 3 2 2 4 5 2 2" xfId="40888" xr:uid="{00000000-0005-0000-0000-00006B9A0000}"/>
    <cellStyle name="Normal 58 3 2 2 4 5 3" xfId="25584" xr:uid="{00000000-0005-0000-0000-00006C9A0000}"/>
    <cellStyle name="Normal 58 3 2 2 4 5 3 2" xfId="51137" xr:uid="{00000000-0005-0000-0000-00006D9A0000}"/>
    <cellStyle name="Normal 58 3 2 2 4 5 4" xfId="32067" xr:uid="{00000000-0005-0000-0000-00006E9A0000}"/>
    <cellStyle name="Normal 58 3 2 2 4 6" xfId="7952" xr:uid="{00000000-0005-0000-0000-00006F9A0000}"/>
    <cellStyle name="Normal 58 3 2 2 4 6 2" xfId="20333" xr:uid="{00000000-0005-0000-0000-0000709A0000}"/>
    <cellStyle name="Normal 58 3 2 2 4 6 2 2" xfId="45886" xr:uid="{00000000-0005-0000-0000-0000719A0000}"/>
    <cellStyle name="Normal 58 3 2 2 4 6 3" xfId="33509" xr:uid="{00000000-0005-0000-0000-0000729A0000}"/>
    <cellStyle name="Normal 58 3 2 2 4 7" xfId="16844" xr:uid="{00000000-0005-0000-0000-0000739A0000}"/>
    <cellStyle name="Normal 58 3 2 2 4 7 2" xfId="42397" xr:uid="{00000000-0005-0000-0000-0000749A0000}"/>
    <cellStyle name="Normal 58 3 2 2 4 8" xfId="26816" xr:uid="{00000000-0005-0000-0000-0000759A0000}"/>
    <cellStyle name="Normal 58 3 2 2 5" xfId="1156" xr:uid="{00000000-0005-0000-0000-0000769A0000}"/>
    <cellStyle name="Normal 58 3 2 2 5 2" xfId="3585" xr:uid="{00000000-0005-0000-0000-0000779A0000}"/>
    <cellStyle name="Normal 58 3 2 2 5 2 2" xfId="12721" xr:uid="{00000000-0005-0000-0000-0000789A0000}"/>
    <cellStyle name="Normal 58 3 2 2 5 2 2 2" xfId="22940" xr:uid="{00000000-0005-0000-0000-0000799A0000}"/>
    <cellStyle name="Normal 58 3 2 2 5 2 2 2 2" xfId="48493" xr:uid="{00000000-0005-0000-0000-00007A9A0000}"/>
    <cellStyle name="Normal 58 3 2 2 5 2 2 3" xfId="38276" xr:uid="{00000000-0005-0000-0000-00007B9A0000}"/>
    <cellStyle name="Normal 58 3 2 2 5 2 3" xfId="9142" xr:uid="{00000000-0005-0000-0000-00007C9A0000}"/>
    <cellStyle name="Normal 58 3 2 2 5 2 3 2" xfId="34699" xr:uid="{00000000-0005-0000-0000-00007D9A0000}"/>
    <cellStyle name="Normal 58 3 2 2 5 2 4" xfId="17933" xr:uid="{00000000-0005-0000-0000-00007E9A0000}"/>
    <cellStyle name="Normal 58 3 2 2 5 2 4 2" xfId="43486" xr:uid="{00000000-0005-0000-0000-00007F9A0000}"/>
    <cellStyle name="Normal 58 3 2 2 5 2 5" xfId="29423" xr:uid="{00000000-0005-0000-0000-0000809A0000}"/>
    <cellStyle name="Normal 58 3 2 2 5 3" xfId="5248" xr:uid="{00000000-0005-0000-0000-0000819A0000}"/>
    <cellStyle name="Normal 58 3 2 2 5 3 2" xfId="14085" xr:uid="{00000000-0005-0000-0000-0000829A0000}"/>
    <cellStyle name="Normal 58 3 2 2 5 3 2 2" xfId="24336" xr:uid="{00000000-0005-0000-0000-0000839A0000}"/>
    <cellStyle name="Normal 58 3 2 2 5 3 2 2 2" xfId="49889" xr:uid="{00000000-0005-0000-0000-0000849A0000}"/>
    <cellStyle name="Normal 58 3 2 2 5 3 2 3" xfId="39640" xr:uid="{00000000-0005-0000-0000-0000859A0000}"/>
    <cellStyle name="Normal 58 3 2 2 5 3 3" xfId="10506" xr:uid="{00000000-0005-0000-0000-0000869A0000}"/>
    <cellStyle name="Normal 58 3 2 2 5 3 3 2" xfId="36063" xr:uid="{00000000-0005-0000-0000-0000879A0000}"/>
    <cellStyle name="Normal 58 3 2 2 5 3 4" xfId="19329" xr:uid="{00000000-0005-0000-0000-0000889A0000}"/>
    <cellStyle name="Normal 58 3 2 2 5 3 4 2" xfId="44882" xr:uid="{00000000-0005-0000-0000-0000899A0000}"/>
    <cellStyle name="Normal 58 3 2 2 5 3 5" xfId="30819" xr:uid="{00000000-0005-0000-0000-00008A9A0000}"/>
    <cellStyle name="Normal 58 3 2 2 5 4" xfId="1863" xr:uid="{00000000-0005-0000-0000-00008B9A0000}"/>
    <cellStyle name="Normal 58 3 2 2 5 4 2" xfId="11231" xr:uid="{00000000-0005-0000-0000-00008C9A0000}"/>
    <cellStyle name="Normal 58 3 2 2 5 4 2 2" xfId="36786" xr:uid="{00000000-0005-0000-0000-00008D9A0000}"/>
    <cellStyle name="Normal 58 3 2 2 5 4 3" xfId="21235" xr:uid="{00000000-0005-0000-0000-00008E9A0000}"/>
    <cellStyle name="Normal 58 3 2 2 5 4 3 2" xfId="46788" xr:uid="{00000000-0005-0000-0000-00008F9A0000}"/>
    <cellStyle name="Normal 58 3 2 2 5 4 4" xfId="27718" xr:uid="{00000000-0005-0000-0000-0000909A0000}"/>
    <cellStyle name="Normal 58 3 2 2 5 5" xfId="6703" xr:uid="{00000000-0005-0000-0000-0000919A0000}"/>
    <cellStyle name="Normal 58 3 2 2 5 5 2" xfId="15530" xr:uid="{00000000-0005-0000-0000-0000929A0000}"/>
    <cellStyle name="Normal 58 3 2 2 5 5 2 2" xfId="41085" xr:uid="{00000000-0005-0000-0000-0000939A0000}"/>
    <cellStyle name="Normal 58 3 2 2 5 5 3" xfId="25781" xr:uid="{00000000-0005-0000-0000-0000949A0000}"/>
    <cellStyle name="Normal 58 3 2 2 5 5 3 2" xfId="51334" xr:uid="{00000000-0005-0000-0000-0000959A0000}"/>
    <cellStyle name="Normal 58 3 2 2 5 5 4" xfId="32264" xr:uid="{00000000-0005-0000-0000-0000969A0000}"/>
    <cellStyle name="Normal 58 3 2 2 5 6" xfId="8149" xr:uid="{00000000-0005-0000-0000-0000979A0000}"/>
    <cellStyle name="Normal 58 3 2 2 5 6 2" xfId="20539" xr:uid="{00000000-0005-0000-0000-0000989A0000}"/>
    <cellStyle name="Normal 58 3 2 2 5 6 2 2" xfId="46092" xr:uid="{00000000-0005-0000-0000-0000999A0000}"/>
    <cellStyle name="Normal 58 3 2 2 5 6 3" xfId="33706" xr:uid="{00000000-0005-0000-0000-00009A9A0000}"/>
    <cellStyle name="Normal 58 3 2 2 5 7" xfId="16228" xr:uid="{00000000-0005-0000-0000-00009B9A0000}"/>
    <cellStyle name="Normal 58 3 2 2 5 7 2" xfId="41781" xr:uid="{00000000-0005-0000-0000-00009C9A0000}"/>
    <cellStyle name="Normal 58 3 2 2 5 8" xfId="27022" xr:uid="{00000000-0005-0000-0000-00009D9A0000}"/>
    <cellStyle name="Normal 58 3 2 2 6" xfId="2757" xr:uid="{00000000-0005-0000-0000-00009E9A0000}"/>
    <cellStyle name="Normal 58 3 2 2 6 2" xfId="12074" xr:uid="{00000000-0005-0000-0000-00009F9A0000}"/>
    <cellStyle name="Normal 58 3 2 2 6 2 2" xfId="22118" xr:uid="{00000000-0005-0000-0000-0000A09A0000}"/>
    <cellStyle name="Normal 58 3 2 2 6 2 2 2" xfId="47671" xr:uid="{00000000-0005-0000-0000-0000A19A0000}"/>
    <cellStyle name="Normal 58 3 2 2 6 2 3" xfId="37629" xr:uid="{00000000-0005-0000-0000-0000A29A0000}"/>
    <cellStyle name="Normal 58 3 2 2 6 3" xfId="8539" xr:uid="{00000000-0005-0000-0000-0000A39A0000}"/>
    <cellStyle name="Normal 58 3 2 2 6 3 2" xfId="34096" xr:uid="{00000000-0005-0000-0000-0000A49A0000}"/>
    <cellStyle name="Normal 58 3 2 2 6 4" xfId="17111" xr:uid="{00000000-0005-0000-0000-0000A59A0000}"/>
    <cellStyle name="Normal 58 3 2 2 6 4 2" xfId="42664" xr:uid="{00000000-0005-0000-0000-0000A69A0000}"/>
    <cellStyle name="Normal 58 3 2 2 6 5" xfId="28601" xr:uid="{00000000-0005-0000-0000-0000A79A0000}"/>
    <cellStyle name="Normal 58 3 2 2 7" xfId="4204" xr:uid="{00000000-0005-0000-0000-0000A89A0000}"/>
    <cellStyle name="Normal 58 3 2 2 7 2" xfId="13042" xr:uid="{00000000-0005-0000-0000-0000A99A0000}"/>
    <cellStyle name="Normal 58 3 2 2 7 2 2" xfId="23293" xr:uid="{00000000-0005-0000-0000-0000AA9A0000}"/>
    <cellStyle name="Normal 58 3 2 2 7 2 2 2" xfId="48846" xr:uid="{00000000-0005-0000-0000-0000AB9A0000}"/>
    <cellStyle name="Normal 58 3 2 2 7 2 3" xfId="38597" xr:uid="{00000000-0005-0000-0000-0000AC9A0000}"/>
    <cellStyle name="Normal 58 3 2 2 7 3" xfId="9463" xr:uid="{00000000-0005-0000-0000-0000AD9A0000}"/>
    <cellStyle name="Normal 58 3 2 2 7 3 2" xfId="35020" xr:uid="{00000000-0005-0000-0000-0000AE9A0000}"/>
    <cellStyle name="Normal 58 3 2 2 7 4" xfId="18286" xr:uid="{00000000-0005-0000-0000-0000AF9A0000}"/>
    <cellStyle name="Normal 58 3 2 2 7 4 2" xfId="43839" xr:uid="{00000000-0005-0000-0000-0000B09A0000}"/>
    <cellStyle name="Normal 58 3 2 2 7 5" xfId="29776" xr:uid="{00000000-0005-0000-0000-0000B19A0000}"/>
    <cellStyle name="Normal 58 3 2 2 8" xfId="1476" xr:uid="{00000000-0005-0000-0000-0000B29A0000}"/>
    <cellStyle name="Normal 58 3 2 2 8 2" xfId="10853" xr:uid="{00000000-0005-0000-0000-0000B39A0000}"/>
    <cellStyle name="Normal 58 3 2 2 8 2 2" xfId="36408" xr:uid="{00000000-0005-0000-0000-0000B49A0000}"/>
    <cellStyle name="Normal 58 3 2 2 8 3" xfId="20857" xr:uid="{00000000-0005-0000-0000-0000B59A0000}"/>
    <cellStyle name="Normal 58 3 2 2 8 3 2" xfId="46410" xr:uid="{00000000-0005-0000-0000-0000B69A0000}"/>
    <cellStyle name="Normal 58 3 2 2 8 4" xfId="27340" xr:uid="{00000000-0005-0000-0000-0000B79A0000}"/>
    <cellStyle name="Normal 58 3 2 2 9" xfId="5660" xr:uid="{00000000-0005-0000-0000-0000B89A0000}"/>
    <cellStyle name="Normal 58 3 2 2 9 2" xfId="14487" xr:uid="{00000000-0005-0000-0000-0000B99A0000}"/>
    <cellStyle name="Normal 58 3 2 2 9 2 2" xfId="40042" xr:uid="{00000000-0005-0000-0000-0000BA9A0000}"/>
    <cellStyle name="Normal 58 3 2 2 9 3" xfId="24738" xr:uid="{00000000-0005-0000-0000-0000BB9A0000}"/>
    <cellStyle name="Normal 58 3 2 2 9 3 2" xfId="50291" xr:uid="{00000000-0005-0000-0000-0000BC9A0000}"/>
    <cellStyle name="Normal 58 3 2 2 9 4" xfId="31221" xr:uid="{00000000-0005-0000-0000-0000BD9A0000}"/>
    <cellStyle name="Normal 58 3 2 2_Degree data" xfId="3994" xr:uid="{00000000-0005-0000-0000-0000BE9A0000}"/>
    <cellStyle name="Normal 58 3 2 3" xfId="220" xr:uid="{00000000-0005-0000-0000-0000BF9A0000}"/>
    <cellStyle name="Normal 58 3 2 3 10" xfId="16010" xr:uid="{00000000-0005-0000-0000-0000C09A0000}"/>
    <cellStyle name="Normal 58 3 2 3 10 2" xfId="41563" xr:uid="{00000000-0005-0000-0000-0000C19A0000}"/>
    <cellStyle name="Normal 58 3 2 3 11" xfId="26156" xr:uid="{00000000-0005-0000-0000-0000C29A0000}"/>
    <cellStyle name="Normal 58 3 2 3 2" xfId="544" xr:uid="{00000000-0005-0000-0000-0000C39A0000}"/>
    <cellStyle name="Normal 58 3 2 3 2 2" xfId="3030" xr:uid="{00000000-0005-0000-0000-0000C49A0000}"/>
    <cellStyle name="Normal 58 3 2 3 2 2 2" xfId="12218" xr:uid="{00000000-0005-0000-0000-0000C59A0000}"/>
    <cellStyle name="Normal 58 3 2 3 2 2 2 2" xfId="22391" xr:uid="{00000000-0005-0000-0000-0000C69A0000}"/>
    <cellStyle name="Normal 58 3 2 3 2 2 2 2 2" xfId="47944" xr:uid="{00000000-0005-0000-0000-0000C79A0000}"/>
    <cellStyle name="Normal 58 3 2 3 2 2 2 3" xfId="37773" xr:uid="{00000000-0005-0000-0000-0000C89A0000}"/>
    <cellStyle name="Normal 58 3 2 3 2 2 3" xfId="8443" xr:uid="{00000000-0005-0000-0000-0000C99A0000}"/>
    <cellStyle name="Normal 58 3 2 3 2 2 3 2" xfId="34000" xr:uid="{00000000-0005-0000-0000-0000CA9A0000}"/>
    <cellStyle name="Normal 58 3 2 3 2 2 4" xfId="17384" xr:uid="{00000000-0005-0000-0000-0000CB9A0000}"/>
    <cellStyle name="Normal 58 3 2 3 2 2 4 2" xfId="42937" xr:uid="{00000000-0005-0000-0000-0000CC9A0000}"/>
    <cellStyle name="Normal 58 3 2 3 2 2 5" xfId="28874" xr:uid="{00000000-0005-0000-0000-0000CD9A0000}"/>
    <cellStyle name="Normal 58 3 2 3 2 3" xfId="4704" xr:uid="{00000000-0005-0000-0000-0000CE9A0000}"/>
    <cellStyle name="Normal 58 3 2 3 2 3 2" xfId="13542" xr:uid="{00000000-0005-0000-0000-0000CF9A0000}"/>
    <cellStyle name="Normal 58 3 2 3 2 3 2 2" xfId="23793" xr:uid="{00000000-0005-0000-0000-0000D09A0000}"/>
    <cellStyle name="Normal 58 3 2 3 2 3 2 2 2" xfId="49346" xr:uid="{00000000-0005-0000-0000-0000D19A0000}"/>
    <cellStyle name="Normal 58 3 2 3 2 3 2 3" xfId="39097" xr:uid="{00000000-0005-0000-0000-0000D29A0000}"/>
    <cellStyle name="Normal 58 3 2 3 2 3 3" xfId="9963" xr:uid="{00000000-0005-0000-0000-0000D39A0000}"/>
    <cellStyle name="Normal 58 3 2 3 2 3 3 2" xfId="35520" xr:uid="{00000000-0005-0000-0000-0000D49A0000}"/>
    <cellStyle name="Normal 58 3 2 3 2 3 4" xfId="18786" xr:uid="{00000000-0005-0000-0000-0000D59A0000}"/>
    <cellStyle name="Normal 58 3 2 3 2 3 4 2" xfId="44339" xr:uid="{00000000-0005-0000-0000-0000D69A0000}"/>
    <cellStyle name="Normal 58 3 2 3 2 3 5" xfId="30276" xr:uid="{00000000-0005-0000-0000-0000D79A0000}"/>
    <cellStyle name="Normal 58 3 2 3 2 4" xfId="2139" xr:uid="{00000000-0005-0000-0000-0000D89A0000}"/>
    <cellStyle name="Normal 58 3 2 3 2 4 2" xfId="11504" xr:uid="{00000000-0005-0000-0000-0000D99A0000}"/>
    <cellStyle name="Normal 58 3 2 3 2 4 2 2" xfId="37059" xr:uid="{00000000-0005-0000-0000-0000DA9A0000}"/>
    <cellStyle name="Normal 58 3 2 3 2 4 3" xfId="21508" xr:uid="{00000000-0005-0000-0000-0000DB9A0000}"/>
    <cellStyle name="Normal 58 3 2 3 2 4 3 2" xfId="47061" xr:uid="{00000000-0005-0000-0000-0000DC9A0000}"/>
    <cellStyle name="Normal 58 3 2 3 2 4 4" xfId="27991" xr:uid="{00000000-0005-0000-0000-0000DD9A0000}"/>
    <cellStyle name="Normal 58 3 2 3 2 5" xfId="6160" xr:uid="{00000000-0005-0000-0000-0000DE9A0000}"/>
    <cellStyle name="Normal 58 3 2 3 2 5 2" xfId="14987" xr:uid="{00000000-0005-0000-0000-0000DF9A0000}"/>
    <cellStyle name="Normal 58 3 2 3 2 5 2 2" xfId="40542" xr:uid="{00000000-0005-0000-0000-0000E09A0000}"/>
    <cellStyle name="Normal 58 3 2 3 2 5 3" xfId="25238" xr:uid="{00000000-0005-0000-0000-0000E19A0000}"/>
    <cellStyle name="Normal 58 3 2 3 2 5 3 2" xfId="50791" xr:uid="{00000000-0005-0000-0000-0000E29A0000}"/>
    <cellStyle name="Normal 58 3 2 3 2 5 4" xfId="31721" xr:uid="{00000000-0005-0000-0000-0000E39A0000}"/>
    <cellStyle name="Normal 58 3 2 3 2 6" xfId="7605" xr:uid="{00000000-0005-0000-0000-0000E49A0000}"/>
    <cellStyle name="Normal 58 3 2 3 2 6 2" xfId="19990" xr:uid="{00000000-0005-0000-0000-0000E59A0000}"/>
    <cellStyle name="Normal 58 3 2 3 2 6 2 2" xfId="45543" xr:uid="{00000000-0005-0000-0000-0000E69A0000}"/>
    <cellStyle name="Normal 58 3 2 3 2 6 3" xfId="33162" xr:uid="{00000000-0005-0000-0000-0000E79A0000}"/>
    <cellStyle name="Normal 58 3 2 3 2 7" xfId="16501" xr:uid="{00000000-0005-0000-0000-0000E89A0000}"/>
    <cellStyle name="Normal 58 3 2 3 2 7 2" xfId="42054" xr:uid="{00000000-0005-0000-0000-0000E99A0000}"/>
    <cellStyle name="Normal 58 3 2 3 2 8" xfId="26473" xr:uid="{00000000-0005-0000-0000-0000EA9A0000}"/>
    <cellStyle name="Normal 58 3 2 3 3" xfId="890" xr:uid="{00000000-0005-0000-0000-0000EB9A0000}"/>
    <cellStyle name="Normal 58 3 2 3 3 2" xfId="3375" xr:uid="{00000000-0005-0000-0000-0000EC9A0000}"/>
    <cellStyle name="Normal 58 3 2 3 3 2 2" xfId="12517" xr:uid="{00000000-0005-0000-0000-0000ED9A0000}"/>
    <cellStyle name="Normal 58 3 2 3 3 2 2 2" xfId="22736" xr:uid="{00000000-0005-0000-0000-0000EE9A0000}"/>
    <cellStyle name="Normal 58 3 2 3 3 2 2 2 2" xfId="48289" xr:uid="{00000000-0005-0000-0000-0000EF9A0000}"/>
    <cellStyle name="Normal 58 3 2 3 3 2 2 3" xfId="38072" xr:uid="{00000000-0005-0000-0000-0000F09A0000}"/>
    <cellStyle name="Normal 58 3 2 3 3 2 3" xfId="8939" xr:uid="{00000000-0005-0000-0000-0000F19A0000}"/>
    <cellStyle name="Normal 58 3 2 3 3 2 3 2" xfId="34496" xr:uid="{00000000-0005-0000-0000-0000F29A0000}"/>
    <cellStyle name="Normal 58 3 2 3 3 2 4" xfId="17729" xr:uid="{00000000-0005-0000-0000-0000F39A0000}"/>
    <cellStyle name="Normal 58 3 2 3 3 2 4 2" xfId="43282" xr:uid="{00000000-0005-0000-0000-0000F49A0000}"/>
    <cellStyle name="Normal 58 3 2 3 3 2 5" xfId="29219" xr:uid="{00000000-0005-0000-0000-0000F59A0000}"/>
    <cellStyle name="Normal 58 3 2 3 3 3" xfId="5053" xr:uid="{00000000-0005-0000-0000-0000F69A0000}"/>
    <cellStyle name="Normal 58 3 2 3 3 3 2" xfId="13890" xr:uid="{00000000-0005-0000-0000-0000F79A0000}"/>
    <cellStyle name="Normal 58 3 2 3 3 3 2 2" xfId="24141" xr:uid="{00000000-0005-0000-0000-0000F89A0000}"/>
    <cellStyle name="Normal 58 3 2 3 3 3 2 2 2" xfId="49694" xr:uid="{00000000-0005-0000-0000-0000F99A0000}"/>
    <cellStyle name="Normal 58 3 2 3 3 3 2 3" xfId="39445" xr:uid="{00000000-0005-0000-0000-0000FA9A0000}"/>
    <cellStyle name="Normal 58 3 2 3 3 3 3" xfId="10311" xr:uid="{00000000-0005-0000-0000-0000FB9A0000}"/>
    <cellStyle name="Normal 58 3 2 3 3 3 3 2" xfId="35868" xr:uid="{00000000-0005-0000-0000-0000FC9A0000}"/>
    <cellStyle name="Normal 58 3 2 3 3 3 4" xfId="19134" xr:uid="{00000000-0005-0000-0000-0000FD9A0000}"/>
    <cellStyle name="Normal 58 3 2 3 3 3 4 2" xfId="44687" xr:uid="{00000000-0005-0000-0000-0000FE9A0000}"/>
    <cellStyle name="Normal 58 3 2 3 3 3 5" xfId="30624" xr:uid="{00000000-0005-0000-0000-0000FF9A0000}"/>
    <cellStyle name="Normal 58 3 2 3 3 4" xfId="2484" xr:uid="{00000000-0005-0000-0000-0000009B0000}"/>
    <cellStyle name="Normal 58 3 2 3 3 4 2" xfId="11849" xr:uid="{00000000-0005-0000-0000-0000019B0000}"/>
    <cellStyle name="Normal 58 3 2 3 3 4 2 2" xfId="37404" xr:uid="{00000000-0005-0000-0000-0000029B0000}"/>
    <cellStyle name="Normal 58 3 2 3 3 4 3" xfId="21853" xr:uid="{00000000-0005-0000-0000-0000039B0000}"/>
    <cellStyle name="Normal 58 3 2 3 3 4 3 2" xfId="47406" xr:uid="{00000000-0005-0000-0000-0000049B0000}"/>
    <cellStyle name="Normal 58 3 2 3 3 4 4" xfId="28336" xr:uid="{00000000-0005-0000-0000-0000059B0000}"/>
    <cellStyle name="Normal 58 3 2 3 3 5" xfId="6508" xr:uid="{00000000-0005-0000-0000-0000069B0000}"/>
    <cellStyle name="Normal 58 3 2 3 3 5 2" xfId="15335" xr:uid="{00000000-0005-0000-0000-0000079B0000}"/>
    <cellStyle name="Normal 58 3 2 3 3 5 2 2" xfId="40890" xr:uid="{00000000-0005-0000-0000-0000089B0000}"/>
    <cellStyle name="Normal 58 3 2 3 3 5 3" xfId="25586" xr:uid="{00000000-0005-0000-0000-0000099B0000}"/>
    <cellStyle name="Normal 58 3 2 3 3 5 3 2" xfId="51139" xr:uid="{00000000-0005-0000-0000-00000A9B0000}"/>
    <cellStyle name="Normal 58 3 2 3 3 5 4" xfId="32069" xr:uid="{00000000-0005-0000-0000-00000B9B0000}"/>
    <cellStyle name="Normal 58 3 2 3 3 6" xfId="7954" xr:uid="{00000000-0005-0000-0000-00000C9B0000}"/>
    <cellStyle name="Normal 58 3 2 3 3 6 2" xfId="20335" xr:uid="{00000000-0005-0000-0000-00000D9B0000}"/>
    <cellStyle name="Normal 58 3 2 3 3 6 2 2" xfId="45888" xr:uid="{00000000-0005-0000-0000-00000E9B0000}"/>
    <cellStyle name="Normal 58 3 2 3 3 6 3" xfId="33511" xr:uid="{00000000-0005-0000-0000-00000F9B0000}"/>
    <cellStyle name="Normal 58 3 2 3 3 7" xfId="16846" xr:uid="{00000000-0005-0000-0000-0000109B0000}"/>
    <cellStyle name="Normal 58 3 2 3 3 7 2" xfId="42399" xr:uid="{00000000-0005-0000-0000-0000119B0000}"/>
    <cellStyle name="Normal 58 3 2 3 3 8" xfId="26818" xr:uid="{00000000-0005-0000-0000-0000129B0000}"/>
    <cellStyle name="Normal 58 3 2 3 4" xfId="1316" xr:uid="{00000000-0005-0000-0000-0000139B0000}"/>
    <cellStyle name="Normal 58 3 2 3 4 2" xfId="3745" xr:uid="{00000000-0005-0000-0000-0000149B0000}"/>
    <cellStyle name="Normal 58 3 2 3 4 2 2" xfId="12881" xr:uid="{00000000-0005-0000-0000-0000159B0000}"/>
    <cellStyle name="Normal 58 3 2 3 4 2 2 2" xfId="23100" xr:uid="{00000000-0005-0000-0000-0000169B0000}"/>
    <cellStyle name="Normal 58 3 2 3 4 2 2 2 2" xfId="48653" xr:uid="{00000000-0005-0000-0000-0000179B0000}"/>
    <cellStyle name="Normal 58 3 2 3 4 2 2 3" xfId="38436" xr:uid="{00000000-0005-0000-0000-0000189B0000}"/>
    <cellStyle name="Normal 58 3 2 3 4 2 3" xfId="9302" xr:uid="{00000000-0005-0000-0000-0000199B0000}"/>
    <cellStyle name="Normal 58 3 2 3 4 2 3 2" xfId="34859" xr:uid="{00000000-0005-0000-0000-00001A9B0000}"/>
    <cellStyle name="Normal 58 3 2 3 4 2 4" xfId="18093" xr:uid="{00000000-0005-0000-0000-00001B9B0000}"/>
    <cellStyle name="Normal 58 3 2 3 4 2 4 2" xfId="43646" xr:uid="{00000000-0005-0000-0000-00001C9B0000}"/>
    <cellStyle name="Normal 58 3 2 3 4 2 5" xfId="29583" xr:uid="{00000000-0005-0000-0000-00001D9B0000}"/>
    <cellStyle name="Normal 58 3 2 3 4 3" xfId="5408" xr:uid="{00000000-0005-0000-0000-00001E9B0000}"/>
    <cellStyle name="Normal 58 3 2 3 4 3 2" xfId="14245" xr:uid="{00000000-0005-0000-0000-00001F9B0000}"/>
    <cellStyle name="Normal 58 3 2 3 4 3 2 2" xfId="24496" xr:uid="{00000000-0005-0000-0000-0000209B0000}"/>
    <cellStyle name="Normal 58 3 2 3 4 3 2 2 2" xfId="50049" xr:uid="{00000000-0005-0000-0000-0000219B0000}"/>
    <cellStyle name="Normal 58 3 2 3 4 3 2 3" xfId="39800" xr:uid="{00000000-0005-0000-0000-0000229B0000}"/>
    <cellStyle name="Normal 58 3 2 3 4 3 3" xfId="10666" xr:uid="{00000000-0005-0000-0000-0000239B0000}"/>
    <cellStyle name="Normal 58 3 2 3 4 3 3 2" xfId="36223" xr:uid="{00000000-0005-0000-0000-0000249B0000}"/>
    <cellStyle name="Normal 58 3 2 3 4 3 4" xfId="19489" xr:uid="{00000000-0005-0000-0000-0000259B0000}"/>
    <cellStyle name="Normal 58 3 2 3 4 3 4 2" xfId="45042" xr:uid="{00000000-0005-0000-0000-0000269B0000}"/>
    <cellStyle name="Normal 58 3 2 3 4 3 5" xfId="30979" xr:uid="{00000000-0005-0000-0000-0000279B0000}"/>
    <cellStyle name="Normal 58 3 2 3 4 4" xfId="1819" xr:uid="{00000000-0005-0000-0000-0000289B0000}"/>
    <cellStyle name="Normal 58 3 2 3 4 4 2" xfId="11187" xr:uid="{00000000-0005-0000-0000-0000299B0000}"/>
    <cellStyle name="Normal 58 3 2 3 4 4 2 2" xfId="36742" xr:uid="{00000000-0005-0000-0000-00002A9B0000}"/>
    <cellStyle name="Normal 58 3 2 3 4 4 3" xfId="21191" xr:uid="{00000000-0005-0000-0000-00002B9B0000}"/>
    <cellStyle name="Normal 58 3 2 3 4 4 3 2" xfId="46744" xr:uid="{00000000-0005-0000-0000-00002C9B0000}"/>
    <cellStyle name="Normal 58 3 2 3 4 4 4" xfId="27674" xr:uid="{00000000-0005-0000-0000-00002D9B0000}"/>
    <cellStyle name="Normal 58 3 2 3 4 5" xfId="6863" xr:uid="{00000000-0005-0000-0000-00002E9B0000}"/>
    <cellStyle name="Normal 58 3 2 3 4 5 2" xfId="15690" xr:uid="{00000000-0005-0000-0000-00002F9B0000}"/>
    <cellStyle name="Normal 58 3 2 3 4 5 2 2" xfId="41245" xr:uid="{00000000-0005-0000-0000-0000309B0000}"/>
    <cellStyle name="Normal 58 3 2 3 4 5 3" xfId="25941" xr:uid="{00000000-0005-0000-0000-0000319B0000}"/>
    <cellStyle name="Normal 58 3 2 3 4 5 3 2" xfId="51494" xr:uid="{00000000-0005-0000-0000-0000329B0000}"/>
    <cellStyle name="Normal 58 3 2 3 4 5 4" xfId="32424" xr:uid="{00000000-0005-0000-0000-0000339B0000}"/>
    <cellStyle name="Normal 58 3 2 3 4 6" xfId="8309" xr:uid="{00000000-0005-0000-0000-0000349B0000}"/>
    <cellStyle name="Normal 58 3 2 3 4 6 2" xfId="20699" xr:uid="{00000000-0005-0000-0000-0000359B0000}"/>
    <cellStyle name="Normal 58 3 2 3 4 6 2 2" xfId="46252" xr:uid="{00000000-0005-0000-0000-0000369B0000}"/>
    <cellStyle name="Normal 58 3 2 3 4 6 3" xfId="33866" xr:uid="{00000000-0005-0000-0000-0000379B0000}"/>
    <cellStyle name="Normal 58 3 2 3 4 7" xfId="16184" xr:uid="{00000000-0005-0000-0000-0000389B0000}"/>
    <cellStyle name="Normal 58 3 2 3 4 7 2" xfId="41737" xr:uid="{00000000-0005-0000-0000-0000399B0000}"/>
    <cellStyle name="Normal 58 3 2 3 4 8" xfId="27182" xr:uid="{00000000-0005-0000-0000-00003A9B0000}"/>
    <cellStyle name="Normal 58 3 2 3 5" xfId="2713" xr:uid="{00000000-0005-0000-0000-00003B9B0000}"/>
    <cellStyle name="Normal 58 3 2 3 5 2" xfId="12030" xr:uid="{00000000-0005-0000-0000-00003C9B0000}"/>
    <cellStyle name="Normal 58 3 2 3 5 2 2" xfId="22074" xr:uid="{00000000-0005-0000-0000-00003D9B0000}"/>
    <cellStyle name="Normal 58 3 2 3 5 2 2 2" xfId="47627" xr:uid="{00000000-0005-0000-0000-00003E9B0000}"/>
    <cellStyle name="Normal 58 3 2 3 5 2 3" xfId="37585" xr:uid="{00000000-0005-0000-0000-00003F9B0000}"/>
    <cellStyle name="Normal 58 3 2 3 5 3" xfId="8383" xr:uid="{00000000-0005-0000-0000-0000409B0000}"/>
    <cellStyle name="Normal 58 3 2 3 5 3 2" xfId="33940" xr:uid="{00000000-0005-0000-0000-0000419B0000}"/>
    <cellStyle name="Normal 58 3 2 3 5 4" xfId="17067" xr:uid="{00000000-0005-0000-0000-0000429B0000}"/>
    <cellStyle name="Normal 58 3 2 3 5 4 2" xfId="42620" xr:uid="{00000000-0005-0000-0000-0000439B0000}"/>
    <cellStyle name="Normal 58 3 2 3 5 5" xfId="28557" xr:uid="{00000000-0005-0000-0000-0000449B0000}"/>
    <cellStyle name="Normal 58 3 2 3 6" xfId="4364" xr:uid="{00000000-0005-0000-0000-0000459B0000}"/>
    <cellStyle name="Normal 58 3 2 3 6 2" xfId="13202" xr:uid="{00000000-0005-0000-0000-0000469B0000}"/>
    <cellStyle name="Normal 58 3 2 3 6 2 2" xfId="23453" xr:uid="{00000000-0005-0000-0000-0000479B0000}"/>
    <cellStyle name="Normal 58 3 2 3 6 2 2 2" xfId="49006" xr:uid="{00000000-0005-0000-0000-0000489B0000}"/>
    <cellStyle name="Normal 58 3 2 3 6 2 3" xfId="38757" xr:uid="{00000000-0005-0000-0000-0000499B0000}"/>
    <cellStyle name="Normal 58 3 2 3 6 3" xfId="9623" xr:uid="{00000000-0005-0000-0000-00004A9B0000}"/>
    <cellStyle name="Normal 58 3 2 3 6 3 2" xfId="35180" xr:uid="{00000000-0005-0000-0000-00004B9B0000}"/>
    <cellStyle name="Normal 58 3 2 3 6 4" xfId="18446" xr:uid="{00000000-0005-0000-0000-00004C9B0000}"/>
    <cellStyle name="Normal 58 3 2 3 6 4 2" xfId="43999" xr:uid="{00000000-0005-0000-0000-00004D9B0000}"/>
    <cellStyle name="Normal 58 3 2 3 6 5" xfId="29936" xr:uid="{00000000-0005-0000-0000-00004E9B0000}"/>
    <cellStyle name="Normal 58 3 2 3 7" xfId="1636" xr:uid="{00000000-0005-0000-0000-00004F9B0000}"/>
    <cellStyle name="Normal 58 3 2 3 7 2" xfId="11013" xr:uid="{00000000-0005-0000-0000-0000509B0000}"/>
    <cellStyle name="Normal 58 3 2 3 7 2 2" xfId="36568" xr:uid="{00000000-0005-0000-0000-0000519B0000}"/>
    <cellStyle name="Normal 58 3 2 3 7 3" xfId="21017" xr:uid="{00000000-0005-0000-0000-0000529B0000}"/>
    <cellStyle name="Normal 58 3 2 3 7 3 2" xfId="46570" xr:uid="{00000000-0005-0000-0000-0000539B0000}"/>
    <cellStyle name="Normal 58 3 2 3 7 4" xfId="27500" xr:uid="{00000000-0005-0000-0000-0000549B0000}"/>
    <cellStyle name="Normal 58 3 2 3 8" xfId="5820" xr:uid="{00000000-0005-0000-0000-0000559B0000}"/>
    <cellStyle name="Normal 58 3 2 3 8 2" xfId="14647" xr:uid="{00000000-0005-0000-0000-0000569B0000}"/>
    <cellStyle name="Normal 58 3 2 3 8 2 2" xfId="40202" xr:uid="{00000000-0005-0000-0000-0000579B0000}"/>
    <cellStyle name="Normal 58 3 2 3 8 3" xfId="24898" xr:uid="{00000000-0005-0000-0000-0000589B0000}"/>
    <cellStyle name="Normal 58 3 2 3 8 3 2" xfId="50451" xr:uid="{00000000-0005-0000-0000-0000599B0000}"/>
    <cellStyle name="Normal 58 3 2 3 8 4" xfId="31381" xr:uid="{00000000-0005-0000-0000-00005A9B0000}"/>
    <cellStyle name="Normal 58 3 2 3 9" xfId="7264" xr:uid="{00000000-0005-0000-0000-00005B9B0000}"/>
    <cellStyle name="Normal 58 3 2 3 9 2" xfId="19673" xr:uid="{00000000-0005-0000-0000-00005C9B0000}"/>
    <cellStyle name="Normal 58 3 2 3 9 2 2" xfId="45226" xr:uid="{00000000-0005-0000-0000-00005D9B0000}"/>
    <cellStyle name="Normal 58 3 2 3 9 3" xfId="32821" xr:uid="{00000000-0005-0000-0000-00005E9B0000}"/>
    <cellStyle name="Normal 58 3 2 3_Degree data" xfId="3996" xr:uid="{00000000-0005-0000-0000-00005F9B0000}"/>
    <cellStyle name="Normal 58 3 2 4" xfId="484" xr:uid="{00000000-0005-0000-0000-0000609B0000}"/>
    <cellStyle name="Normal 58 3 2 4 10" xfId="26413" xr:uid="{00000000-0005-0000-0000-0000619B0000}"/>
    <cellStyle name="Normal 58 3 2 4 2" xfId="891" xr:uid="{00000000-0005-0000-0000-0000629B0000}"/>
    <cellStyle name="Normal 58 3 2 4 2 2" xfId="3376" xr:uid="{00000000-0005-0000-0000-0000639B0000}"/>
    <cellStyle name="Normal 58 3 2 4 2 2 2" xfId="12518" xr:uid="{00000000-0005-0000-0000-0000649B0000}"/>
    <cellStyle name="Normal 58 3 2 4 2 2 2 2" xfId="22737" xr:uid="{00000000-0005-0000-0000-0000659B0000}"/>
    <cellStyle name="Normal 58 3 2 4 2 2 2 2 2" xfId="48290" xr:uid="{00000000-0005-0000-0000-0000669B0000}"/>
    <cellStyle name="Normal 58 3 2 4 2 2 2 3" xfId="38073" xr:uid="{00000000-0005-0000-0000-0000679B0000}"/>
    <cellStyle name="Normal 58 3 2 4 2 2 3" xfId="8940" xr:uid="{00000000-0005-0000-0000-0000689B0000}"/>
    <cellStyle name="Normal 58 3 2 4 2 2 3 2" xfId="34497" xr:uid="{00000000-0005-0000-0000-0000699B0000}"/>
    <cellStyle name="Normal 58 3 2 4 2 2 4" xfId="17730" xr:uid="{00000000-0005-0000-0000-00006A9B0000}"/>
    <cellStyle name="Normal 58 3 2 4 2 2 4 2" xfId="43283" xr:uid="{00000000-0005-0000-0000-00006B9B0000}"/>
    <cellStyle name="Normal 58 3 2 4 2 2 5" xfId="29220" xr:uid="{00000000-0005-0000-0000-00006C9B0000}"/>
    <cellStyle name="Normal 58 3 2 4 2 3" xfId="4705" xr:uid="{00000000-0005-0000-0000-00006D9B0000}"/>
    <cellStyle name="Normal 58 3 2 4 2 3 2" xfId="13543" xr:uid="{00000000-0005-0000-0000-00006E9B0000}"/>
    <cellStyle name="Normal 58 3 2 4 2 3 2 2" xfId="23794" xr:uid="{00000000-0005-0000-0000-00006F9B0000}"/>
    <cellStyle name="Normal 58 3 2 4 2 3 2 2 2" xfId="49347" xr:uid="{00000000-0005-0000-0000-0000709B0000}"/>
    <cellStyle name="Normal 58 3 2 4 2 3 2 3" xfId="39098" xr:uid="{00000000-0005-0000-0000-0000719B0000}"/>
    <cellStyle name="Normal 58 3 2 4 2 3 3" xfId="9964" xr:uid="{00000000-0005-0000-0000-0000729B0000}"/>
    <cellStyle name="Normal 58 3 2 4 2 3 3 2" xfId="35521" xr:uid="{00000000-0005-0000-0000-0000739B0000}"/>
    <cellStyle name="Normal 58 3 2 4 2 3 4" xfId="18787" xr:uid="{00000000-0005-0000-0000-0000749B0000}"/>
    <cellStyle name="Normal 58 3 2 4 2 3 4 2" xfId="44340" xr:uid="{00000000-0005-0000-0000-0000759B0000}"/>
    <cellStyle name="Normal 58 3 2 4 2 3 5" xfId="30277" xr:uid="{00000000-0005-0000-0000-0000769B0000}"/>
    <cellStyle name="Normal 58 3 2 4 2 4" xfId="2485" xr:uid="{00000000-0005-0000-0000-0000779B0000}"/>
    <cellStyle name="Normal 58 3 2 4 2 4 2" xfId="11850" xr:uid="{00000000-0005-0000-0000-0000789B0000}"/>
    <cellStyle name="Normal 58 3 2 4 2 4 2 2" xfId="37405" xr:uid="{00000000-0005-0000-0000-0000799B0000}"/>
    <cellStyle name="Normal 58 3 2 4 2 4 3" xfId="21854" xr:uid="{00000000-0005-0000-0000-00007A9B0000}"/>
    <cellStyle name="Normal 58 3 2 4 2 4 3 2" xfId="47407" xr:uid="{00000000-0005-0000-0000-00007B9B0000}"/>
    <cellStyle name="Normal 58 3 2 4 2 4 4" xfId="28337" xr:uid="{00000000-0005-0000-0000-00007C9B0000}"/>
    <cellStyle name="Normal 58 3 2 4 2 5" xfId="6161" xr:uid="{00000000-0005-0000-0000-00007D9B0000}"/>
    <cellStyle name="Normal 58 3 2 4 2 5 2" xfId="14988" xr:uid="{00000000-0005-0000-0000-00007E9B0000}"/>
    <cellStyle name="Normal 58 3 2 4 2 5 2 2" xfId="40543" xr:uid="{00000000-0005-0000-0000-00007F9B0000}"/>
    <cellStyle name="Normal 58 3 2 4 2 5 3" xfId="25239" xr:uid="{00000000-0005-0000-0000-0000809B0000}"/>
    <cellStyle name="Normal 58 3 2 4 2 5 3 2" xfId="50792" xr:uid="{00000000-0005-0000-0000-0000819B0000}"/>
    <cellStyle name="Normal 58 3 2 4 2 5 4" xfId="31722" xr:uid="{00000000-0005-0000-0000-0000829B0000}"/>
    <cellStyle name="Normal 58 3 2 4 2 6" xfId="7606" xr:uid="{00000000-0005-0000-0000-0000839B0000}"/>
    <cellStyle name="Normal 58 3 2 4 2 6 2" xfId="20336" xr:uid="{00000000-0005-0000-0000-0000849B0000}"/>
    <cellStyle name="Normal 58 3 2 4 2 6 2 2" xfId="45889" xr:uid="{00000000-0005-0000-0000-0000859B0000}"/>
    <cellStyle name="Normal 58 3 2 4 2 6 3" xfId="33163" xr:uid="{00000000-0005-0000-0000-0000869B0000}"/>
    <cellStyle name="Normal 58 3 2 4 2 7" xfId="16847" xr:uid="{00000000-0005-0000-0000-0000879B0000}"/>
    <cellStyle name="Normal 58 3 2 4 2 7 2" xfId="42400" xr:uid="{00000000-0005-0000-0000-0000889B0000}"/>
    <cellStyle name="Normal 58 3 2 4 2 8" xfId="26819" xr:uid="{00000000-0005-0000-0000-0000899B0000}"/>
    <cellStyle name="Normal 58 3 2 4 3" xfId="1256" xr:uid="{00000000-0005-0000-0000-00008A9B0000}"/>
    <cellStyle name="Normal 58 3 2 4 3 2" xfId="3685" xr:uid="{00000000-0005-0000-0000-00008B9B0000}"/>
    <cellStyle name="Normal 58 3 2 4 3 2 2" xfId="12821" xr:uid="{00000000-0005-0000-0000-00008C9B0000}"/>
    <cellStyle name="Normal 58 3 2 4 3 2 2 2" xfId="23040" xr:uid="{00000000-0005-0000-0000-00008D9B0000}"/>
    <cellStyle name="Normal 58 3 2 4 3 2 2 2 2" xfId="48593" xr:uid="{00000000-0005-0000-0000-00008E9B0000}"/>
    <cellStyle name="Normal 58 3 2 4 3 2 2 3" xfId="38376" xr:uid="{00000000-0005-0000-0000-00008F9B0000}"/>
    <cellStyle name="Normal 58 3 2 4 3 2 3" xfId="9242" xr:uid="{00000000-0005-0000-0000-0000909B0000}"/>
    <cellStyle name="Normal 58 3 2 4 3 2 3 2" xfId="34799" xr:uid="{00000000-0005-0000-0000-0000919B0000}"/>
    <cellStyle name="Normal 58 3 2 4 3 2 4" xfId="18033" xr:uid="{00000000-0005-0000-0000-0000929B0000}"/>
    <cellStyle name="Normal 58 3 2 4 3 2 4 2" xfId="43586" xr:uid="{00000000-0005-0000-0000-0000939B0000}"/>
    <cellStyle name="Normal 58 3 2 4 3 2 5" xfId="29523" xr:uid="{00000000-0005-0000-0000-0000949B0000}"/>
    <cellStyle name="Normal 58 3 2 4 3 3" xfId="5054" xr:uid="{00000000-0005-0000-0000-0000959B0000}"/>
    <cellStyle name="Normal 58 3 2 4 3 3 2" xfId="13891" xr:uid="{00000000-0005-0000-0000-0000969B0000}"/>
    <cellStyle name="Normal 58 3 2 4 3 3 2 2" xfId="24142" xr:uid="{00000000-0005-0000-0000-0000979B0000}"/>
    <cellStyle name="Normal 58 3 2 4 3 3 2 2 2" xfId="49695" xr:uid="{00000000-0005-0000-0000-0000989B0000}"/>
    <cellStyle name="Normal 58 3 2 4 3 3 2 3" xfId="39446" xr:uid="{00000000-0005-0000-0000-0000999B0000}"/>
    <cellStyle name="Normal 58 3 2 4 3 3 3" xfId="10312" xr:uid="{00000000-0005-0000-0000-00009A9B0000}"/>
    <cellStyle name="Normal 58 3 2 4 3 3 3 2" xfId="35869" xr:uid="{00000000-0005-0000-0000-00009B9B0000}"/>
    <cellStyle name="Normal 58 3 2 4 3 3 4" xfId="19135" xr:uid="{00000000-0005-0000-0000-00009C9B0000}"/>
    <cellStyle name="Normal 58 3 2 4 3 3 4 2" xfId="44688" xr:uid="{00000000-0005-0000-0000-00009D9B0000}"/>
    <cellStyle name="Normal 58 3 2 4 3 3 5" xfId="30625" xr:uid="{00000000-0005-0000-0000-00009E9B0000}"/>
    <cellStyle name="Normal 58 3 2 4 3 4" xfId="2079" xr:uid="{00000000-0005-0000-0000-00009F9B0000}"/>
    <cellStyle name="Normal 58 3 2 4 3 4 2" xfId="11444" xr:uid="{00000000-0005-0000-0000-0000A09B0000}"/>
    <cellStyle name="Normal 58 3 2 4 3 4 2 2" xfId="36999" xr:uid="{00000000-0005-0000-0000-0000A19B0000}"/>
    <cellStyle name="Normal 58 3 2 4 3 4 3" xfId="21448" xr:uid="{00000000-0005-0000-0000-0000A29B0000}"/>
    <cellStyle name="Normal 58 3 2 4 3 4 3 2" xfId="47001" xr:uid="{00000000-0005-0000-0000-0000A39B0000}"/>
    <cellStyle name="Normal 58 3 2 4 3 4 4" xfId="27931" xr:uid="{00000000-0005-0000-0000-0000A49B0000}"/>
    <cellStyle name="Normal 58 3 2 4 3 5" xfId="6509" xr:uid="{00000000-0005-0000-0000-0000A59B0000}"/>
    <cellStyle name="Normal 58 3 2 4 3 5 2" xfId="15336" xr:uid="{00000000-0005-0000-0000-0000A69B0000}"/>
    <cellStyle name="Normal 58 3 2 4 3 5 2 2" xfId="40891" xr:uid="{00000000-0005-0000-0000-0000A79B0000}"/>
    <cellStyle name="Normal 58 3 2 4 3 5 3" xfId="25587" xr:uid="{00000000-0005-0000-0000-0000A89B0000}"/>
    <cellStyle name="Normal 58 3 2 4 3 5 3 2" xfId="51140" xr:uid="{00000000-0005-0000-0000-0000A99B0000}"/>
    <cellStyle name="Normal 58 3 2 4 3 5 4" xfId="32070" xr:uid="{00000000-0005-0000-0000-0000AA9B0000}"/>
    <cellStyle name="Normal 58 3 2 4 3 6" xfId="7955" xr:uid="{00000000-0005-0000-0000-0000AB9B0000}"/>
    <cellStyle name="Normal 58 3 2 4 3 6 2" xfId="20639" xr:uid="{00000000-0005-0000-0000-0000AC9B0000}"/>
    <cellStyle name="Normal 58 3 2 4 3 6 2 2" xfId="46192" xr:uid="{00000000-0005-0000-0000-0000AD9B0000}"/>
    <cellStyle name="Normal 58 3 2 4 3 6 3" xfId="33512" xr:uid="{00000000-0005-0000-0000-0000AE9B0000}"/>
    <cellStyle name="Normal 58 3 2 4 3 7" xfId="16441" xr:uid="{00000000-0005-0000-0000-0000AF9B0000}"/>
    <cellStyle name="Normal 58 3 2 4 3 7 2" xfId="41994" xr:uid="{00000000-0005-0000-0000-0000B09B0000}"/>
    <cellStyle name="Normal 58 3 2 4 3 8" xfId="27122" xr:uid="{00000000-0005-0000-0000-0000B19B0000}"/>
    <cellStyle name="Normal 58 3 2 4 4" xfId="2970" xr:uid="{00000000-0005-0000-0000-0000B29B0000}"/>
    <cellStyle name="Normal 58 3 2 4 4 2" xfId="5348" xr:uid="{00000000-0005-0000-0000-0000B39B0000}"/>
    <cellStyle name="Normal 58 3 2 4 4 2 2" xfId="14185" xr:uid="{00000000-0005-0000-0000-0000B49B0000}"/>
    <cellStyle name="Normal 58 3 2 4 4 2 2 2" xfId="24436" xr:uid="{00000000-0005-0000-0000-0000B59B0000}"/>
    <cellStyle name="Normal 58 3 2 4 4 2 2 2 2" xfId="49989" xr:uid="{00000000-0005-0000-0000-0000B69B0000}"/>
    <cellStyle name="Normal 58 3 2 4 4 2 2 3" xfId="39740" xr:uid="{00000000-0005-0000-0000-0000B79B0000}"/>
    <cellStyle name="Normal 58 3 2 4 4 2 3" xfId="10606" xr:uid="{00000000-0005-0000-0000-0000B89B0000}"/>
    <cellStyle name="Normal 58 3 2 4 4 2 3 2" xfId="36163" xr:uid="{00000000-0005-0000-0000-0000B99B0000}"/>
    <cellStyle name="Normal 58 3 2 4 4 2 4" xfId="19429" xr:uid="{00000000-0005-0000-0000-0000BA9B0000}"/>
    <cellStyle name="Normal 58 3 2 4 4 2 4 2" xfId="44982" xr:uid="{00000000-0005-0000-0000-0000BB9B0000}"/>
    <cellStyle name="Normal 58 3 2 4 4 2 5" xfId="30919" xr:uid="{00000000-0005-0000-0000-0000BC9B0000}"/>
    <cellStyle name="Normal 58 3 2 4 4 3" xfId="6803" xr:uid="{00000000-0005-0000-0000-0000BD9B0000}"/>
    <cellStyle name="Normal 58 3 2 4 4 3 2" xfId="15630" xr:uid="{00000000-0005-0000-0000-0000BE9B0000}"/>
    <cellStyle name="Normal 58 3 2 4 4 3 2 2" xfId="41185" xr:uid="{00000000-0005-0000-0000-0000BF9B0000}"/>
    <cellStyle name="Normal 58 3 2 4 4 3 3" xfId="25881" xr:uid="{00000000-0005-0000-0000-0000C09B0000}"/>
    <cellStyle name="Normal 58 3 2 4 4 3 3 2" xfId="51434" xr:uid="{00000000-0005-0000-0000-0000C19B0000}"/>
    <cellStyle name="Normal 58 3 2 4 4 3 4" xfId="32364" xr:uid="{00000000-0005-0000-0000-0000C29B0000}"/>
    <cellStyle name="Normal 58 3 2 4 4 4" xfId="8249" xr:uid="{00000000-0005-0000-0000-0000C39B0000}"/>
    <cellStyle name="Normal 58 3 2 4 4 4 2" xfId="22331" xr:uid="{00000000-0005-0000-0000-0000C49B0000}"/>
    <cellStyle name="Normal 58 3 2 4 4 4 2 2" xfId="47884" xr:uid="{00000000-0005-0000-0000-0000C59B0000}"/>
    <cellStyle name="Normal 58 3 2 4 4 4 3" xfId="33806" xr:uid="{00000000-0005-0000-0000-0000C69B0000}"/>
    <cellStyle name="Normal 58 3 2 4 4 5" xfId="17324" xr:uid="{00000000-0005-0000-0000-0000C79B0000}"/>
    <cellStyle name="Normal 58 3 2 4 4 5 2" xfId="42877" xr:uid="{00000000-0005-0000-0000-0000C89B0000}"/>
    <cellStyle name="Normal 58 3 2 4 4 6" xfId="28814" xr:uid="{00000000-0005-0000-0000-0000C99B0000}"/>
    <cellStyle name="Normal 58 3 2 4 5" xfId="4304" xr:uid="{00000000-0005-0000-0000-0000CA9B0000}"/>
    <cellStyle name="Normal 58 3 2 4 5 2" xfId="13142" xr:uid="{00000000-0005-0000-0000-0000CB9B0000}"/>
    <cellStyle name="Normal 58 3 2 4 5 2 2" xfId="23393" xr:uid="{00000000-0005-0000-0000-0000CC9B0000}"/>
    <cellStyle name="Normal 58 3 2 4 5 2 2 2" xfId="48946" xr:uid="{00000000-0005-0000-0000-0000CD9B0000}"/>
    <cellStyle name="Normal 58 3 2 4 5 2 3" xfId="38697" xr:uid="{00000000-0005-0000-0000-0000CE9B0000}"/>
    <cellStyle name="Normal 58 3 2 4 5 3" xfId="9563" xr:uid="{00000000-0005-0000-0000-0000CF9B0000}"/>
    <cellStyle name="Normal 58 3 2 4 5 3 2" xfId="35120" xr:uid="{00000000-0005-0000-0000-0000D09B0000}"/>
    <cellStyle name="Normal 58 3 2 4 5 4" xfId="18386" xr:uid="{00000000-0005-0000-0000-0000D19B0000}"/>
    <cellStyle name="Normal 58 3 2 4 5 4 2" xfId="43939" xr:uid="{00000000-0005-0000-0000-0000D29B0000}"/>
    <cellStyle name="Normal 58 3 2 4 5 5" xfId="29876" xr:uid="{00000000-0005-0000-0000-0000D39B0000}"/>
    <cellStyle name="Normal 58 3 2 4 6" xfId="1576" xr:uid="{00000000-0005-0000-0000-0000D49B0000}"/>
    <cellStyle name="Normal 58 3 2 4 6 2" xfId="10953" xr:uid="{00000000-0005-0000-0000-0000D59B0000}"/>
    <cellStyle name="Normal 58 3 2 4 6 2 2" xfId="36508" xr:uid="{00000000-0005-0000-0000-0000D69B0000}"/>
    <cellStyle name="Normal 58 3 2 4 6 3" xfId="20957" xr:uid="{00000000-0005-0000-0000-0000D79B0000}"/>
    <cellStyle name="Normal 58 3 2 4 6 3 2" xfId="46510" xr:uid="{00000000-0005-0000-0000-0000D89B0000}"/>
    <cellStyle name="Normal 58 3 2 4 6 4" xfId="27440" xr:uid="{00000000-0005-0000-0000-0000D99B0000}"/>
    <cellStyle name="Normal 58 3 2 4 7" xfId="5760" xr:uid="{00000000-0005-0000-0000-0000DA9B0000}"/>
    <cellStyle name="Normal 58 3 2 4 7 2" xfId="14587" xr:uid="{00000000-0005-0000-0000-0000DB9B0000}"/>
    <cellStyle name="Normal 58 3 2 4 7 2 2" xfId="40142" xr:uid="{00000000-0005-0000-0000-0000DC9B0000}"/>
    <cellStyle name="Normal 58 3 2 4 7 3" xfId="24838" xr:uid="{00000000-0005-0000-0000-0000DD9B0000}"/>
    <cellStyle name="Normal 58 3 2 4 7 3 2" xfId="50391" xr:uid="{00000000-0005-0000-0000-0000DE9B0000}"/>
    <cellStyle name="Normal 58 3 2 4 7 4" xfId="31321" xr:uid="{00000000-0005-0000-0000-0000DF9B0000}"/>
    <cellStyle name="Normal 58 3 2 4 8" xfId="7204" xr:uid="{00000000-0005-0000-0000-0000E09B0000}"/>
    <cellStyle name="Normal 58 3 2 4 8 2" xfId="19930" xr:uid="{00000000-0005-0000-0000-0000E19B0000}"/>
    <cellStyle name="Normal 58 3 2 4 8 2 2" xfId="45483" xr:uid="{00000000-0005-0000-0000-0000E29B0000}"/>
    <cellStyle name="Normal 58 3 2 4 8 3" xfId="32761" xr:uid="{00000000-0005-0000-0000-0000E39B0000}"/>
    <cellStyle name="Normal 58 3 2 4 9" xfId="15950" xr:uid="{00000000-0005-0000-0000-0000E49B0000}"/>
    <cellStyle name="Normal 58 3 2 4 9 2" xfId="41503" xr:uid="{00000000-0005-0000-0000-0000E59B0000}"/>
    <cellStyle name="Normal 58 3 2 4_Degree data" xfId="3997" xr:uid="{00000000-0005-0000-0000-0000E69B0000}"/>
    <cellStyle name="Normal 58 3 2 5" xfId="327" xr:uid="{00000000-0005-0000-0000-0000E79B0000}"/>
    <cellStyle name="Normal 58 3 2 5 2" xfId="2813" xr:uid="{00000000-0005-0000-0000-0000E89B0000}"/>
    <cellStyle name="Normal 58 3 2 5 2 2" xfId="12112" xr:uid="{00000000-0005-0000-0000-0000E99B0000}"/>
    <cellStyle name="Normal 58 3 2 5 2 2 2" xfId="22174" xr:uid="{00000000-0005-0000-0000-0000EA9B0000}"/>
    <cellStyle name="Normal 58 3 2 5 2 2 2 2" xfId="47727" xr:uid="{00000000-0005-0000-0000-0000EB9B0000}"/>
    <cellStyle name="Normal 58 3 2 5 2 2 3" xfId="37667" xr:uid="{00000000-0005-0000-0000-0000EC9B0000}"/>
    <cellStyle name="Normal 58 3 2 5 2 3" xfId="8530" xr:uid="{00000000-0005-0000-0000-0000ED9B0000}"/>
    <cellStyle name="Normal 58 3 2 5 2 3 2" xfId="34087" xr:uid="{00000000-0005-0000-0000-0000EE9B0000}"/>
    <cellStyle name="Normal 58 3 2 5 2 4" xfId="17167" xr:uid="{00000000-0005-0000-0000-0000EF9B0000}"/>
    <cellStyle name="Normal 58 3 2 5 2 4 2" xfId="42720" xr:uid="{00000000-0005-0000-0000-0000F09B0000}"/>
    <cellStyle name="Normal 58 3 2 5 2 5" xfId="28657" xr:uid="{00000000-0005-0000-0000-0000F19B0000}"/>
    <cellStyle name="Normal 58 3 2 5 3" xfId="4701" xr:uid="{00000000-0005-0000-0000-0000F29B0000}"/>
    <cellStyle name="Normal 58 3 2 5 3 2" xfId="13539" xr:uid="{00000000-0005-0000-0000-0000F39B0000}"/>
    <cellStyle name="Normal 58 3 2 5 3 2 2" xfId="23790" xr:uid="{00000000-0005-0000-0000-0000F49B0000}"/>
    <cellStyle name="Normal 58 3 2 5 3 2 2 2" xfId="49343" xr:uid="{00000000-0005-0000-0000-0000F59B0000}"/>
    <cellStyle name="Normal 58 3 2 5 3 2 3" xfId="39094" xr:uid="{00000000-0005-0000-0000-0000F69B0000}"/>
    <cellStyle name="Normal 58 3 2 5 3 3" xfId="9960" xr:uid="{00000000-0005-0000-0000-0000F79B0000}"/>
    <cellStyle name="Normal 58 3 2 5 3 3 2" xfId="35517" xr:uid="{00000000-0005-0000-0000-0000F89B0000}"/>
    <cellStyle name="Normal 58 3 2 5 3 4" xfId="18783" xr:uid="{00000000-0005-0000-0000-0000F99B0000}"/>
    <cellStyle name="Normal 58 3 2 5 3 4 2" xfId="44336" xr:uid="{00000000-0005-0000-0000-0000FA9B0000}"/>
    <cellStyle name="Normal 58 3 2 5 3 5" xfId="30273" xr:uid="{00000000-0005-0000-0000-0000FB9B0000}"/>
    <cellStyle name="Normal 58 3 2 5 4" xfId="1922" xr:uid="{00000000-0005-0000-0000-0000FC9B0000}"/>
    <cellStyle name="Normal 58 3 2 5 4 2" xfId="11287" xr:uid="{00000000-0005-0000-0000-0000FD9B0000}"/>
    <cellStyle name="Normal 58 3 2 5 4 2 2" xfId="36842" xr:uid="{00000000-0005-0000-0000-0000FE9B0000}"/>
    <cellStyle name="Normal 58 3 2 5 4 3" xfId="21291" xr:uid="{00000000-0005-0000-0000-0000FF9B0000}"/>
    <cellStyle name="Normal 58 3 2 5 4 3 2" xfId="46844" xr:uid="{00000000-0005-0000-0000-0000009C0000}"/>
    <cellStyle name="Normal 58 3 2 5 4 4" xfId="27774" xr:uid="{00000000-0005-0000-0000-0000019C0000}"/>
    <cellStyle name="Normal 58 3 2 5 5" xfId="6157" xr:uid="{00000000-0005-0000-0000-0000029C0000}"/>
    <cellStyle name="Normal 58 3 2 5 5 2" xfId="14984" xr:uid="{00000000-0005-0000-0000-0000039C0000}"/>
    <cellStyle name="Normal 58 3 2 5 5 2 2" xfId="40539" xr:uid="{00000000-0005-0000-0000-0000049C0000}"/>
    <cellStyle name="Normal 58 3 2 5 5 3" xfId="25235" xr:uid="{00000000-0005-0000-0000-0000059C0000}"/>
    <cellStyle name="Normal 58 3 2 5 5 3 2" xfId="50788" xr:uid="{00000000-0005-0000-0000-0000069C0000}"/>
    <cellStyle name="Normal 58 3 2 5 5 4" xfId="31718" xr:uid="{00000000-0005-0000-0000-0000079C0000}"/>
    <cellStyle name="Normal 58 3 2 5 6" xfId="7602" xr:uid="{00000000-0005-0000-0000-0000089C0000}"/>
    <cellStyle name="Normal 58 3 2 5 6 2" xfId="19773" xr:uid="{00000000-0005-0000-0000-0000099C0000}"/>
    <cellStyle name="Normal 58 3 2 5 6 2 2" xfId="45326" xr:uid="{00000000-0005-0000-0000-00000A9C0000}"/>
    <cellStyle name="Normal 58 3 2 5 6 3" xfId="33159" xr:uid="{00000000-0005-0000-0000-00000B9C0000}"/>
    <cellStyle name="Normal 58 3 2 5 7" xfId="16284" xr:uid="{00000000-0005-0000-0000-00000C9C0000}"/>
    <cellStyle name="Normal 58 3 2 5 7 2" xfId="41837" xr:uid="{00000000-0005-0000-0000-00000D9C0000}"/>
    <cellStyle name="Normal 58 3 2 5 8" xfId="26256" xr:uid="{00000000-0005-0000-0000-00000E9C0000}"/>
    <cellStyle name="Normal 58 3 2 6" xfId="887" xr:uid="{00000000-0005-0000-0000-00000F9C0000}"/>
    <cellStyle name="Normal 58 3 2 6 2" xfId="3372" xr:uid="{00000000-0005-0000-0000-0000109C0000}"/>
    <cellStyle name="Normal 58 3 2 6 2 2" xfId="12514" xr:uid="{00000000-0005-0000-0000-0000119C0000}"/>
    <cellStyle name="Normal 58 3 2 6 2 2 2" xfId="22733" xr:uid="{00000000-0005-0000-0000-0000129C0000}"/>
    <cellStyle name="Normal 58 3 2 6 2 2 2 2" xfId="48286" xr:uid="{00000000-0005-0000-0000-0000139C0000}"/>
    <cellStyle name="Normal 58 3 2 6 2 2 3" xfId="38069" xr:uid="{00000000-0005-0000-0000-0000149C0000}"/>
    <cellStyle name="Normal 58 3 2 6 2 3" xfId="8936" xr:uid="{00000000-0005-0000-0000-0000159C0000}"/>
    <cellStyle name="Normal 58 3 2 6 2 3 2" xfId="34493" xr:uid="{00000000-0005-0000-0000-0000169C0000}"/>
    <cellStyle name="Normal 58 3 2 6 2 4" xfId="17726" xr:uid="{00000000-0005-0000-0000-0000179C0000}"/>
    <cellStyle name="Normal 58 3 2 6 2 4 2" xfId="43279" xr:uid="{00000000-0005-0000-0000-0000189C0000}"/>
    <cellStyle name="Normal 58 3 2 6 2 5" xfId="29216" xr:uid="{00000000-0005-0000-0000-0000199C0000}"/>
    <cellStyle name="Normal 58 3 2 6 3" xfId="5050" xr:uid="{00000000-0005-0000-0000-00001A9C0000}"/>
    <cellStyle name="Normal 58 3 2 6 3 2" xfId="13887" xr:uid="{00000000-0005-0000-0000-00001B9C0000}"/>
    <cellStyle name="Normal 58 3 2 6 3 2 2" xfId="24138" xr:uid="{00000000-0005-0000-0000-00001C9C0000}"/>
    <cellStyle name="Normal 58 3 2 6 3 2 2 2" xfId="49691" xr:uid="{00000000-0005-0000-0000-00001D9C0000}"/>
    <cellStyle name="Normal 58 3 2 6 3 2 3" xfId="39442" xr:uid="{00000000-0005-0000-0000-00001E9C0000}"/>
    <cellStyle name="Normal 58 3 2 6 3 3" xfId="10308" xr:uid="{00000000-0005-0000-0000-00001F9C0000}"/>
    <cellStyle name="Normal 58 3 2 6 3 3 2" xfId="35865" xr:uid="{00000000-0005-0000-0000-0000209C0000}"/>
    <cellStyle name="Normal 58 3 2 6 3 4" xfId="19131" xr:uid="{00000000-0005-0000-0000-0000219C0000}"/>
    <cellStyle name="Normal 58 3 2 6 3 4 2" xfId="44684" xr:uid="{00000000-0005-0000-0000-0000229C0000}"/>
    <cellStyle name="Normal 58 3 2 6 3 5" xfId="30621" xr:uid="{00000000-0005-0000-0000-0000239C0000}"/>
    <cellStyle name="Normal 58 3 2 6 4" xfId="2481" xr:uid="{00000000-0005-0000-0000-0000249C0000}"/>
    <cellStyle name="Normal 58 3 2 6 4 2" xfId="11846" xr:uid="{00000000-0005-0000-0000-0000259C0000}"/>
    <cellStyle name="Normal 58 3 2 6 4 2 2" xfId="37401" xr:uid="{00000000-0005-0000-0000-0000269C0000}"/>
    <cellStyle name="Normal 58 3 2 6 4 3" xfId="21850" xr:uid="{00000000-0005-0000-0000-0000279C0000}"/>
    <cellStyle name="Normal 58 3 2 6 4 3 2" xfId="47403" xr:uid="{00000000-0005-0000-0000-0000289C0000}"/>
    <cellStyle name="Normal 58 3 2 6 4 4" xfId="28333" xr:uid="{00000000-0005-0000-0000-0000299C0000}"/>
    <cellStyle name="Normal 58 3 2 6 5" xfId="6505" xr:uid="{00000000-0005-0000-0000-00002A9C0000}"/>
    <cellStyle name="Normal 58 3 2 6 5 2" xfId="15332" xr:uid="{00000000-0005-0000-0000-00002B9C0000}"/>
    <cellStyle name="Normal 58 3 2 6 5 2 2" xfId="40887" xr:uid="{00000000-0005-0000-0000-00002C9C0000}"/>
    <cellStyle name="Normal 58 3 2 6 5 3" xfId="25583" xr:uid="{00000000-0005-0000-0000-00002D9C0000}"/>
    <cellStyle name="Normal 58 3 2 6 5 3 2" xfId="51136" xr:uid="{00000000-0005-0000-0000-00002E9C0000}"/>
    <cellStyle name="Normal 58 3 2 6 5 4" xfId="32066" xr:uid="{00000000-0005-0000-0000-00002F9C0000}"/>
    <cellStyle name="Normal 58 3 2 6 6" xfId="7951" xr:uid="{00000000-0005-0000-0000-0000309C0000}"/>
    <cellStyle name="Normal 58 3 2 6 6 2" xfId="20332" xr:uid="{00000000-0005-0000-0000-0000319C0000}"/>
    <cellStyle name="Normal 58 3 2 6 6 2 2" xfId="45885" xr:uid="{00000000-0005-0000-0000-0000329C0000}"/>
    <cellStyle name="Normal 58 3 2 6 6 3" xfId="33508" xr:uid="{00000000-0005-0000-0000-0000339C0000}"/>
    <cellStyle name="Normal 58 3 2 6 7" xfId="16843" xr:uid="{00000000-0005-0000-0000-0000349C0000}"/>
    <cellStyle name="Normal 58 3 2 6 7 2" xfId="42396" xr:uid="{00000000-0005-0000-0000-0000359C0000}"/>
    <cellStyle name="Normal 58 3 2 6 8" xfId="26815" xr:uid="{00000000-0005-0000-0000-0000369C0000}"/>
    <cellStyle name="Normal 58 3 2 7" xfId="1099" xr:uid="{00000000-0005-0000-0000-0000379C0000}"/>
    <cellStyle name="Normal 58 3 2 7 2" xfId="3528" xr:uid="{00000000-0005-0000-0000-0000389C0000}"/>
    <cellStyle name="Normal 58 3 2 7 2 2" xfId="12664" xr:uid="{00000000-0005-0000-0000-0000399C0000}"/>
    <cellStyle name="Normal 58 3 2 7 2 2 2" xfId="22883" xr:uid="{00000000-0005-0000-0000-00003A9C0000}"/>
    <cellStyle name="Normal 58 3 2 7 2 2 2 2" xfId="48436" xr:uid="{00000000-0005-0000-0000-00003B9C0000}"/>
    <cellStyle name="Normal 58 3 2 7 2 2 3" xfId="38219" xr:uid="{00000000-0005-0000-0000-00003C9C0000}"/>
    <cellStyle name="Normal 58 3 2 7 2 3" xfId="9085" xr:uid="{00000000-0005-0000-0000-00003D9C0000}"/>
    <cellStyle name="Normal 58 3 2 7 2 3 2" xfId="34642" xr:uid="{00000000-0005-0000-0000-00003E9C0000}"/>
    <cellStyle name="Normal 58 3 2 7 2 4" xfId="17876" xr:uid="{00000000-0005-0000-0000-00003F9C0000}"/>
    <cellStyle name="Normal 58 3 2 7 2 4 2" xfId="43429" xr:uid="{00000000-0005-0000-0000-0000409C0000}"/>
    <cellStyle name="Normal 58 3 2 7 2 5" xfId="29366" xr:uid="{00000000-0005-0000-0000-0000419C0000}"/>
    <cellStyle name="Normal 58 3 2 7 3" xfId="5191" xr:uid="{00000000-0005-0000-0000-0000429C0000}"/>
    <cellStyle name="Normal 58 3 2 7 3 2" xfId="14028" xr:uid="{00000000-0005-0000-0000-0000439C0000}"/>
    <cellStyle name="Normal 58 3 2 7 3 2 2" xfId="24279" xr:uid="{00000000-0005-0000-0000-0000449C0000}"/>
    <cellStyle name="Normal 58 3 2 7 3 2 2 2" xfId="49832" xr:uid="{00000000-0005-0000-0000-0000459C0000}"/>
    <cellStyle name="Normal 58 3 2 7 3 2 3" xfId="39583" xr:uid="{00000000-0005-0000-0000-0000469C0000}"/>
    <cellStyle name="Normal 58 3 2 7 3 3" xfId="10449" xr:uid="{00000000-0005-0000-0000-0000479C0000}"/>
    <cellStyle name="Normal 58 3 2 7 3 3 2" xfId="36006" xr:uid="{00000000-0005-0000-0000-0000489C0000}"/>
    <cellStyle name="Normal 58 3 2 7 3 4" xfId="19272" xr:uid="{00000000-0005-0000-0000-0000499C0000}"/>
    <cellStyle name="Normal 58 3 2 7 3 4 2" xfId="44825" xr:uid="{00000000-0005-0000-0000-00004A9C0000}"/>
    <cellStyle name="Normal 58 3 2 7 3 5" xfId="30762" xr:uid="{00000000-0005-0000-0000-00004B9C0000}"/>
    <cellStyle name="Normal 58 3 2 7 4" xfId="1756" xr:uid="{00000000-0005-0000-0000-00004C9C0000}"/>
    <cellStyle name="Normal 58 3 2 7 4 2" xfId="11127" xr:uid="{00000000-0005-0000-0000-00004D9C0000}"/>
    <cellStyle name="Normal 58 3 2 7 4 2 2" xfId="36682" xr:uid="{00000000-0005-0000-0000-00004E9C0000}"/>
    <cellStyle name="Normal 58 3 2 7 4 3" xfId="21131" xr:uid="{00000000-0005-0000-0000-00004F9C0000}"/>
    <cellStyle name="Normal 58 3 2 7 4 3 2" xfId="46684" xr:uid="{00000000-0005-0000-0000-0000509C0000}"/>
    <cellStyle name="Normal 58 3 2 7 4 4" xfId="27614" xr:uid="{00000000-0005-0000-0000-0000519C0000}"/>
    <cellStyle name="Normal 58 3 2 7 5" xfId="6646" xr:uid="{00000000-0005-0000-0000-0000529C0000}"/>
    <cellStyle name="Normal 58 3 2 7 5 2" xfId="15473" xr:uid="{00000000-0005-0000-0000-0000539C0000}"/>
    <cellStyle name="Normal 58 3 2 7 5 2 2" xfId="41028" xr:uid="{00000000-0005-0000-0000-0000549C0000}"/>
    <cellStyle name="Normal 58 3 2 7 5 3" xfId="25724" xr:uid="{00000000-0005-0000-0000-0000559C0000}"/>
    <cellStyle name="Normal 58 3 2 7 5 3 2" xfId="51277" xr:uid="{00000000-0005-0000-0000-0000569C0000}"/>
    <cellStyle name="Normal 58 3 2 7 5 4" xfId="32207" xr:uid="{00000000-0005-0000-0000-0000579C0000}"/>
    <cellStyle name="Normal 58 3 2 7 6" xfId="8092" xr:uid="{00000000-0005-0000-0000-0000589C0000}"/>
    <cellStyle name="Normal 58 3 2 7 6 2" xfId="20482" xr:uid="{00000000-0005-0000-0000-0000599C0000}"/>
    <cellStyle name="Normal 58 3 2 7 6 2 2" xfId="46035" xr:uid="{00000000-0005-0000-0000-00005A9C0000}"/>
    <cellStyle name="Normal 58 3 2 7 6 3" xfId="33649" xr:uid="{00000000-0005-0000-0000-00005B9C0000}"/>
    <cellStyle name="Normal 58 3 2 7 7" xfId="16124" xr:uid="{00000000-0005-0000-0000-00005C9C0000}"/>
    <cellStyle name="Normal 58 3 2 7 7 2" xfId="41677" xr:uid="{00000000-0005-0000-0000-00005D9C0000}"/>
    <cellStyle name="Normal 58 3 2 7 8" xfId="26965" xr:uid="{00000000-0005-0000-0000-00005E9C0000}"/>
    <cellStyle name="Normal 58 3 2 8" xfId="2653" xr:uid="{00000000-0005-0000-0000-00005F9C0000}"/>
    <cellStyle name="Normal 58 3 2 8 2" xfId="11973" xr:uid="{00000000-0005-0000-0000-0000609C0000}"/>
    <cellStyle name="Normal 58 3 2 8 2 2" xfId="22014" xr:uid="{00000000-0005-0000-0000-0000619C0000}"/>
    <cellStyle name="Normal 58 3 2 8 2 2 2" xfId="47567" xr:uid="{00000000-0005-0000-0000-0000629C0000}"/>
    <cellStyle name="Normal 58 3 2 8 2 3" xfId="37528" xr:uid="{00000000-0005-0000-0000-0000639C0000}"/>
    <cellStyle name="Normal 58 3 2 8 3" xfId="8591" xr:uid="{00000000-0005-0000-0000-0000649C0000}"/>
    <cellStyle name="Normal 58 3 2 8 3 2" xfId="34148" xr:uid="{00000000-0005-0000-0000-0000659C0000}"/>
    <cellStyle name="Normal 58 3 2 8 4" xfId="17007" xr:uid="{00000000-0005-0000-0000-0000669C0000}"/>
    <cellStyle name="Normal 58 3 2 8 4 2" xfId="42560" xr:uid="{00000000-0005-0000-0000-0000679C0000}"/>
    <cellStyle name="Normal 58 3 2 8 5" xfId="28497" xr:uid="{00000000-0005-0000-0000-0000689C0000}"/>
    <cellStyle name="Normal 58 3 2 9" xfId="4145" xr:uid="{00000000-0005-0000-0000-0000699C0000}"/>
    <cellStyle name="Normal 58 3 2 9 2" xfId="12983" xr:uid="{00000000-0005-0000-0000-00006A9C0000}"/>
    <cellStyle name="Normal 58 3 2 9 2 2" xfId="23234" xr:uid="{00000000-0005-0000-0000-00006B9C0000}"/>
    <cellStyle name="Normal 58 3 2 9 2 2 2" xfId="48787" xr:uid="{00000000-0005-0000-0000-00006C9C0000}"/>
    <cellStyle name="Normal 58 3 2 9 2 3" xfId="38538" xr:uid="{00000000-0005-0000-0000-00006D9C0000}"/>
    <cellStyle name="Normal 58 3 2 9 3" xfId="9404" xr:uid="{00000000-0005-0000-0000-00006E9C0000}"/>
    <cellStyle name="Normal 58 3 2 9 3 2" xfId="34961" xr:uid="{00000000-0005-0000-0000-00006F9C0000}"/>
    <cellStyle name="Normal 58 3 2 9 4" xfId="18227" xr:uid="{00000000-0005-0000-0000-0000709C0000}"/>
    <cellStyle name="Normal 58 3 2 9 4 2" xfId="43780" xr:uid="{00000000-0005-0000-0000-0000719C0000}"/>
    <cellStyle name="Normal 58 3 2 9 5" xfId="29717" xr:uid="{00000000-0005-0000-0000-0000729C0000}"/>
    <cellStyle name="Normal 58 3 2_Degree data" xfId="3993" xr:uid="{00000000-0005-0000-0000-0000739C0000}"/>
    <cellStyle name="Normal 58 3 3" xfId="201" xr:uid="{00000000-0005-0000-0000-0000749C0000}"/>
    <cellStyle name="Normal 58 3 3 10" xfId="7147" xr:uid="{00000000-0005-0000-0000-0000759C0000}"/>
    <cellStyle name="Normal 58 3 3 10 2" xfId="19656" xr:uid="{00000000-0005-0000-0000-0000769C0000}"/>
    <cellStyle name="Normal 58 3 3 10 2 2" xfId="45209" xr:uid="{00000000-0005-0000-0000-0000779C0000}"/>
    <cellStyle name="Normal 58 3 3 10 3" xfId="32704" xr:uid="{00000000-0005-0000-0000-0000789C0000}"/>
    <cellStyle name="Normal 58 3 3 11" xfId="15893" xr:uid="{00000000-0005-0000-0000-0000799C0000}"/>
    <cellStyle name="Normal 58 3 3 11 2" xfId="41446" xr:uid="{00000000-0005-0000-0000-00007A9C0000}"/>
    <cellStyle name="Normal 58 3 3 12" xfId="26139" xr:uid="{00000000-0005-0000-0000-00007B9C0000}"/>
    <cellStyle name="Normal 58 3 3 2" xfId="527" xr:uid="{00000000-0005-0000-0000-00007C9C0000}"/>
    <cellStyle name="Normal 58 3 3 2 10" xfId="26456" xr:uid="{00000000-0005-0000-0000-00007D9C0000}"/>
    <cellStyle name="Normal 58 3 3 2 2" xfId="893" xr:uid="{00000000-0005-0000-0000-00007E9C0000}"/>
    <cellStyle name="Normal 58 3 3 2 2 2" xfId="3378" xr:uid="{00000000-0005-0000-0000-00007F9C0000}"/>
    <cellStyle name="Normal 58 3 3 2 2 2 2" xfId="12520" xr:uid="{00000000-0005-0000-0000-0000809C0000}"/>
    <cellStyle name="Normal 58 3 3 2 2 2 2 2" xfId="22739" xr:uid="{00000000-0005-0000-0000-0000819C0000}"/>
    <cellStyle name="Normal 58 3 3 2 2 2 2 2 2" xfId="48292" xr:uid="{00000000-0005-0000-0000-0000829C0000}"/>
    <cellStyle name="Normal 58 3 3 2 2 2 2 3" xfId="38075" xr:uid="{00000000-0005-0000-0000-0000839C0000}"/>
    <cellStyle name="Normal 58 3 3 2 2 2 3" xfId="8942" xr:uid="{00000000-0005-0000-0000-0000849C0000}"/>
    <cellStyle name="Normal 58 3 3 2 2 2 3 2" xfId="34499" xr:uid="{00000000-0005-0000-0000-0000859C0000}"/>
    <cellStyle name="Normal 58 3 3 2 2 2 4" xfId="17732" xr:uid="{00000000-0005-0000-0000-0000869C0000}"/>
    <cellStyle name="Normal 58 3 3 2 2 2 4 2" xfId="43285" xr:uid="{00000000-0005-0000-0000-0000879C0000}"/>
    <cellStyle name="Normal 58 3 3 2 2 2 5" xfId="29222" xr:uid="{00000000-0005-0000-0000-0000889C0000}"/>
    <cellStyle name="Normal 58 3 3 2 2 3" xfId="4707" xr:uid="{00000000-0005-0000-0000-0000899C0000}"/>
    <cellStyle name="Normal 58 3 3 2 2 3 2" xfId="13545" xr:uid="{00000000-0005-0000-0000-00008A9C0000}"/>
    <cellStyle name="Normal 58 3 3 2 2 3 2 2" xfId="23796" xr:uid="{00000000-0005-0000-0000-00008B9C0000}"/>
    <cellStyle name="Normal 58 3 3 2 2 3 2 2 2" xfId="49349" xr:uid="{00000000-0005-0000-0000-00008C9C0000}"/>
    <cellStyle name="Normal 58 3 3 2 2 3 2 3" xfId="39100" xr:uid="{00000000-0005-0000-0000-00008D9C0000}"/>
    <cellStyle name="Normal 58 3 3 2 2 3 3" xfId="9966" xr:uid="{00000000-0005-0000-0000-00008E9C0000}"/>
    <cellStyle name="Normal 58 3 3 2 2 3 3 2" xfId="35523" xr:uid="{00000000-0005-0000-0000-00008F9C0000}"/>
    <cellStyle name="Normal 58 3 3 2 2 3 4" xfId="18789" xr:uid="{00000000-0005-0000-0000-0000909C0000}"/>
    <cellStyle name="Normal 58 3 3 2 2 3 4 2" xfId="44342" xr:uid="{00000000-0005-0000-0000-0000919C0000}"/>
    <cellStyle name="Normal 58 3 3 2 2 3 5" xfId="30279" xr:uid="{00000000-0005-0000-0000-0000929C0000}"/>
    <cellStyle name="Normal 58 3 3 2 2 4" xfId="2487" xr:uid="{00000000-0005-0000-0000-0000939C0000}"/>
    <cellStyle name="Normal 58 3 3 2 2 4 2" xfId="11852" xr:uid="{00000000-0005-0000-0000-0000949C0000}"/>
    <cellStyle name="Normal 58 3 3 2 2 4 2 2" xfId="37407" xr:uid="{00000000-0005-0000-0000-0000959C0000}"/>
    <cellStyle name="Normal 58 3 3 2 2 4 3" xfId="21856" xr:uid="{00000000-0005-0000-0000-0000969C0000}"/>
    <cellStyle name="Normal 58 3 3 2 2 4 3 2" xfId="47409" xr:uid="{00000000-0005-0000-0000-0000979C0000}"/>
    <cellStyle name="Normal 58 3 3 2 2 4 4" xfId="28339" xr:uid="{00000000-0005-0000-0000-0000989C0000}"/>
    <cellStyle name="Normal 58 3 3 2 2 5" xfId="6163" xr:uid="{00000000-0005-0000-0000-0000999C0000}"/>
    <cellStyle name="Normal 58 3 3 2 2 5 2" xfId="14990" xr:uid="{00000000-0005-0000-0000-00009A9C0000}"/>
    <cellStyle name="Normal 58 3 3 2 2 5 2 2" xfId="40545" xr:uid="{00000000-0005-0000-0000-00009B9C0000}"/>
    <cellStyle name="Normal 58 3 3 2 2 5 3" xfId="25241" xr:uid="{00000000-0005-0000-0000-00009C9C0000}"/>
    <cellStyle name="Normal 58 3 3 2 2 5 3 2" xfId="50794" xr:uid="{00000000-0005-0000-0000-00009D9C0000}"/>
    <cellStyle name="Normal 58 3 3 2 2 5 4" xfId="31724" xr:uid="{00000000-0005-0000-0000-00009E9C0000}"/>
    <cellStyle name="Normal 58 3 3 2 2 6" xfId="7608" xr:uid="{00000000-0005-0000-0000-00009F9C0000}"/>
    <cellStyle name="Normal 58 3 3 2 2 6 2" xfId="20338" xr:uid="{00000000-0005-0000-0000-0000A09C0000}"/>
    <cellStyle name="Normal 58 3 3 2 2 6 2 2" xfId="45891" xr:uid="{00000000-0005-0000-0000-0000A19C0000}"/>
    <cellStyle name="Normal 58 3 3 2 2 6 3" xfId="33165" xr:uid="{00000000-0005-0000-0000-0000A29C0000}"/>
    <cellStyle name="Normal 58 3 3 2 2 7" xfId="16849" xr:uid="{00000000-0005-0000-0000-0000A39C0000}"/>
    <cellStyle name="Normal 58 3 3 2 2 7 2" xfId="42402" xr:uid="{00000000-0005-0000-0000-0000A49C0000}"/>
    <cellStyle name="Normal 58 3 3 2 2 8" xfId="26821" xr:uid="{00000000-0005-0000-0000-0000A59C0000}"/>
    <cellStyle name="Normal 58 3 3 2 3" xfId="1299" xr:uid="{00000000-0005-0000-0000-0000A69C0000}"/>
    <cellStyle name="Normal 58 3 3 2 3 2" xfId="3728" xr:uid="{00000000-0005-0000-0000-0000A79C0000}"/>
    <cellStyle name="Normal 58 3 3 2 3 2 2" xfId="12864" xr:uid="{00000000-0005-0000-0000-0000A89C0000}"/>
    <cellStyle name="Normal 58 3 3 2 3 2 2 2" xfId="23083" xr:uid="{00000000-0005-0000-0000-0000A99C0000}"/>
    <cellStyle name="Normal 58 3 3 2 3 2 2 2 2" xfId="48636" xr:uid="{00000000-0005-0000-0000-0000AA9C0000}"/>
    <cellStyle name="Normal 58 3 3 2 3 2 2 3" xfId="38419" xr:uid="{00000000-0005-0000-0000-0000AB9C0000}"/>
    <cellStyle name="Normal 58 3 3 2 3 2 3" xfId="9285" xr:uid="{00000000-0005-0000-0000-0000AC9C0000}"/>
    <cellStyle name="Normal 58 3 3 2 3 2 3 2" xfId="34842" xr:uid="{00000000-0005-0000-0000-0000AD9C0000}"/>
    <cellStyle name="Normal 58 3 3 2 3 2 4" xfId="18076" xr:uid="{00000000-0005-0000-0000-0000AE9C0000}"/>
    <cellStyle name="Normal 58 3 3 2 3 2 4 2" xfId="43629" xr:uid="{00000000-0005-0000-0000-0000AF9C0000}"/>
    <cellStyle name="Normal 58 3 3 2 3 2 5" xfId="29566" xr:uid="{00000000-0005-0000-0000-0000B09C0000}"/>
    <cellStyle name="Normal 58 3 3 2 3 3" xfId="5056" xr:uid="{00000000-0005-0000-0000-0000B19C0000}"/>
    <cellStyle name="Normal 58 3 3 2 3 3 2" xfId="13893" xr:uid="{00000000-0005-0000-0000-0000B29C0000}"/>
    <cellStyle name="Normal 58 3 3 2 3 3 2 2" xfId="24144" xr:uid="{00000000-0005-0000-0000-0000B39C0000}"/>
    <cellStyle name="Normal 58 3 3 2 3 3 2 2 2" xfId="49697" xr:uid="{00000000-0005-0000-0000-0000B49C0000}"/>
    <cellStyle name="Normal 58 3 3 2 3 3 2 3" xfId="39448" xr:uid="{00000000-0005-0000-0000-0000B59C0000}"/>
    <cellStyle name="Normal 58 3 3 2 3 3 3" xfId="10314" xr:uid="{00000000-0005-0000-0000-0000B69C0000}"/>
    <cellStyle name="Normal 58 3 3 2 3 3 3 2" xfId="35871" xr:uid="{00000000-0005-0000-0000-0000B79C0000}"/>
    <cellStyle name="Normal 58 3 3 2 3 3 4" xfId="19137" xr:uid="{00000000-0005-0000-0000-0000B89C0000}"/>
    <cellStyle name="Normal 58 3 3 2 3 3 4 2" xfId="44690" xr:uid="{00000000-0005-0000-0000-0000B99C0000}"/>
    <cellStyle name="Normal 58 3 3 2 3 3 5" xfId="30627" xr:uid="{00000000-0005-0000-0000-0000BA9C0000}"/>
    <cellStyle name="Normal 58 3 3 2 3 4" xfId="2122" xr:uid="{00000000-0005-0000-0000-0000BB9C0000}"/>
    <cellStyle name="Normal 58 3 3 2 3 4 2" xfId="11487" xr:uid="{00000000-0005-0000-0000-0000BC9C0000}"/>
    <cellStyle name="Normal 58 3 3 2 3 4 2 2" xfId="37042" xr:uid="{00000000-0005-0000-0000-0000BD9C0000}"/>
    <cellStyle name="Normal 58 3 3 2 3 4 3" xfId="21491" xr:uid="{00000000-0005-0000-0000-0000BE9C0000}"/>
    <cellStyle name="Normal 58 3 3 2 3 4 3 2" xfId="47044" xr:uid="{00000000-0005-0000-0000-0000BF9C0000}"/>
    <cellStyle name="Normal 58 3 3 2 3 4 4" xfId="27974" xr:uid="{00000000-0005-0000-0000-0000C09C0000}"/>
    <cellStyle name="Normal 58 3 3 2 3 5" xfId="6511" xr:uid="{00000000-0005-0000-0000-0000C19C0000}"/>
    <cellStyle name="Normal 58 3 3 2 3 5 2" xfId="15338" xr:uid="{00000000-0005-0000-0000-0000C29C0000}"/>
    <cellStyle name="Normal 58 3 3 2 3 5 2 2" xfId="40893" xr:uid="{00000000-0005-0000-0000-0000C39C0000}"/>
    <cellStyle name="Normal 58 3 3 2 3 5 3" xfId="25589" xr:uid="{00000000-0005-0000-0000-0000C49C0000}"/>
    <cellStyle name="Normal 58 3 3 2 3 5 3 2" xfId="51142" xr:uid="{00000000-0005-0000-0000-0000C59C0000}"/>
    <cellStyle name="Normal 58 3 3 2 3 5 4" xfId="32072" xr:uid="{00000000-0005-0000-0000-0000C69C0000}"/>
    <cellStyle name="Normal 58 3 3 2 3 6" xfId="7957" xr:uid="{00000000-0005-0000-0000-0000C79C0000}"/>
    <cellStyle name="Normal 58 3 3 2 3 6 2" xfId="20682" xr:uid="{00000000-0005-0000-0000-0000C89C0000}"/>
    <cellStyle name="Normal 58 3 3 2 3 6 2 2" xfId="46235" xr:uid="{00000000-0005-0000-0000-0000C99C0000}"/>
    <cellStyle name="Normal 58 3 3 2 3 6 3" xfId="33514" xr:uid="{00000000-0005-0000-0000-0000CA9C0000}"/>
    <cellStyle name="Normal 58 3 3 2 3 7" xfId="16484" xr:uid="{00000000-0005-0000-0000-0000CB9C0000}"/>
    <cellStyle name="Normal 58 3 3 2 3 7 2" xfId="42037" xr:uid="{00000000-0005-0000-0000-0000CC9C0000}"/>
    <cellStyle name="Normal 58 3 3 2 3 8" xfId="27165" xr:uid="{00000000-0005-0000-0000-0000CD9C0000}"/>
    <cellStyle name="Normal 58 3 3 2 4" xfId="3013" xr:uid="{00000000-0005-0000-0000-0000CE9C0000}"/>
    <cellStyle name="Normal 58 3 3 2 4 2" xfId="5391" xr:uid="{00000000-0005-0000-0000-0000CF9C0000}"/>
    <cellStyle name="Normal 58 3 3 2 4 2 2" xfId="14228" xr:uid="{00000000-0005-0000-0000-0000D09C0000}"/>
    <cellStyle name="Normal 58 3 3 2 4 2 2 2" xfId="24479" xr:uid="{00000000-0005-0000-0000-0000D19C0000}"/>
    <cellStyle name="Normal 58 3 3 2 4 2 2 2 2" xfId="50032" xr:uid="{00000000-0005-0000-0000-0000D29C0000}"/>
    <cellStyle name="Normal 58 3 3 2 4 2 2 3" xfId="39783" xr:uid="{00000000-0005-0000-0000-0000D39C0000}"/>
    <cellStyle name="Normal 58 3 3 2 4 2 3" xfId="10649" xr:uid="{00000000-0005-0000-0000-0000D49C0000}"/>
    <cellStyle name="Normal 58 3 3 2 4 2 3 2" xfId="36206" xr:uid="{00000000-0005-0000-0000-0000D59C0000}"/>
    <cellStyle name="Normal 58 3 3 2 4 2 4" xfId="19472" xr:uid="{00000000-0005-0000-0000-0000D69C0000}"/>
    <cellStyle name="Normal 58 3 3 2 4 2 4 2" xfId="45025" xr:uid="{00000000-0005-0000-0000-0000D79C0000}"/>
    <cellStyle name="Normal 58 3 3 2 4 2 5" xfId="30962" xr:uid="{00000000-0005-0000-0000-0000D89C0000}"/>
    <cellStyle name="Normal 58 3 3 2 4 3" xfId="6846" xr:uid="{00000000-0005-0000-0000-0000D99C0000}"/>
    <cellStyle name="Normal 58 3 3 2 4 3 2" xfId="15673" xr:uid="{00000000-0005-0000-0000-0000DA9C0000}"/>
    <cellStyle name="Normal 58 3 3 2 4 3 2 2" xfId="41228" xr:uid="{00000000-0005-0000-0000-0000DB9C0000}"/>
    <cellStyle name="Normal 58 3 3 2 4 3 3" xfId="25924" xr:uid="{00000000-0005-0000-0000-0000DC9C0000}"/>
    <cellStyle name="Normal 58 3 3 2 4 3 3 2" xfId="51477" xr:uid="{00000000-0005-0000-0000-0000DD9C0000}"/>
    <cellStyle name="Normal 58 3 3 2 4 3 4" xfId="32407" xr:uid="{00000000-0005-0000-0000-0000DE9C0000}"/>
    <cellStyle name="Normal 58 3 3 2 4 4" xfId="8292" xr:uid="{00000000-0005-0000-0000-0000DF9C0000}"/>
    <cellStyle name="Normal 58 3 3 2 4 4 2" xfId="22374" xr:uid="{00000000-0005-0000-0000-0000E09C0000}"/>
    <cellStyle name="Normal 58 3 3 2 4 4 2 2" xfId="47927" xr:uid="{00000000-0005-0000-0000-0000E19C0000}"/>
    <cellStyle name="Normal 58 3 3 2 4 4 3" xfId="33849" xr:uid="{00000000-0005-0000-0000-0000E29C0000}"/>
    <cellStyle name="Normal 58 3 3 2 4 5" xfId="17367" xr:uid="{00000000-0005-0000-0000-0000E39C0000}"/>
    <cellStyle name="Normal 58 3 3 2 4 5 2" xfId="42920" xr:uid="{00000000-0005-0000-0000-0000E49C0000}"/>
    <cellStyle name="Normal 58 3 3 2 4 6" xfId="28857" xr:uid="{00000000-0005-0000-0000-0000E59C0000}"/>
    <cellStyle name="Normal 58 3 3 2 5" xfId="4347" xr:uid="{00000000-0005-0000-0000-0000E69C0000}"/>
    <cellStyle name="Normal 58 3 3 2 5 2" xfId="13185" xr:uid="{00000000-0005-0000-0000-0000E79C0000}"/>
    <cellStyle name="Normal 58 3 3 2 5 2 2" xfId="23436" xr:uid="{00000000-0005-0000-0000-0000E89C0000}"/>
    <cellStyle name="Normal 58 3 3 2 5 2 2 2" xfId="48989" xr:uid="{00000000-0005-0000-0000-0000E99C0000}"/>
    <cellStyle name="Normal 58 3 3 2 5 2 3" xfId="38740" xr:uid="{00000000-0005-0000-0000-0000EA9C0000}"/>
    <cellStyle name="Normal 58 3 3 2 5 3" xfId="9606" xr:uid="{00000000-0005-0000-0000-0000EB9C0000}"/>
    <cellStyle name="Normal 58 3 3 2 5 3 2" xfId="35163" xr:uid="{00000000-0005-0000-0000-0000EC9C0000}"/>
    <cellStyle name="Normal 58 3 3 2 5 4" xfId="18429" xr:uid="{00000000-0005-0000-0000-0000ED9C0000}"/>
    <cellStyle name="Normal 58 3 3 2 5 4 2" xfId="43982" xr:uid="{00000000-0005-0000-0000-0000EE9C0000}"/>
    <cellStyle name="Normal 58 3 3 2 5 5" xfId="29919" xr:uid="{00000000-0005-0000-0000-0000EF9C0000}"/>
    <cellStyle name="Normal 58 3 3 2 6" xfId="1619" xr:uid="{00000000-0005-0000-0000-0000F09C0000}"/>
    <cellStyle name="Normal 58 3 3 2 6 2" xfId="10996" xr:uid="{00000000-0005-0000-0000-0000F19C0000}"/>
    <cellStyle name="Normal 58 3 3 2 6 2 2" xfId="36551" xr:uid="{00000000-0005-0000-0000-0000F29C0000}"/>
    <cellStyle name="Normal 58 3 3 2 6 3" xfId="21000" xr:uid="{00000000-0005-0000-0000-0000F39C0000}"/>
    <cellStyle name="Normal 58 3 3 2 6 3 2" xfId="46553" xr:uid="{00000000-0005-0000-0000-0000F49C0000}"/>
    <cellStyle name="Normal 58 3 3 2 6 4" xfId="27483" xr:uid="{00000000-0005-0000-0000-0000F59C0000}"/>
    <cellStyle name="Normal 58 3 3 2 7" xfId="5803" xr:uid="{00000000-0005-0000-0000-0000F69C0000}"/>
    <cellStyle name="Normal 58 3 3 2 7 2" xfId="14630" xr:uid="{00000000-0005-0000-0000-0000F79C0000}"/>
    <cellStyle name="Normal 58 3 3 2 7 2 2" xfId="40185" xr:uid="{00000000-0005-0000-0000-0000F89C0000}"/>
    <cellStyle name="Normal 58 3 3 2 7 3" xfId="24881" xr:uid="{00000000-0005-0000-0000-0000F99C0000}"/>
    <cellStyle name="Normal 58 3 3 2 7 3 2" xfId="50434" xr:uid="{00000000-0005-0000-0000-0000FA9C0000}"/>
    <cellStyle name="Normal 58 3 3 2 7 4" xfId="31364" xr:uid="{00000000-0005-0000-0000-0000FB9C0000}"/>
    <cellStyle name="Normal 58 3 3 2 8" xfId="7247" xr:uid="{00000000-0005-0000-0000-0000FC9C0000}"/>
    <cellStyle name="Normal 58 3 3 2 8 2" xfId="19973" xr:uid="{00000000-0005-0000-0000-0000FD9C0000}"/>
    <cellStyle name="Normal 58 3 3 2 8 2 2" xfId="45526" xr:uid="{00000000-0005-0000-0000-0000FE9C0000}"/>
    <cellStyle name="Normal 58 3 3 2 8 3" xfId="32804" xr:uid="{00000000-0005-0000-0000-0000FF9C0000}"/>
    <cellStyle name="Normal 58 3 3 2 9" xfId="15993" xr:uid="{00000000-0005-0000-0000-0000009D0000}"/>
    <cellStyle name="Normal 58 3 3 2 9 2" xfId="41546" xr:uid="{00000000-0005-0000-0000-0000019D0000}"/>
    <cellStyle name="Normal 58 3 3 2_Degree data" xfId="3999" xr:uid="{00000000-0005-0000-0000-0000029D0000}"/>
    <cellStyle name="Normal 58 3 3 3" xfId="427" xr:uid="{00000000-0005-0000-0000-0000039D0000}"/>
    <cellStyle name="Normal 58 3 3 3 2" xfId="2913" xr:uid="{00000000-0005-0000-0000-0000049D0000}"/>
    <cellStyle name="Normal 58 3 3 3 2 2" xfId="12201" xr:uid="{00000000-0005-0000-0000-0000059D0000}"/>
    <cellStyle name="Normal 58 3 3 3 2 2 2" xfId="22274" xr:uid="{00000000-0005-0000-0000-0000069D0000}"/>
    <cellStyle name="Normal 58 3 3 3 2 2 2 2" xfId="47827" xr:uid="{00000000-0005-0000-0000-0000079D0000}"/>
    <cellStyle name="Normal 58 3 3 3 2 2 3" xfId="37756" xr:uid="{00000000-0005-0000-0000-0000089D0000}"/>
    <cellStyle name="Normal 58 3 3 3 2 3" xfId="8421" xr:uid="{00000000-0005-0000-0000-0000099D0000}"/>
    <cellStyle name="Normal 58 3 3 3 2 3 2" xfId="33978" xr:uid="{00000000-0005-0000-0000-00000A9D0000}"/>
    <cellStyle name="Normal 58 3 3 3 2 4" xfId="17267" xr:uid="{00000000-0005-0000-0000-00000B9D0000}"/>
    <cellStyle name="Normal 58 3 3 3 2 4 2" xfId="42820" xr:uid="{00000000-0005-0000-0000-00000C9D0000}"/>
    <cellStyle name="Normal 58 3 3 3 2 5" xfId="28757" xr:uid="{00000000-0005-0000-0000-00000D9D0000}"/>
    <cellStyle name="Normal 58 3 3 3 3" xfId="4706" xr:uid="{00000000-0005-0000-0000-00000E9D0000}"/>
    <cellStyle name="Normal 58 3 3 3 3 2" xfId="13544" xr:uid="{00000000-0005-0000-0000-00000F9D0000}"/>
    <cellStyle name="Normal 58 3 3 3 3 2 2" xfId="23795" xr:uid="{00000000-0005-0000-0000-0000109D0000}"/>
    <cellStyle name="Normal 58 3 3 3 3 2 2 2" xfId="49348" xr:uid="{00000000-0005-0000-0000-0000119D0000}"/>
    <cellStyle name="Normal 58 3 3 3 3 2 3" xfId="39099" xr:uid="{00000000-0005-0000-0000-0000129D0000}"/>
    <cellStyle name="Normal 58 3 3 3 3 3" xfId="9965" xr:uid="{00000000-0005-0000-0000-0000139D0000}"/>
    <cellStyle name="Normal 58 3 3 3 3 3 2" xfId="35522" xr:uid="{00000000-0005-0000-0000-0000149D0000}"/>
    <cellStyle name="Normal 58 3 3 3 3 4" xfId="18788" xr:uid="{00000000-0005-0000-0000-0000159D0000}"/>
    <cellStyle name="Normal 58 3 3 3 3 4 2" xfId="44341" xr:uid="{00000000-0005-0000-0000-0000169D0000}"/>
    <cellStyle name="Normal 58 3 3 3 3 5" xfId="30278" xr:uid="{00000000-0005-0000-0000-0000179D0000}"/>
    <cellStyle name="Normal 58 3 3 3 4" xfId="2022" xr:uid="{00000000-0005-0000-0000-0000189D0000}"/>
    <cellStyle name="Normal 58 3 3 3 4 2" xfId="11387" xr:uid="{00000000-0005-0000-0000-0000199D0000}"/>
    <cellStyle name="Normal 58 3 3 3 4 2 2" xfId="36942" xr:uid="{00000000-0005-0000-0000-00001A9D0000}"/>
    <cellStyle name="Normal 58 3 3 3 4 3" xfId="21391" xr:uid="{00000000-0005-0000-0000-00001B9D0000}"/>
    <cellStyle name="Normal 58 3 3 3 4 3 2" xfId="46944" xr:uid="{00000000-0005-0000-0000-00001C9D0000}"/>
    <cellStyle name="Normal 58 3 3 3 4 4" xfId="27874" xr:uid="{00000000-0005-0000-0000-00001D9D0000}"/>
    <cellStyle name="Normal 58 3 3 3 5" xfId="6162" xr:uid="{00000000-0005-0000-0000-00001E9D0000}"/>
    <cellStyle name="Normal 58 3 3 3 5 2" xfId="14989" xr:uid="{00000000-0005-0000-0000-00001F9D0000}"/>
    <cellStyle name="Normal 58 3 3 3 5 2 2" xfId="40544" xr:uid="{00000000-0005-0000-0000-0000209D0000}"/>
    <cellStyle name="Normal 58 3 3 3 5 3" xfId="25240" xr:uid="{00000000-0005-0000-0000-0000219D0000}"/>
    <cellStyle name="Normal 58 3 3 3 5 3 2" xfId="50793" xr:uid="{00000000-0005-0000-0000-0000229D0000}"/>
    <cellStyle name="Normal 58 3 3 3 5 4" xfId="31723" xr:uid="{00000000-0005-0000-0000-0000239D0000}"/>
    <cellStyle name="Normal 58 3 3 3 6" xfId="7607" xr:uid="{00000000-0005-0000-0000-0000249D0000}"/>
    <cellStyle name="Normal 58 3 3 3 6 2" xfId="19873" xr:uid="{00000000-0005-0000-0000-0000259D0000}"/>
    <cellStyle name="Normal 58 3 3 3 6 2 2" xfId="45426" xr:uid="{00000000-0005-0000-0000-0000269D0000}"/>
    <cellStyle name="Normal 58 3 3 3 6 3" xfId="33164" xr:uid="{00000000-0005-0000-0000-0000279D0000}"/>
    <cellStyle name="Normal 58 3 3 3 7" xfId="16384" xr:uid="{00000000-0005-0000-0000-0000289D0000}"/>
    <cellStyle name="Normal 58 3 3 3 7 2" xfId="41937" xr:uid="{00000000-0005-0000-0000-0000299D0000}"/>
    <cellStyle name="Normal 58 3 3 3 8" xfId="26356" xr:uid="{00000000-0005-0000-0000-00002A9D0000}"/>
    <cellStyle name="Normal 58 3 3 4" xfId="892" xr:uid="{00000000-0005-0000-0000-00002B9D0000}"/>
    <cellStyle name="Normal 58 3 3 4 2" xfId="3377" xr:uid="{00000000-0005-0000-0000-00002C9D0000}"/>
    <cellStyle name="Normal 58 3 3 4 2 2" xfId="12519" xr:uid="{00000000-0005-0000-0000-00002D9D0000}"/>
    <cellStyle name="Normal 58 3 3 4 2 2 2" xfId="22738" xr:uid="{00000000-0005-0000-0000-00002E9D0000}"/>
    <cellStyle name="Normal 58 3 3 4 2 2 2 2" xfId="48291" xr:uid="{00000000-0005-0000-0000-00002F9D0000}"/>
    <cellStyle name="Normal 58 3 3 4 2 2 3" xfId="38074" xr:uid="{00000000-0005-0000-0000-0000309D0000}"/>
    <cellStyle name="Normal 58 3 3 4 2 3" xfId="8941" xr:uid="{00000000-0005-0000-0000-0000319D0000}"/>
    <cellStyle name="Normal 58 3 3 4 2 3 2" xfId="34498" xr:uid="{00000000-0005-0000-0000-0000329D0000}"/>
    <cellStyle name="Normal 58 3 3 4 2 4" xfId="17731" xr:uid="{00000000-0005-0000-0000-0000339D0000}"/>
    <cellStyle name="Normal 58 3 3 4 2 4 2" xfId="43284" xr:uid="{00000000-0005-0000-0000-0000349D0000}"/>
    <cellStyle name="Normal 58 3 3 4 2 5" xfId="29221" xr:uid="{00000000-0005-0000-0000-0000359D0000}"/>
    <cellStyle name="Normal 58 3 3 4 3" xfId="5055" xr:uid="{00000000-0005-0000-0000-0000369D0000}"/>
    <cellStyle name="Normal 58 3 3 4 3 2" xfId="13892" xr:uid="{00000000-0005-0000-0000-0000379D0000}"/>
    <cellStyle name="Normal 58 3 3 4 3 2 2" xfId="24143" xr:uid="{00000000-0005-0000-0000-0000389D0000}"/>
    <cellStyle name="Normal 58 3 3 4 3 2 2 2" xfId="49696" xr:uid="{00000000-0005-0000-0000-0000399D0000}"/>
    <cellStyle name="Normal 58 3 3 4 3 2 3" xfId="39447" xr:uid="{00000000-0005-0000-0000-00003A9D0000}"/>
    <cellStyle name="Normal 58 3 3 4 3 3" xfId="10313" xr:uid="{00000000-0005-0000-0000-00003B9D0000}"/>
    <cellStyle name="Normal 58 3 3 4 3 3 2" xfId="35870" xr:uid="{00000000-0005-0000-0000-00003C9D0000}"/>
    <cellStyle name="Normal 58 3 3 4 3 4" xfId="19136" xr:uid="{00000000-0005-0000-0000-00003D9D0000}"/>
    <cellStyle name="Normal 58 3 3 4 3 4 2" xfId="44689" xr:uid="{00000000-0005-0000-0000-00003E9D0000}"/>
    <cellStyle name="Normal 58 3 3 4 3 5" xfId="30626" xr:uid="{00000000-0005-0000-0000-00003F9D0000}"/>
    <cellStyle name="Normal 58 3 3 4 4" xfId="2486" xr:uid="{00000000-0005-0000-0000-0000409D0000}"/>
    <cellStyle name="Normal 58 3 3 4 4 2" xfId="11851" xr:uid="{00000000-0005-0000-0000-0000419D0000}"/>
    <cellStyle name="Normal 58 3 3 4 4 2 2" xfId="37406" xr:uid="{00000000-0005-0000-0000-0000429D0000}"/>
    <cellStyle name="Normal 58 3 3 4 4 3" xfId="21855" xr:uid="{00000000-0005-0000-0000-0000439D0000}"/>
    <cellStyle name="Normal 58 3 3 4 4 3 2" xfId="47408" xr:uid="{00000000-0005-0000-0000-0000449D0000}"/>
    <cellStyle name="Normal 58 3 3 4 4 4" xfId="28338" xr:uid="{00000000-0005-0000-0000-0000459D0000}"/>
    <cellStyle name="Normal 58 3 3 4 5" xfId="6510" xr:uid="{00000000-0005-0000-0000-0000469D0000}"/>
    <cellStyle name="Normal 58 3 3 4 5 2" xfId="15337" xr:uid="{00000000-0005-0000-0000-0000479D0000}"/>
    <cellStyle name="Normal 58 3 3 4 5 2 2" xfId="40892" xr:uid="{00000000-0005-0000-0000-0000489D0000}"/>
    <cellStyle name="Normal 58 3 3 4 5 3" xfId="25588" xr:uid="{00000000-0005-0000-0000-0000499D0000}"/>
    <cellStyle name="Normal 58 3 3 4 5 3 2" xfId="51141" xr:uid="{00000000-0005-0000-0000-00004A9D0000}"/>
    <cellStyle name="Normal 58 3 3 4 5 4" xfId="32071" xr:uid="{00000000-0005-0000-0000-00004B9D0000}"/>
    <cellStyle name="Normal 58 3 3 4 6" xfId="7956" xr:uid="{00000000-0005-0000-0000-00004C9D0000}"/>
    <cellStyle name="Normal 58 3 3 4 6 2" xfId="20337" xr:uid="{00000000-0005-0000-0000-00004D9D0000}"/>
    <cellStyle name="Normal 58 3 3 4 6 2 2" xfId="45890" xr:uid="{00000000-0005-0000-0000-00004E9D0000}"/>
    <cellStyle name="Normal 58 3 3 4 6 3" xfId="33513" xr:uid="{00000000-0005-0000-0000-00004F9D0000}"/>
    <cellStyle name="Normal 58 3 3 4 7" xfId="16848" xr:uid="{00000000-0005-0000-0000-0000509D0000}"/>
    <cellStyle name="Normal 58 3 3 4 7 2" xfId="42401" xr:uid="{00000000-0005-0000-0000-0000519D0000}"/>
    <cellStyle name="Normal 58 3 3 4 8" xfId="26820" xr:uid="{00000000-0005-0000-0000-0000529D0000}"/>
    <cellStyle name="Normal 58 3 3 5" xfId="1199" xr:uid="{00000000-0005-0000-0000-0000539D0000}"/>
    <cellStyle name="Normal 58 3 3 5 2" xfId="3628" xr:uid="{00000000-0005-0000-0000-0000549D0000}"/>
    <cellStyle name="Normal 58 3 3 5 2 2" xfId="12764" xr:uid="{00000000-0005-0000-0000-0000559D0000}"/>
    <cellStyle name="Normal 58 3 3 5 2 2 2" xfId="22983" xr:uid="{00000000-0005-0000-0000-0000569D0000}"/>
    <cellStyle name="Normal 58 3 3 5 2 2 2 2" xfId="48536" xr:uid="{00000000-0005-0000-0000-0000579D0000}"/>
    <cellStyle name="Normal 58 3 3 5 2 2 3" xfId="38319" xr:uid="{00000000-0005-0000-0000-0000589D0000}"/>
    <cellStyle name="Normal 58 3 3 5 2 3" xfId="9185" xr:uid="{00000000-0005-0000-0000-0000599D0000}"/>
    <cellStyle name="Normal 58 3 3 5 2 3 2" xfId="34742" xr:uid="{00000000-0005-0000-0000-00005A9D0000}"/>
    <cellStyle name="Normal 58 3 3 5 2 4" xfId="17976" xr:uid="{00000000-0005-0000-0000-00005B9D0000}"/>
    <cellStyle name="Normal 58 3 3 5 2 4 2" xfId="43529" xr:uid="{00000000-0005-0000-0000-00005C9D0000}"/>
    <cellStyle name="Normal 58 3 3 5 2 5" xfId="29466" xr:uid="{00000000-0005-0000-0000-00005D9D0000}"/>
    <cellStyle name="Normal 58 3 3 5 3" xfId="5291" xr:uid="{00000000-0005-0000-0000-00005E9D0000}"/>
    <cellStyle name="Normal 58 3 3 5 3 2" xfId="14128" xr:uid="{00000000-0005-0000-0000-00005F9D0000}"/>
    <cellStyle name="Normal 58 3 3 5 3 2 2" xfId="24379" xr:uid="{00000000-0005-0000-0000-0000609D0000}"/>
    <cellStyle name="Normal 58 3 3 5 3 2 2 2" xfId="49932" xr:uid="{00000000-0005-0000-0000-0000619D0000}"/>
    <cellStyle name="Normal 58 3 3 5 3 2 3" xfId="39683" xr:uid="{00000000-0005-0000-0000-0000629D0000}"/>
    <cellStyle name="Normal 58 3 3 5 3 3" xfId="10549" xr:uid="{00000000-0005-0000-0000-0000639D0000}"/>
    <cellStyle name="Normal 58 3 3 5 3 3 2" xfId="36106" xr:uid="{00000000-0005-0000-0000-0000649D0000}"/>
    <cellStyle name="Normal 58 3 3 5 3 4" xfId="19372" xr:uid="{00000000-0005-0000-0000-0000659D0000}"/>
    <cellStyle name="Normal 58 3 3 5 3 4 2" xfId="44925" xr:uid="{00000000-0005-0000-0000-0000669D0000}"/>
    <cellStyle name="Normal 58 3 3 5 3 5" xfId="30862" xr:uid="{00000000-0005-0000-0000-0000679D0000}"/>
    <cellStyle name="Normal 58 3 3 5 4" xfId="1802" xr:uid="{00000000-0005-0000-0000-0000689D0000}"/>
    <cellStyle name="Normal 58 3 3 5 4 2" xfId="11170" xr:uid="{00000000-0005-0000-0000-0000699D0000}"/>
    <cellStyle name="Normal 58 3 3 5 4 2 2" xfId="36725" xr:uid="{00000000-0005-0000-0000-00006A9D0000}"/>
    <cellStyle name="Normal 58 3 3 5 4 3" xfId="21174" xr:uid="{00000000-0005-0000-0000-00006B9D0000}"/>
    <cellStyle name="Normal 58 3 3 5 4 3 2" xfId="46727" xr:uid="{00000000-0005-0000-0000-00006C9D0000}"/>
    <cellStyle name="Normal 58 3 3 5 4 4" xfId="27657" xr:uid="{00000000-0005-0000-0000-00006D9D0000}"/>
    <cellStyle name="Normal 58 3 3 5 5" xfId="6746" xr:uid="{00000000-0005-0000-0000-00006E9D0000}"/>
    <cellStyle name="Normal 58 3 3 5 5 2" xfId="15573" xr:uid="{00000000-0005-0000-0000-00006F9D0000}"/>
    <cellStyle name="Normal 58 3 3 5 5 2 2" xfId="41128" xr:uid="{00000000-0005-0000-0000-0000709D0000}"/>
    <cellStyle name="Normal 58 3 3 5 5 3" xfId="25824" xr:uid="{00000000-0005-0000-0000-0000719D0000}"/>
    <cellStyle name="Normal 58 3 3 5 5 3 2" xfId="51377" xr:uid="{00000000-0005-0000-0000-0000729D0000}"/>
    <cellStyle name="Normal 58 3 3 5 5 4" xfId="32307" xr:uid="{00000000-0005-0000-0000-0000739D0000}"/>
    <cellStyle name="Normal 58 3 3 5 6" xfId="8192" xr:uid="{00000000-0005-0000-0000-0000749D0000}"/>
    <cellStyle name="Normal 58 3 3 5 6 2" xfId="20582" xr:uid="{00000000-0005-0000-0000-0000759D0000}"/>
    <cellStyle name="Normal 58 3 3 5 6 2 2" xfId="46135" xr:uid="{00000000-0005-0000-0000-0000769D0000}"/>
    <cellStyle name="Normal 58 3 3 5 6 3" xfId="33749" xr:uid="{00000000-0005-0000-0000-0000779D0000}"/>
    <cellStyle name="Normal 58 3 3 5 7" xfId="16167" xr:uid="{00000000-0005-0000-0000-0000789D0000}"/>
    <cellStyle name="Normal 58 3 3 5 7 2" xfId="41720" xr:uid="{00000000-0005-0000-0000-0000799D0000}"/>
    <cellStyle name="Normal 58 3 3 5 8" xfId="27065" xr:uid="{00000000-0005-0000-0000-00007A9D0000}"/>
    <cellStyle name="Normal 58 3 3 6" xfId="2696" xr:uid="{00000000-0005-0000-0000-00007B9D0000}"/>
    <cellStyle name="Normal 58 3 3 6 2" xfId="12013" xr:uid="{00000000-0005-0000-0000-00007C9D0000}"/>
    <cellStyle name="Normal 58 3 3 6 2 2" xfId="22057" xr:uid="{00000000-0005-0000-0000-00007D9D0000}"/>
    <cellStyle name="Normal 58 3 3 6 2 2 2" xfId="47610" xr:uid="{00000000-0005-0000-0000-00007E9D0000}"/>
    <cellStyle name="Normal 58 3 3 6 2 3" xfId="37568" xr:uid="{00000000-0005-0000-0000-00007F9D0000}"/>
    <cellStyle name="Normal 58 3 3 6 3" xfId="8573" xr:uid="{00000000-0005-0000-0000-0000809D0000}"/>
    <cellStyle name="Normal 58 3 3 6 3 2" xfId="34130" xr:uid="{00000000-0005-0000-0000-0000819D0000}"/>
    <cellStyle name="Normal 58 3 3 6 4" xfId="17050" xr:uid="{00000000-0005-0000-0000-0000829D0000}"/>
    <cellStyle name="Normal 58 3 3 6 4 2" xfId="42603" xr:uid="{00000000-0005-0000-0000-0000839D0000}"/>
    <cellStyle name="Normal 58 3 3 6 5" xfId="28540" xr:uid="{00000000-0005-0000-0000-0000849D0000}"/>
    <cellStyle name="Normal 58 3 3 7" xfId="4247" xr:uid="{00000000-0005-0000-0000-0000859D0000}"/>
    <cellStyle name="Normal 58 3 3 7 2" xfId="13085" xr:uid="{00000000-0005-0000-0000-0000869D0000}"/>
    <cellStyle name="Normal 58 3 3 7 2 2" xfId="23336" xr:uid="{00000000-0005-0000-0000-0000879D0000}"/>
    <cellStyle name="Normal 58 3 3 7 2 2 2" xfId="48889" xr:uid="{00000000-0005-0000-0000-0000889D0000}"/>
    <cellStyle name="Normal 58 3 3 7 2 3" xfId="38640" xr:uid="{00000000-0005-0000-0000-0000899D0000}"/>
    <cellStyle name="Normal 58 3 3 7 3" xfId="9506" xr:uid="{00000000-0005-0000-0000-00008A9D0000}"/>
    <cellStyle name="Normal 58 3 3 7 3 2" xfId="35063" xr:uid="{00000000-0005-0000-0000-00008B9D0000}"/>
    <cellStyle name="Normal 58 3 3 7 4" xfId="18329" xr:uid="{00000000-0005-0000-0000-00008C9D0000}"/>
    <cellStyle name="Normal 58 3 3 7 4 2" xfId="43882" xr:uid="{00000000-0005-0000-0000-00008D9D0000}"/>
    <cellStyle name="Normal 58 3 3 7 5" xfId="29819" xr:uid="{00000000-0005-0000-0000-00008E9D0000}"/>
    <cellStyle name="Normal 58 3 3 8" xfId="1519" xr:uid="{00000000-0005-0000-0000-00008F9D0000}"/>
    <cellStyle name="Normal 58 3 3 8 2" xfId="10896" xr:uid="{00000000-0005-0000-0000-0000909D0000}"/>
    <cellStyle name="Normal 58 3 3 8 2 2" xfId="36451" xr:uid="{00000000-0005-0000-0000-0000919D0000}"/>
    <cellStyle name="Normal 58 3 3 8 3" xfId="20900" xr:uid="{00000000-0005-0000-0000-0000929D0000}"/>
    <cellStyle name="Normal 58 3 3 8 3 2" xfId="46453" xr:uid="{00000000-0005-0000-0000-0000939D0000}"/>
    <cellStyle name="Normal 58 3 3 8 4" xfId="27383" xr:uid="{00000000-0005-0000-0000-0000949D0000}"/>
    <cellStyle name="Normal 58 3 3 9" xfId="5703" xr:uid="{00000000-0005-0000-0000-0000959D0000}"/>
    <cellStyle name="Normal 58 3 3 9 2" xfId="14530" xr:uid="{00000000-0005-0000-0000-0000969D0000}"/>
    <cellStyle name="Normal 58 3 3 9 2 2" xfId="40085" xr:uid="{00000000-0005-0000-0000-0000979D0000}"/>
    <cellStyle name="Normal 58 3 3 9 3" xfId="24781" xr:uid="{00000000-0005-0000-0000-0000989D0000}"/>
    <cellStyle name="Normal 58 3 3 9 3 2" xfId="50334" xr:uid="{00000000-0005-0000-0000-0000999D0000}"/>
    <cellStyle name="Normal 58 3 3 9 4" xfId="31264" xr:uid="{00000000-0005-0000-0000-00009A9D0000}"/>
    <cellStyle name="Normal 58 3 3_Degree data" xfId="3998" xr:uid="{00000000-0005-0000-0000-00009B9D0000}"/>
    <cellStyle name="Normal 58 3 4" xfId="236" xr:uid="{00000000-0005-0000-0000-00009C9D0000}"/>
    <cellStyle name="Normal 58 3 4 10" xfId="7074" xr:uid="{00000000-0005-0000-0000-00009D9D0000}"/>
    <cellStyle name="Normal 58 3 4 10 2" xfId="19688" xr:uid="{00000000-0005-0000-0000-00009E9D0000}"/>
    <cellStyle name="Normal 58 3 4 10 2 2" xfId="45241" xr:uid="{00000000-0005-0000-0000-00009F9D0000}"/>
    <cellStyle name="Normal 58 3 4 10 3" xfId="32631" xr:uid="{00000000-0005-0000-0000-0000A09D0000}"/>
    <cellStyle name="Normal 58 3 4 11" xfId="15820" xr:uid="{00000000-0005-0000-0000-0000A19D0000}"/>
    <cellStyle name="Normal 58 3 4 11 2" xfId="41373" xr:uid="{00000000-0005-0000-0000-0000A29D0000}"/>
    <cellStyle name="Normal 58 3 4 12" xfId="26171" xr:uid="{00000000-0005-0000-0000-0000A39D0000}"/>
    <cellStyle name="Normal 58 3 4 2" xfId="559" xr:uid="{00000000-0005-0000-0000-0000A49D0000}"/>
    <cellStyle name="Normal 58 3 4 2 10" xfId="26488" xr:uid="{00000000-0005-0000-0000-0000A59D0000}"/>
    <cellStyle name="Normal 58 3 4 2 2" xfId="895" xr:uid="{00000000-0005-0000-0000-0000A69D0000}"/>
    <cellStyle name="Normal 58 3 4 2 2 2" xfId="3380" xr:uid="{00000000-0005-0000-0000-0000A79D0000}"/>
    <cellStyle name="Normal 58 3 4 2 2 2 2" xfId="12522" xr:uid="{00000000-0005-0000-0000-0000A89D0000}"/>
    <cellStyle name="Normal 58 3 4 2 2 2 2 2" xfId="22741" xr:uid="{00000000-0005-0000-0000-0000A99D0000}"/>
    <cellStyle name="Normal 58 3 4 2 2 2 2 2 2" xfId="48294" xr:uid="{00000000-0005-0000-0000-0000AA9D0000}"/>
    <cellStyle name="Normal 58 3 4 2 2 2 2 3" xfId="38077" xr:uid="{00000000-0005-0000-0000-0000AB9D0000}"/>
    <cellStyle name="Normal 58 3 4 2 2 2 3" xfId="8944" xr:uid="{00000000-0005-0000-0000-0000AC9D0000}"/>
    <cellStyle name="Normal 58 3 4 2 2 2 3 2" xfId="34501" xr:uid="{00000000-0005-0000-0000-0000AD9D0000}"/>
    <cellStyle name="Normal 58 3 4 2 2 2 4" xfId="17734" xr:uid="{00000000-0005-0000-0000-0000AE9D0000}"/>
    <cellStyle name="Normal 58 3 4 2 2 2 4 2" xfId="43287" xr:uid="{00000000-0005-0000-0000-0000AF9D0000}"/>
    <cellStyle name="Normal 58 3 4 2 2 2 5" xfId="29224" xr:uid="{00000000-0005-0000-0000-0000B09D0000}"/>
    <cellStyle name="Normal 58 3 4 2 2 3" xfId="4709" xr:uid="{00000000-0005-0000-0000-0000B19D0000}"/>
    <cellStyle name="Normal 58 3 4 2 2 3 2" xfId="13547" xr:uid="{00000000-0005-0000-0000-0000B29D0000}"/>
    <cellStyle name="Normal 58 3 4 2 2 3 2 2" xfId="23798" xr:uid="{00000000-0005-0000-0000-0000B39D0000}"/>
    <cellStyle name="Normal 58 3 4 2 2 3 2 2 2" xfId="49351" xr:uid="{00000000-0005-0000-0000-0000B49D0000}"/>
    <cellStyle name="Normal 58 3 4 2 2 3 2 3" xfId="39102" xr:uid="{00000000-0005-0000-0000-0000B59D0000}"/>
    <cellStyle name="Normal 58 3 4 2 2 3 3" xfId="9968" xr:uid="{00000000-0005-0000-0000-0000B69D0000}"/>
    <cellStyle name="Normal 58 3 4 2 2 3 3 2" xfId="35525" xr:uid="{00000000-0005-0000-0000-0000B79D0000}"/>
    <cellStyle name="Normal 58 3 4 2 2 3 4" xfId="18791" xr:uid="{00000000-0005-0000-0000-0000B89D0000}"/>
    <cellStyle name="Normal 58 3 4 2 2 3 4 2" xfId="44344" xr:uid="{00000000-0005-0000-0000-0000B99D0000}"/>
    <cellStyle name="Normal 58 3 4 2 2 3 5" xfId="30281" xr:uid="{00000000-0005-0000-0000-0000BA9D0000}"/>
    <cellStyle name="Normal 58 3 4 2 2 4" xfId="2489" xr:uid="{00000000-0005-0000-0000-0000BB9D0000}"/>
    <cellStyle name="Normal 58 3 4 2 2 4 2" xfId="11854" xr:uid="{00000000-0005-0000-0000-0000BC9D0000}"/>
    <cellStyle name="Normal 58 3 4 2 2 4 2 2" xfId="37409" xr:uid="{00000000-0005-0000-0000-0000BD9D0000}"/>
    <cellStyle name="Normal 58 3 4 2 2 4 3" xfId="21858" xr:uid="{00000000-0005-0000-0000-0000BE9D0000}"/>
    <cellStyle name="Normal 58 3 4 2 2 4 3 2" xfId="47411" xr:uid="{00000000-0005-0000-0000-0000BF9D0000}"/>
    <cellStyle name="Normal 58 3 4 2 2 4 4" xfId="28341" xr:uid="{00000000-0005-0000-0000-0000C09D0000}"/>
    <cellStyle name="Normal 58 3 4 2 2 5" xfId="6165" xr:uid="{00000000-0005-0000-0000-0000C19D0000}"/>
    <cellStyle name="Normal 58 3 4 2 2 5 2" xfId="14992" xr:uid="{00000000-0005-0000-0000-0000C29D0000}"/>
    <cellStyle name="Normal 58 3 4 2 2 5 2 2" xfId="40547" xr:uid="{00000000-0005-0000-0000-0000C39D0000}"/>
    <cellStyle name="Normal 58 3 4 2 2 5 3" xfId="25243" xr:uid="{00000000-0005-0000-0000-0000C49D0000}"/>
    <cellStyle name="Normal 58 3 4 2 2 5 3 2" xfId="50796" xr:uid="{00000000-0005-0000-0000-0000C59D0000}"/>
    <cellStyle name="Normal 58 3 4 2 2 5 4" xfId="31726" xr:uid="{00000000-0005-0000-0000-0000C69D0000}"/>
    <cellStyle name="Normal 58 3 4 2 2 6" xfId="7610" xr:uid="{00000000-0005-0000-0000-0000C79D0000}"/>
    <cellStyle name="Normal 58 3 4 2 2 6 2" xfId="20340" xr:uid="{00000000-0005-0000-0000-0000C89D0000}"/>
    <cellStyle name="Normal 58 3 4 2 2 6 2 2" xfId="45893" xr:uid="{00000000-0005-0000-0000-0000C99D0000}"/>
    <cellStyle name="Normal 58 3 4 2 2 6 3" xfId="33167" xr:uid="{00000000-0005-0000-0000-0000CA9D0000}"/>
    <cellStyle name="Normal 58 3 4 2 2 7" xfId="16851" xr:uid="{00000000-0005-0000-0000-0000CB9D0000}"/>
    <cellStyle name="Normal 58 3 4 2 2 7 2" xfId="42404" xr:uid="{00000000-0005-0000-0000-0000CC9D0000}"/>
    <cellStyle name="Normal 58 3 4 2 2 8" xfId="26823" xr:uid="{00000000-0005-0000-0000-0000CD9D0000}"/>
    <cellStyle name="Normal 58 3 4 2 3" xfId="1331" xr:uid="{00000000-0005-0000-0000-0000CE9D0000}"/>
    <cellStyle name="Normal 58 3 4 2 3 2" xfId="3760" xr:uid="{00000000-0005-0000-0000-0000CF9D0000}"/>
    <cellStyle name="Normal 58 3 4 2 3 2 2" xfId="12896" xr:uid="{00000000-0005-0000-0000-0000D09D0000}"/>
    <cellStyle name="Normal 58 3 4 2 3 2 2 2" xfId="23115" xr:uid="{00000000-0005-0000-0000-0000D19D0000}"/>
    <cellStyle name="Normal 58 3 4 2 3 2 2 2 2" xfId="48668" xr:uid="{00000000-0005-0000-0000-0000D29D0000}"/>
    <cellStyle name="Normal 58 3 4 2 3 2 2 3" xfId="38451" xr:uid="{00000000-0005-0000-0000-0000D39D0000}"/>
    <cellStyle name="Normal 58 3 4 2 3 2 3" xfId="9317" xr:uid="{00000000-0005-0000-0000-0000D49D0000}"/>
    <cellStyle name="Normal 58 3 4 2 3 2 3 2" xfId="34874" xr:uid="{00000000-0005-0000-0000-0000D59D0000}"/>
    <cellStyle name="Normal 58 3 4 2 3 2 4" xfId="18108" xr:uid="{00000000-0005-0000-0000-0000D69D0000}"/>
    <cellStyle name="Normal 58 3 4 2 3 2 4 2" xfId="43661" xr:uid="{00000000-0005-0000-0000-0000D79D0000}"/>
    <cellStyle name="Normal 58 3 4 2 3 2 5" xfId="29598" xr:uid="{00000000-0005-0000-0000-0000D89D0000}"/>
    <cellStyle name="Normal 58 3 4 2 3 3" xfId="5058" xr:uid="{00000000-0005-0000-0000-0000D99D0000}"/>
    <cellStyle name="Normal 58 3 4 2 3 3 2" xfId="13895" xr:uid="{00000000-0005-0000-0000-0000DA9D0000}"/>
    <cellStyle name="Normal 58 3 4 2 3 3 2 2" xfId="24146" xr:uid="{00000000-0005-0000-0000-0000DB9D0000}"/>
    <cellStyle name="Normal 58 3 4 2 3 3 2 2 2" xfId="49699" xr:uid="{00000000-0005-0000-0000-0000DC9D0000}"/>
    <cellStyle name="Normal 58 3 4 2 3 3 2 3" xfId="39450" xr:uid="{00000000-0005-0000-0000-0000DD9D0000}"/>
    <cellStyle name="Normal 58 3 4 2 3 3 3" xfId="10316" xr:uid="{00000000-0005-0000-0000-0000DE9D0000}"/>
    <cellStyle name="Normal 58 3 4 2 3 3 3 2" xfId="35873" xr:uid="{00000000-0005-0000-0000-0000DF9D0000}"/>
    <cellStyle name="Normal 58 3 4 2 3 3 4" xfId="19139" xr:uid="{00000000-0005-0000-0000-0000E09D0000}"/>
    <cellStyle name="Normal 58 3 4 2 3 3 4 2" xfId="44692" xr:uid="{00000000-0005-0000-0000-0000E19D0000}"/>
    <cellStyle name="Normal 58 3 4 2 3 3 5" xfId="30629" xr:uid="{00000000-0005-0000-0000-0000E29D0000}"/>
    <cellStyle name="Normal 58 3 4 2 3 4" xfId="2154" xr:uid="{00000000-0005-0000-0000-0000E39D0000}"/>
    <cellStyle name="Normal 58 3 4 2 3 4 2" xfId="11519" xr:uid="{00000000-0005-0000-0000-0000E49D0000}"/>
    <cellStyle name="Normal 58 3 4 2 3 4 2 2" xfId="37074" xr:uid="{00000000-0005-0000-0000-0000E59D0000}"/>
    <cellStyle name="Normal 58 3 4 2 3 4 3" xfId="21523" xr:uid="{00000000-0005-0000-0000-0000E69D0000}"/>
    <cellStyle name="Normal 58 3 4 2 3 4 3 2" xfId="47076" xr:uid="{00000000-0005-0000-0000-0000E79D0000}"/>
    <cellStyle name="Normal 58 3 4 2 3 4 4" xfId="28006" xr:uid="{00000000-0005-0000-0000-0000E89D0000}"/>
    <cellStyle name="Normal 58 3 4 2 3 5" xfId="6513" xr:uid="{00000000-0005-0000-0000-0000E99D0000}"/>
    <cellStyle name="Normal 58 3 4 2 3 5 2" xfId="15340" xr:uid="{00000000-0005-0000-0000-0000EA9D0000}"/>
    <cellStyle name="Normal 58 3 4 2 3 5 2 2" xfId="40895" xr:uid="{00000000-0005-0000-0000-0000EB9D0000}"/>
    <cellStyle name="Normal 58 3 4 2 3 5 3" xfId="25591" xr:uid="{00000000-0005-0000-0000-0000EC9D0000}"/>
    <cellStyle name="Normal 58 3 4 2 3 5 3 2" xfId="51144" xr:uid="{00000000-0005-0000-0000-0000ED9D0000}"/>
    <cellStyle name="Normal 58 3 4 2 3 5 4" xfId="32074" xr:uid="{00000000-0005-0000-0000-0000EE9D0000}"/>
    <cellStyle name="Normal 58 3 4 2 3 6" xfId="7959" xr:uid="{00000000-0005-0000-0000-0000EF9D0000}"/>
    <cellStyle name="Normal 58 3 4 2 3 6 2" xfId="20714" xr:uid="{00000000-0005-0000-0000-0000F09D0000}"/>
    <cellStyle name="Normal 58 3 4 2 3 6 2 2" xfId="46267" xr:uid="{00000000-0005-0000-0000-0000F19D0000}"/>
    <cellStyle name="Normal 58 3 4 2 3 6 3" xfId="33516" xr:uid="{00000000-0005-0000-0000-0000F29D0000}"/>
    <cellStyle name="Normal 58 3 4 2 3 7" xfId="16516" xr:uid="{00000000-0005-0000-0000-0000F39D0000}"/>
    <cellStyle name="Normal 58 3 4 2 3 7 2" xfId="42069" xr:uid="{00000000-0005-0000-0000-0000F49D0000}"/>
    <cellStyle name="Normal 58 3 4 2 3 8" xfId="27197" xr:uid="{00000000-0005-0000-0000-0000F59D0000}"/>
    <cellStyle name="Normal 58 3 4 2 4" xfId="3045" xr:uid="{00000000-0005-0000-0000-0000F69D0000}"/>
    <cellStyle name="Normal 58 3 4 2 4 2" xfId="5423" xr:uid="{00000000-0005-0000-0000-0000F79D0000}"/>
    <cellStyle name="Normal 58 3 4 2 4 2 2" xfId="14260" xr:uid="{00000000-0005-0000-0000-0000F89D0000}"/>
    <cellStyle name="Normal 58 3 4 2 4 2 2 2" xfId="24511" xr:uid="{00000000-0005-0000-0000-0000F99D0000}"/>
    <cellStyle name="Normal 58 3 4 2 4 2 2 2 2" xfId="50064" xr:uid="{00000000-0005-0000-0000-0000FA9D0000}"/>
    <cellStyle name="Normal 58 3 4 2 4 2 2 3" xfId="39815" xr:uid="{00000000-0005-0000-0000-0000FB9D0000}"/>
    <cellStyle name="Normal 58 3 4 2 4 2 3" xfId="10681" xr:uid="{00000000-0005-0000-0000-0000FC9D0000}"/>
    <cellStyle name="Normal 58 3 4 2 4 2 3 2" xfId="36238" xr:uid="{00000000-0005-0000-0000-0000FD9D0000}"/>
    <cellStyle name="Normal 58 3 4 2 4 2 4" xfId="19504" xr:uid="{00000000-0005-0000-0000-0000FE9D0000}"/>
    <cellStyle name="Normal 58 3 4 2 4 2 4 2" xfId="45057" xr:uid="{00000000-0005-0000-0000-0000FF9D0000}"/>
    <cellStyle name="Normal 58 3 4 2 4 2 5" xfId="30994" xr:uid="{00000000-0005-0000-0000-0000009E0000}"/>
    <cellStyle name="Normal 58 3 4 2 4 3" xfId="6878" xr:uid="{00000000-0005-0000-0000-0000019E0000}"/>
    <cellStyle name="Normal 58 3 4 2 4 3 2" xfId="15705" xr:uid="{00000000-0005-0000-0000-0000029E0000}"/>
    <cellStyle name="Normal 58 3 4 2 4 3 2 2" xfId="41260" xr:uid="{00000000-0005-0000-0000-0000039E0000}"/>
    <cellStyle name="Normal 58 3 4 2 4 3 3" xfId="25956" xr:uid="{00000000-0005-0000-0000-0000049E0000}"/>
    <cellStyle name="Normal 58 3 4 2 4 3 3 2" xfId="51509" xr:uid="{00000000-0005-0000-0000-0000059E0000}"/>
    <cellStyle name="Normal 58 3 4 2 4 3 4" xfId="32439" xr:uid="{00000000-0005-0000-0000-0000069E0000}"/>
    <cellStyle name="Normal 58 3 4 2 4 4" xfId="8324" xr:uid="{00000000-0005-0000-0000-0000079E0000}"/>
    <cellStyle name="Normal 58 3 4 2 4 4 2" xfId="22406" xr:uid="{00000000-0005-0000-0000-0000089E0000}"/>
    <cellStyle name="Normal 58 3 4 2 4 4 2 2" xfId="47959" xr:uid="{00000000-0005-0000-0000-0000099E0000}"/>
    <cellStyle name="Normal 58 3 4 2 4 4 3" xfId="33881" xr:uid="{00000000-0005-0000-0000-00000A9E0000}"/>
    <cellStyle name="Normal 58 3 4 2 4 5" xfId="17399" xr:uid="{00000000-0005-0000-0000-00000B9E0000}"/>
    <cellStyle name="Normal 58 3 4 2 4 5 2" xfId="42952" xr:uid="{00000000-0005-0000-0000-00000C9E0000}"/>
    <cellStyle name="Normal 58 3 4 2 4 6" xfId="28889" xr:uid="{00000000-0005-0000-0000-00000D9E0000}"/>
    <cellStyle name="Normal 58 3 4 2 5" xfId="4379" xr:uid="{00000000-0005-0000-0000-00000E9E0000}"/>
    <cellStyle name="Normal 58 3 4 2 5 2" xfId="13217" xr:uid="{00000000-0005-0000-0000-00000F9E0000}"/>
    <cellStyle name="Normal 58 3 4 2 5 2 2" xfId="23468" xr:uid="{00000000-0005-0000-0000-0000109E0000}"/>
    <cellStyle name="Normal 58 3 4 2 5 2 2 2" xfId="49021" xr:uid="{00000000-0005-0000-0000-0000119E0000}"/>
    <cellStyle name="Normal 58 3 4 2 5 2 3" xfId="38772" xr:uid="{00000000-0005-0000-0000-0000129E0000}"/>
    <cellStyle name="Normal 58 3 4 2 5 3" xfId="9638" xr:uid="{00000000-0005-0000-0000-0000139E0000}"/>
    <cellStyle name="Normal 58 3 4 2 5 3 2" xfId="35195" xr:uid="{00000000-0005-0000-0000-0000149E0000}"/>
    <cellStyle name="Normal 58 3 4 2 5 4" xfId="18461" xr:uid="{00000000-0005-0000-0000-0000159E0000}"/>
    <cellStyle name="Normal 58 3 4 2 5 4 2" xfId="44014" xr:uid="{00000000-0005-0000-0000-0000169E0000}"/>
    <cellStyle name="Normal 58 3 4 2 5 5" xfId="29951" xr:uid="{00000000-0005-0000-0000-0000179E0000}"/>
    <cellStyle name="Normal 58 3 4 2 6" xfId="1651" xr:uid="{00000000-0005-0000-0000-0000189E0000}"/>
    <cellStyle name="Normal 58 3 4 2 6 2" xfId="11028" xr:uid="{00000000-0005-0000-0000-0000199E0000}"/>
    <cellStyle name="Normal 58 3 4 2 6 2 2" xfId="36583" xr:uid="{00000000-0005-0000-0000-00001A9E0000}"/>
    <cellStyle name="Normal 58 3 4 2 6 3" xfId="21032" xr:uid="{00000000-0005-0000-0000-00001B9E0000}"/>
    <cellStyle name="Normal 58 3 4 2 6 3 2" xfId="46585" xr:uid="{00000000-0005-0000-0000-00001C9E0000}"/>
    <cellStyle name="Normal 58 3 4 2 6 4" xfId="27515" xr:uid="{00000000-0005-0000-0000-00001D9E0000}"/>
    <cellStyle name="Normal 58 3 4 2 7" xfId="5835" xr:uid="{00000000-0005-0000-0000-00001E9E0000}"/>
    <cellStyle name="Normal 58 3 4 2 7 2" xfId="14662" xr:uid="{00000000-0005-0000-0000-00001F9E0000}"/>
    <cellStyle name="Normal 58 3 4 2 7 2 2" xfId="40217" xr:uid="{00000000-0005-0000-0000-0000209E0000}"/>
    <cellStyle name="Normal 58 3 4 2 7 3" xfId="24913" xr:uid="{00000000-0005-0000-0000-0000219E0000}"/>
    <cellStyle name="Normal 58 3 4 2 7 3 2" xfId="50466" xr:uid="{00000000-0005-0000-0000-0000229E0000}"/>
    <cellStyle name="Normal 58 3 4 2 7 4" xfId="31396" xr:uid="{00000000-0005-0000-0000-0000239E0000}"/>
    <cellStyle name="Normal 58 3 4 2 8" xfId="7279" xr:uid="{00000000-0005-0000-0000-0000249E0000}"/>
    <cellStyle name="Normal 58 3 4 2 8 2" xfId="20005" xr:uid="{00000000-0005-0000-0000-0000259E0000}"/>
    <cellStyle name="Normal 58 3 4 2 8 2 2" xfId="45558" xr:uid="{00000000-0005-0000-0000-0000269E0000}"/>
    <cellStyle name="Normal 58 3 4 2 8 3" xfId="32836" xr:uid="{00000000-0005-0000-0000-0000279E0000}"/>
    <cellStyle name="Normal 58 3 4 2 9" xfId="16025" xr:uid="{00000000-0005-0000-0000-0000289E0000}"/>
    <cellStyle name="Normal 58 3 4 2 9 2" xfId="41578" xr:uid="{00000000-0005-0000-0000-0000299E0000}"/>
    <cellStyle name="Normal 58 3 4 2_Degree data" xfId="4001" xr:uid="{00000000-0005-0000-0000-00002A9E0000}"/>
    <cellStyle name="Normal 58 3 4 3" xfId="354" xr:uid="{00000000-0005-0000-0000-00002B9E0000}"/>
    <cellStyle name="Normal 58 3 4 3 2" xfId="2840" xr:uid="{00000000-0005-0000-0000-00002C9E0000}"/>
    <cellStyle name="Normal 58 3 4 3 2 2" xfId="12128" xr:uid="{00000000-0005-0000-0000-00002D9E0000}"/>
    <cellStyle name="Normal 58 3 4 3 2 2 2" xfId="22201" xr:uid="{00000000-0005-0000-0000-00002E9E0000}"/>
    <cellStyle name="Normal 58 3 4 3 2 2 2 2" xfId="47754" xr:uid="{00000000-0005-0000-0000-00002F9E0000}"/>
    <cellStyle name="Normal 58 3 4 3 2 2 3" xfId="37683" xr:uid="{00000000-0005-0000-0000-0000309E0000}"/>
    <cellStyle name="Normal 58 3 4 3 2 3" xfId="8527" xr:uid="{00000000-0005-0000-0000-0000319E0000}"/>
    <cellStyle name="Normal 58 3 4 3 2 3 2" xfId="34084" xr:uid="{00000000-0005-0000-0000-0000329E0000}"/>
    <cellStyle name="Normal 58 3 4 3 2 4" xfId="17194" xr:uid="{00000000-0005-0000-0000-0000339E0000}"/>
    <cellStyle name="Normal 58 3 4 3 2 4 2" xfId="42747" xr:uid="{00000000-0005-0000-0000-0000349E0000}"/>
    <cellStyle name="Normal 58 3 4 3 2 5" xfId="28684" xr:uid="{00000000-0005-0000-0000-0000359E0000}"/>
    <cellStyle name="Normal 58 3 4 3 3" xfId="4708" xr:uid="{00000000-0005-0000-0000-0000369E0000}"/>
    <cellStyle name="Normal 58 3 4 3 3 2" xfId="13546" xr:uid="{00000000-0005-0000-0000-0000379E0000}"/>
    <cellStyle name="Normal 58 3 4 3 3 2 2" xfId="23797" xr:uid="{00000000-0005-0000-0000-0000389E0000}"/>
    <cellStyle name="Normal 58 3 4 3 3 2 2 2" xfId="49350" xr:uid="{00000000-0005-0000-0000-0000399E0000}"/>
    <cellStyle name="Normal 58 3 4 3 3 2 3" xfId="39101" xr:uid="{00000000-0005-0000-0000-00003A9E0000}"/>
    <cellStyle name="Normal 58 3 4 3 3 3" xfId="9967" xr:uid="{00000000-0005-0000-0000-00003B9E0000}"/>
    <cellStyle name="Normal 58 3 4 3 3 3 2" xfId="35524" xr:uid="{00000000-0005-0000-0000-00003C9E0000}"/>
    <cellStyle name="Normal 58 3 4 3 3 4" xfId="18790" xr:uid="{00000000-0005-0000-0000-00003D9E0000}"/>
    <cellStyle name="Normal 58 3 4 3 3 4 2" xfId="44343" xr:uid="{00000000-0005-0000-0000-00003E9E0000}"/>
    <cellStyle name="Normal 58 3 4 3 3 5" xfId="30280" xr:uid="{00000000-0005-0000-0000-00003F9E0000}"/>
    <cellStyle name="Normal 58 3 4 3 4" xfId="1949" xr:uid="{00000000-0005-0000-0000-0000409E0000}"/>
    <cellStyle name="Normal 58 3 4 3 4 2" xfId="11314" xr:uid="{00000000-0005-0000-0000-0000419E0000}"/>
    <cellStyle name="Normal 58 3 4 3 4 2 2" xfId="36869" xr:uid="{00000000-0005-0000-0000-0000429E0000}"/>
    <cellStyle name="Normal 58 3 4 3 4 3" xfId="21318" xr:uid="{00000000-0005-0000-0000-0000439E0000}"/>
    <cellStyle name="Normal 58 3 4 3 4 3 2" xfId="46871" xr:uid="{00000000-0005-0000-0000-0000449E0000}"/>
    <cellStyle name="Normal 58 3 4 3 4 4" xfId="27801" xr:uid="{00000000-0005-0000-0000-0000459E0000}"/>
    <cellStyle name="Normal 58 3 4 3 5" xfId="6164" xr:uid="{00000000-0005-0000-0000-0000469E0000}"/>
    <cellStyle name="Normal 58 3 4 3 5 2" xfId="14991" xr:uid="{00000000-0005-0000-0000-0000479E0000}"/>
    <cellStyle name="Normal 58 3 4 3 5 2 2" xfId="40546" xr:uid="{00000000-0005-0000-0000-0000489E0000}"/>
    <cellStyle name="Normal 58 3 4 3 5 3" xfId="25242" xr:uid="{00000000-0005-0000-0000-0000499E0000}"/>
    <cellStyle name="Normal 58 3 4 3 5 3 2" xfId="50795" xr:uid="{00000000-0005-0000-0000-00004A9E0000}"/>
    <cellStyle name="Normal 58 3 4 3 5 4" xfId="31725" xr:uid="{00000000-0005-0000-0000-00004B9E0000}"/>
    <cellStyle name="Normal 58 3 4 3 6" xfId="7609" xr:uid="{00000000-0005-0000-0000-00004C9E0000}"/>
    <cellStyle name="Normal 58 3 4 3 6 2" xfId="19800" xr:uid="{00000000-0005-0000-0000-00004D9E0000}"/>
    <cellStyle name="Normal 58 3 4 3 6 2 2" xfId="45353" xr:uid="{00000000-0005-0000-0000-00004E9E0000}"/>
    <cellStyle name="Normal 58 3 4 3 6 3" xfId="33166" xr:uid="{00000000-0005-0000-0000-00004F9E0000}"/>
    <cellStyle name="Normal 58 3 4 3 7" xfId="16311" xr:uid="{00000000-0005-0000-0000-0000509E0000}"/>
    <cellStyle name="Normal 58 3 4 3 7 2" xfId="41864" xr:uid="{00000000-0005-0000-0000-0000519E0000}"/>
    <cellStyle name="Normal 58 3 4 3 8" xfId="26283" xr:uid="{00000000-0005-0000-0000-0000529E0000}"/>
    <cellStyle name="Normal 58 3 4 4" xfId="894" xr:uid="{00000000-0005-0000-0000-0000539E0000}"/>
    <cellStyle name="Normal 58 3 4 4 2" xfId="3379" xr:uid="{00000000-0005-0000-0000-0000549E0000}"/>
    <cellStyle name="Normal 58 3 4 4 2 2" xfId="12521" xr:uid="{00000000-0005-0000-0000-0000559E0000}"/>
    <cellStyle name="Normal 58 3 4 4 2 2 2" xfId="22740" xr:uid="{00000000-0005-0000-0000-0000569E0000}"/>
    <cellStyle name="Normal 58 3 4 4 2 2 2 2" xfId="48293" xr:uid="{00000000-0005-0000-0000-0000579E0000}"/>
    <cellStyle name="Normal 58 3 4 4 2 2 3" xfId="38076" xr:uid="{00000000-0005-0000-0000-0000589E0000}"/>
    <cellStyle name="Normal 58 3 4 4 2 3" xfId="8943" xr:uid="{00000000-0005-0000-0000-0000599E0000}"/>
    <cellStyle name="Normal 58 3 4 4 2 3 2" xfId="34500" xr:uid="{00000000-0005-0000-0000-00005A9E0000}"/>
    <cellStyle name="Normal 58 3 4 4 2 4" xfId="17733" xr:uid="{00000000-0005-0000-0000-00005B9E0000}"/>
    <cellStyle name="Normal 58 3 4 4 2 4 2" xfId="43286" xr:uid="{00000000-0005-0000-0000-00005C9E0000}"/>
    <cellStyle name="Normal 58 3 4 4 2 5" xfId="29223" xr:uid="{00000000-0005-0000-0000-00005D9E0000}"/>
    <cellStyle name="Normal 58 3 4 4 3" xfId="5057" xr:uid="{00000000-0005-0000-0000-00005E9E0000}"/>
    <cellStyle name="Normal 58 3 4 4 3 2" xfId="13894" xr:uid="{00000000-0005-0000-0000-00005F9E0000}"/>
    <cellStyle name="Normal 58 3 4 4 3 2 2" xfId="24145" xr:uid="{00000000-0005-0000-0000-0000609E0000}"/>
    <cellStyle name="Normal 58 3 4 4 3 2 2 2" xfId="49698" xr:uid="{00000000-0005-0000-0000-0000619E0000}"/>
    <cellStyle name="Normal 58 3 4 4 3 2 3" xfId="39449" xr:uid="{00000000-0005-0000-0000-0000629E0000}"/>
    <cellStyle name="Normal 58 3 4 4 3 3" xfId="10315" xr:uid="{00000000-0005-0000-0000-0000639E0000}"/>
    <cellStyle name="Normal 58 3 4 4 3 3 2" xfId="35872" xr:uid="{00000000-0005-0000-0000-0000649E0000}"/>
    <cellStyle name="Normal 58 3 4 4 3 4" xfId="19138" xr:uid="{00000000-0005-0000-0000-0000659E0000}"/>
    <cellStyle name="Normal 58 3 4 4 3 4 2" xfId="44691" xr:uid="{00000000-0005-0000-0000-0000669E0000}"/>
    <cellStyle name="Normal 58 3 4 4 3 5" xfId="30628" xr:uid="{00000000-0005-0000-0000-0000679E0000}"/>
    <cellStyle name="Normal 58 3 4 4 4" xfId="2488" xr:uid="{00000000-0005-0000-0000-0000689E0000}"/>
    <cellStyle name="Normal 58 3 4 4 4 2" xfId="11853" xr:uid="{00000000-0005-0000-0000-0000699E0000}"/>
    <cellStyle name="Normal 58 3 4 4 4 2 2" xfId="37408" xr:uid="{00000000-0005-0000-0000-00006A9E0000}"/>
    <cellStyle name="Normal 58 3 4 4 4 3" xfId="21857" xr:uid="{00000000-0005-0000-0000-00006B9E0000}"/>
    <cellStyle name="Normal 58 3 4 4 4 3 2" xfId="47410" xr:uid="{00000000-0005-0000-0000-00006C9E0000}"/>
    <cellStyle name="Normal 58 3 4 4 4 4" xfId="28340" xr:uid="{00000000-0005-0000-0000-00006D9E0000}"/>
    <cellStyle name="Normal 58 3 4 4 5" xfId="6512" xr:uid="{00000000-0005-0000-0000-00006E9E0000}"/>
    <cellStyle name="Normal 58 3 4 4 5 2" xfId="15339" xr:uid="{00000000-0005-0000-0000-00006F9E0000}"/>
    <cellStyle name="Normal 58 3 4 4 5 2 2" xfId="40894" xr:uid="{00000000-0005-0000-0000-0000709E0000}"/>
    <cellStyle name="Normal 58 3 4 4 5 3" xfId="25590" xr:uid="{00000000-0005-0000-0000-0000719E0000}"/>
    <cellStyle name="Normal 58 3 4 4 5 3 2" xfId="51143" xr:uid="{00000000-0005-0000-0000-0000729E0000}"/>
    <cellStyle name="Normal 58 3 4 4 5 4" xfId="32073" xr:uid="{00000000-0005-0000-0000-0000739E0000}"/>
    <cellStyle name="Normal 58 3 4 4 6" xfId="7958" xr:uid="{00000000-0005-0000-0000-0000749E0000}"/>
    <cellStyle name="Normal 58 3 4 4 6 2" xfId="20339" xr:uid="{00000000-0005-0000-0000-0000759E0000}"/>
    <cellStyle name="Normal 58 3 4 4 6 2 2" xfId="45892" xr:uid="{00000000-0005-0000-0000-0000769E0000}"/>
    <cellStyle name="Normal 58 3 4 4 6 3" xfId="33515" xr:uid="{00000000-0005-0000-0000-0000779E0000}"/>
    <cellStyle name="Normal 58 3 4 4 7" xfId="16850" xr:uid="{00000000-0005-0000-0000-0000789E0000}"/>
    <cellStyle name="Normal 58 3 4 4 7 2" xfId="42403" xr:uid="{00000000-0005-0000-0000-0000799E0000}"/>
    <cellStyle name="Normal 58 3 4 4 8" xfId="26822" xr:uid="{00000000-0005-0000-0000-00007A9E0000}"/>
    <cellStyle name="Normal 58 3 4 5" xfId="1126" xr:uid="{00000000-0005-0000-0000-00007B9E0000}"/>
    <cellStyle name="Normal 58 3 4 5 2" xfId="3555" xr:uid="{00000000-0005-0000-0000-00007C9E0000}"/>
    <cellStyle name="Normal 58 3 4 5 2 2" xfId="12691" xr:uid="{00000000-0005-0000-0000-00007D9E0000}"/>
    <cellStyle name="Normal 58 3 4 5 2 2 2" xfId="22910" xr:uid="{00000000-0005-0000-0000-00007E9E0000}"/>
    <cellStyle name="Normal 58 3 4 5 2 2 2 2" xfId="48463" xr:uid="{00000000-0005-0000-0000-00007F9E0000}"/>
    <cellStyle name="Normal 58 3 4 5 2 2 3" xfId="38246" xr:uid="{00000000-0005-0000-0000-0000809E0000}"/>
    <cellStyle name="Normal 58 3 4 5 2 3" xfId="9112" xr:uid="{00000000-0005-0000-0000-0000819E0000}"/>
    <cellStyle name="Normal 58 3 4 5 2 3 2" xfId="34669" xr:uid="{00000000-0005-0000-0000-0000829E0000}"/>
    <cellStyle name="Normal 58 3 4 5 2 4" xfId="17903" xr:uid="{00000000-0005-0000-0000-0000839E0000}"/>
    <cellStyle name="Normal 58 3 4 5 2 4 2" xfId="43456" xr:uid="{00000000-0005-0000-0000-0000849E0000}"/>
    <cellStyle name="Normal 58 3 4 5 2 5" xfId="29393" xr:uid="{00000000-0005-0000-0000-0000859E0000}"/>
    <cellStyle name="Normal 58 3 4 5 3" xfId="5218" xr:uid="{00000000-0005-0000-0000-0000869E0000}"/>
    <cellStyle name="Normal 58 3 4 5 3 2" xfId="14055" xr:uid="{00000000-0005-0000-0000-0000879E0000}"/>
    <cellStyle name="Normal 58 3 4 5 3 2 2" xfId="24306" xr:uid="{00000000-0005-0000-0000-0000889E0000}"/>
    <cellStyle name="Normal 58 3 4 5 3 2 2 2" xfId="49859" xr:uid="{00000000-0005-0000-0000-0000899E0000}"/>
    <cellStyle name="Normal 58 3 4 5 3 2 3" xfId="39610" xr:uid="{00000000-0005-0000-0000-00008A9E0000}"/>
    <cellStyle name="Normal 58 3 4 5 3 3" xfId="10476" xr:uid="{00000000-0005-0000-0000-00008B9E0000}"/>
    <cellStyle name="Normal 58 3 4 5 3 3 2" xfId="36033" xr:uid="{00000000-0005-0000-0000-00008C9E0000}"/>
    <cellStyle name="Normal 58 3 4 5 3 4" xfId="19299" xr:uid="{00000000-0005-0000-0000-00008D9E0000}"/>
    <cellStyle name="Normal 58 3 4 5 3 4 2" xfId="44852" xr:uid="{00000000-0005-0000-0000-00008E9E0000}"/>
    <cellStyle name="Normal 58 3 4 5 3 5" xfId="30789" xr:uid="{00000000-0005-0000-0000-00008F9E0000}"/>
    <cellStyle name="Normal 58 3 4 5 4" xfId="1834" xr:uid="{00000000-0005-0000-0000-0000909E0000}"/>
    <cellStyle name="Normal 58 3 4 5 4 2" xfId="11202" xr:uid="{00000000-0005-0000-0000-0000919E0000}"/>
    <cellStyle name="Normal 58 3 4 5 4 2 2" xfId="36757" xr:uid="{00000000-0005-0000-0000-0000929E0000}"/>
    <cellStyle name="Normal 58 3 4 5 4 3" xfId="21206" xr:uid="{00000000-0005-0000-0000-0000939E0000}"/>
    <cellStyle name="Normal 58 3 4 5 4 3 2" xfId="46759" xr:uid="{00000000-0005-0000-0000-0000949E0000}"/>
    <cellStyle name="Normal 58 3 4 5 4 4" xfId="27689" xr:uid="{00000000-0005-0000-0000-0000959E0000}"/>
    <cellStyle name="Normal 58 3 4 5 5" xfId="6673" xr:uid="{00000000-0005-0000-0000-0000969E0000}"/>
    <cellStyle name="Normal 58 3 4 5 5 2" xfId="15500" xr:uid="{00000000-0005-0000-0000-0000979E0000}"/>
    <cellStyle name="Normal 58 3 4 5 5 2 2" xfId="41055" xr:uid="{00000000-0005-0000-0000-0000989E0000}"/>
    <cellStyle name="Normal 58 3 4 5 5 3" xfId="25751" xr:uid="{00000000-0005-0000-0000-0000999E0000}"/>
    <cellStyle name="Normal 58 3 4 5 5 3 2" xfId="51304" xr:uid="{00000000-0005-0000-0000-00009A9E0000}"/>
    <cellStyle name="Normal 58 3 4 5 5 4" xfId="32234" xr:uid="{00000000-0005-0000-0000-00009B9E0000}"/>
    <cellStyle name="Normal 58 3 4 5 6" xfId="8119" xr:uid="{00000000-0005-0000-0000-00009C9E0000}"/>
    <cellStyle name="Normal 58 3 4 5 6 2" xfId="20509" xr:uid="{00000000-0005-0000-0000-00009D9E0000}"/>
    <cellStyle name="Normal 58 3 4 5 6 2 2" xfId="46062" xr:uid="{00000000-0005-0000-0000-00009E9E0000}"/>
    <cellStyle name="Normal 58 3 4 5 6 3" xfId="33676" xr:uid="{00000000-0005-0000-0000-00009F9E0000}"/>
    <cellStyle name="Normal 58 3 4 5 7" xfId="16199" xr:uid="{00000000-0005-0000-0000-0000A09E0000}"/>
    <cellStyle name="Normal 58 3 4 5 7 2" xfId="41752" xr:uid="{00000000-0005-0000-0000-0000A19E0000}"/>
    <cellStyle name="Normal 58 3 4 5 8" xfId="26992" xr:uid="{00000000-0005-0000-0000-0000A29E0000}"/>
    <cellStyle name="Normal 58 3 4 6" xfId="2728" xr:uid="{00000000-0005-0000-0000-0000A39E0000}"/>
    <cellStyle name="Normal 58 3 4 6 2" xfId="12045" xr:uid="{00000000-0005-0000-0000-0000A49E0000}"/>
    <cellStyle name="Normal 58 3 4 6 2 2" xfId="22089" xr:uid="{00000000-0005-0000-0000-0000A59E0000}"/>
    <cellStyle name="Normal 58 3 4 6 2 2 2" xfId="47642" xr:uid="{00000000-0005-0000-0000-0000A69E0000}"/>
    <cellStyle name="Normal 58 3 4 6 2 3" xfId="37600" xr:uid="{00000000-0005-0000-0000-0000A79E0000}"/>
    <cellStyle name="Normal 58 3 4 6 3" xfId="8485" xr:uid="{00000000-0005-0000-0000-0000A89E0000}"/>
    <cellStyle name="Normal 58 3 4 6 3 2" xfId="34042" xr:uid="{00000000-0005-0000-0000-0000A99E0000}"/>
    <cellStyle name="Normal 58 3 4 6 4" xfId="17082" xr:uid="{00000000-0005-0000-0000-0000AA9E0000}"/>
    <cellStyle name="Normal 58 3 4 6 4 2" xfId="42635" xr:uid="{00000000-0005-0000-0000-0000AB9E0000}"/>
    <cellStyle name="Normal 58 3 4 6 5" xfId="28572" xr:uid="{00000000-0005-0000-0000-0000AC9E0000}"/>
    <cellStyle name="Normal 58 3 4 7" xfId="4174" xr:uid="{00000000-0005-0000-0000-0000AD9E0000}"/>
    <cellStyle name="Normal 58 3 4 7 2" xfId="13012" xr:uid="{00000000-0005-0000-0000-0000AE9E0000}"/>
    <cellStyle name="Normal 58 3 4 7 2 2" xfId="23263" xr:uid="{00000000-0005-0000-0000-0000AF9E0000}"/>
    <cellStyle name="Normal 58 3 4 7 2 2 2" xfId="48816" xr:uid="{00000000-0005-0000-0000-0000B09E0000}"/>
    <cellStyle name="Normal 58 3 4 7 2 3" xfId="38567" xr:uid="{00000000-0005-0000-0000-0000B19E0000}"/>
    <cellStyle name="Normal 58 3 4 7 3" xfId="9433" xr:uid="{00000000-0005-0000-0000-0000B29E0000}"/>
    <cellStyle name="Normal 58 3 4 7 3 2" xfId="34990" xr:uid="{00000000-0005-0000-0000-0000B39E0000}"/>
    <cellStyle name="Normal 58 3 4 7 4" xfId="18256" xr:uid="{00000000-0005-0000-0000-0000B49E0000}"/>
    <cellStyle name="Normal 58 3 4 7 4 2" xfId="43809" xr:uid="{00000000-0005-0000-0000-0000B59E0000}"/>
    <cellStyle name="Normal 58 3 4 7 5" xfId="29746" xr:uid="{00000000-0005-0000-0000-0000B69E0000}"/>
    <cellStyle name="Normal 58 3 4 8" xfId="1446" xr:uid="{00000000-0005-0000-0000-0000B79E0000}"/>
    <cellStyle name="Normal 58 3 4 8 2" xfId="10823" xr:uid="{00000000-0005-0000-0000-0000B89E0000}"/>
    <cellStyle name="Normal 58 3 4 8 2 2" xfId="36378" xr:uid="{00000000-0005-0000-0000-0000B99E0000}"/>
    <cellStyle name="Normal 58 3 4 8 3" xfId="20827" xr:uid="{00000000-0005-0000-0000-0000BA9E0000}"/>
    <cellStyle name="Normal 58 3 4 8 3 2" xfId="46380" xr:uid="{00000000-0005-0000-0000-0000BB9E0000}"/>
    <cellStyle name="Normal 58 3 4 8 4" xfId="27310" xr:uid="{00000000-0005-0000-0000-0000BC9E0000}"/>
    <cellStyle name="Normal 58 3 4 9" xfId="5630" xr:uid="{00000000-0005-0000-0000-0000BD9E0000}"/>
    <cellStyle name="Normal 58 3 4 9 2" xfId="14457" xr:uid="{00000000-0005-0000-0000-0000BE9E0000}"/>
    <cellStyle name="Normal 58 3 4 9 2 2" xfId="40012" xr:uid="{00000000-0005-0000-0000-0000BF9E0000}"/>
    <cellStyle name="Normal 58 3 4 9 3" xfId="24708" xr:uid="{00000000-0005-0000-0000-0000C09E0000}"/>
    <cellStyle name="Normal 58 3 4 9 3 2" xfId="50261" xr:uid="{00000000-0005-0000-0000-0000C19E0000}"/>
    <cellStyle name="Normal 58 3 4 9 4" xfId="31191" xr:uid="{00000000-0005-0000-0000-0000C29E0000}"/>
    <cellStyle name="Normal 58 3 4_Degree data" xfId="4000" xr:uid="{00000000-0005-0000-0000-0000C39E0000}"/>
    <cellStyle name="Normal 58 3 5" xfId="454" xr:uid="{00000000-0005-0000-0000-0000C49E0000}"/>
    <cellStyle name="Normal 58 3 5 10" xfId="26383" xr:uid="{00000000-0005-0000-0000-0000C59E0000}"/>
    <cellStyle name="Normal 58 3 5 2" xfId="896" xr:uid="{00000000-0005-0000-0000-0000C69E0000}"/>
    <cellStyle name="Normal 58 3 5 2 2" xfId="3381" xr:uid="{00000000-0005-0000-0000-0000C79E0000}"/>
    <cellStyle name="Normal 58 3 5 2 2 2" xfId="12523" xr:uid="{00000000-0005-0000-0000-0000C89E0000}"/>
    <cellStyle name="Normal 58 3 5 2 2 2 2" xfId="22742" xr:uid="{00000000-0005-0000-0000-0000C99E0000}"/>
    <cellStyle name="Normal 58 3 5 2 2 2 2 2" xfId="48295" xr:uid="{00000000-0005-0000-0000-0000CA9E0000}"/>
    <cellStyle name="Normal 58 3 5 2 2 2 3" xfId="38078" xr:uid="{00000000-0005-0000-0000-0000CB9E0000}"/>
    <cellStyle name="Normal 58 3 5 2 2 3" xfId="8945" xr:uid="{00000000-0005-0000-0000-0000CC9E0000}"/>
    <cellStyle name="Normal 58 3 5 2 2 3 2" xfId="34502" xr:uid="{00000000-0005-0000-0000-0000CD9E0000}"/>
    <cellStyle name="Normal 58 3 5 2 2 4" xfId="17735" xr:uid="{00000000-0005-0000-0000-0000CE9E0000}"/>
    <cellStyle name="Normal 58 3 5 2 2 4 2" xfId="43288" xr:uid="{00000000-0005-0000-0000-0000CF9E0000}"/>
    <cellStyle name="Normal 58 3 5 2 2 5" xfId="29225" xr:uid="{00000000-0005-0000-0000-0000D09E0000}"/>
    <cellStyle name="Normal 58 3 5 2 3" xfId="4710" xr:uid="{00000000-0005-0000-0000-0000D19E0000}"/>
    <cellStyle name="Normal 58 3 5 2 3 2" xfId="13548" xr:uid="{00000000-0005-0000-0000-0000D29E0000}"/>
    <cellStyle name="Normal 58 3 5 2 3 2 2" xfId="23799" xr:uid="{00000000-0005-0000-0000-0000D39E0000}"/>
    <cellStyle name="Normal 58 3 5 2 3 2 2 2" xfId="49352" xr:uid="{00000000-0005-0000-0000-0000D49E0000}"/>
    <cellStyle name="Normal 58 3 5 2 3 2 3" xfId="39103" xr:uid="{00000000-0005-0000-0000-0000D59E0000}"/>
    <cellStyle name="Normal 58 3 5 2 3 3" xfId="9969" xr:uid="{00000000-0005-0000-0000-0000D69E0000}"/>
    <cellStyle name="Normal 58 3 5 2 3 3 2" xfId="35526" xr:uid="{00000000-0005-0000-0000-0000D79E0000}"/>
    <cellStyle name="Normal 58 3 5 2 3 4" xfId="18792" xr:uid="{00000000-0005-0000-0000-0000D89E0000}"/>
    <cellStyle name="Normal 58 3 5 2 3 4 2" xfId="44345" xr:uid="{00000000-0005-0000-0000-0000D99E0000}"/>
    <cellStyle name="Normal 58 3 5 2 3 5" xfId="30282" xr:uid="{00000000-0005-0000-0000-0000DA9E0000}"/>
    <cellStyle name="Normal 58 3 5 2 4" xfId="2490" xr:uid="{00000000-0005-0000-0000-0000DB9E0000}"/>
    <cellStyle name="Normal 58 3 5 2 4 2" xfId="11855" xr:uid="{00000000-0005-0000-0000-0000DC9E0000}"/>
    <cellStyle name="Normal 58 3 5 2 4 2 2" xfId="37410" xr:uid="{00000000-0005-0000-0000-0000DD9E0000}"/>
    <cellStyle name="Normal 58 3 5 2 4 3" xfId="21859" xr:uid="{00000000-0005-0000-0000-0000DE9E0000}"/>
    <cellStyle name="Normal 58 3 5 2 4 3 2" xfId="47412" xr:uid="{00000000-0005-0000-0000-0000DF9E0000}"/>
    <cellStyle name="Normal 58 3 5 2 4 4" xfId="28342" xr:uid="{00000000-0005-0000-0000-0000E09E0000}"/>
    <cellStyle name="Normal 58 3 5 2 5" xfId="6166" xr:uid="{00000000-0005-0000-0000-0000E19E0000}"/>
    <cellStyle name="Normal 58 3 5 2 5 2" xfId="14993" xr:uid="{00000000-0005-0000-0000-0000E29E0000}"/>
    <cellStyle name="Normal 58 3 5 2 5 2 2" xfId="40548" xr:uid="{00000000-0005-0000-0000-0000E39E0000}"/>
    <cellStyle name="Normal 58 3 5 2 5 3" xfId="25244" xr:uid="{00000000-0005-0000-0000-0000E49E0000}"/>
    <cellStyle name="Normal 58 3 5 2 5 3 2" xfId="50797" xr:uid="{00000000-0005-0000-0000-0000E59E0000}"/>
    <cellStyle name="Normal 58 3 5 2 5 4" xfId="31727" xr:uid="{00000000-0005-0000-0000-0000E69E0000}"/>
    <cellStyle name="Normal 58 3 5 2 6" xfId="7611" xr:uid="{00000000-0005-0000-0000-0000E79E0000}"/>
    <cellStyle name="Normal 58 3 5 2 6 2" xfId="20341" xr:uid="{00000000-0005-0000-0000-0000E89E0000}"/>
    <cellStyle name="Normal 58 3 5 2 6 2 2" xfId="45894" xr:uid="{00000000-0005-0000-0000-0000E99E0000}"/>
    <cellStyle name="Normal 58 3 5 2 6 3" xfId="33168" xr:uid="{00000000-0005-0000-0000-0000EA9E0000}"/>
    <cellStyle name="Normal 58 3 5 2 7" xfId="16852" xr:uid="{00000000-0005-0000-0000-0000EB9E0000}"/>
    <cellStyle name="Normal 58 3 5 2 7 2" xfId="42405" xr:uid="{00000000-0005-0000-0000-0000EC9E0000}"/>
    <cellStyle name="Normal 58 3 5 2 8" xfId="26824" xr:uid="{00000000-0005-0000-0000-0000ED9E0000}"/>
    <cellStyle name="Normal 58 3 5 3" xfId="1226" xr:uid="{00000000-0005-0000-0000-0000EE9E0000}"/>
    <cellStyle name="Normal 58 3 5 3 2" xfId="3655" xr:uid="{00000000-0005-0000-0000-0000EF9E0000}"/>
    <cellStyle name="Normal 58 3 5 3 2 2" xfId="12791" xr:uid="{00000000-0005-0000-0000-0000F09E0000}"/>
    <cellStyle name="Normal 58 3 5 3 2 2 2" xfId="23010" xr:uid="{00000000-0005-0000-0000-0000F19E0000}"/>
    <cellStyle name="Normal 58 3 5 3 2 2 2 2" xfId="48563" xr:uid="{00000000-0005-0000-0000-0000F29E0000}"/>
    <cellStyle name="Normal 58 3 5 3 2 2 3" xfId="38346" xr:uid="{00000000-0005-0000-0000-0000F39E0000}"/>
    <cellStyle name="Normal 58 3 5 3 2 3" xfId="9212" xr:uid="{00000000-0005-0000-0000-0000F49E0000}"/>
    <cellStyle name="Normal 58 3 5 3 2 3 2" xfId="34769" xr:uid="{00000000-0005-0000-0000-0000F59E0000}"/>
    <cellStyle name="Normal 58 3 5 3 2 4" xfId="18003" xr:uid="{00000000-0005-0000-0000-0000F69E0000}"/>
    <cellStyle name="Normal 58 3 5 3 2 4 2" xfId="43556" xr:uid="{00000000-0005-0000-0000-0000F79E0000}"/>
    <cellStyle name="Normal 58 3 5 3 2 5" xfId="29493" xr:uid="{00000000-0005-0000-0000-0000F89E0000}"/>
    <cellStyle name="Normal 58 3 5 3 3" xfId="5059" xr:uid="{00000000-0005-0000-0000-0000F99E0000}"/>
    <cellStyle name="Normal 58 3 5 3 3 2" xfId="13896" xr:uid="{00000000-0005-0000-0000-0000FA9E0000}"/>
    <cellStyle name="Normal 58 3 5 3 3 2 2" xfId="24147" xr:uid="{00000000-0005-0000-0000-0000FB9E0000}"/>
    <cellStyle name="Normal 58 3 5 3 3 2 2 2" xfId="49700" xr:uid="{00000000-0005-0000-0000-0000FC9E0000}"/>
    <cellStyle name="Normal 58 3 5 3 3 2 3" xfId="39451" xr:uid="{00000000-0005-0000-0000-0000FD9E0000}"/>
    <cellStyle name="Normal 58 3 5 3 3 3" xfId="10317" xr:uid="{00000000-0005-0000-0000-0000FE9E0000}"/>
    <cellStyle name="Normal 58 3 5 3 3 3 2" xfId="35874" xr:uid="{00000000-0005-0000-0000-0000FF9E0000}"/>
    <cellStyle name="Normal 58 3 5 3 3 4" xfId="19140" xr:uid="{00000000-0005-0000-0000-0000009F0000}"/>
    <cellStyle name="Normal 58 3 5 3 3 4 2" xfId="44693" xr:uid="{00000000-0005-0000-0000-0000019F0000}"/>
    <cellStyle name="Normal 58 3 5 3 3 5" xfId="30630" xr:uid="{00000000-0005-0000-0000-0000029F0000}"/>
    <cellStyle name="Normal 58 3 5 3 4" xfId="2049" xr:uid="{00000000-0005-0000-0000-0000039F0000}"/>
    <cellStyle name="Normal 58 3 5 3 4 2" xfId="11414" xr:uid="{00000000-0005-0000-0000-0000049F0000}"/>
    <cellStyle name="Normal 58 3 5 3 4 2 2" xfId="36969" xr:uid="{00000000-0005-0000-0000-0000059F0000}"/>
    <cellStyle name="Normal 58 3 5 3 4 3" xfId="21418" xr:uid="{00000000-0005-0000-0000-0000069F0000}"/>
    <cellStyle name="Normal 58 3 5 3 4 3 2" xfId="46971" xr:uid="{00000000-0005-0000-0000-0000079F0000}"/>
    <cellStyle name="Normal 58 3 5 3 4 4" xfId="27901" xr:uid="{00000000-0005-0000-0000-0000089F0000}"/>
    <cellStyle name="Normal 58 3 5 3 5" xfId="6514" xr:uid="{00000000-0005-0000-0000-0000099F0000}"/>
    <cellStyle name="Normal 58 3 5 3 5 2" xfId="15341" xr:uid="{00000000-0005-0000-0000-00000A9F0000}"/>
    <cellStyle name="Normal 58 3 5 3 5 2 2" xfId="40896" xr:uid="{00000000-0005-0000-0000-00000B9F0000}"/>
    <cellStyle name="Normal 58 3 5 3 5 3" xfId="25592" xr:uid="{00000000-0005-0000-0000-00000C9F0000}"/>
    <cellStyle name="Normal 58 3 5 3 5 3 2" xfId="51145" xr:uid="{00000000-0005-0000-0000-00000D9F0000}"/>
    <cellStyle name="Normal 58 3 5 3 5 4" xfId="32075" xr:uid="{00000000-0005-0000-0000-00000E9F0000}"/>
    <cellStyle name="Normal 58 3 5 3 6" xfId="7960" xr:uid="{00000000-0005-0000-0000-00000F9F0000}"/>
    <cellStyle name="Normal 58 3 5 3 6 2" xfId="20609" xr:uid="{00000000-0005-0000-0000-0000109F0000}"/>
    <cellStyle name="Normal 58 3 5 3 6 2 2" xfId="46162" xr:uid="{00000000-0005-0000-0000-0000119F0000}"/>
    <cellStyle name="Normal 58 3 5 3 6 3" xfId="33517" xr:uid="{00000000-0005-0000-0000-0000129F0000}"/>
    <cellStyle name="Normal 58 3 5 3 7" xfId="16411" xr:uid="{00000000-0005-0000-0000-0000139F0000}"/>
    <cellStyle name="Normal 58 3 5 3 7 2" xfId="41964" xr:uid="{00000000-0005-0000-0000-0000149F0000}"/>
    <cellStyle name="Normal 58 3 5 3 8" xfId="27092" xr:uid="{00000000-0005-0000-0000-0000159F0000}"/>
    <cellStyle name="Normal 58 3 5 4" xfId="2940" xr:uid="{00000000-0005-0000-0000-0000169F0000}"/>
    <cellStyle name="Normal 58 3 5 4 2" xfId="5318" xr:uid="{00000000-0005-0000-0000-0000179F0000}"/>
    <cellStyle name="Normal 58 3 5 4 2 2" xfId="14155" xr:uid="{00000000-0005-0000-0000-0000189F0000}"/>
    <cellStyle name="Normal 58 3 5 4 2 2 2" xfId="24406" xr:uid="{00000000-0005-0000-0000-0000199F0000}"/>
    <cellStyle name="Normal 58 3 5 4 2 2 2 2" xfId="49959" xr:uid="{00000000-0005-0000-0000-00001A9F0000}"/>
    <cellStyle name="Normal 58 3 5 4 2 2 3" xfId="39710" xr:uid="{00000000-0005-0000-0000-00001B9F0000}"/>
    <cellStyle name="Normal 58 3 5 4 2 3" xfId="10576" xr:uid="{00000000-0005-0000-0000-00001C9F0000}"/>
    <cellStyle name="Normal 58 3 5 4 2 3 2" xfId="36133" xr:uid="{00000000-0005-0000-0000-00001D9F0000}"/>
    <cellStyle name="Normal 58 3 5 4 2 4" xfId="19399" xr:uid="{00000000-0005-0000-0000-00001E9F0000}"/>
    <cellStyle name="Normal 58 3 5 4 2 4 2" xfId="44952" xr:uid="{00000000-0005-0000-0000-00001F9F0000}"/>
    <cellStyle name="Normal 58 3 5 4 2 5" xfId="30889" xr:uid="{00000000-0005-0000-0000-0000209F0000}"/>
    <cellStyle name="Normal 58 3 5 4 3" xfId="6773" xr:uid="{00000000-0005-0000-0000-0000219F0000}"/>
    <cellStyle name="Normal 58 3 5 4 3 2" xfId="15600" xr:uid="{00000000-0005-0000-0000-0000229F0000}"/>
    <cellStyle name="Normal 58 3 5 4 3 2 2" xfId="41155" xr:uid="{00000000-0005-0000-0000-0000239F0000}"/>
    <cellStyle name="Normal 58 3 5 4 3 3" xfId="25851" xr:uid="{00000000-0005-0000-0000-0000249F0000}"/>
    <cellStyle name="Normal 58 3 5 4 3 3 2" xfId="51404" xr:uid="{00000000-0005-0000-0000-0000259F0000}"/>
    <cellStyle name="Normal 58 3 5 4 3 4" xfId="32334" xr:uid="{00000000-0005-0000-0000-0000269F0000}"/>
    <cellStyle name="Normal 58 3 5 4 4" xfId="8219" xr:uid="{00000000-0005-0000-0000-0000279F0000}"/>
    <cellStyle name="Normal 58 3 5 4 4 2" xfId="22301" xr:uid="{00000000-0005-0000-0000-0000289F0000}"/>
    <cellStyle name="Normal 58 3 5 4 4 2 2" xfId="47854" xr:uid="{00000000-0005-0000-0000-0000299F0000}"/>
    <cellStyle name="Normal 58 3 5 4 4 3" xfId="33776" xr:uid="{00000000-0005-0000-0000-00002A9F0000}"/>
    <cellStyle name="Normal 58 3 5 4 5" xfId="17294" xr:uid="{00000000-0005-0000-0000-00002B9F0000}"/>
    <cellStyle name="Normal 58 3 5 4 5 2" xfId="42847" xr:uid="{00000000-0005-0000-0000-00002C9F0000}"/>
    <cellStyle name="Normal 58 3 5 4 6" xfId="28784" xr:uid="{00000000-0005-0000-0000-00002D9F0000}"/>
    <cellStyle name="Normal 58 3 5 5" xfId="4274" xr:uid="{00000000-0005-0000-0000-00002E9F0000}"/>
    <cellStyle name="Normal 58 3 5 5 2" xfId="13112" xr:uid="{00000000-0005-0000-0000-00002F9F0000}"/>
    <cellStyle name="Normal 58 3 5 5 2 2" xfId="23363" xr:uid="{00000000-0005-0000-0000-0000309F0000}"/>
    <cellStyle name="Normal 58 3 5 5 2 2 2" xfId="48916" xr:uid="{00000000-0005-0000-0000-0000319F0000}"/>
    <cellStyle name="Normal 58 3 5 5 2 3" xfId="38667" xr:uid="{00000000-0005-0000-0000-0000329F0000}"/>
    <cellStyle name="Normal 58 3 5 5 3" xfId="9533" xr:uid="{00000000-0005-0000-0000-0000339F0000}"/>
    <cellStyle name="Normal 58 3 5 5 3 2" xfId="35090" xr:uid="{00000000-0005-0000-0000-0000349F0000}"/>
    <cellStyle name="Normal 58 3 5 5 4" xfId="18356" xr:uid="{00000000-0005-0000-0000-0000359F0000}"/>
    <cellStyle name="Normal 58 3 5 5 4 2" xfId="43909" xr:uid="{00000000-0005-0000-0000-0000369F0000}"/>
    <cellStyle name="Normal 58 3 5 5 5" xfId="29846" xr:uid="{00000000-0005-0000-0000-0000379F0000}"/>
    <cellStyle name="Normal 58 3 5 6" xfId="1546" xr:uid="{00000000-0005-0000-0000-0000389F0000}"/>
    <cellStyle name="Normal 58 3 5 6 2" xfId="10923" xr:uid="{00000000-0005-0000-0000-0000399F0000}"/>
    <cellStyle name="Normal 58 3 5 6 2 2" xfId="36478" xr:uid="{00000000-0005-0000-0000-00003A9F0000}"/>
    <cellStyle name="Normal 58 3 5 6 3" xfId="20927" xr:uid="{00000000-0005-0000-0000-00003B9F0000}"/>
    <cellStyle name="Normal 58 3 5 6 3 2" xfId="46480" xr:uid="{00000000-0005-0000-0000-00003C9F0000}"/>
    <cellStyle name="Normal 58 3 5 6 4" xfId="27410" xr:uid="{00000000-0005-0000-0000-00003D9F0000}"/>
    <cellStyle name="Normal 58 3 5 7" xfId="5730" xr:uid="{00000000-0005-0000-0000-00003E9F0000}"/>
    <cellStyle name="Normal 58 3 5 7 2" xfId="14557" xr:uid="{00000000-0005-0000-0000-00003F9F0000}"/>
    <cellStyle name="Normal 58 3 5 7 2 2" xfId="40112" xr:uid="{00000000-0005-0000-0000-0000409F0000}"/>
    <cellStyle name="Normal 58 3 5 7 3" xfId="24808" xr:uid="{00000000-0005-0000-0000-0000419F0000}"/>
    <cellStyle name="Normal 58 3 5 7 3 2" xfId="50361" xr:uid="{00000000-0005-0000-0000-0000429F0000}"/>
    <cellStyle name="Normal 58 3 5 7 4" xfId="31291" xr:uid="{00000000-0005-0000-0000-0000439F0000}"/>
    <cellStyle name="Normal 58 3 5 8" xfId="7174" xr:uid="{00000000-0005-0000-0000-0000449F0000}"/>
    <cellStyle name="Normal 58 3 5 8 2" xfId="19900" xr:uid="{00000000-0005-0000-0000-0000459F0000}"/>
    <cellStyle name="Normal 58 3 5 8 2 2" xfId="45453" xr:uid="{00000000-0005-0000-0000-0000469F0000}"/>
    <cellStyle name="Normal 58 3 5 8 3" xfId="32731" xr:uid="{00000000-0005-0000-0000-0000479F0000}"/>
    <cellStyle name="Normal 58 3 5 9" xfId="15920" xr:uid="{00000000-0005-0000-0000-0000489F0000}"/>
    <cellStyle name="Normal 58 3 5 9 2" xfId="41473" xr:uid="{00000000-0005-0000-0000-0000499F0000}"/>
    <cellStyle name="Normal 58 3 5_Degree data" xfId="4002" xr:uid="{00000000-0005-0000-0000-00004A9F0000}"/>
    <cellStyle name="Normal 58 3 6" xfId="302" xr:uid="{00000000-0005-0000-0000-00004B9F0000}"/>
    <cellStyle name="Normal 58 3 6 10" xfId="26231" xr:uid="{00000000-0005-0000-0000-00004C9F0000}"/>
    <cellStyle name="Normal 58 3 6 2" xfId="897" xr:uid="{00000000-0005-0000-0000-00004D9F0000}"/>
    <cellStyle name="Normal 58 3 6 2 2" xfId="3382" xr:uid="{00000000-0005-0000-0000-00004E9F0000}"/>
    <cellStyle name="Normal 58 3 6 2 2 2" xfId="12524" xr:uid="{00000000-0005-0000-0000-00004F9F0000}"/>
    <cellStyle name="Normal 58 3 6 2 2 2 2" xfId="22743" xr:uid="{00000000-0005-0000-0000-0000509F0000}"/>
    <cellStyle name="Normal 58 3 6 2 2 2 2 2" xfId="48296" xr:uid="{00000000-0005-0000-0000-0000519F0000}"/>
    <cellStyle name="Normal 58 3 6 2 2 2 3" xfId="38079" xr:uid="{00000000-0005-0000-0000-0000529F0000}"/>
    <cellStyle name="Normal 58 3 6 2 2 3" xfId="8946" xr:uid="{00000000-0005-0000-0000-0000539F0000}"/>
    <cellStyle name="Normal 58 3 6 2 2 3 2" xfId="34503" xr:uid="{00000000-0005-0000-0000-0000549F0000}"/>
    <cellStyle name="Normal 58 3 6 2 2 4" xfId="17736" xr:uid="{00000000-0005-0000-0000-0000559F0000}"/>
    <cellStyle name="Normal 58 3 6 2 2 4 2" xfId="43289" xr:uid="{00000000-0005-0000-0000-0000569F0000}"/>
    <cellStyle name="Normal 58 3 6 2 2 5" xfId="29226" xr:uid="{00000000-0005-0000-0000-0000579F0000}"/>
    <cellStyle name="Normal 58 3 6 2 3" xfId="4711" xr:uid="{00000000-0005-0000-0000-0000589F0000}"/>
    <cellStyle name="Normal 58 3 6 2 3 2" xfId="13549" xr:uid="{00000000-0005-0000-0000-0000599F0000}"/>
    <cellStyle name="Normal 58 3 6 2 3 2 2" xfId="23800" xr:uid="{00000000-0005-0000-0000-00005A9F0000}"/>
    <cellStyle name="Normal 58 3 6 2 3 2 2 2" xfId="49353" xr:uid="{00000000-0005-0000-0000-00005B9F0000}"/>
    <cellStyle name="Normal 58 3 6 2 3 2 3" xfId="39104" xr:uid="{00000000-0005-0000-0000-00005C9F0000}"/>
    <cellStyle name="Normal 58 3 6 2 3 3" xfId="9970" xr:uid="{00000000-0005-0000-0000-00005D9F0000}"/>
    <cellStyle name="Normal 58 3 6 2 3 3 2" xfId="35527" xr:uid="{00000000-0005-0000-0000-00005E9F0000}"/>
    <cellStyle name="Normal 58 3 6 2 3 4" xfId="18793" xr:uid="{00000000-0005-0000-0000-00005F9F0000}"/>
    <cellStyle name="Normal 58 3 6 2 3 4 2" xfId="44346" xr:uid="{00000000-0005-0000-0000-0000609F0000}"/>
    <cellStyle name="Normal 58 3 6 2 3 5" xfId="30283" xr:uid="{00000000-0005-0000-0000-0000619F0000}"/>
    <cellStyle name="Normal 58 3 6 2 4" xfId="2491" xr:uid="{00000000-0005-0000-0000-0000629F0000}"/>
    <cellStyle name="Normal 58 3 6 2 4 2" xfId="11856" xr:uid="{00000000-0005-0000-0000-0000639F0000}"/>
    <cellStyle name="Normal 58 3 6 2 4 2 2" xfId="37411" xr:uid="{00000000-0005-0000-0000-0000649F0000}"/>
    <cellStyle name="Normal 58 3 6 2 4 3" xfId="21860" xr:uid="{00000000-0005-0000-0000-0000659F0000}"/>
    <cellStyle name="Normal 58 3 6 2 4 3 2" xfId="47413" xr:uid="{00000000-0005-0000-0000-0000669F0000}"/>
    <cellStyle name="Normal 58 3 6 2 4 4" xfId="28343" xr:uid="{00000000-0005-0000-0000-0000679F0000}"/>
    <cellStyle name="Normal 58 3 6 2 5" xfId="6167" xr:uid="{00000000-0005-0000-0000-0000689F0000}"/>
    <cellStyle name="Normal 58 3 6 2 5 2" xfId="14994" xr:uid="{00000000-0005-0000-0000-0000699F0000}"/>
    <cellStyle name="Normal 58 3 6 2 5 2 2" xfId="40549" xr:uid="{00000000-0005-0000-0000-00006A9F0000}"/>
    <cellStyle name="Normal 58 3 6 2 5 3" xfId="25245" xr:uid="{00000000-0005-0000-0000-00006B9F0000}"/>
    <cellStyle name="Normal 58 3 6 2 5 3 2" xfId="50798" xr:uid="{00000000-0005-0000-0000-00006C9F0000}"/>
    <cellStyle name="Normal 58 3 6 2 5 4" xfId="31728" xr:uid="{00000000-0005-0000-0000-00006D9F0000}"/>
    <cellStyle name="Normal 58 3 6 2 6" xfId="7612" xr:uid="{00000000-0005-0000-0000-00006E9F0000}"/>
    <cellStyle name="Normal 58 3 6 2 6 2" xfId="20342" xr:uid="{00000000-0005-0000-0000-00006F9F0000}"/>
    <cellStyle name="Normal 58 3 6 2 6 2 2" xfId="45895" xr:uid="{00000000-0005-0000-0000-0000709F0000}"/>
    <cellStyle name="Normal 58 3 6 2 6 3" xfId="33169" xr:uid="{00000000-0005-0000-0000-0000719F0000}"/>
    <cellStyle name="Normal 58 3 6 2 7" xfId="16853" xr:uid="{00000000-0005-0000-0000-0000729F0000}"/>
    <cellStyle name="Normal 58 3 6 2 7 2" xfId="42406" xr:uid="{00000000-0005-0000-0000-0000739F0000}"/>
    <cellStyle name="Normal 58 3 6 2 8" xfId="26825" xr:uid="{00000000-0005-0000-0000-0000749F0000}"/>
    <cellStyle name="Normal 58 3 6 3" xfId="1074" xr:uid="{00000000-0005-0000-0000-0000759F0000}"/>
    <cellStyle name="Normal 58 3 6 3 2" xfId="3503" xr:uid="{00000000-0005-0000-0000-0000769F0000}"/>
    <cellStyle name="Normal 58 3 6 3 2 2" xfId="12639" xr:uid="{00000000-0005-0000-0000-0000779F0000}"/>
    <cellStyle name="Normal 58 3 6 3 2 2 2" xfId="22858" xr:uid="{00000000-0005-0000-0000-0000789F0000}"/>
    <cellStyle name="Normal 58 3 6 3 2 2 2 2" xfId="48411" xr:uid="{00000000-0005-0000-0000-0000799F0000}"/>
    <cellStyle name="Normal 58 3 6 3 2 2 3" xfId="38194" xr:uid="{00000000-0005-0000-0000-00007A9F0000}"/>
    <cellStyle name="Normal 58 3 6 3 2 3" xfId="9061" xr:uid="{00000000-0005-0000-0000-00007B9F0000}"/>
    <cellStyle name="Normal 58 3 6 3 2 3 2" xfId="34618" xr:uid="{00000000-0005-0000-0000-00007C9F0000}"/>
    <cellStyle name="Normal 58 3 6 3 2 4" xfId="17851" xr:uid="{00000000-0005-0000-0000-00007D9F0000}"/>
    <cellStyle name="Normal 58 3 6 3 2 4 2" xfId="43404" xr:uid="{00000000-0005-0000-0000-00007E9F0000}"/>
    <cellStyle name="Normal 58 3 6 3 2 5" xfId="29341" xr:uid="{00000000-0005-0000-0000-00007F9F0000}"/>
    <cellStyle name="Normal 58 3 6 3 3" xfId="5060" xr:uid="{00000000-0005-0000-0000-0000809F0000}"/>
    <cellStyle name="Normal 58 3 6 3 3 2" xfId="13897" xr:uid="{00000000-0005-0000-0000-0000819F0000}"/>
    <cellStyle name="Normal 58 3 6 3 3 2 2" xfId="24148" xr:uid="{00000000-0005-0000-0000-0000829F0000}"/>
    <cellStyle name="Normal 58 3 6 3 3 2 2 2" xfId="49701" xr:uid="{00000000-0005-0000-0000-0000839F0000}"/>
    <cellStyle name="Normal 58 3 6 3 3 2 3" xfId="39452" xr:uid="{00000000-0005-0000-0000-0000849F0000}"/>
    <cellStyle name="Normal 58 3 6 3 3 3" xfId="10318" xr:uid="{00000000-0005-0000-0000-0000859F0000}"/>
    <cellStyle name="Normal 58 3 6 3 3 3 2" xfId="35875" xr:uid="{00000000-0005-0000-0000-0000869F0000}"/>
    <cellStyle name="Normal 58 3 6 3 3 4" xfId="19141" xr:uid="{00000000-0005-0000-0000-0000879F0000}"/>
    <cellStyle name="Normal 58 3 6 3 3 4 2" xfId="44694" xr:uid="{00000000-0005-0000-0000-0000889F0000}"/>
    <cellStyle name="Normal 58 3 6 3 3 5" xfId="30631" xr:uid="{00000000-0005-0000-0000-0000899F0000}"/>
    <cellStyle name="Normal 58 3 6 3 4" xfId="2595" xr:uid="{00000000-0005-0000-0000-00008A9F0000}"/>
    <cellStyle name="Normal 58 3 6 3 4 2" xfId="11959" xr:uid="{00000000-0005-0000-0000-00008B9F0000}"/>
    <cellStyle name="Normal 58 3 6 3 4 2 2" xfId="37514" xr:uid="{00000000-0005-0000-0000-00008C9F0000}"/>
    <cellStyle name="Normal 58 3 6 3 4 3" xfId="21963" xr:uid="{00000000-0005-0000-0000-00008D9F0000}"/>
    <cellStyle name="Normal 58 3 6 3 4 3 2" xfId="47516" xr:uid="{00000000-0005-0000-0000-00008E9F0000}"/>
    <cellStyle name="Normal 58 3 6 3 4 4" xfId="28446" xr:uid="{00000000-0005-0000-0000-00008F9F0000}"/>
    <cellStyle name="Normal 58 3 6 3 5" xfId="6515" xr:uid="{00000000-0005-0000-0000-0000909F0000}"/>
    <cellStyle name="Normal 58 3 6 3 5 2" xfId="15342" xr:uid="{00000000-0005-0000-0000-0000919F0000}"/>
    <cellStyle name="Normal 58 3 6 3 5 2 2" xfId="40897" xr:uid="{00000000-0005-0000-0000-0000929F0000}"/>
    <cellStyle name="Normal 58 3 6 3 5 3" xfId="25593" xr:uid="{00000000-0005-0000-0000-0000939F0000}"/>
    <cellStyle name="Normal 58 3 6 3 5 3 2" xfId="51146" xr:uid="{00000000-0005-0000-0000-0000949F0000}"/>
    <cellStyle name="Normal 58 3 6 3 5 4" xfId="32076" xr:uid="{00000000-0005-0000-0000-0000959F0000}"/>
    <cellStyle name="Normal 58 3 6 3 6" xfId="7961" xr:uid="{00000000-0005-0000-0000-0000969F0000}"/>
    <cellStyle name="Normal 58 3 6 3 6 2" xfId="20457" xr:uid="{00000000-0005-0000-0000-0000979F0000}"/>
    <cellStyle name="Normal 58 3 6 3 6 2 2" xfId="46010" xr:uid="{00000000-0005-0000-0000-0000989F0000}"/>
    <cellStyle name="Normal 58 3 6 3 6 3" xfId="33518" xr:uid="{00000000-0005-0000-0000-0000999F0000}"/>
    <cellStyle name="Normal 58 3 6 3 7" xfId="16956" xr:uid="{00000000-0005-0000-0000-00009A9F0000}"/>
    <cellStyle name="Normal 58 3 6 3 7 2" xfId="42509" xr:uid="{00000000-0005-0000-0000-00009B9F0000}"/>
    <cellStyle name="Normal 58 3 6 3 8" xfId="26940" xr:uid="{00000000-0005-0000-0000-00009C9F0000}"/>
    <cellStyle name="Normal 58 3 6 4" xfId="2788" xr:uid="{00000000-0005-0000-0000-00009D9F0000}"/>
    <cellStyle name="Normal 58 3 6 4 2" xfId="5166" xr:uid="{00000000-0005-0000-0000-00009E9F0000}"/>
    <cellStyle name="Normal 58 3 6 4 2 2" xfId="14003" xr:uid="{00000000-0005-0000-0000-00009F9F0000}"/>
    <cellStyle name="Normal 58 3 6 4 2 2 2" xfId="24254" xr:uid="{00000000-0005-0000-0000-0000A09F0000}"/>
    <cellStyle name="Normal 58 3 6 4 2 2 2 2" xfId="49807" xr:uid="{00000000-0005-0000-0000-0000A19F0000}"/>
    <cellStyle name="Normal 58 3 6 4 2 2 3" xfId="39558" xr:uid="{00000000-0005-0000-0000-0000A29F0000}"/>
    <cellStyle name="Normal 58 3 6 4 2 3" xfId="10424" xr:uid="{00000000-0005-0000-0000-0000A39F0000}"/>
    <cellStyle name="Normal 58 3 6 4 2 3 2" xfId="35981" xr:uid="{00000000-0005-0000-0000-0000A49F0000}"/>
    <cellStyle name="Normal 58 3 6 4 2 4" xfId="19247" xr:uid="{00000000-0005-0000-0000-0000A59F0000}"/>
    <cellStyle name="Normal 58 3 6 4 2 4 2" xfId="44800" xr:uid="{00000000-0005-0000-0000-0000A69F0000}"/>
    <cellStyle name="Normal 58 3 6 4 2 5" xfId="30737" xr:uid="{00000000-0005-0000-0000-0000A79F0000}"/>
    <cellStyle name="Normal 58 3 6 4 3" xfId="6621" xr:uid="{00000000-0005-0000-0000-0000A89F0000}"/>
    <cellStyle name="Normal 58 3 6 4 3 2" xfId="15448" xr:uid="{00000000-0005-0000-0000-0000A99F0000}"/>
    <cellStyle name="Normal 58 3 6 4 3 2 2" xfId="41003" xr:uid="{00000000-0005-0000-0000-0000AA9F0000}"/>
    <cellStyle name="Normal 58 3 6 4 3 3" xfId="25699" xr:uid="{00000000-0005-0000-0000-0000AB9F0000}"/>
    <cellStyle name="Normal 58 3 6 4 3 3 2" xfId="51252" xr:uid="{00000000-0005-0000-0000-0000AC9F0000}"/>
    <cellStyle name="Normal 58 3 6 4 3 4" xfId="32182" xr:uid="{00000000-0005-0000-0000-0000AD9F0000}"/>
    <cellStyle name="Normal 58 3 6 4 4" xfId="8067" xr:uid="{00000000-0005-0000-0000-0000AE9F0000}"/>
    <cellStyle name="Normal 58 3 6 4 4 2" xfId="22149" xr:uid="{00000000-0005-0000-0000-0000AF9F0000}"/>
    <cellStyle name="Normal 58 3 6 4 4 2 2" xfId="47702" xr:uid="{00000000-0005-0000-0000-0000B09F0000}"/>
    <cellStyle name="Normal 58 3 6 4 4 3" xfId="33624" xr:uid="{00000000-0005-0000-0000-0000B19F0000}"/>
    <cellStyle name="Normal 58 3 6 4 5" xfId="17142" xr:uid="{00000000-0005-0000-0000-0000B29F0000}"/>
    <cellStyle name="Normal 58 3 6 4 5 2" xfId="42695" xr:uid="{00000000-0005-0000-0000-0000B39F0000}"/>
    <cellStyle name="Normal 58 3 6 4 6" xfId="28632" xr:uid="{00000000-0005-0000-0000-0000B49F0000}"/>
    <cellStyle name="Normal 58 3 6 5" xfId="4120" xr:uid="{00000000-0005-0000-0000-0000B59F0000}"/>
    <cellStyle name="Normal 58 3 6 5 2" xfId="12958" xr:uid="{00000000-0005-0000-0000-0000B69F0000}"/>
    <cellStyle name="Normal 58 3 6 5 2 2" xfId="23209" xr:uid="{00000000-0005-0000-0000-0000B79F0000}"/>
    <cellStyle name="Normal 58 3 6 5 2 2 2" xfId="48762" xr:uid="{00000000-0005-0000-0000-0000B89F0000}"/>
    <cellStyle name="Normal 58 3 6 5 2 3" xfId="38513" xr:uid="{00000000-0005-0000-0000-0000B99F0000}"/>
    <cellStyle name="Normal 58 3 6 5 3" xfId="9379" xr:uid="{00000000-0005-0000-0000-0000BA9F0000}"/>
    <cellStyle name="Normal 58 3 6 5 3 2" xfId="34936" xr:uid="{00000000-0005-0000-0000-0000BB9F0000}"/>
    <cellStyle name="Normal 58 3 6 5 4" xfId="18202" xr:uid="{00000000-0005-0000-0000-0000BC9F0000}"/>
    <cellStyle name="Normal 58 3 6 5 4 2" xfId="43755" xr:uid="{00000000-0005-0000-0000-0000BD9F0000}"/>
    <cellStyle name="Normal 58 3 6 5 5" xfId="29692" xr:uid="{00000000-0005-0000-0000-0000BE9F0000}"/>
    <cellStyle name="Normal 58 3 6 6" xfId="1897" xr:uid="{00000000-0005-0000-0000-0000BF9F0000}"/>
    <cellStyle name="Normal 58 3 6 6 2" xfId="11262" xr:uid="{00000000-0005-0000-0000-0000C09F0000}"/>
    <cellStyle name="Normal 58 3 6 6 2 2" xfId="36817" xr:uid="{00000000-0005-0000-0000-0000C19F0000}"/>
    <cellStyle name="Normal 58 3 6 6 3" xfId="21266" xr:uid="{00000000-0005-0000-0000-0000C29F0000}"/>
    <cellStyle name="Normal 58 3 6 6 3 2" xfId="46819" xr:uid="{00000000-0005-0000-0000-0000C39F0000}"/>
    <cellStyle name="Normal 58 3 6 6 4" xfId="27749" xr:uid="{00000000-0005-0000-0000-0000C49F0000}"/>
    <cellStyle name="Normal 58 3 6 7" xfId="5578" xr:uid="{00000000-0005-0000-0000-0000C59F0000}"/>
    <cellStyle name="Normal 58 3 6 7 2" xfId="14405" xr:uid="{00000000-0005-0000-0000-0000C69F0000}"/>
    <cellStyle name="Normal 58 3 6 7 2 2" xfId="39960" xr:uid="{00000000-0005-0000-0000-0000C79F0000}"/>
    <cellStyle name="Normal 58 3 6 7 3" xfId="24656" xr:uid="{00000000-0005-0000-0000-0000C89F0000}"/>
    <cellStyle name="Normal 58 3 6 7 3 2" xfId="50209" xr:uid="{00000000-0005-0000-0000-0000C99F0000}"/>
    <cellStyle name="Normal 58 3 6 7 4" xfId="31139" xr:uid="{00000000-0005-0000-0000-0000CA9F0000}"/>
    <cellStyle name="Normal 58 3 6 8" xfId="7022" xr:uid="{00000000-0005-0000-0000-0000CB9F0000}"/>
    <cellStyle name="Normal 58 3 6 8 2" xfId="19748" xr:uid="{00000000-0005-0000-0000-0000CC9F0000}"/>
    <cellStyle name="Normal 58 3 6 8 2 2" xfId="45301" xr:uid="{00000000-0005-0000-0000-0000CD9F0000}"/>
    <cellStyle name="Normal 58 3 6 8 3" xfId="32579" xr:uid="{00000000-0005-0000-0000-0000CE9F0000}"/>
    <cellStyle name="Normal 58 3 6 9" xfId="16259" xr:uid="{00000000-0005-0000-0000-0000CF9F0000}"/>
    <cellStyle name="Normal 58 3 6 9 2" xfId="41812" xr:uid="{00000000-0005-0000-0000-0000D09F0000}"/>
    <cellStyle name="Normal 58 3 6_Degree data" xfId="4003" xr:uid="{00000000-0005-0000-0000-0000D19F0000}"/>
    <cellStyle name="Normal 58 3 7" xfId="886" xr:uid="{00000000-0005-0000-0000-0000D29F0000}"/>
    <cellStyle name="Normal 58 3 7 2" xfId="3371" xr:uid="{00000000-0005-0000-0000-0000D39F0000}"/>
    <cellStyle name="Normal 58 3 7 2 2" xfId="12513" xr:uid="{00000000-0005-0000-0000-0000D49F0000}"/>
    <cellStyle name="Normal 58 3 7 2 2 2" xfId="22732" xr:uid="{00000000-0005-0000-0000-0000D59F0000}"/>
    <cellStyle name="Normal 58 3 7 2 2 2 2" xfId="48285" xr:uid="{00000000-0005-0000-0000-0000D69F0000}"/>
    <cellStyle name="Normal 58 3 7 2 2 3" xfId="38068" xr:uid="{00000000-0005-0000-0000-0000D79F0000}"/>
    <cellStyle name="Normal 58 3 7 2 3" xfId="8935" xr:uid="{00000000-0005-0000-0000-0000D89F0000}"/>
    <cellStyle name="Normal 58 3 7 2 3 2" xfId="34492" xr:uid="{00000000-0005-0000-0000-0000D99F0000}"/>
    <cellStyle name="Normal 58 3 7 2 4" xfId="17725" xr:uid="{00000000-0005-0000-0000-0000DA9F0000}"/>
    <cellStyle name="Normal 58 3 7 2 4 2" xfId="43278" xr:uid="{00000000-0005-0000-0000-0000DB9F0000}"/>
    <cellStyle name="Normal 58 3 7 2 5" xfId="29215" xr:uid="{00000000-0005-0000-0000-0000DC9F0000}"/>
    <cellStyle name="Normal 58 3 7 3" xfId="4700" xr:uid="{00000000-0005-0000-0000-0000DD9F0000}"/>
    <cellStyle name="Normal 58 3 7 3 2" xfId="13538" xr:uid="{00000000-0005-0000-0000-0000DE9F0000}"/>
    <cellStyle name="Normal 58 3 7 3 2 2" xfId="23789" xr:uid="{00000000-0005-0000-0000-0000DF9F0000}"/>
    <cellStyle name="Normal 58 3 7 3 2 2 2" xfId="49342" xr:uid="{00000000-0005-0000-0000-0000E09F0000}"/>
    <cellStyle name="Normal 58 3 7 3 2 3" xfId="39093" xr:uid="{00000000-0005-0000-0000-0000E19F0000}"/>
    <cellStyle name="Normal 58 3 7 3 3" xfId="9959" xr:uid="{00000000-0005-0000-0000-0000E29F0000}"/>
    <cellStyle name="Normal 58 3 7 3 3 2" xfId="35516" xr:uid="{00000000-0005-0000-0000-0000E39F0000}"/>
    <cellStyle name="Normal 58 3 7 3 4" xfId="18782" xr:uid="{00000000-0005-0000-0000-0000E49F0000}"/>
    <cellStyle name="Normal 58 3 7 3 4 2" xfId="44335" xr:uid="{00000000-0005-0000-0000-0000E59F0000}"/>
    <cellStyle name="Normal 58 3 7 3 5" xfId="30272" xr:uid="{00000000-0005-0000-0000-0000E69F0000}"/>
    <cellStyle name="Normal 58 3 7 4" xfId="2480" xr:uid="{00000000-0005-0000-0000-0000E79F0000}"/>
    <cellStyle name="Normal 58 3 7 4 2" xfId="11845" xr:uid="{00000000-0005-0000-0000-0000E89F0000}"/>
    <cellStyle name="Normal 58 3 7 4 2 2" xfId="37400" xr:uid="{00000000-0005-0000-0000-0000E99F0000}"/>
    <cellStyle name="Normal 58 3 7 4 3" xfId="21849" xr:uid="{00000000-0005-0000-0000-0000EA9F0000}"/>
    <cellStyle name="Normal 58 3 7 4 3 2" xfId="47402" xr:uid="{00000000-0005-0000-0000-0000EB9F0000}"/>
    <cellStyle name="Normal 58 3 7 4 4" xfId="28332" xr:uid="{00000000-0005-0000-0000-0000EC9F0000}"/>
    <cellStyle name="Normal 58 3 7 5" xfId="6156" xr:uid="{00000000-0005-0000-0000-0000ED9F0000}"/>
    <cellStyle name="Normal 58 3 7 5 2" xfId="14983" xr:uid="{00000000-0005-0000-0000-0000EE9F0000}"/>
    <cellStyle name="Normal 58 3 7 5 2 2" xfId="40538" xr:uid="{00000000-0005-0000-0000-0000EF9F0000}"/>
    <cellStyle name="Normal 58 3 7 5 3" xfId="25234" xr:uid="{00000000-0005-0000-0000-0000F09F0000}"/>
    <cellStyle name="Normal 58 3 7 5 3 2" xfId="50787" xr:uid="{00000000-0005-0000-0000-0000F19F0000}"/>
    <cellStyle name="Normal 58 3 7 5 4" xfId="31717" xr:uid="{00000000-0005-0000-0000-0000F29F0000}"/>
    <cellStyle name="Normal 58 3 7 6" xfId="7601" xr:uid="{00000000-0005-0000-0000-0000F39F0000}"/>
    <cellStyle name="Normal 58 3 7 6 2" xfId="20331" xr:uid="{00000000-0005-0000-0000-0000F49F0000}"/>
    <cellStyle name="Normal 58 3 7 6 2 2" xfId="45884" xr:uid="{00000000-0005-0000-0000-0000F59F0000}"/>
    <cellStyle name="Normal 58 3 7 6 3" xfId="33158" xr:uid="{00000000-0005-0000-0000-0000F69F0000}"/>
    <cellStyle name="Normal 58 3 7 7" xfId="16842" xr:uid="{00000000-0005-0000-0000-0000F79F0000}"/>
    <cellStyle name="Normal 58 3 7 7 2" xfId="42395" xr:uid="{00000000-0005-0000-0000-0000F89F0000}"/>
    <cellStyle name="Normal 58 3 7 8" xfId="26814" xr:uid="{00000000-0005-0000-0000-0000F99F0000}"/>
    <cellStyle name="Normal 58 3 8" xfId="1054" xr:uid="{00000000-0005-0000-0000-0000FA9F0000}"/>
    <cellStyle name="Normal 58 3 8 2" xfId="3483" xr:uid="{00000000-0005-0000-0000-0000FB9F0000}"/>
    <cellStyle name="Normal 58 3 8 2 2" xfId="12619" xr:uid="{00000000-0005-0000-0000-0000FC9F0000}"/>
    <cellStyle name="Normal 58 3 8 2 2 2" xfId="22838" xr:uid="{00000000-0005-0000-0000-0000FD9F0000}"/>
    <cellStyle name="Normal 58 3 8 2 2 2 2" xfId="48391" xr:uid="{00000000-0005-0000-0000-0000FE9F0000}"/>
    <cellStyle name="Normal 58 3 8 2 2 3" xfId="38174" xr:uid="{00000000-0005-0000-0000-0000FF9F0000}"/>
    <cellStyle name="Normal 58 3 8 2 3" xfId="9041" xr:uid="{00000000-0005-0000-0000-000000A00000}"/>
    <cellStyle name="Normal 58 3 8 2 3 2" xfId="34598" xr:uid="{00000000-0005-0000-0000-000001A00000}"/>
    <cellStyle name="Normal 58 3 8 2 4" xfId="17831" xr:uid="{00000000-0005-0000-0000-000002A00000}"/>
    <cellStyle name="Normal 58 3 8 2 4 2" xfId="43384" xr:uid="{00000000-0005-0000-0000-000003A00000}"/>
    <cellStyle name="Normal 58 3 8 2 5" xfId="29321" xr:uid="{00000000-0005-0000-0000-000004A00000}"/>
    <cellStyle name="Normal 58 3 8 3" xfId="5049" xr:uid="{00000000-0005-0000-0000-000005A00000}"/>
    <cellStyle name="Normal 58 3 8 3 2" xfId="13886" xr:uid="{00000000-0005-0000-0000-000006A00000}"/>
    <cellStyle name="Normal 58 3 8 3 2 2" xfId="24137" xr:uid="{00000000-0005-0000-0000-000007A00000}"/>
    <cellStyle name="Normal 58 3 8 3 2 2 2" xfId="49690" xr:uid="{00000000-0005-0000-0000-000008A00000}"/>
    <cellStyle name="Normal 58 3 8 3 2 3" xfId="39441" xr:uid="{00000000-0005-0000-0000-000009A00000}"/>
    <cellStyle name="Normal 58 3 8 3 3" xfId="10307" xr:uid="{00000000-0005-0000-0000-00000AA00000}"/>
    <cellStyle name="Normal 58 3 8 3 3 2" xfId="35864" xr:uid="{00000000-0005-0000-0000-00000BA00000}"/>
    <cellStyle name="Normal 58 3 8 3 4" xfId="19130" xr:uid="{00000000-0005-0000-0000-00000CA00000}"/>
    <cellStyle name="Normal 58 3 8 3 4 2" xfId="44683" xr:uid="{00000000-0005-0000-0000-00000DA00000}"/>
    <cellStyle name="Normal 58 3 8 3 5" xfId="30620" xr:uid="{00000000-0005-0000-0000-00000EA00000}"/>
    <cellStyle name="Normal 58 3 8 4" xfId="1722" xr:uid="{00000000-0005-0000-0000-00000FA00000}"/>
    <cellStyle name="Normal 58 3 8 4 2" xfId="11096" xr:uid="{00000000-0005-0000-0000-000010A00000}"/>
    <cellStyle name="Normal 58 3 8 4 2 2" xfId="36651" xr:uid="{00000000-0005-0000-0000-000011A00000}"/>
    <cellStyle name="Normal 58 3 8 4 3" xfId="21100" xr:uid="{00000000-0005-0000-0000-000012A00000}"/>
    <cellStyle name="Normal 58 3 8 4 3 2" xfId="46653" xr:uid="{00000000-0005-0000-0000-000013A00000}"/>
    <cellStyle name="Normal 58 3 8 4 4" xfId="27583" xr:uid="{00000000-0005-0000-0000-000014A00000}"/>
    <cellStyle name="Normal 58 3 8 5" xfId="6504" xr:uid="{00000000-0005-0000-0000-000015A00000}"/>
    <cellStyle name="Normal 58 3 8 5 2" xfId="15331" xr:uid="{00000000-0005-0000-0000-000016A00000}"/>
    <cellStyle name="Normal 58 3 8 5 2 2" xfId="40886" xr:uid="{00000000-0005-0000-0000-000017A00000}"/>
    <cellStyle name="Normal 58 3 8 5 3" xfId="25582" xr:uid="{00000000-0005-0000-0000-000018A00000}"/>
    <cellStyle name="Normal 58 3 8 5 3 2" xfId="51135" xr:uid="{00000000-0005-0000-0000-000019A00000}"/>
    <cellStyle name="Normal 58 3 8 5 4" xfId="32065" xr:uid="{00000000-0005-0000-0000-00001AA00000}"/>
    <cellStyle name="Normal 58 3 8 6" xfId="7950" xr:uid="{00000000-0005-0000-0000-00001BA00000}"/>
    <cellStyle name="Normal 58 3 8 6 2" xfId="20437" xr:uid="{00000000-0005-0000-0000-00001CA00000}"/>
    <cellStyle name="Normal 58 3 8 6 2 2" xfId="45990" xr:uid="{00000000-0005-0000-0000-00001DA00000}"/>
    <cellStyle name="Normal 58 3 8 6 3" xfId="33507" xr:uid="{00000000-0005-0000-0000-00001EA00000}"/>
    <cellStyle name="Normal 58 3 8 7" xfId="16093" xr:uid="{00000000-0005-0000-0000-00001FA00000}"/>
    <cellStyle name="Normal 58 3 8 7 2" xfId="41646" xr:uid="{00000000-0005-0000-0000-000020A00000}"/>
    <cellStyle name="Normal 58 3 8 8" xfId="26920" xr:uid="{00000000-0005-0000-0000-000021A00000}"/>
    <cellStyle name="Normal 58 3 9" xfId="2620" xr:uid="{00000000-0005-0000-0000-000022A00000}"/>
    <cellStyle name="Normal 58 3 9 2" xfId="5146" xr:uid="{00000000-0005-0000-0000-000023A00000}"/>
    <cellStyle name="Normal 58 3 9 2 2" xfId="13983" xr:uid="{00000000-0005-0000-0000-000024A00000}"/>
    <cellStyle name="Normal 58 3 9 2 2 2" xfId="24234" xr:uid="{00000000-0005-0000-0000-000025A00000}"/>
    <cellStyle name="Normal 58 3 9 2 2 2 2" xfId="49787" xr:uid="{00000000-0005-0000-0000-000026A00000}"/>
    <cellStyle name="Normal 58 3 9 2 2 3" xfId="39538" xr:uid="{00000000-0005-0000-0000-000027A00000}"/>
    <cellStyle name="Normal 58 3 9 2 3" xfId="10404" xr:uid="{00000000-0005-0000-0000-000028A00000}"/>
    <cellStyle name="Normal 58 3 9 2 3 2" xfId="35961" xr:uid="{00000000-0005-0000-0000-000029A00000}"/>
    <cellStyle name="Normal 58 3 9 2 4" xfId="19227" xr:uid="{00000000-0005-0000-0000-00002AA00000}"/>
    <cellStyle name="Normal 58 3 9 2 4 2" xfId="44780" xr:uid="{00000000-0005-0000-0000-00002BA00000}"/>
    <cellStyle name="Normal 58 3 9 2 5" xfId="30717" xr:uid="{00000000-0005-0000-0000-00002CA00000}"/>
    <cellStyle name="Normal 58 3 9 3" xfId="6601" xr:uid="{00000000-0005-0000-0000-00002DA00000}"/>
    <cellStyle name="Normal 58 3 9 3 2" xfId="15428" xr:uid="{00000000-0005-0000-0000-00002EA00000}"/>
    <cellStyle name="Normal 58 3 9 3 2 2" xfId="40983" xr:uid="{00000000-0005-0000-0000-00002FA00000}"/>
    <cellStyle name="Normal 58 3 9 3 3" xfId="25679" xr:uid="{00000000-0005-0000-0000-000030A00000}"/>
    <cellStyle name="Normal 58 3 9 3 3 2" xfId="51232" xr:uid="{00000000-0005-0000-0000-000031A00000}"/>
    <cellStyle name="Normal 58 3 9 3 4" xfId="32162" xr:uid="{00000000-0005-0000-0000-000032A00000}"/>
    <cellStyle name="Normal 58 3 9 4" xfId="8047" xr:uid="{00000000-0005-0000-0000-000033A00000}"/>
    <cellStyle name="Normal 58 3 9 4 2" xfId="21983" xr:uid="{00000000-0005-0000-0000-000034A00000}"/>
    <cellStyle name="Normal 58 3 9 4 2 2" xfId="47536" xr:uid="{00000000-0005-0000-0000-000035A00000}"/>
    <cellStyle name="Normal 58 3 9 4 3" xfId="33604" xr:uid="{00000000-0005-0000-0000-000036A00000}"/>
    <cellStyle name="Normal 58 3 9 5" xfId="16976" xr:uid="{00000000-0005-0000-0000-000037A00000}"/>
    <cellStyle name="Normal 58 3 9 5 2" xfId="42529" xr:uid="{00000000-0005-0000-0000-000038A00000}"/>
    <cellStyle name="Normal 58 3 9 6" xfId="28466" xr:uid="{00000000-0005-0000-0000-000039A00000}"/>
    <cellStyle name="Normal 58 3_Degree data" xfId="3992" xr:uid="{00000000-0005-0000-0000-00003AA00000}"/>
    <cellStyle name="Normal 58 4" xfId="127" xr:uid="{00000000-0005-0000-0000-00003BA00000}"/>
    <cellStyle name="Normal 58 4 10" xfId="4095" xr:uid="{00000000-0005-0000-0000-00003CA00000}"/>
    <cellStyle name="Normal 58 4 10 2" xfId="5553" xr:uid="{00000000-0005-0000-0000-00003DA00000}"/>
    <cellStyle name="Normal 58 4 10 2 2" xfId="14380" xr:uid="{00000000-0005-0000-0000-00003EA00000}"/>
    <cellStyle name="Normal 58 4 10 2 2 2" xfId="39935" xr:uid="{00000000-0005-0000-0000-00003FA00000}"/>
    <cellStyle name="Normal 58 4 10 2 3" xfId="24631" xr:uid="{00000000-0005-0000-0000-000040A00000}"/>
    <cellStyle name="Normal 58 4 10 2 3 2" xfId="50184" xr:uid="{00000000-0005-0000-0000-000041A00000}"/>
    <cellStyle name="Normal 58 4 10 2 4" xfId="31114" xr:uid="{00000000-0005-0000-0000-000042A00000}"/>
    <cellStyle name="Normal 58 4 10 3" xfId="6997" xr:uid="{00000000-0005-0000-0000-000043A00000}"/>
    <cellStyle name="Normal 58 4 10 3 2" xfId="23184" xr:uid="{00000000-0005-0000-0000-000044A00000}"/>
    <cellStyle name="Normal 58 4 10 3 2 2" xfId="48737" xr:uid="{00000000-0005-0000-0000-000045A00000}"/>
    <cellStyle name="Normal 58 4 10 3 3" xfId="32554" xr:uid="{00000000-0005-0000-0000-000046A00000}"/>
    <cellStyle name="Normal 58 4 10 4" xfId="18177" xr:uid="{00000000-0005-0000-0000-000047A00000}"/>
    <cellStyle name="Normal 58 4 10 4 2" xfId="43730" xr:uid="{00000000-0005-0000-0000-000048A00000}"/>
    <cellStyle name="Normal 58 4 10 5" xfId="29667" xr:uid="{00000000-0005-0000-0000-000049A00000}"/>
    <cellStyle name="Normal 58 4 11" xfId="1412" xr:uid="{00000000-0005-0000-0000-00004AA00000}"/>
    <cellStyle name="Normal 58 4 11 2" xfId="10789" xr:uid="{00000000-0005-0000-0000-00004BA00000}"/>
    <cellStyle name="Normal 58 4 11 2 2" xfId="36344" xr:uid="{00000000-0005-0000-0000-00004CA00000}"/>
    <cellStyle name="Normal 58 4 11 3" xfId="20793" xr:uid="{00000000-0005-0000-0000-00004DA00000}"/>
    <cellStyle name="Normal 58 4 11 3 2" xfId="46346" xr:uid="{00000000-0005-0000-0000-00004EA00000}"/>
    <cellStyle name="Normal 58 4 11 4" xfId="27276" xr:uid="{00000000-0005-0000-0000-00004FA00000}"/>
    <cellStyle name="Normal 58 4 12" xfId="5523" xr:uid="{00000000-0005-0000-0000-000050A00000}"/>
    <cellStyle name="Normal 58 4 12 2" xfId="14350" xr:uid="{00000000-0005-0000-0000-000051A00000}"/>
    <cellStyle name="Normal 58 4 12 2 2" xfId="39905" xr:uid="{00000000-0005-0000-0000-000052A00000}"/>
    <cellStyle name="Normal 58 4 12 3" xfId="24601" xr:uid="{00000000-0005-0000-0000-000053A00000}"/>
    <cellStyle name="Normal 58 4 12 3 2" xfId="50154" xr:uid="{00000000-0005-0000-0000-000054A00000}"/>
    <cellStyle name="Normal 58 4 12 4" xfId="31084" xr:uid="{00000000-0005-0000-0000-000055A00000}"/>
    <cellStyle name="Normal 58 4 13" xfId="6964" xr:uid="{00000000-0005-0000-0000-000056A00000}"/>
    <cellStyle name="Normal 58 4 13 2" xfId="19594" xr:uid="{00000000-0005-0000-0000-000057A00000}"/>
    <cellStyle name="Normal 58 4 13 2 2" xfId="45147" xr:uid="{00000000-0005-0000-0000-000058A00000}"/>
    <cellStyle name="Normal 58 4 13 3" xfId="32522" xr:uid="{00000000-0005-0000-0000-000059A00000}"/>
    <cellStyle name="Normal 58 4 14" xfId="15786" xr:uid="{00000000-0005-0000-0000-00005AA00000}"/>
    <cellStyle name="Normal 58 4 14 2" xfId="41339" xr:uid="{00000000-0005-0000-0000-00005BA00000}"/>
    <cellStyle name="Normal 58 4 15" xfId="26077" xr:uid="{00000000-0005-0000-0000-00005CA00000}"/>
    <cellStyle name="Normal 58 4 2" xfId="144" xr:uid="{00000000-0005-0000-0000-00005DA00000}"/>
    <cellStyle name="Normal 58 4 2 10" xfId="5655" xr:uid="{00000000-0005-0000-0000-00005EA00000}"/>
    <cellStyle name="Normal 58 4 2 10 2" xfId="14482" xr:uid="{00000000-0005-0000-0000-00005FA00000}"/>
    <cellStyle name="Normal 58 4 2 10 2 2" xfId="40037" xr:uid="{00000000-0005-0000-0000-000060A00000}"/>
    <cellStyle name="Normal 58 4 2 10 3" xfId="24733" xr:uid="{00000000-0005-0000-0000-000061A00000}"/>
    <cellStyle name="Normal 58 4 2 10 3 2" xfId="50286" xr:uid="{00000000-0005-0000-0000-000062A00000}"/>
    <cellStyle name="Normal 58 4 2 10 4" xfId="31216" xr:uid="{00000000-0005-0000-0000-000063A00000}"/>
    <cellStyle name="Normal 58 4 2 11" xfId="7099" xr:uid="{00000000-0005-0000-0000-000064A00000}"/>
    <cellStyle name="Normal 58 4 2 11 2" xfId="19608" xr:uid="{00000000-0005-0000-0000-000065A00000}"/>
    <cellStyle name="Normal 58 4 2 11 2 2" xfId="45161" xr:uid="{00000000-0005-0000-0000-000066A00000}"/>
    <cellStyle name="Normal 58 4 2 11 3" xfId="32656" xr:uid="{00000000-0005-0000-0000-000067A00000}"/>
    <cellStyle name="Normal 58 4 2 12" xfId="15845" xr:uid="{00000000-0005-0000-0000-000068A00000}"/>
    <cellStyle name="Normal 58 4 2 12 2" xfId="41398" xr:uid="{00000000-0005-0000-0000-000069A00000}"/>
    <cellStyle name="Normal 58 4 2 13" xfId="26091" xr:uid="{00000000-0005-0000-0000-00006AA00000}"/>
    <cellStyle name="Normal 58 4 2 2" xfId="260" xr:uid="{00000000-0005-0000-0000-00006BA00000}"/>
    <cellStyle name="Normal 58 4 2 2 10" xfId="16049" xr:uid="{00000000-0005-0000-0000-00006CA00000}"/>
    <cellStyle name="Normal 58 4 2 2 10 2" xfId="41602" xr:uid="{00000000-0005-0000-0000-00006DA00000}"/>
    <cellStyle name="Normal 58 4 2 2 11" xfId="26195" xr:uid="{00000000-0005-0000-0000-00006EA00000}"/>
    <cellStyle name="Normal 58 4 2 2 2" xfId="583" xr:uid="{00000000-0005-0000-0000-00006FA00000}"/>
    <cellStyle name="Normal 58 4 2 2 2 2" xfId="3069" xr:uid="{00000000-0005-0000-0000-000070A00000}"/>
    <cellStyle name="Normal 58 4 2 2 2 2 2" xfId="12220" xr:uid="{00000000-0005-0000-0000-000071A00000}"/>
    <cellStyle name="Normal 58 4 2 2 2 2 2 2" xfId="22430" xr:uid="{00000000-0005-0000-0000-000072A00000}"/>
    <cellStyle name="Normal 58 4 2 2 2 2 2 2 2" xfId="47983" xr:uid="{00000000-0005-0000-0000-000073A00000}"/>
    <cellStyle name="Normal 58 4 2 2 2 2 2 3" xfId="37775" xr:uid="{00000000-0005-0000-0000-000074A00000}"/>
    <cellStyle name="Normal 58 4 2 2 2 2 3" xfId="8642" xr:uid="{00000000-0005-0000-0000-000075A00000}"/>
    <cellStyle name="Normal 58 4 2 2 2 2 3 2" xfId="34199" xr:uid="{00000000-0005-0000-0000-000076A00000}"/>
    <cellStyle name="Normal 58 4 2 2 2 2 4" xfId="17423" xr:uid="{00000000-0005-0000-0000-000077A00000}"/>
    <cellStyle name="Normal 58 4 2 2 2 2 4 2" xfId="42976" xr:uid="{00000000-0005-0000-0000-000078A00000}"/>
    <cellStyle name="Normal 58 4 2 2 2 2 5" xfId="28913" xr:uid="{00000000-0005-0000-0000-000079A00000}"/>
    <cellStyle name="Normal 58 4 2 2 2 3" xfId="4714" xr:uid="{00000000-0005-0000-0000-00007AA00000}"/>
    <cellStyle name="Normal 58 4 2 2 2 3 2" xfId="13552" xr:uid="{00000000-0005-0000-0000-00007BA00000}"/>
    <cellStyle name="Normal 58 4 2 2 2 3 2 2" xfId="23803" xr:uid="{00000000-0005-0000-0000-00007CA00000}"/>
    <cellStyle name="Normal 58 4 2 2 2 3 2 2 2" xfId="49356" xr:uid="{00000000-0005-0000-0000-00007DA00000}"/>
    <cellStyle name="Normal 58 4 2 2 2 3 2 3" xfId="39107" xr:uid="{00000000-0005-0000-0000-00007EA00000}"/>
    <cellStyle name="Normal 58 4 2 2 2 3 3" xfId="9973" xr:uid="{00000000-0005-0000-0000-00007FA00000}"/>
    <cellStyle name="Normal 58 4 2 2 2 3 3 2" xfId="35530" xr:uid="{00000000-0005-0000-0000-000080A00000}"/>
    <cellStyle name="Normal 58 4 2 2 2 3 4" xfId="18796" xr:uid="{00000000-0005-0000-0000-000081A00000}"/>
    <cellStyle name="Normal 58 4 2 2 2 3 4 2" xfId="44349" xr:uid="{00000000-0005-0000-0000-000082A00000}"/>
    <cellStyle name="Normal 58 4 2 2 2 3 5" xfId="30286" xr:uid="{00000000-0005-0000-0000-000083A00000}"/>
    <cellStyle name="Normal 58 4 2 2 2 4" xfId="2178" xr:uid="{00000000-0005-0000-0000-000084A00000}"/>
    <cellStyle name="Normal 58 4 2 2 2 4 2" xfId="11543" xr:uid="{00000000-0005-0000-0000-000085A00000}"/>
    <cellStyle name="Normal 58 4 2 2 2 4 2 2" xfId="37098" xr:uid="{00000000-0005-0000-0000-000086A00000}"/>
    <cellStyle name="Normal 58 4 2 2 2 4 3" xfId="21547" xr:uid="{00000000-0005-0000-0000-000087A00000}"/>
    <cellStyle name="Normal 58 4 2 2 2 4 3 2" xfId="47100" xr:uid="{00000000-0005-0000-0000-000088A00000}"/>
    <cellStyle name="Normal 58 4 2 2 2 4 4" xfId="28030" xr:uid="{00000000-0005-0000-0000-000089A00000}"/>
    <cellStyle name="Normal 58 4 2 2 2 5" xfId="6170" xr:uid="{00000000-0005-0000-0000-00008AA00000}"/>
    <cellStyle name="Normal 58 4 2 2 2 5 2" xfId="14997" xr:uid="{00000000-0005-0000-0000-00008BA00000}"/>
    <cellStyle name="Normal 58 4 2 2 2 5 2 2" xfId="40552" xr:uid="{00000000-0005-0000-0000-00008CA00000}"/>
    <cellStyle name="Normal 58 4 2 2 2 5 3" xfId="25248" xr:uid="{00000000-0005-0000-0000-00008DA00000}"/>
    <cellStyle name="Normal 58 4 2 2 2 5 3 2" xfId="50801" xr:uid="{00000000-0005-0000-0000-00008EA00000}"/>
    <cellStyle name="Normal 58 4 2 2 2 5 4" xfId="31731" xr:uid="{00000000-0005-0000-0000-00008FA00000}"/>
    <cellStyle name="Normal 58 4 2 2 2 6" xfId="7615" xr:uid="{00000000-0005-0000-0000-000090A00000}"/>
    <cellStyle name="Normal 58 4 2 2 2 6 2" xfId="20029" xr:uid="{00000000-0005-0000-0000-000091A00000}"/>
    <cellStyle name="Normal 58 4 2 2 2 6 2 2" xfId="45582" xr:uid="{00000000-0005-0000-0000-000092A00000}"/>
    <cellStyle name="Normal 58 4 2 2 2 6 3" xfId="33172" xr:uid="{00000000-0005-0000-0000-000093A00000}"/>
    <cellStyle name="Normal 58 4 2 2 2 7" xfId="16540" xr:uid="{00000000-0005-0000-0000-000094A00000}"/>
    <cellStyle name="Normal 58 4 2 2 2 7 2" xfId="42093" xr:uid="{00000000-0005-0000-0000-000095A00000}"/>
    <cellStyle name="Normal 58 4 2 2 2 8" xfId="26512" xr:uid="{00000000-0005-0000-0000-000096A00000}"/>
    <cellStyle name="Normal 58 4 2 2 3" xfId="900" xr:uid="{00000000-0005-0000-0000-000097A00000}"/>
    <cellStyle name="Normal 58 4 2 2 3 2" xfId="3385" xr:uid="{00000000-0005-0000-0000-000098A00000}"/>
    <cellStyle name="Normal 58 4 2 2 3 2 2" xfId="12527" xr:uid="{00000000-0005-0000-0000-000099A00000}"/>
    <cellStyle name="Normal 58 4 2 2 3 2 2 2" xfId="22746" xr:uid="{00000000-0005-0000-0000-00009AA00000}"/>
    <cellStyle name="Normal 58 4 2 2 3 2 2 2 2" xfId="48299" xr:uid="{00000000-0005-0000-0000-00009BA00000}"/>
    <cellStyle name="Normal 58 4 2 2 3 2 2 3" xfId="38082" xr:uid="{00000000-0005-0000-0000-00009CA00000}"/>
    <cellStyle name="Normal 58 4 2 2 3 2 3" xfId="8949" xr:uid="{00000000-0005-0000-0000-00009DA00000}"/>
    <cellStyle name="Normal 58 4 2 2 3 2 3 2" xfId="34506" xr:uid="{00000000-0005-0000-0000-00009EA00000}"/>
    <cellStyle name="Normal 58 4 2 2 3 2 4" xfId="17739" xr:uid="{00000000-0005-0000-0000-00009FA00000}"/>
    <cellStyle name="Normal 58 4 2 2 3 2 4 2" xfId="43292" xr:uid="{00000000-0005-0000-0000-0000A0A00000}"/>
    <cellStyle name="Normal 58 4 2 2 3 2 5" xfId="29229" xr:uid="{00000000-0005-0000-0000-0000A1A00000}"/>
    <cellStyle name="Normal 58 4 2 2 3 3" xfId="5063" xr:uid="{00000000-0005-0000-0000-0000A2A00000}"/>
    <cellStyle name="Normal 58 4 2 2 3 3 2" xfId="13900" xr:uid="{00000000-0005-0000-0000-0000A3A00000}"/>
    <cellStyle name="Normal 58 4 2 2 3 3 2 2" xfId="24151" xr:uid="{00000000-0005-0000-0000-0000A4A00000}"/>
    <cellStyle name="Normal 58 4 2 2 3 3 2 2 2" xfId="49704" xr:uid="{00000000-0005-0000-0000-0000A5A00000}"/>
    <cellStyle name="Normal 58 4 2 2 3 3 2 3" xfId="39455" xr:uid="{00000000-0005-0000-0000-0000A6A00000}"/>
    <cellStyle name="Normal 58 4 2 2 3 3 3" xfId="10321" xr:uid="{00000000-0005-0000-0000-0000A7A00000}"/>
    <cellStyle name="Normal 58 4 2 2 3 3 3 2" xfId="35878" xr:uid="{00000000-0005-0000-0000-0000A8A00000}"/>
    <cellStyle name="Normal 58 4 2 2 3 3 4" xfId="19144" xr:uid="{00000000-0005-0000-0000-0000A9A00000}"/>
    <cellStyle name="Normal 58 4 2 2 3 3 4 2" xfId="44697" xr:uid="{00000000-0005-0000-0000-0000AAA00000}"/>
    <cellStyle name="Normal 58 4 2 2 3 3 5" xfId="30634" xr:uid="{00000000-0005-0000-0000-0000ABA00000}"/>
    <cellStyle name="Normal 58 4 2 2 3 4" xfId="2494" xr:uid="{00000000-0005-0000-0000-0000ACA00000}"/>
    <cellStyle name="Normal 58 4 2 2 3 4 2" xfId="11859" xr:uid="{00000000-0005-0000-0000-0000ADA00000}"/>
    <cellStyle name="Normal 58 4 2 2 3 4 2 2" xfId="37414" xr:uid="{00000000-0005-0000-0000-0000AEA00000}"/>
    <cellStyle name="Normal 58 4 2 2 3 4 3" xfId="21863" xr:uid="{00000000-0005-0000-0000-0000AFA00000}"/>
    <cellStyle name="Normal 58 4 2 2 3 4 3 2" xfId="47416" xr:uid="{00000000-0005-0000-0000-0000B0A00000}"/>
    <cellStyle name="Normal 58 4 2 2 3 4 4" xfId="28346" xr:uid="{00000000-0005-0000-0000-0000B1A00000}"/>
    <cellStyle name="Normal 58 4 2 2 3 5" xfId="6518" xr:uid="{00000000-0005-0000-0000-0000B2A00000}"/>
    <cellStyle name="Normal 58 4 2 2 3 5 2" xfId="15345" xr:uid="{00000000-0005-0000-0000-0000B3A00000}"/>
    <cellStyle name="Normal 58 4 2 2 3 5 2 2" xfId="40900" xr:uid="{00000000-0005-0000-0000-0000B4A00000}"/>
    <cellStyle name="Normal 58 4 2 2 3 5 3" xfId="25596" xr:uid="{00000000-0005-0000-0000-0000B5A00000}"/>
    <cellStyle name="Normal 58 4 2 2 3 5 3 2" xfId="51149" xr:uid="{00000000-0005-0000-0000-0000B6A00000}"/>
    <cellStyle name="Normal 58 4 2 2 3 5 4" xfId="32079" xr:uid="{00000000-0005-0000-0000-0000B7A00000}"/>
    <cellStyle name="Normal 58 4 2 2 3 6" xfId="7964" xr:uid="{00000000-0005-0000-0000-0000B8A00000}"/>
    <cellStyle name="Normal 58 4 2 2 3 6 2" xfId="20345" xr:uid="{00000000-0005-0000-0000-0000B9A00000}"/>
    <cellStyle name="Normal 58 4 2 2 3 6 2 2" xfId="45898" xr:uid="{00000000-0005-0000-0000-0000BAA00000}"/>
    <cellStyle name="Normal 58 4 2 2 3 6 3" xfId="33521" xr:uid="{00000000-0005-0000-0000-0000BBA00000}"/>
    <cellStyle name="Normal 58 4 2 2 3 7" xfId="16856" xr:uid="{00000000-0005-0000-0000-0000BCA00000}"/>
    <cellStyle name="Normal 58 4 2 2 3 7 2" xfId="42409" xr:uid="{00000000-0005-0000-0000-0000BDA00000}"/>
    <cellStyle name="Normal 58 4 2 2 3 8" xfId="26828" xr:uid="{00000000-0005-0000-0000-0000BEA00000}"/>
    <cellStyle name="Normal 58 4 2 2 4" xfId="1355" xr:uid="{00000000-0005-0000-0000-0000BFA00000}"/>
    <cellStyle name="Normal 58 4 2 2 4 2" xfId="3784" xr:uid="{00000000-0005-0000-0000-0000C0A00000}"/>
    <cellStyle name="Normal 58 4 2 2 4 2 2" xfId="12920" xr:uid="{00000000-0005-0000-0000-0000C1A00000}"/>
    <cellStyle name="Normal 58 4 2 2 4 2 2 2" xfId="23139" xr:uid="{00000000-0005-0000-0000-0000C2A00000}"/>
    <cellStyle name="Normal 58 4 2 2 4 2 2 2 2" xfId="48692" xr:uid="{00000000-0005-0000-0000-0000C3A00000}"/>
    <cellStyle name="Normal 58 4 2 2 4 2 2 3" xfId="38475" xr:uid="{00000000-0005-0000-0000-0000C4A00000}"/>
    <cellStyle name="Normal 58 4 2 2 4 2 3" xfId="9341" xr:uid="{00000000-0005-0000-0000-0000C5A00000}"/>
    <cellStyle name="Normal 58 4 2 2 4 2 3 2" xfId="34898" xr:uid="{00000000-0005-0000-0000-0000C6A00000}"/>
    <cellStyle name="Normal 58 4 2 2 4 2 4" xfId="18132" xr:uid="{00000000-0005-0000-0000-0000C7A00000}"/>
    <cellStyle name="Normal 58 4 2 2 4 2 4 2" xfId="43685" xr:uid="{00000000-0005-0000-0000-0000C8A00000}"/>
    <cellStyle name="Normal 58 4 2 2 4 2 5" xfId="29622" xr:uid="{00000000-0005-0000-0000-0000C9A00000}"/>
    <cellStyle name="Normal 58 4 2 2 4 3" xfId="5447" xr:uid="{00000000-0005-0000-0000-0000CAA00000}"/>
    <cellStyle name="Normal 58 4 2 2 4 3 2" xfId="14284" xr:uid="{00000000-0005-0000-0000-0000CBA00000}"/>
    <cellStyle name="Normal 58 4 2 2 4 3 2 2" xfId="24535" xr:uid="{00000000-0005-0000-0000-0000CCA00000}"/>
    <cellStyle name="Normal 58 4 2 2 4 3 2 2 2" xfId="50088" xr:uid="{00000000-0005-0000-0000-0000CDA00000}"/>
    <cellStyle name="Normal 58 4 2 2 4 3 2 3" xfId="39839" xr:uid="{00000000-0005-0000-0000-0000CEA00000}"/>
    <cellStyle name="Normal 58 4 2 2 4 3 3" xfId="10705" xr:uid="{00000000-0005-0000-0000-0000CFA00000}"/>
    <cellStyle name="Normal 58 4 2 2 4 3 3 2" xfId="36262" xr:uid="{00000000-0005-0000-0000-0000D0A00000}"/>
    <cellStyle name="Normal 58 4 2 2 4 3 4" xfId="19528" xr:uid="{00000000-0005-0000-0000-0000D1A00000}"/>
    <cellStyle name="Normal 58 4 2 2 4 3 4 2" xfId="45081" xr:uid="{00000000-0005-0000-0000-0000D2A00000}"/>
    <cellStyle name="Normal 58 4 2 2 4 3 5" xfId="31018" xr:uid="{00000000-0005-0000-0000-0000D3A00000}"/>
    <cellStyle name="Normal 58 4 2 2 4 4" xfId="1858" xr:uid="{00000000-0005-0000-0000-0000D4A00000}"/>
    <cellStyle name="Normal 58 4 2 2 4 4 2" xfId="11226" xr:uid="{00000000-0005-0000-0000-0000D5A00000}"/>
    <cellStyle name="Normal 58 4 2 2 4 4 2 2" xfId="36781" xr:uid="{00000000-0005-0000-0000-0000D6A00000}"/>
    <cellStyle name="Normal 58 4 2 2 4 4 3" xfId="21230" xr:uid="{00000000-0005-0000-0000-0000D7A00000}"/>
    <cellStyle name="Normal 58 4 2 2 4 4 3 2" xfId="46783" xr:uid="{00000000-0005-0000-0000-0000D8A00000}"/>
    <cellStyle name="Normal 58 4 2 2 4 4 4" xfId="27713" xr:uid="{00000000-0005-0000-0000-0000D9A00000}"/>
    <cellStyle name="Normal 58 4 2 2 4 5" xfId="6902" xr:uid="{00000000-0005-0000-0000-0000DAA00000}"/>
    <cellStyle name="Normal 58 4 2 2 4 5 2" xfId="15729" xr:uid="{00000000-0005-0000-0000-0000DBA00000}"/>
    <cellStyle name="Normal 58 4 2 2 4 5 2 2" xfId="41284" xr:uid="{00000000-0005-0000-0000-0000DCA00000}"/>
    <cellStyle name="Normal 58 4 2 2 4 5 3" xfId="25980" xr:uid="{00000000-0005-0000-0000-0000DDA00000}"/>
    <cellStyle name="Normal 58 4 2 2 4 5 3 2" xfId="51533" xr:uid="{00000000-0005-0000-0000-0000DEA00000}"/>
    <cellStyle name="Normal 58 4 2 2 4 5 4" xfId="32463" xr:uid="{00000000-0005-0000-0000-0000DFA00000}"/>
    <cellStyle name="Normal 58 4 2 2 4 6" xfId="8348" xr:uid="{00000000-0005-0000-0000-0000E0A00000}"/>
    <cellStyle name="Normal 58 4 2 2 4 6 2" xfId="20738" xr:uid="{00000000-0005-0000-0000-0000E1A00000}"/>
    <cellStyle name="Normal 58 4 2 2 4 6 2 2" xfId="46291" xr:uid="{00000000-0005-0000-0000-0000E2A00000}"/>
    <cellStyle name="Normal 58 4 2 2 4 6 3" xfId="33905" xr:uid="{00000000-0005-0000-0000-0000E3A00000}"/>
    <cellStyle name="Normal 58 4 2 2 4 7" xfId="16223" xr:uid="{00000000-0005-0000-0000-0000E4A00000}"/>
    <cellStyle name="Normal 58 4 2 2 4 7 2" xfId="41776" xr:uid="{00000000-0005-0000-0000-0000E5A00000}"/>
    <cellStyle name="Normal 58 4 2 2 4 8" xfId="27221" xr:uid="{00000000-0005-0000-0000-0000E6A00000}"/>
    <cellStyle name="Normal 58 4 2 2 5" xfId="2752" xr:uid="{00000000-0005-0000-0000-0000E7A00000}"/>
    <cellStyle name="Normal 58 4 2 2 5 2" xfId="12069" xr:uid="{00000000-0005-0000-0000-0000E8A00000}"/>
    <cellStyle name="Normal 58 4 2 2 5 2 2" xfId="22113" xr:uid="{00000000-0005-0000-0000-0000E9A00000}"/>
    <cellStyle name="Normal 58 4 2 2 5 2 2 2" xfId="47666" xr:uid="{00000000-0005-0000-0000-0000EAA00000}"/>
    <cellStyle name="Normal 58 4 2 2 5 2 3" xfId="37624" xr:uid="{00000000-0005-0000-0000-0000EBA00000}"/>
    <cellStyle name="Normal 58 4 2 2 5 3" xfId="8397" xr:uid="{00000000-0005-0000-0000-0000ECA00000}"/>
    <cellStyle name="Normal 58 4 2 2 5 3 2" xfId="33954" xr:uid="{00000000-0005-0000-0000-0000EDA00000}"/>
    <cellStyle name="Normal 58 4 2 2 5 4" xfId="17106" xr:uid="{00000000-0005-0000-0000-0000EEA00000}"/>
    <cellStyle name="Normal 58 4 2 2 5 4 2" xfId="42659" xr:uid="{00000000-0005-0000-0000-0000EFA00000}"/>
    <cellStyle name="Normal 58 4 2 2 5 5" xfId="28596" xr:uid="{00000000-0005-0000-0000-0000F0A00000}"/>
    <cellStyle name="Normal 58 4 2 2 6" xfId="4403" xr:uid="{00000000-0005-0000-0000-0000F1A00000}"/>
    <cellStyle name="Normal 58 4 2 2 6 2" xfId="13241" xr:uid="{00000000-0005-0000-0000-0000F2A00000}"/>
    <cellStyle name="Normal 58 4 2 2 6 2 2" xfId="23492" xr:uid="{00000000-0005-0000-0000-0000F3A00000}"/>
    <cellStyle name="Normal 58 4 2 2 6 2 2 2" xfId="49045" xr:uid="{00000000-0005-0000-0000-0000F4A00000}"/>
    <cellStyle name="Normal 58 4 2 2 6 2 3" xfId="38796" xr:uid="{00000000-0005-0000-0000-0000F5A00000}"/>
    <cellStyle name="Normal 58 4 2 2 6 3" xfId="9662" xr:uid="{00000000-0005-0000-0000-0000F6A00000}"/>
    <cellStyle name="Normal 58 4 2 2 6 3 2" xfId="35219" xr:uid="{00000000-0005-0000-0000-0000F7A00000}"/>
    <cellStyle name="Normal 58 4 2 2 6 4" xfId="18485" xr:uid="{00000000-0005-0000-0000-0000F8A00000}"/>
    <cellStyle name="Normal 58 4 2 2 6 4 2" xfId="44038" xr:uid="{00000000-0005-0000-0000-0000F9A00000}"/>
    <cellStyle name="Normal 58 4 2 2 6 5" xfId="29975" xr:uid="{00000000-0005-0000-0000-0000FAA00000}"/>
    <cellStyle name="Normal 58 4 2 2 7" xfId="1675" xr:uid="{00000000-0005-0000-0000-0000FBA00000}"/>
    <cellStyle name="Normal 58 4 2 2 7 2" xfId="11052" xr:uid="{00000000-0005-0000-0000-0000FCA00000}"/>
    <cellStyle name="Normal 58 4 2 2 7 2 2" xfId="36607" xr:uid="{00000000-0005-0000-0000-0000FDA00000}"/>
    <cellStyle name="Normal 58 4 2 2 7 3" xfId="21056" xr:uid="{00000000-0005-0000-0000-0000FEA00000}"/>
    <cellStyle name="Normal 58 4 2 2 7 3 2" xfId="46609" xr:uid="{00000000-0005-0000-0000-0000FFA00000}"/>
    <cellStyle name="Normal 58 4 2 2 7 4" xfId="27539" xr:uid="{00000000-0005-0000-0000-000000A10000}"/>
    <cellStyle name="Normal 58 4 2 2 8" xfId="5859" xr:uid="{00000000-0005-0000-0000-000001A10000}"/>
    <cellStyle name="Normal 58 4 2 2 8 2" xfId="14686" xr:uid="{00000000-0005-0000-0000-000002A10000}"/>
    <cellStyle name="Normal 58 4 2 2 8 2 2" xfId="40241" xr:uid="{00000000-0005-0000-0000-000003A10000}"/>
    <cellStyle name="Normal 58 4 2 2 8 3" xfId="24937" xr:uid="{00000000-0005-0000-0000-000004A10000}"/>
    <cellStyle name="Normal 58 4 2 2 8 3 2" xfId="50490" xr:uid="{00000000-0005-0000-0000-000005A10000}"/>
    <cellStyle name="Normal 58 4 2 2 8 4" xfId="31420" xr:uid="{00000000-0005-0000-0000-000006A10000}"/>
    <cellStyle name="Normal 58 4 2 2 9" xfId="7303" xr:uid="{00000000-0005-0000-0000-000007A10000}"/>
    <cellStyle name="Normal 58 4 2 2 9 2" xfId="19712" xr:uid="{00000000-0005-0000-0000-000008A10000}"/>
    <cellStyle name="Normal 58 4 2 2 9 2 2" xfId="45265" xr:uid="{00000000-0005-0000-0000-000009A10000}"/>
    <cellStyle name="Normal 58 4 2 2 9 3" xfId="32860" xr:uid="{00000000-0005-0000-0000-00000AA10000}"/>
    <cellStyle name="Normal 58 4 2 2_Degree data" xfId="4006" xr:uid="{00000000-0005-0000-0000-00000BA10000}"/>
    <cellStyle name="Normal 58 4 2 3" xfId="479" xr:uid="{00000000-0005-0000-0000-00000CA10000}"/>
    <cellStyle name="Normal 58 4 2 3 10" xfId="26408" xr:uid="{00000000-0005-0000-0000-00000DA10000}"/>
    <cellStyle name="Normal 58 4 2 3 2" xfId="901" xr:uid="{00000000-0005-0000-0000-00000EA10000}"/>
    <cellStyle name="Normal 58 4 2 3 2 2" xfId="3386" xr:uid="{00000000-0005-0000-0000-00000FA10000}"/>
    <cellStyle name="Normal 58 4 2 3 2 2 2" xfId="12528" xr:uid="{00000000-0005-0000-0000-000010A10000}"/>
    <cellStyle name="Normal 58 4 2 3 2 2 2 2" xfId="22747" xr:uid="{00000000-0005-0000-0000-000011A10000}"/>
    <cellStyle name="Normal 58 4 2 3 2 2 2 2 2" xfId="48300" xr:uid="{00000000-0005-0000-0000-000012A10000}"/>
    <cellStyle name="Normal 58 4 2 3 2 2 2 3" xfId="38083" xr:uid="{00000000-0005-0000-0000-000013A10000}"/>
    <cellStyle name="Normal 58 4 2 3 2 2 3" xfId="8950" xr:uid="{00000000-0005-0000-0000-000014A10000}"/>
    <cellStyle name="Normal 58 4 2 3 2 2 3 2" xfId="34507" xr:uid="{00000000-0005-0000-0000-000015A10000}"/>
    <cellStyle name="Normal 58 4 2 3 2 2 4" xfId="17740" xr:uid="{00000000-0005-0000-0000-000016A10000}"/>
    <cellStyle name="Normal 58 4 2 3 2 2 4 2" xfId="43293" xr:uid="{00000000-0005-0000-0000-000017A10000}"/>
    <cellStyle name="Normal 58 4 2 3 2 2 5" xfId="29230" xr:uid="{00000000-0005-0000-0000-000018A10000}"/>
    <cellStyle name="Normal 58 4 2 3 2 3" xfId="4715" xr:uid="{00000000-0005-0000-0000-000019A10000}"/>
    <cellStyle name="Normal 58 4 2 3 2 3 2" xfId="13553" xr:uid="{00000000-0005-0000-0000-00001AA10000}"/>
    <cellStyle name="Normal 58 4 2 3 2 3 2 2" xfId="23804" xr:uid="{00000000-0005-0000-0000-00001BA10000}"/>
    <cellStyle name="Normal 58 4 2 3 2 3 2 2 2" xfId="49357" xr:uid="{00000000-0005-0000-0000-00001CA10000}"/>
    <cellStyle name="Normal 58 4 2 3 2 3 2 3" xfId="39108" xr:uid="{00000000-0005-0000-0000-00001DA10000}"/>
    <cellStyle name="Normal 58 4 2 3 2 3 3" xfId="9974" xr:uid="{00000000-0005-0000-0000-00001EA10000}"/>
    <cellStyle name="Normal 58 4 2 3 2 3 3 2" xfId="35531" xr:uid="{00000000-0005-0000-0000-00001FA10000}"/>
    <cellStyle name="Normal 58 4 2 3 2 3 4" xfId="18797" xr:uid="{00000000-0005-0000-0000-000020A10000}"/>
    <cellStyle name="Normal 58 4 2 3 2 3 4 2" xfId="44350" xr:uid="{00000000-0005-0000-0000-000021A10000}"/>
    <cellStyle name="Normal 58 4 2 3 2 3 5" xfId="30287" xr:uid="{00000000-0005-0000-0000-000022A10000}"/>
    <cellStyle name="Normal 58 4 2 3 2 4" xfId="2495" xr:uid="{00000000-0005-0000-0000-000023A10000}"/>
    <cellStyle name="Normal 58 4 2 3 2 4 2" xfId="11860" xr:uid="{00000000-0005-0000-0000-000024A10000}"/>
    <cellStyle name="Normal 58 4 2 3 2 4 2 2" xfId="37415" xr:uid="{00000000-0005-0000-0000-000025A10000}"/>
    <cellStyle name="Normal 58 4 2 3 2 4 3" xfId="21864" xr:uid="{00000000-0005-0000-0000-000026A10000}"/>
    <cellStyle name="Normal 58 4 2 3 2 4 3 2" xfId="47417" xr:uid="{00000000-0005-0000-0000-000027A10000}"/>
    <cellStyle name="Normal 58 4 2 3 2 4 4" xfId="28347" xr:uid="{00000000-0005-0000-0000-000028A10000}"/>
    <cellStyle name="Normal 58 4 2 3 2 5" xfId="6171" xr:uid="{00000000-0005-0000-0000-000029A10000}"/>
    <cellStyle name="Normal 58 4 2 3 2 5 2" xfId="14998" xr:uid="{00000000-0005-0000-0000-00002AA10000}"/>
    <cellStyle name="Normal 58 4 2 3 2 5 2 2" xfId="40553" xr:uid="{00000000-0005-0000-0000-00002BA10000}"/>
    <cellStyle name="Normal 58 4 2 3 2 5 3" xfId="25249" xr:uid="{00000000-0005-0000-0000-00002CA10000}"/>
    <cellStyle name="Normal 58 4 2 3 2 5 3 2" xfId="50802" xr:uid="{00000000-0005-0000-0000-00002DA10000}"/>
    <cellStyle name="Normal 58 4 2 3 2 5 4" xfId="31732" xr:uid="{00000000-0005-0000-0000-00002EA10000}"/>
    <cellStyle name="Normal 58 4 2 3 2 6" xfId="7616" xr:uid="{00000000-0005-0000-0000-00002FA10000}"/>
    <cellStyle name="Normal 58 4 2 3 2 6 2" xfId="20346" xr:uid="{00000000-0005-0000-0000-000030A10000}"/>
    <cellStyle name="Normal 58 4 2 3 2 6 2 2" xfId="45899" xr:uid="{00000000-0005-0000-0000-000031A10000}"/>
    <cellStyle name="Normal 58 4 2 3 2 6 3" xfId="33173" xr:uid="{00000000-0005-0000-0000-000032A10000}"/>
    <cellStyle name="Normal 58 4 2 3 2 7" xfId="16857" xr:uid="{00000000-0005-0000-0000-000033A10000}"/>
    <cellStyle name="Normal 58 4 2 3 2 7 2" xfId="42410" xr:uid="{00000000-0005-0000-0000-000034A10000}"/>
    <cellStyle name="Normal 58 4 2 3 2 8" xfId="26829" xr:uid="{00000000-0005-0000-0000-000035A10000}"/>
    <cellStyle name="Normal 58 4 2 3 3" xfId="1251" xr:uid="{00000000-0005-0000-0000-000036A10000}"/>
    <cellStyle name="Normal 58 4 2 3 3 2" xfId="3680" xr:uid="{00000000-0005-0000-0000-000037A10000}"/>
    <cellStyle name="Normal 58 4 2 3 3 2 2" xfId="12816" xr:uid="{00000000-0005-0000-0000-000038A10000}"/>
    <cellStyle name="Normal 58 4 2 3 3 2 2 2" xfId="23035" xr:uid="{00000000-0005-0000-0000-000039A10000}"/>
    <cellStyle name="Normal 58 4 2 3 3 2 2 2 2" xfId="48588" xr:uid="{00000000-0005-0000-0000-00003AA10000}"/>
    <cellStyle name="Normal 58 4 2 3 3 2 2 3" xfId="38371" xr:uid="{00000000-0005-0000-0000-00003BA10000}"/>
    <cellStyle name="Normal 58 4 2 3 3 2 3" xfId="9237" xr:uid="{00000000-0005-0000-0000-00003CA10000}"/>
    <cellStyle name="Normal 58 4 2 3 3 2 3 2" xfId="34794" xr:uid="{00000000-0005-0000-0000-00003DA10000}"/>
    <cellStyle name="Normal 58 4 2 3 3 2 4" xfId="18028" xr:uid="{00000000-0005-0000-0000-00003EA10000}"/>
    <cellStyle name="Normal 58 4 2 3 3 2 4 2" xfId="43581" xr:uid="{00000000-0005-0000-0000-00003FA10000}"/>
    <cellStyle name="Normal 58 4 2 3 3 2 5" xfId="29518" xr:uid="{00000000-0005-0000-0000-000040A10000}"/>
    <cellStyle name="Normal 58 4 2 3 3 3" xfId="5064" xr:uid="{00000000-0005-0000-0000-000041A10000}"/>
    <cellStyle name="Normal 58 4 2 3 3 3 2" xfId="13901" xr:uid="{00000000-0005-0000-0000-000042A10000}"/>
    <cellStyle name="Normal 58 4 2 3 3 3 2 2" xfId="24152" xr:uid="{00000000-0005-0000-0000-000043A10000}"/>
    <cellStyle name="Normal 58 4 2 3 3 3 2 2 2" xfId="49705" xr:uid="{00000000-0005-0000-0000-000044A10000}"/>
    <cellStyle name="Normal 58 4 2 3 3 3 2 3" xfId="39456" xr:uid="{00000000-0005-0000-0000-000045A10000}"/>
    <cellStyle name="Normal 58 4 2 3 3 3 3" xfId="10322" xr:uid="{00000000-0005-0000-0000-000046A10000}"/>
    <cellStyle name="Normal 58 4 2 3 3 3 3 2" xfId="35879" xr:uid="{00000000-0005-0000-0000-000047A10000}"/>
    <cellStyle name="Normal 58 4 2 3 3 3 4" xfId="19145" xr:uid="{00000000-0005-0000-0000-000048A10000}"/>
    <cellStyle name="Normal 58 4 2 3 3 3 4 2" xfId="44698" xr:uid="{00000000-0005-0000-0000-000049A10000}"/>
    <cellStyle name="Normal 58 4 2 3 3 3 5" xfId="30635" xr:uid="{00000000-0005-0000-0000-00004AA10000}"/>
    <cellStyle name="Normal 58 4 2 3 3 4" xfId="2074" xr:uid="{00000000-0005-0000-0000-00004BA10000}"/>
    <cellStyle name="Normal 58 4 2 3 3 4 2" xfId="11439" xr:uid="{00000000-0005-0000-0000-00004CA10000}"/>
    <cellStyle name="Normal 58 4 2 3 3 4 2 2" xfId="36994" xr:uid="{00000000-0005-0000-0000-00004DA10000}"/>
    <cellStyle name="Normal 58 4 2 3 3 4 3" xfId="21443" xr:uid="{00000000-0005-0000-0000-00004EA10000}"/>
    <cellStyle name="Normal 58 4 2 3 3 4 3 2" xfId="46996" xr:uid="{00000000-0005-0000-0000-00004FA10000}"/>
    <cellStyle name="Normal 58 4 2 3 3 4 4" xfId="27926" xr:uid="{00000000-0005-0000-0000-000050A10000}"/>
    <cellStyle name="Normal 58 4 2 3 3 5" xfId="6519" xr:uid="{00000000-0005-0000-0000-000051A10000}"/>
    <cellStyle name="Normal 58 4 2 3 3 5 2" xfId="15346" xr:uid="{00000000-0005-0000-0000-000052A10000}"/>
    <cellStyle name="Normal 58 4 2 3 3 5 2 2" xfId="40901" xr:uid="{00000000-0005-0000-0000-000053A10000}"/>
    <cellStyle name="Normal 58 4 2 3 3 5 3" xfId="25597" xr:uid="{00000000-0005-0000-0000-000054A10000}"/>
    <cellStyle name="Normal 58 4 2 3 3 5 3 2" xfId="51150" xr:uid="{00000000-0005-0000-0000-000055A10000}"/>
    <cellStyle name="Normal 58 4 2 3 3 5 4" xfId="32080" xr:uid="{00000000-0005-0000-0000-000056A10000}"/>
    <cellStyle name="Normal 58 4 2 3 3 6" xfId="7965" xr:uid="{00000000-0005-0000-0000-000057A10000}"/>
    <cellStyle name="Normal 58 4 2 3 3 6 2" xfId="20634" xr:uid="{00000000-0005-0000-0000-000058A10000}"/>
    <cellStyle name="Normal 58 4 2 3 3 6 2 2" xfId="46187" xr:uid="{00000000-0005-0000-0000-000059A10000}"/>
    <cellStyle name="Normal 58 4 2 3 3 6 3" xfId="33522" xr:uid="{00000000-0005-0000-0000-00005AA10000}"/>
    <cellStyle name="Normal 58 4 2 3 3 7" xfId="16436" xr:uid="{00000000-0005-0000-0000-00005BA10000}"/>
    <cellStyle name="Normal 58 4 2 3 3 7 2" xfId="41989" xr:uid="{00000000-0005-0000-0000-00005CA10000}"/>
    <cellStyle name="Normal 58 4 2 3 3 8" xfId="27117" xr:uid="{00000000-0005-0000-0000-00005DA10000}"/>
    <cellStyle name="Normal 58 4 2 3 4" xfId="2965" xr:uid="{00000000-0005-0000-0000-00005EA10000}"/>
    <cellStyle name="Normal 58 4 2 3 4 2" xfId="5343" xr:uid="{00000000-0005-0000-0000-00005FA10000}"/>
    <cellStyle name="Normal 58 4 2 3 4 2 2" xfId="14180" xr:uid="{00000000-0005-0000-0000-000060A10000}"/>
    <cellStyle name="Normal 58 4 2 3 4 2 2 2" xfId="24431" xr:uid="{00000000-0005-0000-0000-000061A10000}"/>
    <cellStyle name="Normal 58 4 2 3 4 2 2 2 2" xfId="49984" xr:uid="{00000000-0005-0000-0000-000062A10000}"/>
    <cellStyle name="Normal 58 4 2 3 4 2 2 3" xfId="39735" xr:uid="{00000000-0005-0000-0000-000063A10000}"/>
    <cellStyle name="Normal 58 4 2 3 4 2 3" xfId="10601" xr:uid="{00000000-0005-0000-0000-000064A10000}"/>
    <cellStyle name="Normal 58 4 2 3 4 2 3 2" xfId="36158" xr:uid="{00000000-0005-0000-0000-000065A10000}"/>
    <cellStyle name="Normal 58 4 2 3 4 2 4" xfId="19424" xr:uid="{00000000-0005-0000-0000-000066A10000}"/>
    <cellStyle name="Normal 58 4 2 3 4 2 4 2" xfId="44977" xr:uid="{00000000-0005-0000-0000-000067A10000}"/>
    <cellStyle name="Normal 58 4 2 3 4 2 5" xfId="30914" xr:uid="{00000000-0005-0000-0000-000068A10000}"/>
    <cellStyle name="Normal 58 4 2 3 4 3" xfId="6798" xr:uid="{00000000-0005-0000-0000-000069A10000}"/>
    <cellStyle name="Normal 58 4 2 3 4 3 2" xfId="15625" xr:uid="{00000000-0005-0000-0000-00006AA10000}"/>
    <cellStyle name="Normal 58 4 2 3 4 3 2 2" xfId="41180" xr:uid="{00000000-0005-0000-0000-00006BA10000}"/>
    <cellStyle name="Normal 58 4 2 3 4 3 3" xfId="25876" xr:uid="{00000000-0005-0000-0000-00006CA10000}"/>
    <cellStyle name="Normal 58 4 2 3 4 3 3 2" xfId="51429" xr:uid="{00000000-0005-0000-0000-00006DA10000}"/>
    <cellStyle name="Normal 58 4 2 3 4 3 4" xfId="32359" xr:uid="{00000000-0005-0000-0000-00006EA10000}"/>
    <cellStyle name="Normal 58 4 2 3 4 4" xfId="8244" xr:uid="{00000000-0005-0000-0000-00006FA10000}"/>
    <cellStyle name="Normal 58 4 2 3 4 4 2" xfId="22326" xr:uid="{00000000-0005-0000-0000-000070A10000}"/>
    <cellStyle name="Normal 58 4 2 3 4 4 2 2" xfId="47879" xr:uid="{00000000-0005-0000-0000-000071A10000}"/>
    <cellStyle name="Normal 58 4 2 3 4 4 3" xfId="33801" xr:uid="{00000000-0005-0000-0000-000072A10000}"/>
    <cellStyle name="Normal 58 4 2 3 4 5" xfId="17319" xr:uid="{00000000-0005-0000-0000-000073A10000}"/>
    <cellStyle name="Normal 58 4 2 3 4 5 2" xfId="42872" xr:uid="{00000000-0005-0000-0000-000074A10000}"/>
    <cellStyle name="Normal 58 4 2 3 4 6" xfId="28809" xr:uid="{00000000-0005-0000-0000-000075A10000}"/>
    <cellStyle name="Normal 58 4 2 3 5" xfId="4299" xr:uid="{00000000-0005-0000-0000-000076A10000}"/>
    <cellStyle name="Normal 58 4 2 3 5 2" xfId="13137" xr:uid="{00000000-0005-0000-0000-000077A10000}"/>
    <cellStyle name="Normal 58 4 2 3 5 2 2" xfId="23388" xr:uid="{00000000-0005-0000-0000-000078A10000}"/>
    <cellStyle name="Normal 58 4 2 3 5 2 2 2" xfId="48941" xr:uid="{00000000-0005-0000-0000-000079A10000}"/>
    <cellStyle name="Normal 58 4 2 3 5 2 3" xfId="38692" xr:uid="{00000000-0005-0000-0000-00007AA10000}"/>
    <cellStyle name="Normal 58 4 2 3 5 3" xfId="9558" xr:uid="{00000000-0005-0000-0000-00007BA10000}"/>
    <cellStyle name="Normal 58 4 2 3 5 3 2" xfId="35115" xr:uid="{00000000-0005-0000-0000-00007CA10000}"/>
    <cellStyle name="Normal 58 4 2 3 5 4" xfId="18381" xr:uid="{00000000-0005-0000-0000-00007DA10000}"/>
    <cellStyle name="Normal 58 4 2 3 5 4 2" xfId="43934" xr:uid="{00000000-0005-0000-0000-00007EA10000}"/>
    <cellStyle name="Normal 58 4 2 3 5 5" xfId="29871" xr:uid="{00000000-0005-0000-0000-00007FA10000}"/>
    <cellStyle name="Normal 58 4 2 3 6" xfId="1571" xr:uid="{00000000-0005-0000-0000-000080A10000}"/>
    <cellStyle name="Normal 58 4 2 3 6 2" xfId="10948" xr:uid="{00000000-0005-0000-0000-000081A10000}"/>
    <cellStyle name="Normal 58 4 2 3 6 2 2" xfId="36503" xr:uid="{00000000-0005-0000-0000-000082A10000}"/>
    <cellStyle name="Normal 58 4 2 3 6 3" xfId="20952" xr:uid="{00000000-0005-0000-0000-000083A10000}"/>
    <cellStyle name="Normal 58 4 2 3 6 3 2" xfId="46505" xr:uid="{00000000-0005-0000-0000-000084A10000}"/>
    <cellStyle name="Normal 58 4 2 3 6 4" xfId="27435" xr:uid="{00000000-0005-0000-0000-000085A10000}"/>
    <cellStyle name="Normal 58 4 2 3 7" xfId="5755" xr:uid="{00000000-0005-0000-0000-000086A10000}"/>
    <cellStyle name="Normal 58 4 2 3 7 2" xfId="14582" xr:uid="{00000000-0005-0000-0000-000087A10000}"/>
    <cellStyle name="Normal 58 4 2 3 7 2 2" xfId="40137" xr:uid="{00000000-0005-0000-0000-000088A10000}"/>
    <cellStyle name="Normal 58 4 2 3 7 3" xfId="24833" xr:uid="{00000000-0005-0000-0000-000089A10000}"/>
    <cellStyle name="Normal 58 4 2 3 7 3 2" xfId="50386" xr:uid="{00000000-0005-0000-0000-00008AA10000}"/>
    <cellStyle name="Normal 58 4 2 3 7 4" xfId="31316" xr:uid="{00000000-0005-0000-0000-00008BA10000}"/>
    <cellStyle name="Normal 58 4 2 3 8" xfId="7199" xr:uid="{00000000-0005-0000-0000-00008CA10000}"/>
    <cellStyle name="Normal 58 4 2 3 8 2" xfId="19925" xr:uid="{00000000-0005-0000-0000-00008DA10000}"/>
    <cellStyle name="Normal 58 4 2 3 8 2 2" xfId="45478" xr:uid="{00000000-0005-0000-0000-00008EA10000}"/>
    <cellStyle name="Normal 58 4 2 3 8 3" xfId="32756" xr:uid="{00000000-0005-0000-0000-00008FA10000}"/>
    <cellStyle name="Normal 58 4 2 3 9" xfId="15945" xr:uid="{00000000-0005-0000-0000-000090A10000}"/>
    <cellStyle name="Normal 58 4 2 3 9 2" xfId="41498" xr:uid="{00000000-0005-0000-0000-000091A10000}"/>
    <cellStyle name="Normal 58 4 2 3_Degree data" xfId="4007" xr:uid="{00000000-0005-0000-0000-000092A10000}"/>
    <cellStyle name="Normal 58 4 2 4" xfId="379" xr:uid="{00000000-0005-0000-0000-000093A10000}"/>
    <cellStyle name="Normal 58 4 2 4 2" xfId="2865" xr:uid="{00000000-0005-0000-0000-000094A10000}"/>
    <cellStyle name="Normal 58 4 2 4 2 2" xfId="12153" xr:uid="{00000000-0005-0000-0000-000095A10000}"/>
    <cellStyle name="Normal 58 4 2 4 2 2 2" xfId="22226" xr:uid="{00000000-0005-0000-0000-000096A10000}"/>
    <cellStyle name="Normal 58 4 2 4 2 2 2 2" xfId="47779" xr:uid="{00000000-0005-0000-0000-000097A10000}"/>
    <cellStyle name="Normal 58 4 2 4 2 2 3" xfId="37708" xr:uid="{00000000-0005-0000-0000-000098A10000}"/>
    <cellStyle name="Normal 58 4 2 4 2 3" xfId="8606" xr:uid="{00000000-0005-0000-0000-000099A10000}"/>
    <cellStyle name="Normal 58 4 2 4 2 3 2" xfId="34163" xr:uid="{00000000-0005-0000-0000-00009AA10000}"/>
    <cellStyle name="Normal 58 4 2 4 2 4" xfId="17219" xr:uid="{00000000-0005-0000-0000-00009BA10000}"/>
    <cellStyle name="Normal 58 4 2 4 2 4 2" xfId="42772" xr:uid="{00000000-0005-0000-0000-00009CA10000}"/>
    <cellStyle name="Normal 58 4 2 4 2 5" xfId="28709" xr:uid="{00000000-0005-0000-0000-00009DA10000}"/>
    <cellStyle name="Normal 58 4 2 4 3" xfId="4713" xr:uid="{00000000-0005-0000-0000-00009EA10000}"/>
    <cellStyle name="Normal 58 4 2 4 3 2" xfId="13551" xr:uid="{00000000-0005-0000-0000-00009FA10000}"/>
    <cellStyle name="Normal 58 4 2 4 3 2 2" xfId="23802" xr:uid="{00000000-0005-0000-0000-0000A0A10000}"/>
    <cellStyle name="Normal 58 4 2 4 3 2 2 2" xfId="49355" xr:uid="{00000000-0005-0000-0000-0000A1A10000}"/>
    <cellStyle name="Normal 58 4 2 4 3 2 3" xfId="39106" xr:uid="{00000000-0005-0000-0000-0000A2A10000}"/>
    <cellStyle name="Normal 58 4 2 4 3 3" xfId="9972" xr:uid="{00000000-0005-0000-0000-0000A3A10000}"/>
    <cellStyle name="Normal 58 4 2 4 3 3 2" xfId="35529" xr:uid="{00000000-0005-0000-0000-0000A4A10000}"/>
    <cellStyle name="Normal 58 4 2 4 3 4" xfId="18795" xr:uid="{00000000-0005-0000-0000-0000A5A10000}"/>
    <cellStyle name="Normal 58 4 2 4 3 4 2" xfId="44348" xr:uid="{00000000-0005-0000-0000-0000A6A10000}"/>
    <cellStyle name="Normal 58 4 2 4 3 5" xfId="30285" xr:uid="{00000000-0005-0000-0000-0000A7A10000}"/>
    <cellStyle name="Normal 58 4 2 4 4" xfId="1974" xr:uid="{00000000-0005-0000-0000-0000A8A10000}"/>
    <cellStyle name="Normal 58 4 2 4 4 2" xfId="11339" xr:uid="{00000000-0005-0000-0000-0000A9A10000}"/>
    <cellStyle name="Normal 58 4 2 4 4 2 2" xfId="36894" xr:uid="{00000000-0005-0000-0000-0000AAA10000}"/>
    <cellStyle name="Normal 58 4 2 4 4 3" xfId="21343" xr:uid="{00000000-0005-0000-0000-0000ABA10000}"/>
    <cellStyle name="Normal 58 4 2 4 4 3 2" xfId="46896" xr:uid="{00000000-0005-0000-0000-0000ACA10000}"/>
    <cellStyle name="Normal 58 4 2 4 4 4" xfId="27826" xr:uid="{00000000-0005-0000-0000-0000ADA10000}"/>
    <cellStyle name="Normal 58 4 2 4 5" xfId="6169" xr:uid="{00000000-0005-0000-0000-0000AEA10000}"/>
    <cellStyle name="Normal 58 4 2 4 5 2" xfId="14996" xr:uid="{00000000-0005-0000-0000-0000AFA10000}"/>
    <cellStyle name="Normal 58 4 2 4 5 2 2" xfId="40551" xr:uid="{00000000-0005-0000-0000-0000B0A10000}"/>
    <cellStyle name="Normal 58 4 2 4 5 3" xfId="25247" xr:uid="{00000000-0005-0000-0000-0000B1A10000}"/>
    <cellStyle name="Normal 58 4 2 4 5 3 2" xfId="50800" xr:uid="{00000000-0005-0000-0000-0000B2A10000}"/>
    <cellStyle name="Normal 58 4 2 4 5 4" xfId="31730" xr:uid="{00000000-0005-0000-0000-0000B3A10000}"/>
    <cellStyle name="Normal 58 4 2 4 6" xfId="7614" xr:uid="{00000000-0005-0000-0000-0000B4A10000}"/>
    <cellStyle name="Normal 58 4 2 4 6 2" xfId="19825" xr:uid="{00000000-0005-0000-0000-0000B5A10000}"/>
    <cellStyle name="Normal 58 4 2 4 6 2 2" xfId="45378" xr:uid="{00000000-0005-0000-0000-0000B6A10000}"/>
    <cellStyle name="Normal 58 4 2 4 6 3" xfId="33171" xr:uid="{00000000-0005-0000-0000-0000B7A10000}"/>
    <cellStyle name="Normal 58 4 2 4 7" xfId="16336" xr:uid="{00000000-0005-0000-0000-0000B8A10000}"/>
    <cellStyle name="Normal 58 4 2 4 7 2" xfId="41889" xr:uid="{00000000-0005-0000-0000-0000B9A10000}"/>
    <cellStyle name="Normal 58 4 2 4 8" xfId="26308" xr:uid="{00000000-0005-0000-0000-0000BAA10000}"/>
    <cellStyle name="Normal 58 4 2 5" xfId="899" xr:uid="{00000000-0005-0000-0000-0000BBA10000}"/>
    <cellStyle name="Normal 58 4 2 5 2" xfId="3384" xr:uid="{00000000-0005-0000-0000-0000BCA10000}"/>
    <cellStyle name="Normal 58 4 2 5 2 2" xfId="12526" xr:uid="{00000000-0005-0000-0000-0000BDA10000}"/>
    <cellStyle name="Normal 58 4 2 5 2 2 2" xfId="22745" xr:uid="{00000000-0005-0000-0000-0000BEA10000}"/>
    <cellStyle name="Normal 58 4 2 5 2 2 2 2" xfId="48298" xr:uid="{00000000-0005-0000-0000-0000BFA10000}"/>
    <cellStyle name="Normal 58 4 2 5 2 2 3" xfId="38081" xr:uid="{00000000-0005-0000-0000-0000C0A10000}"/>
    <cellStyle name="Normal 58 4 2 5 2 3" xfId="8948" xr:uid="{00000000-0005-0000-0000-0000C1A10000}"/>
    <cellStyle name="Normal 58 4 2 5 2 3 2" xfId="34505" xr:uid="{00000000-0005-0000-0000-0000C2A10000}"/>
    <cellStyle name="Normal 58 4 2 5 2 4" xfId="17738" xr:uid="{00000000-0005-0000-0000-0000C3A10000}"/>
    <cellStyle name="Normal 58 4 2 5 2 4 2" xfId="43291" xr:uid="{00000000-0005-0000-0000-0000C4A10000}"/>
    <cellStyle name="Normal 58 4 2 5 2 5" xfId="29228" xr:uid="{00000000-0005-0000-0000-0000C5A10000}"/>
    <cellStyle name="Normal 58 4 2 5 3" xfId="5062" xr:uid="{00000000-0005-0000-0000-0000C6A10000}"/>
    <cellStyle name="Normal 58 4 2 5 3 2" xfId="13899" xr:uid="{00000000-0005-0000-0000-0000C7A10000}"/>
    <cellStyle name="Normal 58 4 2 5 3 2 2" xfId="24150" xr:uid="{00000000-0005-0000-0000-0000C8A10000}"/>
    <cellStyle name="Normal 58 4 2 5 3 2 2 2" xfId="49703" xr:uid="{00000000-0005-0000-0000-0000C9A10000}"/>
    <cellStyle name="Normal 58 4 2 5 3 2 3" xfId="39454" xr:uid="{00000000-0005-0000-0000-0000CAA10000}"/>
    <cellStyle name="Normal 58 4 2 5 3 3" xfId="10320" xr:uid="{00000000-0005-0000-0000-0000CBA10000}"/>
    <cellStyle name="Normal 58 4 2 5 3 3 2" xfId="35877" xr:uid="{00000000-0005-0000-0000-0000CCA10000}"/>
    <cellStyle name="Normal 58 4 2 5 3 4" xfId="19143" xr:uid="{00000000-0005-0000-0000-0000CDA10000}"/>
    <cellStyle name="Normal 58 4 2 5 3 4 2" xfId="44696" xr:uid="{00000000-0005-0000-0000-0000CEA10000}"/>
    <cellStyle name="Normal 58 4 2 5 3 5" xfId="30633" xr:uid="{00000000-0005-0000-0000-0000CFA10000}"/>
    <cellStyle name="Normal 58 4 2 5 4" xfId="2493" xr:uid="{00000000-0005-0000-0000-0000D0A10000}"/>
    <cellStyle name="Normal 58 4 2 5 4 2" xfId="11858" xr:uid="{00000000-0005-0000-0000-0000D1A10000}"/>
    <cellStyle name="Normal 58 4 2 5 4 2 2" xfId="37413" xr:uid="{00000000-0005-0000-0000-0000D2A10000}"/>
    <cellStyle name="Normal 58 4 2 5 4 3" xfId="21862" xr:uid="{00000000-0005-0000-0000-0000D3A10000}"/>
    <cellStyle name="Normal 58 4 2 5 4 3 2" xfId="47415" xr:uid="{00000000-0005-0000-0000-0000D4A10000}"/>
    <cellStyle name="Normal 58 4 2 5 4 4" xfId="28345" xr:uid="{00000000-0005-0000-0000-0000D5A10000}"/>
    <cellStyle name="Normal 58 4 2 5 5" xfId="6517" xr:uid="{00000000-0005-0000-0000-0000D6A10000}"/>
    <cellStyle name="Normal 58 4 2 5 5 2" xfId="15344" xr:uid="{00000000-0005-0000-0000-0000D7A10000}"/>
    <cellStyle name="Normal 58 4 2 5 5 2 2" xfId="40899" xr:uid="{00000000-0005-0000-0000-0000D8A10000}"/>
    <cellStyle name="Normal 58 4 2 5 5 3" xfId="25595" xr:uid="{00000000-0005-0000-0000-0000D9A10000}"/>
    <cellStyle name="Normal 58 4 2 5 5 3 2" xfId="51148" xr:uid="{00000000-0005-0000-0000-0000DAA10000}"/>
    <cellStyle name="Normal 58 4 2 5 5 4" xfId="32078" xr:uid="{00000000-0005-0000-0000-0000DBA10000}"/>
    <cellStyle name="Normal 58 4 2 5 6" xfId="7963" xr:uid="{00000000-0005-0000-0000-0000DCA10000}"/>
    <cellStyle name="Normal 58 4 2 5 6 2" xfId="20344" xr:uid="{00000000-0005-0000-0000-0000DDA10000}"/>
    <cellStyle name="Normal 58 4 2 5 6 2 2" xfId="45897" xr:uid="{00000000-0005-0000-0000-0000DEA10000}"/>
    <cellStyle name="Normal 58 4 2 5 6 3" xfId="33520" xr:uid="{00000000-0005-0000-0000-0000DFA10000}"/>
    <cellStyle name="Normal 58 4 2 5 7" xfId="16855" xr:uid="{00000000-0005-0000-0000-0000E0A10000}"/>
    <cellStyle name="Normal 58 4 2 5 7 2" xfId="42408" xr:uid="{00000000-0005-0000-0000-0000E1A10000}"/>
    <cellStyle name="Normal 58 4 2 5 8" xfId="26827" xr:uid="{00000000-0005-0000-0000-0000E2A10000}"/>
    <cellStyle name="Normal 58 4 2 6" xfId="1151" xr:uid="{00000000-0005-0000-0000-0000E3A10000}"/>
    <cellStyle name="Normal 58 4 2 6 2" xfId="3580" xr:uid="{00000000-0005-0000-0000-0000E4A10000}"/>
    <cellStyle name="Normal 58 4 2 6 2 2" xfId="12716" xr:uid="{00000000-0005-0000-0000-0000E5A10000}"/>
    <cellStyle name="Normal 58 4 2 6 2 2 2" xfId="22935" xr:uid="{00000000-0005-0000-0000-0000E6A10000}"/>
    <cellStyle name="Normal 58 4 2 6 2 2 2 2" xfId="48488" xr:uid="{00000000-0005-0000-0000-0000E7A10000}"/>
    <cellStyle name="Normal 58 4 2 6 2 2 3" xfId="38271" xr:uid="{00000000-0005-0000-0000-0000E8A10000}"/>
    <cellStyle name="Normal 58 4 2 6 2 3" xfId="9137" xr:uid="{00000000-0005-0000-0000-0000E9A10000}"/>
    <cellStyle name="Normal 58 4 2 6 2 3 2" xfId="34694" xr:uid="{00000000-0005-0000-0000-0000EAA10000}"/>
    <cellStyle name="Normal 58 4 2 6 2 4" xfId="17928" xr:uid="{00000000-0005-0000-0000-0000EBA10000}"/>
    <cellStyle name="Normal 58 4 2 6 2 4 2" xfId="43481" xr:uid="{00000000-0005-0000-0000-0000ECA10000}"/>
    <cellStyle name="Normal 58 4 2 6 2 5" xfId="29418" xr:uid="{00000000-0005-0000-0000-0000EDA10000}"/>
    <cellStyle name="Normal 58 4 2 6 3" xfId="5243" xr:uid="{00000000-0005-0000-0000-0000EEA10000}"/>
    <cellStyle name="Normal 58 4 2 6 3 2" xfId="14080" xr:uid="{00000000-0005-0000-0000-0000EFA10000}"/>
    <cellStyle name="Normal 58 4 2 6 3 2 2" xfId="24331" xr:uid="{00000000-0005-0000-0000-0000F0A10000}"/>
    <cellStyle name="Normal 58 4 2 6 3 2 2 2" xfId="49884" xr:uid="{00000000-0005-0000-0000-0000F1A10000}"/>
    <cellStyle name="Normal 58 4 2 6 3 2 3" xfId="39635" xr:uid="{00000000-0005-0000-0000-0000F2A10000}"/>
    <cellStyle name="Normal 58 4 2 6 3 3" xfId="10501" xr:uid="{00000000-0005-0000-0000-0000F3A10000}"/>
    <cellStyle name="Normal 58 4 2 6 3 3 2" xfId="36058" xr:uid="{00000000-0005-0000-0000-0000F4A10000}"/>
    <cellStyle name="Normal 58 4 2 6 3 4" xfId="19324" xr:uid="{00000000-0005-0000-0000-0000F5A10000}"/>
    <cellStyle name="Normal 58 4 2 6 3 4 2" xfId="44877" xr:uid="{00000000-0005-0000-0000-0000F6A10000}"/>
    <cellStyle name="Normal 58 4 2 6 3 5" xfId="30814" xr:uid="{00000000-0005-0000-0000-0000F7A10000}"/>
    <cellStyle name="Normal 58 4 2 6 4" xfId="1750" xr:uid="{00000000-0005-0000-0000-0000F8A10000}"/>
    <cellStyle name="Normal 58 4 2 6 4 2" xfId="11121" xr:uid="{00000000-0005-0000-0000-0000F9A10000}"/>
    <cellStyle name="Normal 58 4 2 6 4 2 2" xfId="36676" xr:uid="{00000000-0005-0000-0000-0000FAA10000}"/>
    <cellStyle name="Normal 58 4 2 6 4 3" xfId="21125" xr:uid="{00000000-0005-0000-0000-0000FBA10000}"/>
    <cellStyle name="Normal 58 4 2 6 4 3 2" xfId="46678" xr:uid="{00000000-0005-0000-0000-0000FCA10000}"/>
    <cellStyle name="Normal 58 4 2 6 4 4" xfId="27608" xr:uid="{00000000-0005-0000-0000-0000FDA10000}"/>
    <cellStyle name="Normal 58 4 2 6 5" xfId="6698" xr:uid="{00000000-0005-0000-0000-0000FEA10000}"/>
    <cellStyle name="Normal 58 4 2 6 5 2" xfId="15525" xr:uid="{00000000-0005-0000-0000-0000FFA10000}"/>
    <cellStyle name="Normal 58 4 2 6 5 2 2" xfId="41080" xr:uid="{00000000-0005-0000-0000-000000A20000}"/>
    <cellStyle name="Normal 58 4 2 6 5 3" xfId="25776" xr:uid="{00000000-0005-0000-0000-000001A20000}"/>
    <cellStyle name="Normal 58 4 2 6 5 3 2" xfId="51329" xr:uid="{00000000-0005-0000-0000-000002A20000}"/>
    <cellStyle name="Normal 58 4 2 6 5 4" xfId="32259" xr:uid="{00000000-0005-0000-0000-000003A20000}"/>
    <cellStyle name="Normal 58 4 2 6 6" xfId="8144" xr:uid="{00000000-0005-0000-0000-000004A20000}"/>
    <cellStyle name="Normal 58 4 2 6 6 2" xfId="20534" xr:uid="{00000000-0005-0000-0000-000005A20000}"/>
    <cellStyle name="Normal 58 4 2 6 6 2 2" xfId="46087" xr:uid="{00000000-0005-0000-0000-000006A20000}"/>
    <cellStyle name="Normal 58 4 2 6 6 3" xfId="33701" xr:uid="{00000000-0005-0000-0000-000007A20000}"/>
    <cellStyle name="Normal 58 4 2 6 7" xfId="16118" xr:uid="{00000000-0005-0000-0000-000008A20000}"/>
    <cellStyle name="Normal 58 4 2 6 7 2" xfId="41671" xr:uid="{00000000-0005-0000-0000-000009A20000}"/>
    <cellStyle name="Normal 58 4 2 6 8" xfId="27017" xr:uid="{00000000-0005-0000-0000-00000AA20000}"/>
    <cellStyle name="Normal 58 4 2 7" xfId="2648" xr:uid="{00000000-0005-0000-0000-00000BA20000}"/>
    <cellStyle name="Normal 58 4 2 7 2" xfId="11970" xr:uid="{00000000-0005-0000-0000-00000CA20000}"/>
    <cellStyle name="Normal 58 4 2 7 2 2" xfId="22009" xr:uid="{00000000-0005-0000-0000-00000DA20000}"/>
    <cellStyle name="Normal 58 4 2 7 2 2 2" xfId="47562" xr:uid="{00000000-0005-0000-0000-00000EA20000}"/>
    <cellStyle name="Normal 58 4 2 7 2 3" xfId="37525" xr:uid="{00000000-0005-0000-0000-00000FA20000}"/>
    <cellStyle name="Normal 58 4 2 7 3" xfId="8611" xr:uid="{00000000-0005-0000-0000-000010A20000}"/>
    <cellStyle name="Normal 58 4 2 7 3 2" xfId="34168" xr:uid="{00000000-0005-0000-0000-000011A20000}"/>
    <cellStyle name="Normal 58 4 2 7 4" xfId="17002" xr:uid="{00000000-0005-0000-0000-000012A20000}"/>
    <cellStyle name="Normal 58 4 2 7 4 2" xfId="42555" xr:uid="{00000000-0005-0000-0000-000013A20000}"/>
    <cellStyle name="Normal 58 4 2 7 5" xfId="28492" xr:uid="{00000000-0005-0000-0000-000014A20000}"/>
    <cellStyle name="Normal 58 4 2 8" xfId="4199" xr:uid="{00000000-0005-0000-0000-000015A20000}"/>
    <cellStyle name="Normal 58 4 2 8 2" xfId="13037" xr:uid="{00000000-0005-0000-0000-000016A20000}"/>
    <cellStyle name="Normal 58 4 2 8 2 2" xfId="23288" xr:uid="{00000000-0005-0000-0000-000017A20000}"/>
    <cellStyle name="Normal 58 4 2 8 2 2 2" xfId="48841" xr:uid="{00000000-0005-0000-0000-000018A20000}"/>
    <cellStyle name="Normal 58 4 2 8 2 3" xfId="38592" xr:uid="{00000000-0005-0000-0000-000019A20000}"/>
    <cellStyle name="Normal 58 4 2 8 3" xfId="9458" xr:uid="{00000000-0005-0000-0000-00001AA20000}"/>
    <cellStyle name="Normal 58 4 2 8 3 2" xfId="35015" xr:uid="{00000000-0005-0000-0000-00001BA20000}"/>
    <cellStyle name="Normal 58 4 2 8 4" xfId="18281" xr:uid="{00000000-0005-0000-0000-00001CA20000}"/>
    <cellStyle name="Normal 58 4 2 8 4 2" xfId="43834" xr:uid="{00000000-0005-0000-0000-00001DA20000}"/>
    <cellStyle name="Normal 58 4 2 8 5" xfId="29771" xr:uid="{00000000-0005-0000-0000-00001EA20000}"/>
    <cellStyle name="Normal 58 4 2 9" xfId="1471" xr:uid="{00000000-0005-0000-0000-00001FA20000}"/>
    <cellStyle name="Normal 58 4 2 9 2" xfId="10848" xr:uid="{00000000-0005-0000-0000-000020A20000}"/>
    <cellStyle name="Normal 58 4 2 9 2 2" xfId="36403" xr:uid="{00000000-0005-0000-0000-000021A20000}"/>
    <cellStyle name="Normal 58 4 2 9 3" xfId="20852" xr:uid="{00000000-0005-0000-0000-000022A20000}"/>
    <cellStyle name="Normal 58 4 2 9 3 2" xfId="46405" xr:uid="{00000000-0005-0000-0000-000023A20000}"/>
    <cellStyle name="Normal 58 4 2 9 4" xfId="27335" xr:uid="{00000000-0005-0000-0000-000024A20000}"/>
    <cellStyle name="Normal 58 4 2_Degree data" xfId="4005" xr:uid="{00000000-0005-0000-0000-000025A20000}"/>
    <cellStyle name="Normal 58 4 3" xfId="194" xr:uid="{00000000-0005-0000-0000-000026A20000}"/>
    <cellStyle name="Normal 58 4 3 10" xfId="7142" xr:uid="{00000000-0005-0000-0000-000027A20000}"/>
    <cellStyle name="Normal 58 4 3 10 2" xfId="19651" xr:uid="{00000000-0005-0000-0000-000028A20000}"/>
    <cellStyle name="Normal 58 4 3 10 2 2" xfId="45204" xr:uid="{00000000-0005-0000-0000-000029A20000}"/>
    <cellStyle name="Normal 58 4 3 10 3" xfId="32699" xr:uid="{00000000-0005-0000-0000-00002AA20000}"/>
    <cellStyle name="Normal 58 4 3 11" xfId="15888" xr:uid="{00000000-0005-0000-0000-00002BA20000}"/>
    <cellStyle name="Normal 58 4 3 11 2" xfId="41441" xr:uid="{00000000-0005-0000-0000-00002CA20000}"/>
    <cellStyle name="Normal 58 4 3 12" xfId="26134" xr:uid="{00000000-0005-0000-0000-00002DA20000}"/>
    <cellStyle name="Normal 58 4 3 2" xfId="522" xr:uid="{00000000-0005-0000-0000-00002EA20000}"/>
    <cellStyle name="Normal 58 4 3 2 10" xfId="26451" xr:uid="{00000000-0005-0000-0000-00002FA20000}"/>
    <cellStyle name="Normal 58 4 3 2 2" xfId="903" xr:uid="{00000000-0005-0000-0000-000030A20000}"/>
    <cellStyle name="Normal 58 4 3 2 2 2" xfId="3388" xr:uid="{00000000-0005-0000-0000-000031A20000}"/>
    <cellStyle name="Normal 58 4 3 2 2 2 2" xfId="12530" xr:uid="{00000000-0005-0000-0000-000032A20000}"/>
    <cellStyle name="Normal 58 4 3 2 2 2 2 2" xfId="22749" xr:uid="{00000000-0005-0000-0000-000033A20000}"/>
    <cellStyle name="Normal 58 4 3 2 2 2 2 2 2" xfId="48302" xr:uid="{00000000-0005-0000-0000-000034A20000}"/>
    <cellStyle name="Normal 58 4 3 2 2 2 2 3" xfId="38085" xr:uid="{00000000-0005-0000-0000-000035A20000}"/>
    <cellStyle name="Normal 58 4 3 2 2 2 3" xfId="8952" xr:uid="{00000000-0005-0000-0000-000036A20000}"/>
    <cellStyle name="Normal 58 4 3 2 2 2 3 2" xfId="34509" xr:uid="{00000000-0005-0000-0000-000037A20000}"/>
    <cellStyle name="Normal 58 4 3 2 2 2 4" xfId="17742" xr:uid="{00000000-0005-0000-0000-000038A20000}"/>
    <cellStyle name="Normal 58 4 3 2 2 2 4 2" xfId="43295" xr:uid="{00000000-0005-0000-0000-000039A20000}"/>
    <cellStyle name="Normal 58 4 3 2 2 2 5" xfId="29232" xr:uid="{00000000-0005-0000-0000-00003AA20000}"/>
    <cellStyle name="Normal 58 4 3 2 2 3" xfId="4717" xr:uid="{00000000-0005-0000-0000-00003BA20000}"/>
    <cellStyle name="Normal 58 4 3 2 2 3 2" xfId="13555" xr:uid="{00000000-0005-0000-0000-00003CA20000}"/>
    <cellStyle name="Normal 58 4 3 2 2 3 2 2" xfId="23806" xr:uid="{00000000-0005-0000-0000-00003DA20000}"/>
    <cellStyle name="Normal 58 4 3 2 2 3 2 2 2" xfId="49359" xr:uid="{00000000-0005-0000-0000-00003EA20000}"/>
    <cellStyle name="Normal 58 4 3 2 2 3 2 3" xfId="39110" xr:uid="{00000000-0005-0000-0000-00003FA20000}"/>
    <cellStyle name="Normal 58 4 3 2 2 3 3" xfId="9976" xr:uid="{00000000-0005-0000-0000-000040A20000}"/>
    <cellStyle name="Normal 58 4 3 2 2 3 3 2" xfId="35533" xr:uid="{00000000-0005-0000-0000-000041A20000}"/>
    <cellStyle name="Normal 58 4 3 2 2 3 4" xfId="18799" xr:uid="{00000000-0005-0000-0000-000042A20000}"/>
    <cellStyle name="Normal 58 4 3 2 2 3 4 2" xfId="44352" xr:uid="{00000000-0005-0000-0000-000043A20000}"/>
    <cellStyle name="Normal 58 4 3 2 2 3 5" xfId="30289" xr:uid="{00000000-0005-0000-0000-000044A20000}"/>
    <cellStyle name="Normal 58 4 3 2 2 4" xfId="2497" xr:uid="{00000000-0005-0000-0000-000045A20000}"/>
    <cellStyle name="Normal 58 4 3 2 2 4 2" xfId="11862" xr:uid="{00000000-0005-0000-0000-000046A20000}"/>
    <cellStyle name="Normal 58 4 3 2 2 4 2 2" xfId="37417" xr:uid="{00000000-0005-0000-0000-000047A20000}"/>
    <cellStyle name="Normal 58 4 3 2 2 4 3" xfId="21866" xr:uid="{00000000-0005-0000-0000-000048A20000}"/>
    <cellStyle name="Normal 58 4 3 2 2 4 3 2" xfId="47419" xr:uid="{00000000-0005-0000-0000-000049A20000}"/>
    <cellStyle name="Normal 58 4 3 2 2 4 4" xfId="28349" xr:uid="{00000000-0005-0000-0000-00004AA20000}"/>
    <cellStyle name="Normal 58 4 3 2 2 5" xfId="6173" xr:uid="{00000000-0005-0000-0000-00004BA20000}"/>
    <cellStyle name="Normal 58 4 3 2 2 5 2" xfId="15000" xr:uid="{00000000-0005-0000-0000-00004CA20000}"/>
    <cellStyle name="Normal 58 4 3 2 2 5 2 2" xfId="40555" xr:uid="{00000000-0005-0000-0000-00004DA20000}"/>
    <cellStyle name="Normal 58 4 3 2 2 5 3" xfId="25251" xr:uid="{00000000-0005-0000-0000-00004EA20000}"/>
    <cellStyle name="Normal 58 4 3 2 2 5 3 2" xfId="50804" xr:uid="{00000000-0005-0000-0000-00004FA20000}"/>
    <cellStyle name="Normal 58 4 3 2 2 5 4" xfId="31734" xr:uid="{00000000-0005-0000-0000-000050A20000}"/>
    <cellStyle name="Normal 58 4 3 2 2 6" xfId="7618" xr:uid="{00000000-0005-0000-0000-000051A20000}"/>
    <cellStyle name="Normal 58 4 3 2 2 6 2" xfId="20348" xr:uid="{00000000-0005-0000-0000-000052A20000}"/>
    <cellStyle name="Normal 58 4 3 2 2 6 2 2" xfId="45901" xr:uid="{00000000-0005-0000-0000-000053A20000}"/>
    <cellStyle name="Normal 58 4 3 2 2 6 3" xfId="33175" xr:uid="{00000000-0005-0000-0000-000054A20000}"/>
    <cellStyle name="Normal 58 4 3 2 2 7" xfId="16859" xr:uid="{00000000-0005-0000-0000-000055A20000}"/>
    <cellStyle name="Normal 58 4 3 2 2 7 2" xfId="42412" xr:uid="{00000000-0005-0000-0000-000056A20000}"/>
    <cellStyle name="Normal 58 4 3 2 2 8" xfId="26831" xr:uid="{00000000-0005-0000-0000-000057A20000}"/>
    <cellStyle name="Normal 58 4 3 2 3" xfId="1294" xr:uid="{00000000-0005-0000-0000-000058A20000}"/>
    <cellStyle name="Normal 58 4 3 2 3 2" xfId="3723" xr:uid="{00000000-0005-0000-0000-000059A20000}"/>
    <cellStyle name="Normal 58 4 3 2 3 2 2" xfId="12859" xr:uid="{00000000-0005-0000-0000-00005AA20000}"/>
    <cellStyle name="Normal 58 4 3 2 3 2 2 2" xfId="23078" xr:uid="{00000000-0005-0000-0000-00005BA20000}"/>
    <cellStyle name="Normal 58 4 3 2 3 2 2 2 2" xfId="48631" xr:uid="{00000000-0005-0000-0000-00005CA20000}"/>
    <cellStyle name="Normal 58 4 3 2 3 2 2 3" xfId="38414" xr:uid="{00000000-0005-0000-0000-00005DA20000}"/>
    <cellStyle name="Normal 58 4 3 2 3 2 3" xfId="9280" xr:uid="{00000000-0005-0000-0000-00005EA20000}"/>
    <cellStyle name="Normal 58 4 3 2 3 2 3 2" xfId="34837" xr:uid="{00000000-0005-0000-0000-00005FA20000}"/>
    <cellStyle name="Normal 58 4 3 2 3 2 4" xfId="18071" xr:uid="{00000000-0005-0000-0000-000060A20000}"/>
    <cellStyle name="Normal 58 4 3 2 3 2 4 2" xfId="43624" xr:uid="{00000000-0005-0000-0000-000061A20000}"/>
    <cellStyle name="Normal 58 4 3 2 3 2 5" xfId="29561" xr:uid="{00000000-0005-0000-0000-000062A20000}"/>
    <cellStyle name="Normal 58 4 3 2 3 3" xfId="5066" xr:uid="{00000000-0005-0000-0000-000063A20000}"/>
    <cellStyle name="Normal 58 4 3 2 3 3 2" xfId="13903" xr:uid="{00000000-0005-0000-0000-000064A20000}"/>
    <cellStyle name="Normal 58 4 3 2 3 3 2 2" xfId="24154" xr:uid="{00000000-0005-0000-0000-000065A20000}"/>
    <cellStyle name="Normal 58 4 3 2 3 3 2 2 2" xfId="49707" xr:uid="{00000000-0005-0000-0000-000066A20000}"/>
    <cellStyle name="Normal 58 4 3 2 3 3 2 3" xfId="39458" xr:uid="{00000000-0005-0000-0000-000067A20000}"/>
    <cellStyle name="Normal 58 4 3 2 3 3 3" xfId="10324" xr:uid="{00000000-0005-0000-0000-000068A20000}"/>
    <cellStyle name="Normal 58 4 3 2 3 3 3 2" xfId="35881" xr:uid="{00000000-0005-0000-0000-000069A20000}"/>
    <cellStyle name="Normal 58 4 3 2 3 3 4" xfId="19147" xr:uid="{00000000-0005-0000-0000-00006AA20000}"/>
    <cellStyle name="Normal 58 4 3 2 3 3 4 2" xfId="44700" xr:uid="{00000000-0005-0000-0000-00006BA20000}"/>
    <cellStyle name="Normal 58 4 3 2 3 3 5" xfId="30637" xr:uid="{00000000-0005-0000-0000-00006CA20000}"/>
    <cellStyle name="Normal 58 4 3 2 3 4" xfId="2117" xr:uid="{00000000-0005-0000-0000-00006DA20000}"/>
    <cellStyle name="Normal 58 4 3 2 3 4 2" xfId="11482" xr:uid="{00000000-0005-0000-0000-00006EA20000}"/>
    <cellStyle name="Normal 58 4 3 2 3 4 2 2" xfId="37037" xr:uid="{00000000-0005-0000-0000-00006FA20000}"/>
    <cellStyle name="Normal 58 4 3 2 3 4 3" xfId="21486" xr:uid="{00000000-0005-0000-0000-000070A20000}"/>
    <cellStyle name="Normal 58 4 3 2 3 4 3 2" xfId="47039" xr:uid="{00000000-0005-0000-0000-000071A20000}"/>
    <cellStyle name="Normal 58 4 3 2 3 4 4" xfId="27969" xr:uid="{00000000-0005-0000-0000-000072A20000}"/>
    <cellStyle name="Normal 58 4 3 2 3 5" xfId="6521" xr:uid="{00000000-0005-0000-0000-000073A20000}"/>
    <cellStyle name="Normal 58 4 3 2 3 5 2" xfId="15348" xr:uid="{00000000-0005-0000-0000-000074A20000}"/>
    <cellStyle name="Normal 58 4 3 2 3 5 2 2" xfId="40903" xr:uid="{00000000-0005-0000-0000-000075A20000}"/>
    <cellStyle name="Normal 58 4 3 2 3 5 3" xfId="25599" xr:uid="{00000000-0005-0000-0000-000076A20000}"/>
    <cellStyle name="Normal 58 4 3 2 3 5 3 2" xfId="51152" xr:uid="{00000000-0005-0000-0000-000077A20000}"/>
    <cellStyle name="Normal 58 4 3 2 3 5 4" xfId="32082" xr:uid="{00000000-0005-0000-0000-000078A20000}"/>
    <cellStyle name="Normal 58 4 3 2 3 6" xfId="7967" xr:uid="{00000000-0005-0000-0000-000079A20000}"/>
    <cellStyle name="Normal 58 4 3 2 3 6 2" xfId="20677" xr:uid="{00000000-0005-0000-0000-00007AA20000}"/>
    <cellStyle name="Normal 58 4 3 2 3 6 2 2" xfId="46230" xr:uid="{00000000-0005-0000-0000-00007BA20000}"/>
    <cellStyle name="Normal 58 4 3 2 3 6 3" xfId="33524" xr:uid="{00000000-0005-0000-0000-00007CA20000}"/>
    <cellStyle name="Normal 58 4 3 2 3 7" xfId="16479" xr:uid="{00000000-0005-0000-0000-00007DA20000}"/>
    <cellStyle name="Normal 58 4 3 2 3 7 2" xfId="42032" xr:uid="{00000000-0005-0000-0000-00007EA20000}"/>
    <cellStyle name="Normal 58 4 3 2 3 8" xfId="27160" xr:uid="{00000000-0005-0000-0000-00007FA20000}"/>
    <cellStyle name="Normal 58 4 3 2 4" xfId="3008" xr:uid="{00000000-0005-0000-0000-000080A20000}"/>
    <cellStyle name="Normal 58 4 3 2 4 2" xfId="5386" xr:uid="{00000000-0005-0000-0000-000081A20000}"/>
    <cellStyle name="Normal 58 4 3 2 4 2 2" xfId="14223" xr:uid="{00000000-0005-0000-0000-000082A20000}"/>
    <cellStyle name="Normal 58 4 3 2 4 2 2 2" xfId="24474" xr:uid="{00000000-0005-0000-0000-000083A20000}"/>
    <cellStyle name="Normal 58 4 3 2 4 2 2 2 2" xfId="50027" xr:uid="{00000000-0005-0000-0000-000084A20000}"/>
    <cellStyle name="Normal 58 4 3 2 4 2 2 3" xfId="39778" xr:uid="{00000000-0005-0000-0000-000085A20000}"/>
    <cellStyle name="Normal 58 4 3 2 4 2 3" xfId="10644" xr:uid="{00000000-0005-0000-0000-000086A20000}"/>
    <cellStyle name="Normal 58 4 3 2 4 2 3 2" xfId="36201" xr:uid="{00000000-0005-0000-0000-000087A20000}"/>
    <cellStyle name="Normal 58 4 3 2 4 2 4" xfId="19467" xr:uid="{00000000-0005-0000-0000-000088A20000}"/>
    <cellStyle name="Normal 58 4 3 2 4 2 4 2" xfId="45020" xr:uid="{00000000-0005-0000-0000-000089A20000}"/>
    <cellStyle name="Normal 58 4 3 2 4 2 5" xfId="30957" xr:uid="{00000000-0005-0000-0000-00008AA20000}"/>
    <cellStyle name="Normal 58 4 3 2 4 3" xfId="6841" xr:uid="{00000000-0005-0000-0000-00008BA20000}"/>
    <cellStyle name="Normal 58 4 3 2 4 3 2" xfId="15668" xr:uid="{00000000-0005-0000-0000-00008CA20000}"/>
    <cellStyle name="Normal 58 4 3 2 4 3 2 2" xfId="41223" xr:uid="{00000000-0005-0000-0000-00008DA20000}"/>
    <cellStyle name="Normal 58 4 3 2 4 3 3" xfId="25919" xr:uid="{00000000-0005-0000-0000-00008EA20000}"/>
    <cellStyle name="Normal 58 4 3 2 4 3 3 2" xfId="51472" xr:uid="{00000000-0005-0000-0000-00008FA20000}"/>
    <cellStyle name="Normal 58 4 3 2 4 3 4" xfId="32402" xr:uid="{00000000-0005-0000-0000-000090A20000}"/>
    <cellStyle name="Normal 58 4 3 2 4 4" xfId="8287" xr:uid="{00000000-0005-0000-0000-000091A20000}"/>
    <cellStyle name="Normal 58 4 3 2 4 4 2" xfId="22369" xr:uid="{00000000-0005-0000-0000-000092A20000}"/>
    <cellStyle name="Normal 58 4 3 2 4 4 2 2" xfId="47922" xr:uid="{00000000-0005-0000-0000-000093A20000}"/>
    <cellStyle name="Normal 58 4 3 2 4 4 3" xfId="33844" xr:uid="{00000000-0005-0000-0000-000094A20000}"/>
    <cellStyle name="Normal 58 4 3 2 4 5" xfId="17362" xr:uid="{00000000-0005-0000-0000-000095A20000}"/>
    <cellStyle name="Normal 58 4 3 2 4 5 2" xfId="42915" xr:uid="{00000000-0005-0000-0000-000096A20000}"/>
    <cellStyle name="Normal 58 4 3 2 4 6" xfId="28852" xr:uid="{00000000-0005-0000-0000-000097A20000}"/>
    <cellStyle name="Normal 58 4 3 2 5" xfId="4342" xr:uid="{00000000-0005-0000-0000-000098A20000}"/>
    <cellStyle name="Normal 58 4 3 2 5 2" xfId="13180" xr:uid="{00000000-0005-0000-0000-000099A20000}"/>
    <cellStyle name="Normal 58 4 3 2 5 2 2" xfId="23431" xr:uid="{00000000-0005-0000-0000-00009AA20000}"/>
    <cellStyle name="Normal 58 4 3 2 5 2 2 2" xfId="48984" xr:uid="{00000000-0005-0000-0000-00009BA20000}"/>
    <cellStyle name="Normal 58 4 3 2 5 2 3" xfId="38735" xr:uid="{00000000-0005-0000-0000-00009CA20000}"/>
    <cellStyle name="Normal 58 4 3 2 5 3" xfId="9601" xr:uid="{00000000-0005-0000-0000-00009DA20000}"/>
    <cellStyle name="Normal 58 4 3 2 5 3 2" xfId="35158" xr:uid="{00000000-0005-0000-0000-00009EA20000}"/>
    <cellStyle name="Normal 58 4 3 2 5 4" xfId="18424" xr:uid="{00000000-0005-0000-0000-00009FA20000}"/>
    <cellStyle name="Normal 58 4 3 2 5 4 2" xfId="43977" xr:uid="{00000000-0005-0000-0000-0000A0A20000}"/>
    <cellStyle name="Normal 58 4 3 2 5 5" xfId="29914" xr:uid="{00000000-0005-0000-0000-0000A1A20000}"/>
    <cellStyle name="Normal 58 4 3 2 6" xfId="1614" xr:uid="{00000000-0005-0000-0000-0000A2A20000}"/>
    <cellStyle name="Normal 58 4 3 2 6 2" xfId="10991" xr:uid="{00000000-0005-0000-0000-0000A3A20000}"/>
    <cellStyle name="Normal 58 4 3 2 6 2 2" xfId="36546" xr:uid="{00000000-0005-0000-0000-0000A4A20000}"/>
    <cellStyle name="Normal 58 4 3 2 6 3" xfId="20995" xr:uid="{00000000-0005-0000-0000-0000A5A20000}"/>
    <cellStyle name="Normal 58 4 3 2 6 3 2" xfId="46548" xr:uid="{00000000-0005-0000-0000-0000A6A20000}"/>
    <cellStyle name="Normal 58 4 3 2 6 4" xfId="27478" xr:uid="{00000000-0005-0000-0000-0000A7A20000}"/>
    <cellStyle name="Normal 58 4 3 2 7" xfId="5798" xr:uid="{00000000-0005-0000-0000-0000A8A20000}"/>
    <cellStyle name="Normal 58 4 3 2 7 2" xfId="14625" xr:uid="{00000000-0005-0000-0000-0000A9A20000}"/>
    <cellStyle name="Normal 58 4 3 2 7 2 2" xfId="40180" xr:uid="{00000000-0005-0000-0000-0000AAA20000}"/>
    <cellStyle name="Normal 58 4 3 2 7 3" xfId="24876" xr:uid="{00000000-0005-0000-0000-0000ABA20000}"/>
    <cellStyle name="Normal 58 4 3 2 7 3 2" xfId="50429" xr:uid="{00000000-0005-0000-0000-0000ACA20000}"/>
    <cellStyle name="Normal 58 4 3 2 7 4" xfId="31359" xr:uid="{00000000-0005-0000-0000-0000ADA20000}"/>
    <cellStyle name="Normal 58 4 3 2 8" xfId="7242" xr:uid="{00000000-0005-0000-0000-0000AEA20000}"/>
    <cellStyle name="Normal 58 4 3 2 8 2" xfId="19968" xr:uid="{00000000-0005-0000-0000-0000AFA20000}"/>
    <cellStyle name="Normal 58 4 3 2 8 2 2" xfId="45521" xr:uid="{00000000-0005-0000-0000-0000B0A20000}"/>
    <cellStyle name="Normal 58 4 3 2 8 3" xfId="32799" xr:uid="{00000000-0005-0000-0000-0000B1A20000}"/>
    <cellStyle name="Normal 58 4 3 2 9" xfId="15988" xr:uid="{00000000-0005-0000-0000-0000B2A20000}"/>
    <cellStyle name="Normal 58 4 3 2 9 2" xfId="41541" xr:uid="{00000000-0005-0000-0000-0000B3A20000}"/>
    <cellStyle name="Normal 58 4 3 2_Degree data" xfId="4009" xr:uid="{00000000-0005-0000-0000-0000B4A20000}"/>
    <cellStyle name="Normal 58 4 3 3" xfId="422" xr:uid="{00000000-0005-0000-0000-0000B5A20000}"/>
    <cellStyle name="Normal 58 4 3 3 2" xfId="2908" xr:uid="{00000000-0005-0000-0000-0000B6A20000}"/>
    <cellStyle name="Normal 58 4 3 3 2 2" xfId="12196" xr:uid="{00000000-0005-0000-0000-0000B7A20000}"/>
    <cellStyle name="Normal 58 4 3 3 2 2 2" xfId="22269" xr:uid="{00000000-0005-0000-0000-0000B8A20000}"/>
    <cellStyle name="Normal 58 4 3 3 2 2 2 2" xfId="47822" xr:uid="{00000000-0005-0000-0000-0000B9A20000}"/>
    <cellStyle name="Normal 58 4 3 3 2 2 3" xfId="37751" xr:uid="{00000000-0005-0000-0000-0000BAA20000}"/>
    <cellStyle name="Normal 58 4 3 3 2 3" xfId="8509" xr:uid="{00000000-0005-0000-0000-0000BBA20000}"/>
    <cellStyle name="Normal 58 4 3 3 2 3 2" xfId="34066" xr:uid="{00000000-0005-0000-0000-0000BCA20000}"/>
    <cellStyle name="Normal 58 4 3 3 2 4" xfId="17262" xr:uid="{00000000-0005-0000-0000-0000BDA20000}"/>
    <cellStyle name="Normal 58 4 3 3 2 4 2" xfId="42815" xr:uid="{00000000-0005-0000-0000-0000BEA20000}"/>
    <cellStyle name="Normal 58 4 3 3 2 5" xfId="28752" xr:uid="{00000000-0005-0000-0000-0000BFA20000}"/>
    <cellStyle name="Normal 58 4 3 3 3" xfId="4716" xr:uid="{00000000-0005-0000-0000-0000C0A20000}"/>
    <cellStyle name="Normal 58 4 3 3 3 2" xfId="13554" xr:uid="{00000000-0005-0000-0000-0000C1A20000}"/>
    <cellStyle name="Normal 58 4 3 3 3 2 2" xfId="23805" xr:uid="{00000000-0005-0000-0000-0000C2A20000}"/>
    <cellStyle name="Normal 58 4 3 3 3 2 2 2" xfId="49358" xr:uid="{00000000-0005-0000-0000-0000C3A20000}"/>
    <cellStyle name="Normal 58 4 3 3 3 2 3" xfId="39109" xr:uid="{00000000-0005-0000-0000-0000C4A20000}"/>
    <cellStyle name="Normal 58 4 3 3 3 3" xfId="9975" xr:uid="{00000000-0005-0000-0000-0000C5A20000}"/>
    <cellStyle name="Normal 58 4 3 3 3 3 2" xfId="35532" xr:uid="{00000000-0005-0000-0000-0000C6A20000}"/>
    <cellStyle name="Normal 58 4 3 3 3 4" xfId="18798" xr:uid="{00000000-0005-0000-0000-0000C7A20000}"/>
    <cellStyle name="Normal 58 4 3 3 3 4 2" xfId="44351" xr:uid="{00000000-0005-0000-0000-0000C8A20000}"/>
    <cellStyle name="Normal 58 4 3 3 3 5" xfId="30288" xr:uid="{00000000-0005-0000-0000-0000C9A20000}"/>
    <cellStyle name="Normal 58 4 3 3 4" xfId="2017" xr:uid="{00000000-0005-0000-0000-0000CAA20000}"/>
    <cellStyle name="Normal 58 4 3 3 4 2" xfId="11382" xr:uid="{00000000-0005-0000-0000-0000CBA20000}"/>
    <cellStyle name="Normal 58 4 3 3 4 2 2" xfId="36937" xr:uid="{00000000-0005-0000-0000-0000CCA20000}"/>
    <cellStyle name="Normal 58 4 3 3 4 3" xfId="21386" xr:uid="{00000000-0005-0000-0000-0000CDA20000}"/>
    <cellStyle name="Normal 58 4 3 3 4 3 2" xfId="46939" xr:uid="{00000000-0005-0000-0000-0000CEA20000}"/>
    <cellStyle name="Normal 58 4 3 3 4 4" xfId="27869" xr:uid="{00000000-0005-0000-0000-0000CFA20000}"/>
    <cellStyle name="Normal 58 4 3 3 5" xfId="6172" xr:uid="{00000000-0005-0000-0000-0000D0A20000}"/>
    <cellStyle name="Normal 58 4 3 3 5 2" xfId="14999" xr:uid="{00000000-0005-0000-0000-0000D1A20000}"/>
    <cellStyle name="Normal 58 4 3 3 5 2 2" xfId="40554" xr:uid="{00000000-0005-0000-0000-0000D2A20000}"/>
    <cellStyle name="Normal 58 4 3 3 5 3" xfId="25250" xr:uid="{00000000-0005-0000-0000-0000D3A20000}"/>
    <cellStyle name="Normal 58 4 3 3 5 3 2" xfId="50803" xr:uid="{00000000-0005-0000-0000-0000D4A20000}"/>
    <cellStyle name="Normal 58 4 3 3 5 4" xfId="31733" xr:uid="{00000000-0005-0000-0000-0000D5A20000}"/>
    <cellStyle name="Normal 58 4 3 3 6" xfId="7617" xr:uid="{00000000-0005-0000-0000-0000D6A20000}"/>
    <cellStyle name="Normal 58 4 3 3 6 2" xfId="19868" xr:uid="{00000000-0005-0000-0000-0000D7A20000}"/>
    <cellStyle name="Normal 58 4 3 3 6 2 2" xfId="45421" xr:uid="{00000000-0005-0000-0000-0000D8A20000}"/>
    <cellStyle name="Normal 58 4 3 3 6 3" xfId="33174" xr:uid="{00000000-0005-0000-0000-0000D9A20000}"/>
    <cellStyle name="Normal 58 4 3 3 7" xfId="16379" xr:uid="{00000000-0005-0000-0000-0000DAA20000}"/>
    <cellStyle name="Normal 58 4 3 3 7 2" xfId="41932" xr:uid="{00000000-0005-0000-0000-0000DBA20000}"/>
    <cellStyle name="Normal 58 4 3 3 8" xfId="26351" xr:uid="{00000000-0005-0000-0000-0000DCA20000}"/>
    <cellStyle name="Normal 58 4 3 4" xfId="902" xr:uid="{00000000-0005-0000-0000-0000DDA20000}"/>
    <cellStyle name="Normal 58 4 3 4 2" xfId="3387" xr:uid="{00000000-0005-0000-0000-0000DEA20000}"/>
    <cellStyle name="Normal 58 4 3 4 2 2" xfId="12529" xr:uid="{00000000-0005-0000-0000-0000DFA20000}"/>
    <cellStyle name="Normal 58 4 3 4 2 2 2" xfId="22748" xr:uid="{00000000-0005-0000-0000-0000E0A20000}"/>
    <cellStyle name="Normal 58 4 3 4 2 2 2 2" xfId="48301" xr:uid="{00000000-0005-0000-0000-0000E1A20000}"/>
    <cellStyle name="Normal 58 4 3 4 2 2 3" xfId="38084" xr:uid="{00000000-0005-0000-0000-0000E2A20000}"/>
    <cellStyle name="Normal 58 4 3 4 2 3" xfId="8951" xr:uid="{00000000-0005-0000-0000-0000E3A20000}"/>
    <cellStyle name="Normal 58 4 3 4 2 3 2" xfId="34508" xr:uid="{00000000-0005-0000-0000-0000E4A20000}"/>
    <cellStyle name="Normal 58 4 3 4 2 4" xfId="17741" xr:uid="{00000000-0005-0000-0000-0000E5A20000}"/>
    <cellStyle name="Normal 58 4 3 4 2 4 2" xfId="43294" xr:uid="{00000000-0005-0000-0000-0000E6A20000}"/>
    <cellStyle name="Normal 58 4 3 4 2 5" xfId="29231" xr:uid="{00000000-0005-0000-0000-0000E7A20000}"/>
    <cellStyle name="Normal 58 4 3 4 3" xfId="5065" xr:uid="{00000000-0005-0000-0000-0000E8A20000}"/>
    <cellStyle name="Normal 58 4 3 4 3 2" xfId="13902" xr:uid="{00000000-0005-0000-0000-0000E9A20000}"/>
    <cellStyle name="Normal 58 4 3 4 3 2 2" xfId="24153" xr:uid="{00000000-0005-0000-0000-0000EAA20000}"/>
    <cellStyle name="Normal 58 4 3 4 3 2 2 2" xfId="49706" xr:uid="{00000000-0005-0000-0000-0000EBA20000}"/>
    <cellStyle name="Normal 58 4 3 4 3 2 3" xfId="39457" xr:uid="{00000000-0005-0000-0000-0000ECA20000}"/>
    <cellStyle name="Normal 58 4 3 4 3 3" xfId="10323" xr:uid="{00000000-0005-0000-0000-0000EDA20000}"/>
    <cellStyle name="Normal 58 4 3 4 3 3 2" xfId="35880" xr:uid="{00000000-0005-0000-0000-0000EEA20000}"/>
    <cellStyle name="Normal 58 4 3 4 3 4" xfId="19146" xr:uid="{00000000-0005-0000-0000-0000EFA20000}"/>
    <cellStyle name="Normal 58 4 3 4 3 4 2" xfId="44699" xr:uid="{00000000-0005-0000-0000-0000F0A20000}"/>
    <cellStyle name="Normal 58 4 3 4 3 5" xfId="30636" xr:uid="{00000000-0005-0000-0000-0000F1A20000}"/>
    <cellStyle name="Normal 58 4 3 4 4" xfId="2496" xr:uid="{00000000-0005-0000-0000-0000F2A20000}"/>
    <cellStyle name="Normal 58 4 3 4 4 2" xfId="11861" xr:uid="{00000000-0005-0000-0000-0000F3A20000}"/>
    <cellStyle name="Normal 58 4 3 4 4 2 2" xfId="37416" xr:uid="{00000000-0005-0000-0000-0000F4A20000}"/>
    <cellStyle name="Normal 58 4 3 4 4 3" xfId="21865" xr:uid="{00000000-0005-0000-0000-0000F5A20000}"/>
    <cellStyle name="Normal 58 4 3 4 4 3 2" xfId="47418" xr:uid="{00000000-0005-0000-0000-0000F6A20000}"/>
    <cellStyle name="Normal 58 4 3 4 4 4" xfId="28348" xr:uid="{00000000-0005-0000-0000-0000F7A20000}"/>
    <cellStyle name="Normal 58 4 3 4 5" xfId="6520" xr:uid="{00000000-0005-0000-0000-0000F8A20000}"/>
    <cellStyle name="Normal 58 4 3 4 5 2" xfId="15347" xr:uid="{00000000-0005-0000-0000-0000F9A20000}"/>
    <cellStyle name="Normal 58 4 3 4 5 2 2" xfId="40902" xr:uid="{00000000-0005-0000-0000-0000FAA20000}"/>
    <cellStyle name="Normal 58 4 3 4 5 3" xfId="25598" xr:uid="{00000000-0005-0000-0000-0000FBA20000}"/>
    <cellStyle name="Normal 58 4 3 4 5 3 2" xfId="51151" xr:uid="{00000000-0005-0000-0000-0000FCA20000}"/>
    <cellStyle name="Normal 58 4 3 4 5 4" xfId="32081" xr:uid="{00000000-0005-0000-0000-0000FDA20000}"/>
    <cellStyle name="Normal 58 4 3 4 6" xfId="7966" xr:uid="{00000000-0005-0000-0000-0000FEA20000}"/>
    <cellStyle name="Normal 58 4 3 4 6 2" xfId="20347" xr:uid="{00000000-0005-0000-0000-0000FFA20000}"/>
    <cellStyle name="Normal 58 4 3 4 6 2 2" xfId="45900" xr:uid="{00000000-0005-0000-0000-000000A30000}"/>
    <cellStyle name="Normal 58 4 3 4 6 3" xfId="33523" xr:uid="{00000000-0005-0000-0000-000001A30000}"/>
    <cellStyle name="Normal 58 4 3 4 7" xfId="16858" xr:uid="{00000000-0005-0000-0000-000002A30000}"/>
    <cellStyle name="Normal 58 4 3 4 7 2" xfId="42411" xr:uid="{00000000-0005-0000-0000-000003A30000}"/>
    <cellStyle name="Normal 58 4 3 4 8" xfId="26830" xr:uid="{00000000-0005-0000-0000-000004A30000}"/>
    <cellStyle name="Normal 58 4 3 5" xfId="1194" xr:uid="{00000000-0005-0000-0000-000005A30000}"/>
    <cellStyle name="Normal 58 4 3 5 2" xfId="3623" xr:uid="{00000000-0005-0000-0000-000006A30000}"/>
    <cellStyle name="Normal 58 4 3 5 2 2" xfId="12759" xr:uid="{00000000-0005-0000-0000-000007A30000}"/>
    <cellStyle name="Normal 58 4 3 5 2 2 2" xfId="22978" xr:uid="{00000000-0005-0000-0000-000008A30000}"/>
    <cellStyle name="Normal 58 4 3 5 2 2 2 2" xfId="48531" xr:uid="{00000000-0005-0000-0000-000009A30000}"/>
    <cellStyle name="Normal 58 4 3 5 2 2 3" xfId="38314" xr:uid="{00000000-0005-0000-0000-00000AA30000}"/>
    <cellStyle name="Normal 58 4 3 5 2 3" xfId="9180" xr:uid="{00000000-0005-0000-0000-00000BA30000}"/>
    <cellStyle name="Normal 58 4 3 5 2 3 2" xfId="34737" xr:uid="{00000000-0005-0000-0000-00000CA30000}"/>
    <cellStyle name="Normal 58 4 3 5 2 4" xfId="17971" xr:uid="{00000000-0005-0000-0000-00000DA30000}"/>
    <cellStyle name="Normal 58 4 3 5 2 4 2" xfId="43524" xr:uid="{00000000-0005-0000-0000-00000EA30000}"/>
    <cellStyle name="Normal 58 4 3 5 2 5" xfId="29461" xr:uid="{00000000-0005-0000-0000-00000FA30000}"/>
    <cellStyle name="Normal 58 4 3 5 3" xfId="5286" xr:uid="{00000000-0005-0000-0000-000010A30000}"/>
    <cellStyle name="Normal 58 4 3 5 3 2" xfId="14123" xr:uid="{00000000-0005-0000-0000-000011A30000}"/>
    <cellStyle name="Normal 58 4 3 5 3 2 2" xfId="24374" xr:uid="{00000000-0005-0000-0000-000012A30000}"/>
    <cellStyle name="Normal 58 4 3 5 3 2 2 2" xfId="49927" xr:uid="{00000000-0005-0000-0000-000013A30000}"/>
    <cellStyle name="Normal 58 4 3 5 3 2 3" xfId="39678" xr:uid="{00000000-0005-0000-0000-000014A30000}"/>
    <cellStyle name="Normal 58 4 3 5 3 3" xfId="10544" xr:uid="{00000000-0005-0000-0000-000015A30000}"/>
    <cellStyle name="Normal 58 4 3 5 3 3 2" xfId="36101" xr:uid="{00000000-0005-0000-0000-000016A30000}"/>
    <cellStyle name="Normal 58 4 3 5 3 4" xfId="19367" xr:uid="{00000000-0005-0000-0000-000017A30000}"/>
    <cellStyle name="Normal 58 4 3 5 3 4 2" xfId="44920" xr:uid="{00000000-0005-0000-0000-000018A30000}"/>
    <cellStyle name="Normal 58 4 3 5 3 5" xfId="30857" xr:uid="{00000000-0005-0000-0000-000019A30000}"/>
    <cellStyle name="Normal 58 4 3 5 4" xfId="1796" xr:uid="{00000000-0005-0000-0000-00001AA30000}"/>
    <cellStyle name="Normal 58 4 3 5 4 2" xfId="11165" xr:uid="{00000000-0005-0000-0000-00001BA30000}"/>
    <cellStyle name="Normal 58 4 3 5 4 2 2" xfId="36720" xr:uid="{00000000-0005-0000-0000-00001CA30000}"/>
    <cellStyle name="Normal 58 4 3 5 4 3" xfId="21169" xr:uid="{00000000-0005-0000-0000-00001DA30000}"/>
    <cellStyle name="Normal 58 4 3 5 4 3 2" xfId="46722" xr:uid="{00000000-0005-0000-0000-00001EA30000}"/>
    <cellStyle name="Normal 58 4 3 5 4 4" xfId="27652" xr:uid="{00000000-0005-0000-0000-00001FA30000}"/>
    <cellStyle name="Normal 58 4 3 5 5" xfId="6741" xr:uid="{00000000-0005-0000-0000-000020A30000}"/>
    <cellStyle name="Normal 58 4 3 5 5 2" xfId="15568" xr:uid="{00000000-0005-0000-0000-000021A30000}"/>
    <cellStyle name="Normal 58 4 3 5 5 2 2" xfId="41123" xr:uid="{00000000-0005-0000-0000-000022A30000}"/>
    <cellStyle name="Normal 58 4 3 5 5 3" xfId="25819" xr:uid="{00000000-0005-0000-0000-000023A30000}"/>
    <cellStyle name="Normal 58 4 3 5 5 3 2" xfId="51372" xr:uid="{00000000-0005-0000-0000-000024A30000}"/>
    <cellStyle name="Normal 58 4 3 5 5 4" xfId="32302" xr:uid="{00000000-0005-0000-0000-000025A30000}"/>
    <cellStyle name="Normal 58 4 3 5 6" xfId="8187" xr:uid="{00000000-0005-0000-0000-000026A30000}"/>
    <cellStyle name="Normal 58 4 3 5 6 2" xfId="20577" xr:uid="{00000000-0005-0000-0000-000027A30000}"/>
    <cellStyle name="Normal 58 4 3 5 6 2 2" xfId="46130" xr:uid="{00000000-0005-0000-0000-000028A30000}"/>
    <cellStyle name="Normal 58 4 3 5 6 3" xfId="33744" xr:uid="{00000000-0005-0000-0000-000029A30000}"/>
    <cellStyle name="Normal 58 4 3 5 7" xfId="16162" xr:uid="{00000000-0005-0000-0000-00002AA30000}"/>
    <cellStyle name="Normal 58 4 3 5 7 2" xfId="41715" xr:uid="{00000000-0005-0000-0000-00002BA30000}"/>
    <cellStyle name="Normal 58 4 3 5 8" xfId="27060" xr:uid="{00000000-0005-0000-0000-00002CA30000}"/>
    <cellStyle name="Normal 58 4 3 6" xfId="2691" xr:uid="{00000000-0005-0000-0000-00002DA30000}"/>
    <cellStyle name="Normal 58 4 3 6 2" xfId="12008" xr:uid="{00000000-0005-0000-0000-00002EA30000}"/>
    <cellStyle name="Normal 58 4 3 6 2 2" xfId="22052" xr:uid="{00000000-0005-0000-0000-00002FA30000}"/>
    <cellStyle name="Normal 58 4 3 6 2 2 2" xfId="47605" xr:uid="{00000000-0005-0000-0000-000030A30000}"/>
    <cellStyle name="Normal 58 4 3 6 2 3" xfId="37563" xr:uid="{00000000-0005-0000-0000-000031A30000}"/>
    <cellStyle name="Normal 58 4 3 6 3" xfId="8400" xr:uid="{00000000-0005-0000-0000-000032A30000}"/>
    <cellStyle name="Normal 58 4 3 6 3 2" xfId="33957" xr:uid="{00000000-0005-0000-0000-000033A30000}"/>
    <cellStyle name="Normal 58 4 3 6 4" xfId="17045" xr:uid="{00000000-0005-0000-0000-000034A30000}"/>
    <cellStyle name="Normal 58 4 3 6 4 2" xfId="42598" xr:uid="{00000000-0005-0000-0000-000035A30000}"/>
    <cellStyle name="Normal 58 4 3 6 5" xfId="28535" xr:uid="{00000000-0005-0000-0000-000036A30000}"/>
    <cellStyle name="Normal 58 4 3 7" xfId="4242" xr:uid="{00000000-0005-0000-0000-000037A30000}"/>
    <cellStyle name="Normal 58 4 3 7 2" xfId="13080" xr:uid="{00000000-0005-0000-0000-000038A30000}"/>
    <cellStyle name="Normal 58 4 3 7 2 2" xfId="23331" xr:uid="{00000000-0005-0000-0000-000039A30000}"/>
    <cellStyle name="Normal 58 4 3 7 2 2 2" xfId="48884" xr:uid="{00000000-0005-0000-0000-00003AA30000}"/>
    <cellStyle name="Normal 58 4 3 7 2 3" xfId="38635" xr:uid="{00000000-0005-0000-0000-00003BA30000}"/>
    <cellStyle name="Normal 58 4 3 7 3" xfId="9501" xr:uid="{00000000-0005-0000-0000-00003CA30000}"/>
    <cellStyle name="Normal 58 4 3 7 3 2" xfId="35058" xr:uid="{00000000-0005-0000-0000-00003DA30000}"/>
    <cellStyle name="Normal 58 4 3 7 4" xfId="18324" xr:uid="{00000000-0005-0000-0000-00003EA30000}"/>
    <cellStyle name="Normal 58 4 3 7 4 2" xfId="43877" xr:uid="{00000000-0005-0000-0000-00003FA30000}"/>
    <cellStyle name="Normal 58 4 3 7 5" xfId="29814" xr:uid="{00000000-0005-0000-0000-000040A30000}"/>
    <cellStyle name="Normal 58 4 3 8" xfId="1514" xr:uid="{00000000-0005-0000-0000-000041A30000}"/>
    <cellStyle name="Normal 58 4 3 8 2" xfId="10891" xr:uid="{00000000-0005-0000-0000-000042A30000}"/>
    <cellStyle name="Normal 58 4 3 8 2 2" xfId="36446" xr:uid="{00000000-0005-0000-0000-000043A30000}"/>
    <cellStyle name="Normal 58 4 3 8 3" xfId="20895" xr:uid="{00000000-0005-0000-0000-000044A30000}"/>
    <cellStyle name="Normal 58 4 3 8 3 2" xfId="46448" xr:uid="{00000000-0005-0000-0000-000045A30000}"/>
    <cellStyle name="Normal 58 4 3 8 4" xfId="27378" xr:uid="{00000000-0005-0000-0000-000046A30000}"/>
    <cellStyle name="Normal 58 4 3 9" xfId="5698" xr:uid="{00000000-0005-0000-0000-000047A30000}"/>
    <cellStyle name="Normal 58 4 3 9 2" xfId="14525" xr:uid="{00000000-0005-0000-0000-000048A30000}"/>
    <cellStyle name="Normal 58 4 3 9 2 2" xfId="40080" xr:uid="{00000000-0005-0000-0000-000049A30000}"/>
    <cellStyle name="Normal 58 4 3 9 3" xfId="24776" xr:uid="{00000000-0005-0000-0000-00004AA30000}"/>
    <cellStyle name="Normal 58 4 3 9 3 2" xfId="50329" xr:uid="{00000000-0005-0000-0000-00004BA30000}"/>
    <cellStyle name="Normal 58 4 3 9 4" xfId="31259" xr:uid="{00000000-0005-0000-0000-00004CA30000}"/>
    <cellStyle name="Normal 58 4 3_Degree data" xfId="4008" xr:uid="{00000000-0005-0000-0000-00004DA30000}"/>
    <cellStyle name="Normal 58 4 4" xfId="247" xr:uid="{00000000-0005-0000-0000-00004EA30000}"/>
    <cellStyle name="Normal 58 4 4 10" xfId="7085" xr:uid="{00000000-0005-0000-0000-00004FA30000}"/>
    <cellStyle name="Normal 58 4 4 10 2" xfId="19699" xr:uid="{00000000-0005-0000-0000-000050A30000}"/>
    <cellStyle name="Normal 58 4 4 10 2 2" xfId="45252" xr:uid="{00000000-0005-0000-0000-000051A30000}"/>
    <cellStyle name="Normal 58 4 4 10 3" xfId="32642" xr:uid="{00000000-0005-0000-0000-000052A30000}"/>
    <cellStyle name="Normal 58 4 4 11" xfId="15831" xr:uid="{00000000-0005-0000-0000-000053A30000}"/>
    <cellStyle name="Normal 58 4 4 11 2" xfId="41384" xr:uid="{00000000-0005-0000-0000-000054A30000}"/>
    <cellStyle name="Normal 58 4 4 12" xfId="26182" xr:uid="{00000000-0005-0000-0000-000055A30000}"/>
    <cellStyle name="Normal 58 4 4 2" xfId="570" xr:uid="{00000000-0005-0000-0000-000056A30000}"/>
    <cellStyle name="Normal 58 4 4 2 10" xfId="26499" xr:uid="{00000000-0005-0000-0000-000057A30000}"/>
    <cellStyle name="Normal 58 4 4 2 2" xfId="905" xr:uid="{00000000-0005-0000-0000-000058A30000}"/>
    <cellStyle name="Normal 58 4 4 2 2 2" xfId="3390" xr:uid="{00000000-0005-0000-0000-000059A30000}"/>
    <cellStyle name="Normal 58 4 4 2 2 2 2" xfId="12532" xr:uid="{00000000-0005-0000-0000-00005AA30000}"/>
    <cellStyle name="Normal 58 4 4 2 2 2 2 2" xfId="22751" xr:uid="{00000000-0005-0000-0000-00005BA30000}"/>
    <cellStyle name="Normal 58 4 4 2 2 2 2 2 2" xfId="48304" xr:uid="{00000000-0005-0000-0000-00005CA30000}"/>
    <cellStyle name="Normal 58 4 4 2 2 2 2 3" xfId="38087" xr:uid="{00000000-0005-0000-0000-00005DA30000}"/>
    <cellStyle name="Normal 58 4 4 2 2 2 3" xfId="8954" xr:uid="{00000000-0005-0000-0000-00005EA30000}"/>
    <cellStyle name="Normal 58 4 4 2 2 2 3 2" xfId="34511" xr:uid="{00000000-0005-0000-0000-00005FA30000}"/>
    <cellStyle name="Normal 58 4 4 2 2 2 4" xfId="17744" xr:uid="{00000000-0005-0000-0000-000060A30000}"/>
    <cellStyle name="Normal 58 4 4 2 2 2 4 2" xfId="43297" xr:uid="{00000000-0005-0000-0000-000061A30000}"/>
    <cellStyle name="Normal 58 4 4 2 2 2 5" xfId="29234" xr:uid="{00000000-0005-0000-0000-000062A30000}"/>
    <cellStyle name="Normal 58 4 4 2 2 3" xfId="4719" xr:uid="{00000000-0005-0000-0000-000063A30000}"/>
    <cellStyle name="Normal 58 4 4 2 2 3 2" xfId="13557" xr:uid="{00000000-0005-0000-0000-000064A30000}"/>
    <cellStyle name="Normal 58 4 4 2 2 3 2 2" xfId="23808" xr:uid="{00000000-0005-0000-0000-000065A30000}"/>
    <cellStyle name="Normal 58 4 4 2 2 3 2 2 2" xfId="49361" xr:uid="{00000000-0005-0000-0000-000066A30000}"/>
    <cellStyle name="Normal 58 4 4 2 2 3 2 3" xfId="39112" xr:uid="{00000000-0005-0000-0000-000067A30000}"/>
    <cellStyle name="Normal 58 4 4 2 2 3 3" xfId="9978" xr:uid="{00000000-0005-0000-0000-000068A30000}"/>
    <cellStyle name="Normal 58 4 4 2 2 3 3 2" xfId="35535" xr:uid="{00000000-0005-0000-0000-000069A30000}"/>
    <cellStyle name="Normal 58 4 4 2 2 3 4" xfId="18801" xr:uid="{00000000-0005-0000-0000-00006AA30000}"/>
    <cellStyle name="Normal 58 4 4 2 2 3 4 2" xfId="44354" xr:uid="{00000000-0005-0000-0000-00006BA30000}"/>
    <cellStyle name="Normal 58 4 4 2 2 3 5" xfId="30291" xr:uid="{00000000-0005-0000-0000-00006CA30000}"/>
    <cellStyle name="Normal 58 4 4 2 2 4" xfId="2499" xr:uid="{00000000-0005-0000-0000-00006DA30000}"/>
    <cellStyle name="Normal 58 4 4 2 2 4 2" xfId="11864" xr:uid="{00000000-0005-0000-0000-00006EA30000}"/>
    <cellStyle name="Normal 58 4 4 2 2 4 2 2" xfId="37419" xr:uid="{00000000-0005-0000-0000-00006FA30000}"/>
    <cellStyle name="Normal 58 4 4 2 2 4 3" xfId="21868" xr:uid="{00000000-0005-0000-0000-000070A30000}"/>
    <cellStyle name="Normal 58 4 4 2 2 4 3 2" xfId="47421" xr:uid="{00000000-0005-0000-0000-000071A30000}"/>
    <cellStyle name="Normal 58 4 4 2 2 4 4" xfId="28351" xr:uid="{00000000-0005-0000-0000-000072A30000}"/>
    <cellStyle name="Normal 58 4 4 2 2 5" xfId="6175" xr:uid="{00000000-0005-0000-0000-000073A30000}"/>
    <cellStyle name="Normal 58 4 4 2 2 5 2" xfId="15002" xr:uid="{00000000-0005-0000-0000-000074A30000}"/>
    <cellStyle name="Normal 58 4 4 2 2 5 2 2" xfId="40557" xr:uid="{00000000-0005-0000-0000-000075A30000}"/>
    <cellStyle name="Normal 58 4 4 2 2 5 3" xfId="25253" xr:uid="{00000000-0005-0000-0000-000076A30000}"/>
    <cellStyle name="Normal 58 4 4 2 2 5 3 2" xfId="50806" xr:uid="{00000000-0005-0000-0000-000077A30000}"/>
    <cellStyle name="Normal 58 4 4 2 2 5 4" xfId="31736" xr:uid="{00000000-0005-0000-0000-000078A30000}"/>
    <cellStyle name="Normal 58 4 4 2 2 6" xfId="7620" xr:uid="{00000000-0005-0000-0000-000079A30000}"/>
    <cellStyle name="Normal 58 4 4 2 2 6 2" xfId="20350" xr:uid="{00000000-0005-0000-0000-00007AA30000}"/>
    <cellStyle name="Normal 58 4 4 2 2 6 2 2" xfId="45903" xr:uid="{00000000-0005-0000-0000-00007BA30000}"/>
    <cellStyle name="Normal 58 4 4 2 2 6 3" xfId="33177" xr:uid="{00000000-0005-0000-0000-00007CA30000}"/>
    <cellStyle name="Normal 58 4 4 2 2 7" xfId="16861" xr:uid="{00000000-0005-0000-0000-00007DA30000}"/>
    <cellStyle name="Normal 58 4 4 2 2 7 2" xfId="42414" xr:uid="{00000000-0005-0000-0000-00007EA30000}"/>
    <cellStyle name="Normal 58 4 4 2 2 8" xfId="26833" xr:uid="{00000000-0005-0000-0000-00007FA30000}"/>
    <cellStyle name="Normal 58 4 4 2 3" xfId="1342" xr:uid="{00000000-0005-0000-0000-000080A30000}"/>
    <cellStyle name="Normal 58 4 4 2 3 2" xfId="3771" xr:uid="{00000000-0005-0000-0000-000081A30000}"/>
    <cellStyle name="Normal 58 4 4 2 3 2 2" xfId="12907" xr:uid="{00000000-0005-0000-0000-000082A30000}"/>
    <cellStyle name="Normal 58 4 4 2 3 2 2 2" xfId="23126" xr:uid="{00000000-0005-0000-0000-000083A30000}"/>
    <cellStyle name="Normal 58 4 4 2 3 2 2 2 2" xfId="48679" xr:uid="{00000000-0005-0000-0000-000084A30000}"/>
    <cellStyle name="Normal 58 4 4 2 3 2 2 3" xfId="38462" xr:uid="{00000000-0005-0000-0000-000085A30000}"/>
    <cellStyle name="Normal 58 4 4 2 3 2 3" xfId="9328" xr:uid="{00000000-0005-0000-0000-000086A30000}"/>
    <cellStyle name="Normal 58 4 4 2 3 2 3 2" xfId="34885" xr:uid="{00000000-0005-0000-0000-000087A30000}"/>
    <cellStyle name="Normal 58 4 4 2 3 2 4" xfId="18119" xr:uid="{00000000-0005-0000-0000-000088A30000}"/>
    <cellStyle name="Normal 58 4 4 2 3 2 4 2" xfId="43672" xr:uid="{00000000-0005-0000-0000-000089A30000}"/>
    <cellStyle name="Normal 58 4 4 2 3 2 5" xfId="29609" xr:uid="{00000000-0005-0000-0000-00008AA30000}"/>
    <cellStyle name="Normal 58 4 4 2 3 3" xfId="5068" xr:uid="{00000000-0005-0000-0000-00008BA30000}"/>
    <cellStyle name="Normal 58 4 4 2 3 3 2" xfId="13905" xr:uid="{00000000-0005-0000-0000-00008CA30000}"/>
    <cellStyle name="Normal 58 4 4 2 3 3 2 2" xfId="24156" xr:uid="{00000000-0005-0000-0000-00008DA30000}"/>
    <cellStyle name="Normal 58 4 4 2 3 3 2 2 2" xfId="49709" xr:uid="{00000000-0005-0000-0000-00008EA30000}"/>
    <cellStyle name="Normal 58 4 4 2 3 3 2 3" xfId="39460" xr:uid="{00000000-0005-0000-0000-00008FA30000}"/>
    <cellStyle name="Normal 58 4 4 2 3 3 3" xfId="10326" xr:uid="{00000000-0005-0000-0000-000090A30000}"/>
    <cellStyle name="Normal 58 4 4 2 3 3 3 2" xfId="35883" xr:uid="{00000000-0005-0000-0000-000091A30000}"/>
    <cellStyle name="Normal 58 4 4 2 3 3 4" xfId="19149" xr:uid="{00000000-0005-0000-0000-000092A30000}"/>
    <cellStyle name="Normal 58 4 4 2 3 3 4 2" xfId="44702" xr:uid="{00000000-0005-0000-0000-000093A30000}"/>
    <cellStyle name="Normal 58 4 4 2 3 3 5" xfId="30639" xr:uid="{00000000-0005-0000-0000-000094A30000}"/>
    <cellStyle name="Normal 58 4 4 2 3 4" xfId="2165" xr:uid="{00000000-0005-0000-0000-000095A30000}"/>
    <cellStyle name="Normal 58 4 4 2 3 4 2" xfId="11530" xr:uid="{00000000-0005-0000-0000-000096A30000}"/>
    <cellStyle name="Normal 58 4 4 2 3 4 2 2" xfId="37085" xr:uid="{00000000-0005-0000-0000-000097A30000}"/>
    <cellStyle name="Normal 58 4 4 2 3 4 3" xfId="21534" xr:uid="{00000000-0005-0000-0000-000098A30000}"/>
    <cellStyle name="Normal 58 4 4 2 3 4 3 2" xfId="47087" xr:uid="{00000000-0005-0000-0000-000099A30000}"/>
    <cellStyle name="Normal 58 4 4 2 3 4 4" xfId="28017" xr:uid="{00000000-0005-0000-0000-00009AA30000}"/>
    <cellStyle name="Normal 58 4 4 2 3 5" xfId="6523" xr:uid="{00000000-0005-0000-0000-00009BA30000}"/>
    <cellStyle name="Normal 58 4 4 2 3 5 2" xfId="15350" xr:uid="{00000000-0005-0000-0000-00009CA30000}"/>
    <cellStyle name="Normal 58 4 4 2 3 5 2 2" xfId="40905" xr:uid="{00000000-0005-0000-0000-00009DA30000}"/>
    <cellStyle name="Normal 58 4 4 2 3 5 3" xfId="25601" xr:uid="{00000000-0005-0000-0000-00009EA30000}"/>
    <cellStyle name="Normal 58 4 4 2 3 5 3 2" xfId="51154" xr:uid="{00000000-0005-0000-0000-00009FA30000}"/>
    <cellStyle name="Normal 58 4 4 2 3 5 4" xfId="32084" xr:uid="{00000000-0005-0000-0000-0000A0A30000}"/>
    <cellStyle name="Normal 58 4 4 2 3 6" xfId="7969" xr:uid="{00000000-0005-0000-0000-0000A1A30000}"/>
    <cellStyle name="Normal 58 4 4 2 3 6 2" xfId="20725" xr:uid="{00000000-0005-0000-0000-0000A2A30000}"/>
    <cellStyle name="Normal 58 4 4 2 3 6 2 2" xfId="46278" xr:uid="{00000000-0005-0000-0000-0000A3A30000}"/>
    <cellStyle name="Normal 58 4 4 2 3 6 3" xfId="33526" xr:uid="{00000000-0005-0000-0000-0000A4A30000}"/>
    <cellStyle name="Normal 58 4 4 2 3 7" xfId="16527" xr:uid="{00000000-0005-0000-0000-0000A5A30000}"/>
    <cellStyle name="Normal 58 4 4 2 3 7 2" xfId="42080" xr:uid="{00000000-0005-0000-0000-0000A6A30000}"/>
    <cellStyle name="Normal 58 4 4 2 3 8" xfId="27208" xr:uid="{00000000-0005-0000-0000-0000A7A30000}"/>
    <cellStyle name="Normal 58 4 4 2 4" xfId="3056" xr:uid="{00000000-0005-0000-0000-0000A8A30000}"/>
    <cellStyle name="Normal 58 4 4 2 4 2" xfId="5434" xr:uid="{00000000-0005-0000-0000-0000A9A30000}"/>
    <cellStyle name="Normal 58 4 4 2 4 2 2" xfId="14271" xr:uid="{00000000-0005-0000-0000-0000AAA30000}"/>
    <cellStyle name="Normal 58 4 4 2 4 2 2 2" xfId="24522" xr:uid="{00000000-0005-0000-0000-0000ABA30000}"/>
    <cellStyle name="Normal 58 4 4 2 4 2 2 2 2" xfId="50075" xr:uid="{00000000-0005-0000-0000-0000ACA30000}"/>
    <cellStyle name="Normal 58 4 4 2 4 2 2 3" xfId="39826" xr:uid="{00000000-0005-0000-0000-0000ADA30000}"/>
    <cellStyle name="Normal 58 4 4 2 4 2 3" xfId="10692" xr:uid="{00000000-0005-0000-0000-0000AEA30000}"/>
    <cellStyle name="Normal 58 4 4 2 4 2 3 2" xfId="36249" xr:uid="{00000000-0005-0000-0000-0000AFA30000}"/>
    <cellStyle name="Normal 58 4 4 2 4 2 4" xfId="19515" xr:uid="{00000000-0005-0000-0000-0000B0A30000}"/>
    <cellStyle name="Normal 58 4 4 2 4 2 4 2" xfId="45068" xr:uid="{00000000-0005-0000-0000-0000B1A30000}"/>
    <cellStyle name="Normal 58 4 4 2 4 2 5" xfId="31005" xr:uid="{00000000-0005-0000-0000-0000B2A30000}"/>
    <cellStyle name="Normal 58 4 4 2 4 3" xfId="6889" xr:uid="{00000000-0005-0000-0000-0000B3A30000}"/>
    <cellStyle name="Normal 58 4 4 2 4 3 2" xfId="15716" xr:uid="{00000000-0005-0000-0000-0000B4A30000}"/>
    <cellStyle name="Normal 58 4 4 2 4 3 2 2" xfId="41271" xr:uid="{00000000-0005-0000-0000-0000B5A30000}"/>
    <cellStyle name="Normal 58 4 4 2 4 3 3" xfId="25967" xr:uid="{00000000-0005-0000-0000-0000B6A30000}"/>
    <cellStyle name="Normal 58 4 4 2 4 3 3 2" xfId="51520" xr:uid="{00000000-0005-0000-0000-0000B7A30000}"/>
    <cellStyle name="Normal 58 4 4 2 4 3 4" xfId="32450" xr:uid="{00000000-0005-0000-0000-0000B8A30000}"/>
    <cellStyle name="Normal 58 4 4 2 4 4" xfId="8335" xr:uid="{00000000-0005-0000-0000-0000B9A30000}"/>
    <cellStyle name="Normal 58 4 4 2 4 4 2" xfId="22417" xr:uid="{00000000-0005-0000-0000-0000BAA30000}"/>
    <cellStyle name="Normal 58 4 4 2 4 4 2 2" xfId="47970" xr:uid="{00000000-0005-0000-0000-0000BBA30000}"/>
    <cellStyle name="Normal 58 4 4 2 4 4 3" xfId="33892" xr:uid="{00000000-0005-0000-0000-0000BCA30000}"/>
    <cellStyle name="Normal 58 4 4 2 4 5" xfId="17410" xr:uid="{00000000-0005-0000-0000-0000BDA30000}"/>
    <cellStyle name="Normal 58 4 4 2 4 5 2" xfId="42963" xr:uid="{00000000-0005-0000-0000-0000BEA30000}"/>
    <cellStyle name="Normal 58 4 4 2 4 6" xfId="28900" xr:uid="{00000000-0005-0000-0000-0000BFA30000}"/>
    <cellStyle name="Normal 58 4 4 2 5" xfId="4390" xr:uid="{00000000-0005-0000-0000-0000C0A30000}"/>
    <cellStyle name="Normal 58 4 4 2 5 2" xfId="13228" xr:uid="{00000000-0005-0000-0000-0000C1A30000}"/>
    <cellStyle name="Normal 58 4 4 2 5 2 2" xfId="23479" xr:uid="{00000000-0005-0000-0000-0000C2A30000}"/>
    <cellStyle name="Normal 58 4 4 2 5 2 2 2" xfId="49032" xr:uid="{00000000-0005-0000-0000-0000C3A30000}"/>
    <cellStyle name="Normal 58 4 4 2 5 2 3" xfId="38783" xr:uid="{00000000-0005-0000-0000-0000C4A30000}"/>
    <cellStyle name="Normal 58 4 4 2 5 3" xfId="9649" xr:uid="{00000000-0005-0000-0000-0000C5A30000}"/>
    <cellStyle name="Normal 58 4 4 2 5 3 2" xfId="35206" xr:uid="{00000000-0005-0000-0000-0000C6A30000}"/>
    <cellStyle name="Normal 58 4 4 2 5 4" xfId="18472" xr:uid="{00000000-0005-0000-0000-0000C7A30000}"/>
    <cellStyle name="Normal 58 4 4 2 5 4 2" xfId="44025" xr:uid="{00000000-0005-0000-0000-0000C8A30000}"/>
    <cellStyle name="Normal 58 4 4 2 5 5" xfId="29962" xr:uid="{00000000-0005-0000-0000-0000C9A30000}"/>
    <cellStyle name="Normal 58 4 4 2 6" xfId="1662" xr:uid="{00000000-0005-0000-0000-0000CAA30000}"/>
    <cellStyle name="Normal 58 4 4 2 6 2" xfId="11039" xr:uid="{00000000-0005-0000-0000-0000CBA30000}"/>
    <cellStyle name="Normal 58 4 4 2 6 2 2" xfId="36594" xr:uid="{00000000-0005-0000-0000-0000CCA30000}"/>
    <cellStyle name="Normal 58 4 4 2 6 3" xfId="21043" xr:uid="{00000000-0005-0000-0000-0000CDA30000}"/>
    <cellStyle name="Normal 58 4 4 2 6 3 2" xfId="46596" xr:uid="{00000000-0005-0000-0000-0000CEA30000}"/>
    <cellStyle name="Normal 58 4 4 2 6 4" xfId="27526" xr:uid="{00000000-0005-0000-0000-0000CFA30000}"/>
    <cellStyle name="Normal 58 4 4 2 7" xfId="5846" xr:uid="{00000000-0005-0000-0000-0000D0A30000}"/>
    <cellStyle name="Normal 58 4 4 2 7 2" xfId="14673" xr:uid="{00000000-0005-0000-0000-0000D1A30000}"/>
    <cellStyle name="Normal 58 4 4 2 7 2 2" xfId="40228" xr:uid="{00000000-0005-0000-0000-0000D2A30000}"/>
    <cellStyle name="Normal 58 4 4 2 7 3" xfId="24924" xr:uid="{00000000-0005-0000-0000-0000D3A30000}"/>
    <cellStyle name="Normal 58 4 4 2 7 3 2" xfId="50477" xr:uid="{00000000-0005-0000-0000-0000D4A30000}"/>
    <cellStyle name="Normal 58 4 4 2 7 4" xfId="31407" xr:uid="{00000000-0005-0000-0000-0000D5A30000}"/>
    <cellStyle name="Normal 58 4 4 2 8" xfId="7290" xr:uid="{00000000-0005-0000-0000-0000D6A30000}"/>
    <cellStyle name="Normal 58 4 4 2 8 2" xfId="20016" xr:uid="{00000000-0005-0000-0000-0000D7A30000}"/>
    <cellStyle name="Normal 58 4 4 2 8 2 2" xfId="45569" xr:uid="{00000000-0005-0000-0000-0000D8A30000}"/>
    <cellStyle name="Normal 58 4 4 2 8 3" xfId="32847" xr:uid="{00000000-0005-0000-0000-0000D9A30000}"/>
    <cellStyle name="Normal 58 4 4 2 9" xfId="16036" xr:uid="{00000000-0005-0000-0000-0000DAA30000}"/>
    <cellStyle name="Normal 58 4 4 2 9 2" xfId="41589" xr:uid="{00000000-0005-0000-0000-0000DBA30000}"/>
    <cellStyle name="Normal 58 4 4 2_Degree data" xfId="4011" xr:uid="{00000000-0005-0000-0000-0000DCA30000}"/>
    <cellStyle name="Normal 58 4 4 3" xfId="365" xr:uid="{00000000-0005-0000-0000-0000DDA30000}"/>
    <cellStyle name="Normal 58 4 4 3 2" xfId="2851" xr:uid="{00000000-0005-0000-0000-0000DEA30000}"/>
    <cellStyle name="Normal 58 4 4 3 2 2" xfId="12139" xr:uid="{00000000-0005-0000-0000-0000DFA30000}"/>
    <cellStyle name="Normal 58 4 4 3 2 2 2" xfId="22212" xr:uid="{00000000-0005-0000-0000-0000E0A30000}"/>
    <cellStyle name="Normal 58 4 4 3 2 2 2 2" xfId="47765" xr:uid="{00000000-0005-0000-0000-0000E1A30000}"/>
    <cellStyle name="Normal 58 4 4 3 2 2 3" xfId="37694" xr:uid="{00000000-0005-0000-0000-0000E2A30000}"/>
    <cellStyle name="Normal 58 4 4 3 2 3" xfId="8463" xr:uid="{00000000-0005-0000-0000-0000E3A30000}"/>
    <cellStyle name="Normal 58 4 4 3 2 3 2" xfId="34020" xr:uid="{00000000-0005-0000-0000-0000E4A30000}"/>
    <cellStyle name="Normal 58 4 4 3 2 4" xfId="17205" xr:uid="{00000000-0005-0000-0000-0000E5A30000}"/>
    <cellStyle name="Normal 58 4 4 3 2 4 2" xfId="42758" xr:uid="{00000000-0005-0000-0000-0000E6A30000}"/>
    <cellStyle name="Normal 58 4 4 3 2 5" xfId="28695" xr:uid="{00000000-0005-0000-0000-0000E7A30000}"/>
    <cellStyle name="Normal 58 4 4 3 3" xfId="4718" xr:uid="{00000000-0005-0000-0000-0000E8A30000}"/>
    <cellStyle name="Normal 58 4 4 3 3 2" xfId="13556" xr:uid="{00000000-0005-0000-0000-0000E9A30000}"/>
    <cellStyle name="Normal 58 4 4 3 3 2 2" xfId="23807" xr:uid="{00000000-0005-0000-0000-0000EAA30000}"/>
    <cellStyle name="Normal 58 4 4 3 3 2 2 2" xfId="49360" xr:uid="{00000000-0005-0000-0000-0000EBA30000}"/>
    <cellStyle name="Normal 58 4 4 3 3 2 3" xfId="39111" xr:uid="{00000000-0005-0000-0000-0000ECA30000}"/>
    <cellStyle name="Normal 58 4 4 3 3 3" xfId="9977" xr:uid="{00000000-0005-0000-0000-0000EDA30000}"/>
    <cellStyle name="Normal 58 4 4 3 3 3 2" xfId="35534" xr:uid="{00000000-0005-0000-0000-0000EEA30000}"/>
    <cellStyle name="Normal 58 4 4 3 3 4" xfId="18800" xr:uid="{00000000-0005-0000-0000-0000EFA30000}"/>
    <cellStyle name="Normal 58 4 4 3 3 4 2" xfId="44353" xr:uid="{00000000-0005-0000-0000-0000F0A30000}"/>
    <cellStyle name="Normal 58 4 4 3 3 5" xfId="30290" xr:uid="{00000000-0005-0000-0000-0000F1A30000}"/>
    <cellStyle name="Normal 58 4 4 3 4" xfId="1960" xr:uid="{00000000-0005-0000-0000-0000F2A30000}"/>
    <cellStyle name="Normal 58 4 4 3 4 2" xfId="11325" xr:uid="{00000000-0005-0000-0000-0000F3A30000}"/>
    <cellStyle name="Normal 58 4 4 3 4 2 2" xfId="36880" xr:uid="{00000000-0005-0000-0000-0000F4A30000}"/>
    <cellStyle name="Normal 58 4 4 3 4 3" xfId="21329" xr:uid="{00000000-0005-0000-0000-0000F5A30000}"/>
    <cellStyle name="Normal 58 4 4 3 4 3 2" xfId="46882" xr:uid="{00000000-0005-0000-0000-0000F6A30000}"/>
    <cellStyle name="Normal 58 4 4 3 4 4" xfId="27812" xr:uid="{00000000-0005-0000-0000-0000F7A30000}"/>
    <cellStyle name="Normal 58 4 4 3 5" xfId="6174" xr:uid="{00000000-0005-0000-0000-0000F8A30000}"/>
    <cellStyle name="Normal 58 4 4 3 5 2" xfId="15001" xr:uid="{00000000-0005-0000-0000-0000F9A30000}"/>
    <cellStyle name="Normal 58 4 4 3 5 2 2" xfId="40556" xr:uid="{00000000-0005-0000-0000-0000FAA30000}"/>
    <cellStyle name="Normal 58 4 4 3 5 3" xfId="25252" xr:uid="{00000000-0005-0000-0000-0000FBA30000}"/>
    <cellStyle name="Normal 58 4 4 3 5 3 2" xfId="50805" xr:uid="{00000000-0005-0000-0000-0000FCA30000}"/>
    <cellStyle name="Normal 58 4 4 3 5 4" xfId="31735" xr:uid="{00000000-0005-0000-0000-0000FDA30000}"/>
    <cellStyle name="Normal 58 4 4 3 6" xfId="7619" xr:uid="{00000000-0005-0000-0000-0000FEA30000}"/>
    <cellStyle name="Normal 58 4 4 3 6 2" xfId="19811" xr:uid="{00000000-0005-0000-0000-0000FFA30000}"/>
    <cellStyle name="Normal 58 4 4 3 6 2 2" xfId="45364" xr:uid="{00000000-0005-0000-0000-000000A40000}"/>
    <cellStyle name="Normal 58 4 4 3 6 3" xfId="33176" xr:uid="{00000000-0005-0000-0000-000001A40000}"/>
    <cellStyle name="Normal 58 4 4 3 7" xfId="16322" xr:uid="{00000000-0005-0000-0000-000002A40000}"/>
    <cellStyle name="Normal 58 4 4 3 7 2" xfId="41875" xr:uid="{00000000-0005-0000-0000-000003A40000}"/>
    <cellStyle name="Normal 58 4 4 3 8" xfId="26294" xr:uid="{00000000-0005-0000-0000-000004A40000}"/>
    <cellStyle name="Normal 58 4 4 4" xfId="904" xr:uid="{00000000-0005-0000-0000-000005A40000}"/>
    <cellStyle name="Normal 58 4 4 4 2" xfId="3389" xr:uid="{00000000-0005-0000-0000-000006A40000}"/>
    <cellStyle name="Normal 58 4 4 4 2 2" xfId="12531" xr:uid="{00000000-0005-0000-0000-000007A40000}"/>
    <cellStyle name="Normal 58 4 4 4 2 2 2" xfId="22750" xr:uid="{00000000-0005-0000-0000-000008A40000}"/>
    <cellStyle name="Normal 58 4 4 4 2 2 2 2" xfId="48303" xr:uid="{00000000-0005-0000-0000-000009A40000}"/>
    <cellStyle name="Normal 58 4 4 4 2 2 3" xfId="38086" xr:uid="{00000000-0005-0000-0000-00000AA40000}"/>
    <cellStyle name="Normal 58 4 4 4 2 3" xfId="8953" xr:uid="{00000000-0005-0000-0000-00000BA40000}"/>
    <cellStyle name="Normal 58 4 4 4 2 3 2" xfId="34510" xr:uid="{00000000-0005-0000-0000-00000CA40000}"/>
    <cellStyle name="Normal 58 4 4 4 2 4" xfId="17743" xr:uid="{00000000-0005-0000-0000-00000DA40000}"/>
    <cellStyle name="Normal 58 4 4 4 2 4 2" xfId="43296" xr:uid="{00000000-0005-0000-0000-00000EA40000}"/>
    <cellStyle name="Normal 58 4 4 4 2 5" xfId="29233" xr:uid="{00000000-0005-0000-0000-00000FA40000}"/>
    <cellStyle name="Normal 58 4 4 4 3" xfId="5067" xr:uid="{00000000-0005-0000-0000-000010A40000}"/>
    <cellStyle name="Normal 58 4 4 4 3 2" xfId="13904" xr:uid="{00000000-0005-0000-0000-000011A40000}"/>
    <cellStyle name="Normal 58 4 4 4 3 2 2" xfId="24155" xr:uid="{00000000-0005-0000-0000-000012A40000}"/>
    <cellStyle name="Normal 58 4 4 4 3 2 2 2" xfId="49708" xr:uid="{00000000-0005-0000-0000-000013A40000}"/>
    <cellStyle name="Normal 58 4 4 4 3 2 3" xfId="39459" xr:uid="{00000000-0005-0000-0000-000014A40000}"/>
    <cellStyle name="Normal 58 4 4 4 3 3" xfId="10325" xr:uid="{00000000-0005-0000-0000-000015A40000}"/>
    <cellStyle name="Normal 58 4 4 4 3 3 2" xfId="35882" xr:uid="{00000000-0005-0000-0000-000016A40000}"/>
    <cellStyle name="Normal 58 4 4 4 3 4" xfId="19148" xr:uid="{00000000-0005-0000-0000-000017A40000}"/>
    <cellStyle name="Normal 58 4 4 4 3 4 2" xfId="44701" xr:uid="{00000000-0005-0000-0000-000018A40000}"/>
    <cellStyle name="Normal 58 4 4 4 3 5" xfId="30638" xr:uid="{00000000-0005-0000-0000-000019A40000}"/>
    <cellStyle name="Normal 58 4 4 4 4" xfId="2498" xr:uid="{00000000-0005-0000-0000-00001AA40000}"/>
    <cellStyle name="Normal 58 4 4 4 4 2" xfId="11863" xr:uid="{00000000-0005-0000-0000-00001BA40000}"/>
    <cellStyle name="Normal 58 4 4 4 4 2 2" xfId="37418" xr:uid="{00000000-0005-0000-0000-00001CA40000}"/>
    <cellStyle name="Normal 58 4 4 4 4 3" xfId="21867" xr:uid="{00000000-0005-0000-0000-00001DA40000}"/>
    <cellStyle name="Normal 58 4 4 4 4 3 2" xfId="47420" xr:uid="{00000000-0005-0000-0000-00001EA40000}"/>
    <cellStyle name="Normal 58 4 4 4 4 4" xfId="28350" xr:uid="{00000000-0005-0000-0000-00001FA40000}"/>
    <cellStyle name="Normal 58 4 4 4 5" xfId="6522" xr:uid="{00000000-0005-0000-0000-000020A40000}"/>
    <cellStyle name="Normal 58 4 4 4 5 2" xfId="15349" xr:uid="{00000000-0005-0000-0000-000021A40000}"/>
    <cellStyle name="Normal 58 4 4 4 5 2 2" xfId="40904" xr:uid="{00000000-0005-0000-0000-000022A40000}"/>
    <cellStyle name="Normal 58 4 4 4 5 3" xfId="25600" xr:uid="{00000000-0005-0000-0000-000023A40000}"/>
    <cellStyle name="Normal 58 4 4 4 5 3 2" xfId="51153" xr:uid="{00000000-0005-0000-0000-000024A40000}"/>
    <cellStyle name="Normal 58 4 4 4 5 4" xfId="32083" xr:uid="{00000000-0005-0000-0000-000025A40000}"/>
    <cellStyle name="Normal 58 4 4 4 6" xfId="7968" xr:uid="{00000000-0005-0000-0000-000026A40000}"/>
    <cellStyle name="Normal 58 4 4 4 6 2" xfId="20349" xr:uid="{00000000-0005-0000-0000-000027A40000}"/>
    <cellStyle name="Normal 58 4 4 4 6 2 2" xfId="45902" xr:uid="{00000000-0005-0000-0000-000028A40000}"/>
    <cellStyle name="Normal 58 4 4 4 6 3" xfId="33525" xr:uid="{00000000-0005-0000-0000-000029A40000}"/>
    <cellStyle name="Normal 58 4 4 4 7" xfId="16860" xr:uid="{00000000-0005-0000-0000-00002AA40000}"/>
    <cellStyle name="Normal 58 4 4 4 7 2" xfId="42413" xr:uid="{00000000-0005-0000-0000-00002BA40000}"/>
    <cellStyle name="Normal 58 4 4 4 8" xfId="26832" xr:uid="{00000000-0005-0000-0000-00002CA40000}"/>
    <cellStyle name="Normal 58 4 4 5" xfId="1137" xr:uid="{00000000-0005-0000-0000-00002DA40000}"/>
    <cellStyle name="Normal 58 4 4 5 2" xfId="3566" xr:uid="{00000000-0005-0000-0000-00002EA40000}"/>
    <cellStyle name="Normal 58 4 4 5 2 2" xfId="12702" xr:uid="{00000000-0005-0000-0000-00002FA40000}"/>
    <cellStyle name="Normal 58 4 4 5 2 2 2" xfId="22921" xr:uid="{00000000-0005-0000-0000-000030A40000}"/>
    <cellStyle name="Normal 58 4 4 5 2 2 2 2" xfId="48474" xr:uid="{00000000-0005-0000-0000-000031A40000}"/>
    <cellStyle name="Normal 58 4 4 5 2 2 3" xfId="38257" xr:uid="{00000000-0005-0000-0000-000032A40000}"/>
    <cellStyle name="Normal 58 4 4 5 2 3" xfId="9123" xr:uid="{00000000-0005-0000-0000-000033A40000}"/>
    <cellStyle name="Normal 58 4 4 5 2 3 2" xfId="34680" xr:uid="{00000000-0005-0000-0000-000034A40000}"/>
    <cellStyle name="Normal 58 4 4 5 2 4" xfId="17914" xr:uid="{00000000-0005-0000-0000-000035A40000}"/>
    <cellStyle name="Normal 58 4 4 5 2 4 2" xfId="43467" xr:uid="{00000000-0005-0000-0000-000036A40000}"/>
    <cellStyle name="Normal 58 4 4 5 2 5" xfId="29404" xr:uid="{00000000-0005-0000-0000-000037A40000}"/>
    <cellStyle name="Normal 58 4 4 5 3" xfId="5229" xr:uid="{00000000-0005-0000-0000-000038A40000}"/>
    <cellStyle name="Normal 58 4 4 5 3 2" xfId="14066" xr:uid="{00000000-0005-0000-0000-000039A40000}"/>
    <cellStyle name="Normal 58 4 4 5 3 2 2" xfId="24317" xr:uid="{00000000-0005-0000-0000-00003AA40000}"/>
    <cellStyle name="Normal 58 4 4 5 3 2 2 2" xfId="49870" xr:uid="{00000000-0005-0000-0000-00003BA40000}"/>
    <cellStyle name="Normal 58 4 4 5 3 2 3" xfId="39621" xr:uid="{00000000-0005-0000-0000-00003CA40000}"/>
    <cellStyle name="Normal 58 4 4 5 3 3" xfId="10487" xr:uid="{00000000-0005-0000-0000-00003DA40000}"/>
    <cellStyle name="Normal 58 4 4 5 3 3 2" xfId="36044" xr:uid="{00000000-0005-0000-0000-00003EA40000}"/>
    <cellStyle name="Normal 58 4 4 5 3 4" xfId="19310" xr:uid="{00000000-0005-0000-0000-00003FA40000}"/>
    <cellStyle name="Normal 58 4 4 5 3 4 2" xfId="44863" xr:uid="{00000000-0005-0000-0000-000040A40000}"/>
    <cellStyle name="Normal 58 4 4 5 3 5" xfId="30800" xr:uid="{00000000-0005-0000-0000-000041A40000}"/>
    <cellStyle name="Normal 58 4 4 5 4" xfId="1845" xr:uid="{00000000-0005-0000-0000-000042A40000}"/>
    <cellStyle name="Normal 58 4 4 5 4 2" xfId="11213" xr:uid="{00000000-0005-0000-0000-000043A40000}"/>
    <cellStyle name="Normal 58 4 4 5 4 2 2" xfId="36768" xr:uid="{00000000-0005-0000-0000-000044A40000}"/>
    <cellStyle name="Normal 58 4 4 5 4 3" xfId="21217" xr:uid="{00000000-0005-0000-0000-000045A40000}"/>
    <cellStyle name="Normal 58 4 4 5 4 3 2" xfId="46770" xr:uid="{00000000-0005-0000-0000-000046A40000}"/>
    <cellStyle name="Normal 58 4 4 5 4 4" xfId="27700" xr:uid="{00000000-0005-0000-0000-000047A40000}"/>
    <cellStyle name="Normal 58 4 4 5 5" xfId="6684" xr:uid="{00000000-0005-0000-0000-000048A40000}"/>
    <cellStyle name="Normal 58 4 4 5 5 2" xfId="15511" xr:uid="{00000000-0005-0000-0000-000049A40000}"/>
    <cellStyle name="Normal 58 4 4 5 5 2 2" xfId="41066" xr:uid="{00000000-0005-0000-0000-00004AA40000}"/>
    <cellStyle name="Normal 58 4 4 5 5 3" xfId="25762" xr:uid="{00000000-0005-0000-0000-00004BA40000}"/>
    <cellStyle name="Normal 58 4 4 5 5 3 2" xfId="51315" xr:uid="{00000000-0005-0000-0000-00004CA40000}"/>
    <cellStyle name="Normal 58 4 4 5 5 4" xfId="32245" xr:uid="{00000000-0005-0000-0000-00004DA40000}"/>
    <cellStyle name="Normal 58 4 4 5 6" xfId="8130" xr:uid="{00000000-0005-0000-0000-00004EA40000}"/>
    <cellStyle name="Normal 58 4 4 5 6 2" xfId="20520" xr:uid="{00000000-0005-0000-0000-00004FA40000}"/>
    <cellStyle name="Normal 58 4 4 5 6 2 2" xfId="46073" xr:uid="{00000000-0005-0000-0000-000050A40000}"/>
    <cellStyle name="Normal 58 4 4 5 6 3" xfId="33687" xr:uid="{00000000-0005-0000-0000-000051A40000}"/>
    <cellStyle name="Normal 58 4 4 5 7" xfId="16210" xr:uid="{00000000-0005-0000-0000-000052A40000}"/>
    <cellStyle name="Normal 58 4 4 5 7 2" xfId="41763" xr:uid="{00000000-0005-0000-0000-000053A40000}"/>
    <cellStyle name="Normal 58 4 4 5 8" xfId="27003" xr:uid="{00000000-0005-0000-0000-000054A40000}"/>
    <cellStyle name="Normal 58 4 4 6" xfId="2739" xr:uid="{00000000-0005-0000-0000-000055A40000}"/>
    <cellStyle name="Normal 58 4 4 6 2" xfId="12056" xr:uid="{00000000-0005-0000-0000-000056A40000}"/>
    <cellStyle name="Normal 58 4 4 6 2 2" xfId="22100" xr:uid="{00000000-0005-0000-0000-000057A40000}"/>
    <cellStyle name="Normal 58 4 4 6 2 2 2" xfId="47653" xr:uid="{00000000-0005-0000-0000-000058A40000}"/>
    <cellStyle name="Normal 58 4 4 6 2 3" xfId="37611" xr:uid="{00000000-0005-0000-0000-000059A40000}"/>
    <cellStyle name="Normal 58 4 4 6 3" xfId="8484" xr:uid="{00000000-0005-0000-0000-00005AA40000}"/>
    <cellStyle name="Normal 58 4 4 6 3 2" xfId="34041" xr:uid="{00000000-0005-0000-0000-00005BA40000}"/>
    <cellStyle name="Normal 58 4 4 6 4" xfId="17093" xr:uid="{00000000-0005-0000-0000-00005CA40000}"/>
    <cellStyle name="Normal 58 4 4 6 4 2" xfId="42646" xr:uid="{00000000-0005-0000-0000-00005DA40000}"/>
    <cellStyle name="Normal 58 4 4 6 5" xfId="28583" xr:uid="{00000000-0005-0000-0000-00005EA40000}"/>
    <cellStyle name="Normal 58 4 4 7" xfId="4185" xr:uid="{00000000-0005-0000-0000-00005FA40000}"/>
    <cellStyle name="Normal 58 4 4 7 2" xfId="13023" xr:uid="{00000000-0005-0000-0000-000060A40000}"/>
    <cellStyle name="Normal 58 4 4 7 2 2" xfId="23274" xr:uid="{00000000-0005-0000-0000-000061A40000}"/>
    <cellStyle name="Normal 58 4 4 7 2 2 2" xfId="48827" xr:uid="{00000000-0005-0000-0000-000062A40000}"/>
    <cellStyle name="Normal 58 4 4 7 2 3" xfId="38578" xr:uid="{00000000-0005-0000-0000-000063A40000}"/>
    <cellStyle name="Normal 58 4 4 7 3" xfId="9444" xr:uid="{00000000-0005-0000-0000-000064A40000}"/>
    <cellStyle name="Normal 58 4 4 7 3 2" xfId="35001" xr:uid="{00000000-0005-0000-0000-000065A40000}"/>
    <cellStyle name="Normal 58 4 4 7 4" xfId="18267" xr:uid="{00000000-0005-0000-0000-000066A40000}"/>
    <cellStyle name="Normal 58 4 4 7 4 2" xfId="43820" xr:uid="{00000000-0005-0000-0000-000067A40000}"/>
    <cellStyle name="Normal 58 4 4 7 5" xfId="29757" xr:uid="{00000000-0005-0000-0000-000068A40000}"/>
    <cellStyle name="Normal 58 4 4 8" xfId="1457" xr:uid="{00000000-0005-0000-0000-000069A40000}"/>
    <cellStyle name="Normal 58 4 4 8 2" xfId="10834" xr:uid="{00000000-0005-0000-0000-00006AA40000}"/>
    <cellStyle name="Normal 58 4 4 8 2 2" xfId="36389" xr:uid="{00000000-0005-0000-0000-00006BA40000}"/>
    <cellStyle name="Normal 58 4 4 8 3" xfId="20838" xr:uid="{00000000-0005-0000-0000-00006CA40000}"/>
    <cellStyle name="Normal 58 4 4 8 3 2" xfId="46391" xr:uid="{00000000-0005-0000-0000-00006DA40000}"/>
    <cellStyle name="Normal 58 4 4 8 4" xfId="27321" xr:uid="{00000000-0005-0000-0000-00006EA40000}"/>
    <cellStyle name="Normal 58 4 4 9" xfId="5641" xr:uid="{00000000-0005-0000-0000-00006FA40000}"/>
    <cellStyle name="Normal 58 4 4 9 2" xfId="14468" xr:uid="{00000000-0005-0000-0000-000070A40000}"/>
    <cellStyle name="Normal 58 4 4 9 2 2" xfId="40023" xr:uid="{00000000-0005-0000-0000-000071A40000}"/>
    <cellStyle name="Normal 58 4 4 9 3" xfId="24719" xr:uid="{00000000-0005-0000-0000-000072A40000}"/>
    <cellStyle name="Normal 58 4 4 9 3 2" xfId="50272" xr:uid="{00000000-0005-0000-0000-000073A40000}"/>
    <cellStyle name="Normal 58 4 4 9 4" xfId="31202" xr:uid="{00000000-0005-0000-0000-000074A40000}"/>
    <cellStyle name="Normal 58 4 4_Degree data" xfId="4010" xr:uid="{00000000-0005-0000-0000-000075A40000}"/>
    <cellStyle name="Normal 58 4 5" xfId="465" xr:uid="{00000000-0005-0000-0000-000076A40000}"/>
    <cellStyle name="Normal 58 4 5 10" xfId="26394" xr:uid="{00000000-0005-0000-0000-000077A40000}"/>
    <cellStyle name="Normal 58 4 5 2" xfId="906" xr:uid="{00000000-0005-0000-0000-000078A40000}"/>
    <cellStyle name="Normal 58 4 5 2 2" xfId="3391" xr:uid="{00000000-0005-0000-0000-000079A40000}"/>
    <cellStyle name="Normal 58 4 5 2 2 2" xfId="12533" xr:uid="{00000000-0005-0000-0000-00007AA40000}"/>
    <cellStyle name="Normal 58 4 5 2 2 2 2" xfId="22752" xr:uid="{00000000-0005-0000-0000-00007BA40000}"/>
    <cellStyle name="Normal 58 4 5 2 2 2 2 2" xfId="48305" xr:uid="{00000000-0005-0000-0000-00007CA40000}"/>
    <cellStyle name="Normal 58 4 5 2 2 2 3" xfId="38088" xr:uid="{00000000-0005-0000-0000-00007DA40000}"/>
    <cellStyle name="Normal 58 4 5 2 2 3" xfId="8955" xr:uid="{00000000-0005-0000-0000-00007EA40000}"/>
    <cellStyle name="Normal 58 4 5 2 2 3 2" xfId="34512" xr:uid="{00000000-0005-0000-0000-00007FA40000}"/>
    <cellStyle name="Normal 58 4 5 2 2 4" xfId="17745" xr:uid="{00000000-0005-0000-0000-000080A40000}"/>
    <cellStyle name="Normal 58 4 5 2 2 4 2" xfId="43298" xr:uid="{00000000-0005-0000-0000-000081A40000}"/>
    <cellStyle name="Normal 58 4 5 2 2 5" xfId="29235" xr:uid="{00000000-0005-0000-0000-000082A40000}"/>
    <cellStyle name="Normal 58 4 5 2 3" xfId="4720" xr:uid="{00000000-0005-0000-0000-000083A40000}"/>
    <cellStyle name="Normal 58 4 5 2 3 2" xfId="13558" xr:uid="{00000000-0005-0000-0000-000084A40000}"/>
    <cellStyle name="Normal 58 4 5 2 3 2 2" xfId="23809" xr:uid="{00000000-0005-0000-0000-000085A40000}"/>
    <cellStyle name="Normal 58 4 5 2 3 2 2 2" xfId="49362" xr:uid="{00000000-0005-0000-0000-000086A40000}"/>
    <cellStyle name="Normal 58 4 5 2 3 2 3" xfId="39113" xr:uid="{00000000-0005-0000-0000-000087A40000}"/>
    <cellStyle name="Normal 58 4 5 2 3 3" xfId="9979" xr:uid="{00000000-0005-0000-0000-000088A40000}"/>
    <cellStyle name="Normal 58 4 5 2 3 3 2" xfId="35536" xr:uid="{00000000-0005-0000-0000-000089A40000}"/>
    <cellStyle name="Normal 58 4 5 2 3 4" xfId="18802" xr:uid="{00000000-0005-0000-0000-00008AA40000}"/>
    <cellStyle name="Normal 58 4 5 2 3 4 2" xfId="44355" xr:uid="{00000000-0005-0000-0000-00008BA40000}"/>
    <cellStyle name="Normal 58 4 5 2 3 5" xfId="30292" xr:uid="{00000000-0005-0000-0000-00008CA40000}"/>
    <cellStyle name="Normal 58 4 5 2 4" xfId="2500" xr:uid="{00000000-0005-0000-0000-00008DA40000}"/>
    <cellStyle name="Normal 58 4 5 2 4 2" xfId="11865" xr:uid="{00000000-0005-0000-0000-00008EA40000}"/>
    <cellStyle name="Normal 58 4 5 2 4 2 2" xfId="37420" xr:uid="{00000000-0005-0000-0000-00008FA40000}"/>
    <cellStyle name="Normal 58 4 5 2 4 3" xfId="21869" xr:uid="{00000000-0005-0000-0000-000090A40000}"/>
    <cellStyle name="Normal 58 4 5 2 4 3 2" xfId="47422" xr:uid="{00000000-0005-0000-0000-000091A40000}"/>
    <cellStyle name="Normal 58 4 5 2 4 4" xfId="28352" xr:uid="{00000000-0005-0000-0000-000092A40000}"/>
    <cellStyle name="Normal 58 4 5 2 5" xfId="6176" xr:uid="{00000000-0005-0000-0000-000093A40000}"/>
    <cellStyle name="Normal 58 4 5 2 5 2" xfId="15003" xr:uid="{00000000-0005-0000-0000-000094A40000}"/>
    <cellStyle name="Normal 58 4 5 2 5 2 2" xfId="40558" xr:uid="{00000000-0005-0000-0000-000095A40000}"/>
    <cellStyle name="Normal 58 4 5 2 5 3" xfId="25254" xr:uid="{00000000-0005-0000-0000-000096A40000}"/>
    <cellStyle name="Normal 58 4 5 2 5 3 2" xfId="50807" xr:uid="{00000000-0005-0000-0000-000097A40000}"/>
    <cellStyle name="Normal 58 4 5 2 5 4" xfId="31737" xr:uid="{00000000-0005-0000-0000-000098A40000}"/>
    <cellStyle name="Normal 58 4 5 2 6" xfId="7621" xr:uid="{00000000-0005-0000-0000-000099A40000}"/>
    <cellStyle name="Normal 58 4 5 2 6 2" xfId="20351" xr:uid="{00000000-0005-0000-0000-00009AA40000}"/>
    <cellStyle name="Normal 58 4 5 2 6 2 2" xfId="45904" xr:uid="{00000000-0005-0000-0000-00009BA40000}"/>
    <cellStyle name="Normal 58 4 5 2 6 3" xfId="33178" xr:uid="{00000000-0005-0000-0000-00009CA40000}"/>
    <cellStyle name="Normal 58 4 5 2 7" xfId="16862" xr:uid="{00000000-0005-0000-0000-00009DA40000}"/>
    <cellStyle name="Normal 58 4 5 2 7 2" xfId="42415" xr:uid="{00000000-0005-0000-0000-00009EA40000}"/>
    <cellStyle name="Normal 58 4 5 2 8" xfId="26834" xr:uid="{00000000-0005-0000-0000-00009FA40000}"/>
    <cellStyle name="Normal 58 4 5 3" xfId="1237" xr:uid="{00000000-0005-0000-0000-0000A0A40000}"/>
    <cellStyle name="Normal 58 4 5 3 2" xfId="3666" xr:uid="{00000000-0005-0000-0000-0000A1A40000}"/>
    <cellStyle name="Normal 58 4 5 3 2 2" xfId="12802" xr:uid="{00000000-0005-0000-0000-0000A2A40000}"/>
    <cellStyle name="Normal 58 4 5 3 2 2 2" xfId="23021" xr:uid="{00000000-0005-0000-0000-0000A3A40000}"/>
    <cellStyle name="Normal 58 4 5 3 2 2 2 2" xfId="48574" xr:uid="{00000000-0005-0000-0000-0000A4A40000}"/>
    <cellStyle name="Normal 58 4 5 3 2 2 3" xfId="38357" xr:uid="{00000000-0005-0000-0000-0000A5A40000}"/>
    <cellStyle name="Normal 58 4 5 3 2 3" xfId="9223" xr:uid="{00000000-0005-0000-0000-0000A6A40000}"/>
    <cellStyle name="Normal 58 4 5 3 2 3 2" xfId="34780" xr:uid="{00000000-0005-0000-0000-0000A7A40000}"/>
    <cellStyle name="Normal 58 4 5 3 2 4" xfId="18014" xr:uid="{00000000-0005-0000-0000-0000A8A40000}"/>
    <cellStyle name="Normal 58 4 5 3 2 4 2" xfId="43567" xr:uid="{00000000-0005-0000-0000-0000A9A40000}"/>
    <cellStyle name="Normal 58 4 5 3 2 5" xfId="29504" xr:uid="{00000000-0005-0000-0000-0000AAA40000}"/>
    <cellStyle name="Normal 58 4 5 3 3" xfId="5069" xr:uid="{00000000-0005-0000-0000-0000ABA40000}"/>
    <cellStyle name="Normal 58 4 5 3 3 2" xfId="13906" xr:uid="{00000000-0005-0000-0000-0000ACA40000}"/>
    <cellStyle name="Normal 58 4 5 3 3 2 2" xfId="24157" xr:uid="{00000000-0005-0000-0000-0000ADA40000}"/>
    <cellStyle name="Normal 58 4 5 3 3 2 2 2" xfId="49710" xr:uid="{00000000-0005-0000-0000-0000AEA40000}"/>
    <cellStyle name="Normal 58 4 5 3 3 2 3" xfId="39461" xr:uid="{00000000-0005-0000-0000-0000AFA40000}"/>
    <cellStyle name="Normal 58 4 5 3 3 3" xfId="10327" xr:uid="{00000000-0005-0000-0000-0000B0A40000}"/>
    <cellStyle name="Normal 58 4 5 3 3 3 2" xfId="35884" xr:uid="{00000000-0005-0000-0000-0000B1A40000}"/>
    <cellStyle name="Normal 58 4 5 3 3 4" xfId="19150" xr:uid="{00000000-0005-0000-0000-0000B2A40000}"/>
    <cellStyle name="Normal 58 4 5 3 3 4 2" xfId="44703" xr:uid="{00000000-0005-0000-0000-0000B3A40000}"/>
    <cellStyle name="Normal 58 4 5 3 3 5" xfId="30640" xr:uid="{00000000-0005-0000-0000-0000B4A40000}"/>
    <cellStyle name="Normal 58 4 5 3 4" xfId="2060" xr:uid="{00000000-0005-0000-0000-0000B5A40000}"/>
    <cellStyle name="Normal 58 4 5 3 4 2" xfId="11425" xr:uid="{00000000-0005-0000-0000-0000B6A40000}"/>
    <cellStyle name="Normal 58 4 5 3 4 2 2" xfId="36980" xr:uid="{00000000-0005-0000-0000-0000B7A40000}"/>
    <cellStyle name="Normal 58 4 5 3 4 3" xfId="21429" xr:uid="{00000000-0005-0000-0000-0000B8A40000}"/>
    <cellStyle name="Normal 58 4 5 3 4 3 2" xfId="46982" xr:uid="{00000000-0005-0000-0000-0000B9A40000}"/>
    <cellStyle name="Normal 58 4 5 3 4 4" xfId="27912" xr:uid="{00000000-0005-0000-0000-0000BAA40000}"/>
    <cellStyle name="Normal 58 4 5 3 5" xfId="6524" xr:uid="{00000000-0005-0000-0000-0000BBA40000}"/>
    <cellStyle name="Normal 58 4 5 3 5 2" xfId="15351" xr:uid="{00000000-0005-0000-0000-0000BCA40000}"/>
    <cellStyle name="Normal 58 4 5 3 5 2 2" xfId="40906" xr:uid="{00000000-0005-0000-0000-0000BDA40000}"/>
    <cellStyle name="Normal 58 4 5 3 5 3" xfId="25602" xr:uid="{00000000-0005-0000-0000-0000BEA40000}"/>
    <cellStyle name="Normal 58 4 5 3 5 3 2" xfId="51155" xr:uid="{00000000-0005-0000-0000-0000BFA40000}"/>
    <cellStyle name="Normal 58 4 5 3 5 4" xfId="32085" xr:uid="{00000000-0005-0000-0000-0000C0A40000}"/>
    <cellStyle name="Normal 58 4 5 3 6" xfId="7970" xr:uid="{00000000-0005-0000-0000-0000C1A40000}"/>
    <cellStyle name="Normal 58 4 5 3 6 2" xfId="20620" xr:uid="{00000000-0005-0000-0000-0000C2A40000}"/>
    <cellStyle name="Normal 58 4 5 3 6 2 2" xfId="46173" xr:uid="{00000000-0005-0000-0000-0000C3A40000}"/>
    <cellStyle name="Normal 58 4 5 3 6 3" xfId="33527" xr:uid="{00000000-0005-0000-0000-0000C4A40000}"/>
    <cellStyle name="Normal 58 4 5 3 7" xfId="16422" xr:uid="{00000000-0005-0000-0000-0000C5A40000}"/>
    <cellStyle name="Normal 58 4 5 3 7 2" xfId="41975" xr:uid="{00000000-0005-0000-0000-0000C6A40000}"/>
    <cellStyle name="Normal 58 4 5 3 8" xfId="27103" xr:uid="{00000000-0005-0000-0000-0000C7A40000}"/>
    <cellStyle name="Normal 58 4 5 4" xfId="2951" xr:uid="{00000000-0005-0000-0000-0000C8A40000}"/>
    <cellStyle name="Normal 58 4 5 4 2" xfId="5329" xr:uid="{00000000-0005-0000-0000-0000C9A40000}"/>
    <cellStyle name="Normal 58 4 5 4 2 2" xfId="14166" xr:uid="{00000000-0005-0000-0000-0000CAA40000}"/>
    <cellStyle name="Normal 58 4 5 4 2 2 2" xfId="24417" xr:uid="{00000000-0005-0000-0000-0000CBA40000}"/>
    <cellStyle name="Normal 58 4 5 4 2 2 2 2" xfId="49970" xr:uid="{00000000-0005-0000-0000-0000CCA40000}"/>
    <cellStyle name="Normal 58 4 5 4 2 2 3" xfId="39721" xr:uid="{00000000-0005-0000-0000-0000CDA40000}"/>
    <cellStyle name="Normal 58 4 5 4 2 3" xfId="10587" xr:uid="{00000000-0005-0000-0000-0000CEA40000}"/>
    <cellStyle name="Normal 58 4 5 4 2 3 2" xfId="36144" xr:uid="{00000000-0005-0000-0000-0000CFA40000}"/>
    <cellStyle name="Normal 58 4 5 4 2 4" xfId="19410" xr:uid="{00000000-0005-0000-0000-0000D0A40000}"/>
    <cellStyle name="Normal 58 4 5 4 2 4 2" xfId="44963" xr:uid="{00000000-0005-0000-0000-0000D1A40000}"/>
    <cellStyle name="Normal 58 4 5 4 2 5" xfId="30900" xr:uid="{00000000-0005-0000-0000-0000D2A40000}"/>
    <cellStyle name="Normal 58 4 5 4 3" xfId="6784" xr:uid="{00000000-0005-0000-0000-0000D3A40000}"/>
    <cellStyle name="Normal 58 4 5 4 3 2" xfId="15611" xr:uid="{00000000-0005-0000-0000-0000D4A40000}"/>
    <cellStyle name="Normal 58 4 5 4 3 2 2" xfId="41166" xr:uid="{00000000-0005-0000-0000-0000D5A40000}"/>
    <cellStyle name="Normal 58 4 5 4 3 3" xfId="25862" xr:uid="{00000000-0005-0000-0000-0000D6A40000}"/>
    <cellStyle name="Normal 58 4 5 4 3 3 2" xfId="51415" xr:uid="{00000000-0005-0000-0000-0000D7A40000}"/>
    <cellStyle name="Normal 58 4 5 4 3 4" xfId="32345" xr:uid="{00000000-0005-0000-0000-0000D8A40000}"/>
    <cellStyle name="Normal 58 4 5 4 4" xfId="8230" xr:uid="{00000000-0005-0000-0000-0000D9A40000}"/>
    <cellStyle name="Normal 58 4 5 4 4 2" xfId="22312" xr:uid="{00000000-0005-0000-0000-0000DAA40000}"/>
    <cellStyle name="Normal 58 4 5 4 4 2 2" xfId="47865" xr:uid="{00000000-0005-0000-0000-0000DBA40000}"/>
    <cellStyle name="Normal 58 4 5 4 4 3" xfId="33787" xr:uid="{00000000-0005-0000-0000-0000DCA40000}"/>
    <cellStyle name="Normal 58 4 5 4 5" xfId="17305" xr:uid="{00000000-0005-0000-0000-0000DDA40000}"/>
    <cellStyle name="Normal 58 4 5 4 5 2" xfId="42858" xr:uid="{00000000-0005-0000-0000-0000DEA40000}"/>
    <cellStyle name="Normal 58 4 5 4 6" xfId="28795" xr:uid="{00000000-0005-0000-0000-0000DFA40000}"/>
    <cellStyle name="Normal 58 4 5 5" xfId="4285" xr:uid="{00000000-0005-0000-0000-0000E0A40000}"/>
    <cellStyle name="Normal 58 4 5 5 2" xfId="13123" xr:uid="{00000000-0005-0000-0000-0000E1A40000}"/>
    <cellStyle name="Normal 58 4 5 5 2 2" xfId="23374" xr:uid="{00000000-0005-0000-0000-0000E2A40000}"/>
    <cellStyle name="Normal 58 4 5 5 2 2 2" xfId="48927" xr:uid="{00000000-0005-0000-0000-0000E3A40000}"/>
    <cellStyle name="Normal 58 4 5 5 2 3" xfId="38678" xr:uid="{00000000-0005-0000-0000-0000E4A40000}"/>
    <cellStyle name="Normal 58 4 5 5 3" xfId="9544" xr:uid="{00000000-0005-0000-0000-0000E5A40000}"/>
    <cellStyle name="Normal 58 4 5 5 3 2" xfId="35101" xr:uid="{00000000-0005-0000-0000-0000E6A40000}"/>
    <cellStyle name="Normal 58 4 5 5 4" xfId="18367" xr:uid="{00000000-0005-0000-0000-0000E7A40000}"/>
    <cellStyle name="Normal 58 4 5 5 4 2" xfId="43920" xr:uid="{00000000-0005-0000-0000-0000E8A40000}"/>
    <cellStyle name="Normal 58 4 5 5 5" xfId="29857" xr:uid="{00000000-0005-0000-0000-0000E9A40000}"/>
    <cellStyle name="Normal 58 4 5 6" xfId="1557" xr:uid="{00000000-0005-0000-0000-0000EAA40000}"/>
    <cellStyle name="Normal 58 4 5 6 2" xfId="10934" xr:uid="{00000000-0005-0000-0000-0000EBA40000}"/>
    <cellStyle name="Normal 58 4 5 6 2 2" xfId="36489" xr:uid="{00000000-0005-0000-0000-0000ECA40000}"/>
    <cellStyle name="Normal 58 4 5 6 3" xfId="20938" xr:uid="{00000000-0005-0000-0000-0000EDA40000}"/>
    <cellStyle name="Normal 58 4 5 6 3 2" xfId="46491" xr:uid="{00000000-0005-0000-0000-0000EEA40000}"/>
    <cellStyle name="Normal 58 4 5 6 4" xfId="27421" xr:uid="{00000000-0005-0000-0000-0000EFA40000}"/>
    <cellStyle name="Normal 58 4 5 7" xfId="5741" xr:uid="{00000000-0005-0000-0000-0000F0A40000}"/>
    <cellStyle name="Normal 58 4 5 7 2" xfId="14568" xr:uid="{00000000-0005-0000-0000-0000F1A40000}"/>
    <cellStyle name="Normal 58 4 5 7 2 2" xfId="40123" xr:uid="{00000000-0005-0000-0000-0000F2A40000}"/>
    <cellStyle name="Normal 58 4 5 7 3" xfId="24819" xr:uid="{00000000-0005-0000-0000-0000F3A40000}"/>
    <cellStyle name="Normal 58 4 5 7 3 2" xfId="50372" xr:uid="{00000000-0005-0000-0000-0000F4A40000}"/>
    <cellStyle name="Normal 58 4 5 7 4" xfId="31302" xr:uid="{00000000-0005-0000-0000-0000F5A40000}"/>
    <cellStyle name="Normal 58 4 5 8" xfId="7185" xr:uid="{00000000-0005-0000-0000-0000F6A40000}"/>
    <cellStyle name="Normal 58 4 5 8 2" xfId="19911" xr:uid="{00000000-0005-0000-0000-0000F7A40000}"/>
    <cellStyle name="Normal 58 4 5 8 2 2" xfId="45464" xr:uid="{00000000-0005-0000-0000-0000F8A40000}"/>
    <cellStyle name="Normal 58 4 5 8 3" xfId="32742" xr:uid="{00000000-0005-0000-0000-0000F9A40000}"/>
    <cellStyle name="Normal 58 4 5 9" xfId="15931" xr:uid="{00000000-0005-0000-0000-0000FAA40000}"/>
    <cellStyle name="Normal 58 4 5 9 2" xfId="41484" xr:uid="{00000000-0005-0000-0000-0000FBA40000}"/>
    <cellStyle name="Normal 58 4 5_Degree data" xfId="4012" xr:uid="{00000000-0005-0000-0000-0000FCA40000}"/>
    <cellStyle name="Normal 58 4 6" xfId="320" xr:uid="{00000000-0005-0000-0000-0000FDA40000}"/>
    <cellStyle name="Normal 58 4 6 10" xfId="26249" xr:uid="{00000000-0005-0000-0000-0000FEA40000}"/>
    <cellStyle name="Normal 58 4 6 2" xfId="907" xr:uid="{00000000-0005-0000-0000-0000FFA40000}"/>
    <cellStyle name="Normal 58 4 6 2 2" xfId="3392" xr:uid="{00000000-0005-0000-0000-000000A50000}"/>
    <cellStyle name="Normal 58 4 6 2 2 2" xfId="12534" xr:uid="{00000000-0005-0000-0000-000001A50000}"/>
    <cellStyle name="Normal 58 4 6 2 2 2 2" xfId="22753" xr:uid="{00000000-0005-0000-0000-000002A50000}"/>
    <cellStyle name="Normal 58 4 6 2 2 2 2 2" xfId="48306" xr:uid="{00000000-0005-0000-0000-000003A50000}"/>
    <cellStyle name="Normal 58 4 6 2 2 2 3" xfId="38089" xr:uid="{00000000-0005-0000-0000-000004A50000}"/>
    <cellStyle name="Normal 58 4 6 2 2 3" xfId="8956" xr:uid="{00000000-0005-0000-0000-000005A50000}"/>
    <cellStyle name="Normal 58 4 6 2 2 3 2" xfId="34513" xr:uid="{00000000-0005-0000-0000-000006A50000}"/>
    <cellStyle name="Normal 58 4 6 2 2 4" xfId="17746" xr:uid="{00000000-0005-0000-0000-000007A50000}"/>
    <cellStyle name="Normal 58 4 6 2 2 4 2" xfId="43299" xr:uid="{00000000-0005-0000-0000-000008A50000}"/>
    <cellStyle name="Normal 58 4 6 2 2 5" xfId="29236" xr:uid="{00000000-0005-0000-0000-000009A50000}"/>
    <cellStyle name="Normal 58 4 6 2 3" xfId="4721" xr:uid="{00000000-0005-0000-0000-00000AA50000}"/>
    <cellStyle name="Normal 58 4 6 2 3 2" xfId="13559" xr:uid="{00000000-0005-0000-0000-00000BA50000}"/>
    <cellStyle name="Normal 58 4 6 2 3 2 2" xfId="23810" xr:uid="{00000000-0005-0000-0000-00000CA50000}"/>
    <cellStyle name="Normal 58 4 6 2 3 2 2 2" xfId="49363" xr:uid="{00000000-0005-0000-0000-00000DA50000}"/>
    <cellStyle name="Normal 58 4 6 2 3 2 3" xfId="39114" xr:uid="{00000000-0005-0000-0000-00000EA50000}"/>
    <cellStyle name="Normal 58 4 6 2 3 3" xfId="9980" xr:uid="{00000000-0005-0000-0000-00000FA50000}"/>
    <cellStyle name="Normal 58 4 6 2 3 3 2" xfId="35537" xr:uid="{00000000-0005-0000-0000-000010A50000}"/>
    <cellStyle name="Normal 58 4 6 2 3 4" xfId="18803" xr:uid="{00000000-0005-0000-0000-000011A50000}"/>
    <cellStyle name="Normal 58 4 6 2 3 4 2" xfId="44356" xr:uid="{00000000-0005-0000-0000-000012A50000}"/>
    <cellStyle name="Normal 58 4 6 2 3 5" xfId="30293" xr:uid="{00000000-0005-0000-0000-000013A50000}"/>
    <cellStyle name="Normal 58 4 6 2 4" xfId="2501" xr:uid="{00000000-0005-0000-0000-000014A50000}"/>
    <cellStyle name="Normal 58 4 6 2 4 2" xfId="11866" xr:uid="{00000000-0005-0000-0000-000015A50000}"/>
    <cellStyle name="Normal 58 4 6 2 4 2 2" xfId="37421" xr:uid="{00000000-0005-0000-0000-000016A50000}"/>
    <cellStyle name="Normal 58 4 6 2 4 3" xfId="21870" xr:uid="{00000000-0005-0000-0000-000017A50000}"/>
    <cellStyle name="Normal 58 4 6 2 4 3 2" xfId="47423" xr:uid="{00000000-0005-0000-0000-000018A50000}"/>
    <cellStyle name="Normal 58 4 6 2 4 4" xfId="28353" xr:uid="{00000000-0005-0000-0000-000019A50000}"/>
    <cellStyle name="Normal 58 4 6 2 5" xfId="6177" xr:uid="{00000000-0005-0000-0000-00001AA50000}"/>
    <cellStyle name="Normal 58 4 6 2 5 2" xfId="15004" xr:uid="{00000000-0005-0000-0000-00001BA50000}"/>
    <cellStyle name="Normal 58 4 6 2 5 2 2" xfId="40559" xr:uid="{00000000-0005-0000-0000-00001CA50000}"/>
    <cellStyle name="Normal 58 4 6 2 5 3" xfId="25255" xr:uid="{00000000-0005-0000-0000-00001DA50000}"/>
    <cellStyle name="Normal 58 4 6 2 5 3 2" xfId="50808" xr:uid="{00000000-0005-0000-0000-00001EA50000}"/>
    <cellStyle name="Normal 58 4 6 2 5 4" xfId="31738" xr:uid="{00000000-0005-0000-0000-00001FA50000}"/>
    <cellStyle name="Normal 58 4 6 2 6" xfId="7622" xr:uid="{00000000-0005-0000-0000-000020A50000}"/>
    <cellStyle name="Normal 58 4 6 2 6 2" xfId="20352" xr:uid="{00000000-0005-0000-0000-000021A50000}"/>
    <cellStyle name="Normal 58 4 6 2 6 2 2" xfId="45905" xr:uid="{00000000-0005-0000-0000-000022A50000}"/>
    <cellStyle name="Normal 58 4 6 2 6 3" xfId="33179" xr:uid="{00000000-0005-0000-0000-000023A50000}"/>
    <cellStyle name="Normal 58 4 6 2 7" xfId="16863" xr:uid="{00000000-0005-0000-0000-000024A50000}"/>
    <cellStyle name="Normal 58 4 6 2 7 2" xfId="42416" xr:uid="{00000000-0005-0000-0000-000025A50000}"/>
    <cellStyle name="Normal 58 4 6 2 8" xfId="26835" xr:uid="{00000000-0005-0000-0000-000026A50000}"/>
    <cellStyle name="Normal 58 4 6 3" xfId="1092" xr:uid="{00000000-0005-0000-0000-000027A50000}"/>
    <cellStyle name="Normal 58 4 6 3 2" xfId="3521" xr:uid="{00000000-0005-0000-0000-000028A50000}"/>
    <cellStyle name="Normal 58 4 6 3 2 2" xfId="12657" xr:uid="{00000000-0005-0000-0000-000029A50000}"/>
    <cellStyle name="Normal 58 4 6 3 2 2 2" xfId="22876" xr:uid="{00000000-0005-0000-0000-00002AA50000}"/>
    <cellStyle name="Normal 58 4 6 3 2 2 2 2" xfId="48429" xr:uid="{00000000-0005-0000-0000-00002BA50000}"/>
    <cellStyle name="Normal 58 4 6 3 2 2 3" xfId="38212" xr:uid="{00000000-0005-0000-0000-00002CA50000}"/>
    <cellStyle name="Normal 58 4 6 3 2 3" xfId="9079" xr:uid="{00000000-0005-0000-0000-00002DA50000}"/>
    <cellStyle name="Normal 58 4 6 3 2 3 2" xfId="34636" xr:uid="{00000000-0005-0000-0000-00002EA50000}"/>
    <cellStyle name="Normal 58 4 6 3 2 4" xfId="17869" xr:uid="{00000000-0005-0000-0000-00002FA50000}"/>
    <cellStyle name="Normal 58 4 6 3 2 4 2" xfId="43422" xr:uid="{00000000-0005-0000-0000-000030A50000}"/>
    <cellStyle name="Normal 58 4 6 3 2 5" xfId="29359" xr:uid="{00000000-0005-0000-0000-000031A50000}"/>
    <cellStyle name="Normal 58 4 6 3 3" xfId="5070" xr:uid="{00000000-0005-0000-0000-000032A50000}"/>
    <cellStyle name="Normal 58 4 6 3 3 2" xfId="13907" xr:uid="{00000000-0005-0000-0000-000033A50000}"/>
    <cellStyle name="Normal 58 4 6 3 3 2 2" xfId="24158" xr:uid="{00000000-0005-0000-0000-000034A50000}"/>
    <cellStyle name="Normal 58 4 6 3 3 2 2 2" xfId="49711" xr:uid="{00000000-0005-0000-0000-000035A50000}"/>
    <cellStyle name="Normal 58 4 6 3 3 2 3" xfId="39462" xr:uid="{00000000-0005-0000-0000-000036A50000}"/>
    <cellStyle name="Normal 58 4 6 3 3 3" xfId="10328" xr:uid="{00000000-0005-0000-0000-000037A50000}"/>
    <cellStyle name="Normal 58 4 6 3 3 3 2" xfId="35885" xr:uid="{00000000-0005-0000-0000-000038A50000}"/>
    <cellStyle name="Normal 58 4 6 3 3 4" xfId="19151" xr:uid="{00000000-0005-0000-0000-000039A50000}"/>
    <cellStyle name="Normal 58 4 6 3 3 4 2" xfId="44704" xr:uid="{00000000-0005-0000-0000-00003AA50000}"/>
    <cellStyle name="Normal 58 4 6 3 3 5" xfId="30641" xr:uid="{00000000-0005-0000-0000-00003BA50000}"/>
    <cellStyle name="Normal 58 4 6 3 4" xfId="2596" xr:uid="{00000000-0005-0000-0000-00003CA50000}"/>
    <cellStyle name="Normal 58 4 6 3 4 2" xfId="11960" xr:uid="{00000000-0005-0000-0000-00003DA50000}"/>
    <cellStyle name="Normal 58 4 6 3 4 2 2" xfId="37515" xr:uid="{00000000-0005-0000-0000-00003EA50000}"/>
    <cellStyle name="Normal 58 4 6 3 4 3" xfId="21964" xr:uid="{00000000-0005-0000-0000-00003FA50000}"/>
    <cellStyle name="Normal 58 4 6 3 4 3 2" xfId="47517" xr:uid="{00000000-0005-0000-0000-000040A50000}"/>
    <cellStyle name="Normal 58 4 6 3 4 4" xfId="28447" xr:uid="{00000000-0005-0000-0000-000041A50000}"/>
    <cellStyle name="Normal 58 4 6 3 5" xfId="6525" xr:uid="{00000000-0005-0000-0000-000042A50000}"/>
    <cellStyle name="Normal 58 4 6 3 5 2" xfId="15352" xr:uid="{00000000-0005-0000-0000-000043A50000}"/>
    <cellStyle name="Normal 58 4 6 3 5 2 2" xfId="40907" xr:uid="{00000000-0005-0000-0000-000044A50000}"/>
    <cellStyle name="Normal 58 4 6 3 5 3" xfId="25603" xr:uid="{00000000-0005-0000-0000-000045A50000}"/>
    <cellStyle name="Normal 58 4 6 3 5 3 2" xfId="51156" xr:uid="{00000000-0005-0000-0000-000046A50000}"/>
    <cellStyle name="Normal 58 4 6 3 5 4" xfId="32086" xr:uid="{00000000-0005-0000-0000-000047A50000}"/>
    <cellStyle name="Normal 58 4 6 3 6" xfId="7971" xr:uid="{00000000-0005-0000-0000-000048A50000}"/>
    <cellStyle name="Normal 58 4 6 3 6 2" xfId="20475" xr:uid="{00000000-0005-0000-0000-000049A50000}"/>
    <cellStyle name="Normal 58 4 6 3 6 2 2" xfId="46028" xr:uid="{00000000-0005-0000-0000-00004AA50000}"/>
    <cellStyle name="Normal 58 4 6 3 6 3" xfId="33528" xr:uid="{00000000-0005-0000-0000-00004BA50000}"/>
    <cellStyle name="Normal 58 4 6 3 7" xfId="16957" xr:uid="{00000000-0005-0000-0000-00004CA50000}"/>
    <cellStyle name="Normal 58 4 6 3 7 2" xfId="42510" xr:uid="{00000000-0005-0000-0000-00004DA50000}"/>
    <cellStyle name="Normal 58 4 6 3 8" xfId="26958" xr:uid="{00000000-0005-0000-0000-00004EA50000}"/>
    <cellStyle name="Normal 58 4 6 4" xfId="2806" xr:uid="{00000000-0005-0000-0000-00004FA50000}"/>
    <cellStyle name="Normal 58 4 6 4 2" xfId="5184" xr:uid="{00000000-0005-0000-0000-000050A50000}"/>
    <cellStyle name="Normal 58 4 6 4 2 2" xfId="14021" xr:uid="{00000000-0005-0000-0000-000051A50000}"/>
    <cellStyle name="Normal 58 4 6 4 2 2 2" xfId="24272" xr:uid="{00000000-0005-0000-0000-000052A50000}"/>
    <cellStyle name="Normal 58 4 6 4 2 2 2 2" xfId="49825" xr:uid="{00000000-0005-0000-0000-000053A50000}"/>
    <cellStyle name="Normal 58 4 6 4 2 2 3" xfId="39576" xr:uid="{00000000-0005-0000-0000-000054A50000}"/>
    <cellStyle name="Normal 58 4 6 4 2 3" xfId="10442" xr:uid="{00000000-0005-0000-0000-000055A50000}"/>
    <cellStyle name="Normal 58 4 6 4 2 3 2" xfId="35999" xr:uid="{00000000-0005-0000-0000-000056A50000}"/>
    <cellStyle name="Normal 58 4 6 4 2 4" xfId="19265" xr:uid="{00000000-0005-0000-0000-000057A50000}"/>
    <cellStyle name="Normal 58 4 6 4 2 4 2" xfId="44818" xr:uid="{00000000-0005-0000-0000-000058A50000}"/>
    <cellStyle name="Normal 58 4 6 4 2 5" xfId="30755" xr:uid="{00000000-0005-0000-0000-000059A50000}"/>
    <cellStyle name="Normal 58 4 6 4 3" xfId="6639" xr:uid="{00000000-0005-0000-0000-00005AA50000}"/>
    <cellStyle name="Normal 58 4 6 4 3 2" xfId="15466" xr:uid="{00000000-0005-0000-0000-00005BA50000}"/>
    <cellStyle name="Normal 58 4 6 4 3 2 2" xfId="41021" xr:uid="{00000000-0005-0000-0000-00005CA50000}"/>
    <cellStyle name="Normal 58 4 6 4 3 3" xfId="25717" xr:uid="{00000000-0005-0000-0000-00005DA50000}"/>
    <cellStyle name="Normal 58 4 6 4 3 3 2" xfId="51270" xr:uid="{00000000-0005-0000-0000-00005EA50000}"/>
    <cellStyle name="Normal 58 4 6 4 3 4" xfId="32200" xr:uid="{00000000-0005-0000-0000-00005FA50000}"/>
    <cellStyle name="Normal 58 4 6 4 4" xfId="8085" xr:uid="{00000000-0005-0000-0000-000060A50000}"/>
    <cellStyle name="Normal 58 4 6 4 4 2" xfId="22167" xr:uid="{00000000-0005-0000-0000-000061A50000}"/>
    <cellStyle name="Normal 58 4 6 4 4 2 2" xfId="47720" xr:uid="{00000000-0005-0000-0000-000062A50000}"/>
    <cellStyle name="Normal 58 4 6 4 4 3" xfId="33642" xr:uid="{00000000-0005-0000-0000-000063A50000}"/>
    <cellStyle name="Normal 58 4 6 4 5" xfId="17160" xr:uid="{00000000-0005-0000-0000-000064A50000}"/>
    <cellStyle name="Normal 58 4 6 4 5 2" xfId="42713" xr:uid="{00000000-0005-0000-0000-000065A50000}"/>
    <cellStyle name="Normal 58 4 6 4 6" xfId="28650" xr:uid="{00000000-0005-0000-0000-000066A50000}"/>
    <cellStyle name="Normal 58 4 6 5" xfId="4138" xr:uid="{00000000-0005-0000-0000-000067A50000}"/>
    <cellStyle name="Normal 58 4 6 5 2" xfId="12976" xr:uid="{00000000-0005-0000-0000-000068A50000}"/>
    <cellStyle name="Normal 58 4 6 5 2 2" xfId="23227" xr:uid="{00000000-0005-0000-0000-000069A50000}"/>
    <cellStyle name="Normal 58 4 6 5 2 2 2" xfId="48780" xr:uid="{00000000-0005-0000-0000-00006AA50000}"/>
    <cellStyle name="Normal 58 4 6 5 2 3" xfId="38531" xr:uid="{00000000-0005-0000-0000-00006BA50000}"/>
    <cellStyle name="Normal 58 4 6 5 3" xfId="9397" xr:uid="{00000000-0005-0000-0000-00006CA50000}"/>
    <cellStyle name="Normal 58 4 6 5 3 2" xfId="34954" xr:uid="{00000000-0005-0000-0000-00006DA50000}"/>
    <cellStyle name="Normal 58 4 6 5 4" xfId="18220" xr:uid="{00000000-0005-0000-0000-00006EA50000}"/>
    <cellStyle name="Normal 58 4 6 5 4 2" xfId="43773" xr:uid="{00000000-0005-0000-0000-00006FA50000}"/>
    <cellStyle name="Normal 58 4 6 5 5" xfId="29710" xr:uid="{00000000-0005-0000-0000-000070A50000}"/>
    <cellStyle name="Normal 58 4 6 6" xfId="1915" xr:uid="{00000000-0005-0000-0000-000071A50000}"/>
    <cellStyle name="Normal 58 4 6 6 2" xfId="11280" xr:uid="{00000000-0005-0000-0000-000072A50000}"/>
    <cellStyle name="Normal 58 4 6 6 2 2" xfId="36835" xr:uid="{00000000-0005-0000-0000-000073A50000}"/>
    <cellStyle name="Normal 58 4 6 6 3" xfId="21284" xr:uid="{00000000-0005-0000-0000-000074A50000}"/>
    <cellStyle name="Normal 58 4 6 6 3 2" xfId="46837" xr:uid="{00000000-0005-0000-0000-000075A50000}"/>
    <cellStyle name="Normal 58 4 6 6 4" xfId="27767" xr:uid="{00000000-0005-0000-0000-000076A50000}"/>
    <cellStyle name="Normal 58 4 6 7" xfId="5596" xr:uid="{00000000-0005-0000-0000-000077A50000}"/>
    <cellStyle name="Normal 58 4 6 7 2" xfId="14423" xr:uid="{00000000-0005-0000-0000-000078A50000}"/>
    <cellStyle name="Normal 58 4 6 7 2 2" xfId="39978" xr:uid="{00000000-0005-0000-0000-000079A50000}"/>
    <cellStyle name="Normal 58 4 6 7 3" xfId="24674" xr:uid="{00000000-0005-0000-0000-00007AA50000}"/>
    <cellStyle name="Normal 58 4 6 7 3 2" xfId="50227" xr:uid="{00000000-0005-0000-0000-00007BA50000}"/>
    <cellStyle name="Normal 58 4 6 7 4" xfId="31157" xr:uid="{00000000-0005-0000-0000-00007CA50000}"/>
    <cellStyle name="Normal 58 4 6 8" xfId="7040" xr:uid="{00000000-0005-0000-0000-00007DA50000}"/>
    <cellStyle name="Normal 58 4 6 8 2" xfId="19766" xr:uid="{00000000-0005-0000-0000-00007EA50000}"/>
    <cellStyle name="Normal 58 4 6 8 2 2" xfId="45319" xr:uid="{00000000-0005-0000-0000-00007FA50000}"/>
    <cellStyle name="Normal 58 4 6 8 3" xfId="32597" xr:uid="{00000000-0005-0000-0000-000080A50000}"/>
    <cellStyle name="Normal 58 4 6 9" xfId="16277" xr:uid="{00000000-0005-0000-0000-000081A50000}"/>
    <cellStyle name="Normal 58 4 6 9 2" xfId="41830" xr:uid="{00000000-0005-0000-0000-000082A50000}"/>
    <cellStyle name="Normal 58 4 6_Degree data" xfId="4013" xr:uid="{00000000-0005-0000-0000-000083A50000}"/>
    <cellStyle name="Normal 58 4 7" xfId="898" xr:uid="{00000000-0005-0000-0000-000084A50000}"/>
    <cellStyle name="Normal 58 4 7 2" xfId="3383" xr:uid="{00000000-0005-0000-0000-000085A50000}"/>
    <cellStyle name="Normal 58 4 7 2 2" xfId="12525" xr:uid="{00000000-0005-0000-0000-000086A50000}"/>
    <cellStyle name="Normal 58 4 7 2 2 2" xfId="22744" xr:uid="{00000000-0005-0000-0000-000087A50000}"/>
    <cellStyle name="Normal 58 4 7 2 2 2 2" xfId="48297" xr:uid="{00000000-0005-0000-0000-000088A50000}"/>
    <cellStyle name="Normal 58 4 7 2 2 3" xfId="38080" xr:uid="{00000000-0005-0000-0000-000089A50000}"/>
    <cellStyle name="Normal 58 4 7 2 3" xfId="8947" xr:uid="{00000000-0005-0000-0000-00008AA50000}"/>
    <cellStyle name="Normal 58 4 7 2 3 2" xfId="34504" xr:uid="{00000000-0005-0000-0000-00008BA50000}"/>
    <cellStyle name="Normal 58 4 7 2 4" xfId="17737" xr:uid="{00000000-0005-0000-0000-00008CA50000}"/>
    <cellStyle name="Normal 58 4 7 2 4 2" xfId="43290" xr:uid="{00000000-0005-0000-0000-00008DA50000}"/>
    <cellStyle name="Normal 58 4 7 2 5" xfId="29227" xr:uid="{00000000-0005-0000-0000-00008EA50000}"/>
    <cellStyle name="Normal 58 4 7 3" xfId="4712" xr:uid="{00000000-0005-0000-0000-00008FA50000}"/>
    <cellStyle name="Normal 58 4 7 3 2" xfId="13550" xr:uid="{00000000-0005-0000-0000-000090A50000}"/>
    <cellStyle name="Normal 58 4 7 3 2 2" xfId="23801" xr:uid="{00000000-0005-0000-0000-000091A50000}"/>
    <cellStyle name="Normal 58 4 7 3 2 2 2" xfId="49354" xr:uid="{00000000-0005-0000-0000-000092A50000}"/>
    <cellStyle name="Normal 58 4 7 3 2 3" xfId="39105" xr:uid="{00000000-0005-0000-0000-000093A50000}"/>
    <cellStyle name="Normal 58 4 7 3 3" xfId="9971" xr:uid="{00000000-0005-0000-0000-000094A50000}"/>
    <cellStyle name="Normal 58 4 7 3 3 2" xfId="35528" xr:uid="{00000000-0005-0000-0000-000095A50000}"/>
    <cellStyle name="Normal 58 4 7 3 4" xfId="18794" xr:uid="{00000000-0005-0000-0000-000096A50000}"/>
    <cellStyle name="Normal 58 4 7 3 4 2" xfId="44347" xr:uid="{00000000-0005-0000-0000-000097A50000}"/>
    <cellStyle name="Normal 58 4 7 3 5" xfId="30284" xr:uid="{00000000-0005-0000-0000-000098A50000}"/>
    <cellStyle name="Normal 58 4 7 4" xfId="2492" xr:uid="{00000000-0005-0000-0000-000099A50000}"/>
    <cellStyle name="Normal 58 4 7 4 2" xfId="11857" xr:uid="{00000000-0005-0000-0000-00009AA50000}"/>
    <cellStyle name="Normal 58 4 7 4 2 2" xfId="37412" xr:uid="{00000000-0005-0000-0000-00009BA50000}"/>
    <cellStyle name="Normal 58 4 7 4 3" xfId="21861" xr:uid="{00000000-0005-0000-0000-00009CA50000}"/>
    <cellStyle name="Normal 58 4 7 4 3 2" xfId="47414" xr:uid="{00000000-0005-0000-0000-00009DA50000}"/>
    <cellStyle name="Normal 58 4 7 4 4" xfId="28344" xr:uid="{00000000-0005-0000-0000-00009EA50000}"/>
    <cellStyle name="Normal 58 4 7 5" xfId="6168" xr:uid="{00000000-0005-0000-0000-00009FA50000}"/>
    <cellStyle name="Normal 58 4 7 5 2" xfId="14995" xr:uid="{00000000-0005-0000-0000-0000A0A50000}"/>
    <cellStyle name="Normal 58 4 7 5 2 2" xfId="40550" xr:uid="{00000000-0005-0000-0000-0000A1A50000}"/>
    <cellStyle name="Normal 58 4 7 5 3" xfId="25246" xr:uid="{00000000-0005-0000-0000-0000A2A50000}"/>
    <cellStyle name="Normal 58 4 7 5 3 2" xfId="50799" xr:uid="{00000000-0005-0000-0000-0000A3A50000}"/>
    <cellStyle name="Normal 58 4 7 5 4" xfId="31729" xr:uid="{00000000-0005-0000-0000-0000A4A50000}"/>
    <cellStyle name="Normal 58 4 7 6" xfId="7613" xr:uid="{00000000-0005-0000-0000-0000A5A50000}"/>
    <cellStyle name="Normal 58 4 7 6 2" xfId="20343" xr:uid="{00000000-0005-0000-0000-0000A6A50000}"/>
    <cellStyle name="Normal 58 4 7 6 2 2" xfId="45896" xr:uid="{00000000-0005-0000-0000-0000A7A50000}"/>
    <cellStyle name="Normal 58 4 7 6 3" xfId="33170" xr:uid="{00000000-0005-0000-0000-0000A8A50000}"/>
    <cellStyle name="Normal 58 4 7 7" xfId="16854" xr:uid="{00000000-0005-0000-0000-0000A9A50000}"/>
    <cellStyle name="Normal 58 4 7 7 2" xfId="42407" xr:uid="{00000000-0005-0000-0000-0000AAA50000}"/>
    <cellStyle name="Normal 58 4 7 8" xfId="26826" xr:uid="{00000000-0005-0000-0000-0000ABA50000}"/>
    <cellStyle name="Normal 58 4 8" xfId="1049" xr:uid="{00000000-0005-0000-0000-0000ACA50000}"/>
    <cellStyle name="Normal 58 4 8 2" xfId="3478" xr:uid="{00000000-0005-0000-0000-0000ADA50000}"/>
    <cellStyle name="Normal 58 4 8 2 2" xfId="12614" xr:uid="{00000000-0005-0000-0000-0000AEA50000}"/>
    <cellStyle name="Normal 58 4 8 2 2 2" xfId="22833" xr:uid="{00000000-0005-0000-0000-0000AFA50000}"/>
    <cellStyle name="Normal 58 4 8 2 2 2 2" xfId="48386" xr:uid="{00000000-0005-0000-0000-0000B0A50000}"/>
    <cellStyle name="Normal 58 4 8 2 2 3" xfId="38169" xr:uid="{00000000-0005-0000-0000-0000B1A50000}"/>
    <cellStyle name="Normal 58 4 8 2 3" xfId="9036" xr:uid="{00000000-0005-0000-0000-0000B2A50000}"/>
    <cellStyle name="Normal 58 4 8 2 3 2" xfId="34593" xr:uid="{00000000-0005-0000-0000-0000B3A50000}"/>
    <cellStyle name="Normal 58 4 8 2 4" xfId="17826" xr:uid="{00000000-0005-0000-0000-0000B4A50000}"/>
    <cellStyle name="Normal 58 4 8 2 4 2" xfId="43379" xr:uid="{00000000-0005-0000-0000-0000B5A50000}"/>
    <cellStyle name="Normal 58 4 8 2 5" xfId="29316" xr:uid="{00000000-0005-0000-0000-0000B6A50000}"/>
    <cellStyle name="Normal 58 4 8 3" xfId="5061" xr:uid="{00000000-0005-0000-0000-0000B7A50000}"/>
    <cellStyle name="Normal 58 4 8 3 2" xfId="13898" xr:uid="{00000000-0005-0000-0000-0000B8A50000}"/>
    <cellStyle name="Normal 58 4 8 3 2 2" xfId="24149" xr:uid="{00000000-0005-0000-0000-0000B9A50000}"/>
    <cellStyle name="Normal 58 4 8 3 2 2 2" xfId="49702" xr:uid="{00000000-0005-0000-0000-0000BAA50000}"/>
    <cellStyle name="Normal 58 4 8 3 2 3" xfId="39453" xr:uid="{00000000-0005-0000-0000-0000BBA50000}"/>
    <cellStyle name="Normal 58 4 8 3 3" xfId="10319" xr:uid="{00000000-0005-0000-0000-0000BCA50000}"/>
    <cellStyle name="Normal 58 4 8 3 3 2" xfId="35876" xr:uid="{00000000-0005-0000-0000-0000BDA50000}"/>
    <cellStyle name="Normal 58 4 8 3 4" xfId="19142" xr:uid="{00000000-0005-0000-0000-0000BEA50000}"/>
    <cellStyle name="Normal 58 4 8 3 4 2" xfId="44695" xr:uid="{00000000-0005-0000-0000-0000BFA50000}"/>
    <cellStyle name="Normal 58 4 8 3 5" xfId="30632" xr:uid="{00000000-0005-0000-0000-0000C0A50000}"/>
    <cellStyle name="Normal 58 4 8 4" xfId="1733" xr:uid="{00000000-0005-0000-0000-0000C1A50000}"/>
    <cellStyle name="Normal 58 4 8 4 2" xfId="11107" xr:uid="{00000000-0005-0000-0000-0000C2A50000}"/>
    <cellStyle name="Normal 58 4 8 4 2 2" xfId="36662" xr:uid="{00000000-0005-0000-0000-0000C3A50000}"/>
    <cellStyle name="Normal 58 4 8 4 3" xfId="21111" xr:uid="{00000000-0005-0000-0000-0000C4A50000}"/>
    <cellStyle name="Normal 58 4 8 4 3 2" xfId="46664" xr:uid="{00000000-0005-0000-0000-0000C5A50000}"/>
    <cellStyle name="Normal 58 4 8 4 4" xfId="27594" xr:uid="{00000000-0005-0000-0000-0000C6A50000}"/>
    <cellStyle name="Normal 58 4 8 5" xfId="6516" xr:uid="{00000000-0005-0000-0000-0000C7A50000}"/>
    <cellStyle name="Normal 58 4 8 5 2" xfId="15343" xr:uid="{00000000-0005-0000-0000-0000C8A50000}"/>
    <cellStyle name="Normal 58 4 8 5 2 2" xfId="40898" xr:uid="{00000000-0005-0000-0000-0000C9A50000}"/>
    <cellStyle name="Normal 58 4 8 5 3" xfId="25594" xr:uid="{00000000-0005-0000-0000-0000CAA50000}"/>
    <cellStyle name="Normal 58 4 8 5 3 2" xfId="51147" xr:uid="{00000000-0005-0000-0000-0000CBA50000}"/>
    <cellStyle name="Normal 58 4 8 5 4" xfId="32077" xr:uid="{00000000-0005-0000-0000-0000CCA50000}"/>
    <cellStyle name="Normal 58 4 8 6" xfId="7962" xr:uid="{00000000-0005-0000-0000-0000CDA50000}"/>
    <cellStyle name="Normal 58 4 8 6 2" xfId="20432" xr:uid="{00000000-0005-0000-0000-0000CEA50000}"/>
    <cellStyle name="Normal 58 4 8 6 2 2" xfId="45985" xr:uid="{00000000-0005-0000-0000-0000CFA50000}"/>
    <cellStyle name="Normal 58 4 8 6 3" xfId="33519" xr:uid="{00000000-0005-0000-0000-0000D0A50000}"/>
    <cellStyle name="Normal 58 4 8 7" xfId="16104" xr:uid="{00000000-0005-0000-0000-0000D1A50000}"/>
    <cellStyle name="Normal 58 4 8 7 2" xfId="41657" xr:uid="{00000000-0005-0000-0000-0000D2A50000}"/>
    <cellStyle name="Normal 58 4 8 8" xfId="26915" xr:uid="{00000000-0005-0000-0000-0000D3A50000}"/>
    <cellStyle name="Normal 58 4 9" xfId="2633" xr:uid="{00000000-0005-0000-0000-0000D4A50000}"/>
    <cellStyle name="Normal 58 4 9 2" xfId="5141" xr:uid="{00000000-0005-0000-0000-0000D5A50000}"/>
    <cellStyle name="Normal 58 4 9 2 2" xfId="13978" xr:uid="{00000000-0005-0000-0000-0000D6A50000}"/>
    <cellStyle name="Normal 58 4 9 2 2 2" xfId="24229" xr:uid="{00000000-0005-0000-0000-0000D7A50000}"/>
    <cellStyle name="Normal 58 4 9 2 2 2 2" xfId="49782" xr:uid="{00000000-0005-0000-0000-0000D8A50000}"/>
    <cellStyle name="Normal 58 4 9 2 2 3" xfId="39533" xr:uid="{00000000-0005-0000-0000-0000D9A50000}"/>
    <cellStyle name="Normal 58 4 9 2 3" xfId="10399" xr:uid="{00000000-0005-0000-0000-0000DAA50000}"/>
    <cellStyle name="Normal 58 4 9 2 3 2" xfId="35956" xr:uid="{00000000-0005-0000-0000-0000DBA50000}"/>
    <cellStyle name="Normal 58 4 9 2 4" xfId="19222" xr:uid="{00000000-0005-0000-0000-0000DCA50000}"/>
    <cellStyle name="Normal 58 4 9 2 4 2" xfId="44775" xr:uid="{00000000-0005-0000-0000-0000DDA50000}"/>
    <cellStyle name="Normal 58 4 9 2 5" xfId="30712" xr:uid="{00000000-0005-0000-0000-0000DEA50000}"/>
    <cellStyle name="Normal 58 4 9 3" xfId="6596" xr:uid="{00000000-0005-0000-0000-0000DFA50000}"/>
    <cellStyle name="Normal 58 4 9 3 2" xfId="15423" xr:uid="{00000000-0005-0000-0000-0000E0A50000}"/>
    <cellStyle name="Normal 58 4 9 3 2 2" xfId="40978" xr:uid="{00000000-0005-0000-0000-0000E1A50000}"/>
    <cellStyle name="Normal 58 4 9 3 3" xfId="25674" xr:uid="{00000000-0005-0000-0000-0000E2A50000}"/>
    <cellStyle name="Normal 58 4 9 3 3 2" xfId="51227" xr:uid="{00000000-0005-0000-0000-0000E3A50000}"/>
    <cellStyle name="Normal 58 4 9 3 4" xfId="32157" xr:uid="{00000000-0005-0000-0000-0000E4A50000}"/>
    <cellStyle name="Normal 58 4 9 4" xfId="8042" xr:uid="{00000000-0005-0000-0000-0000E5A50000}"/>
    <cellStyle name="Normal 58 4 9 4 2" xfId="21995" xr:uid="{00000000-0005-0000-0000-0000E6A50000}"/>
    <cellStyle name="Normal 58 4 9 4 2 2" xfId="47548" xr:uid="{00000000-0005-0000-0000-0000E7A50000}"/>
    <cellStyle name="Normal 58 4 9 4 3" xfId="33599" xr:uid="{00000000-0005-0000-0000-0000E8A50000}"/>
    <cellStyle name="Normal 58 4 9 5" xfId="16988" xr:uid="{00000000-0005-0000-0000-0000E9A50000}"/>
    <cellStyle name="Normal 58 4 9 5 2" xfId="42541" xr:uid="{00000000-0005-0000-0000-0000EAA50000}"/>
    <cellStyle name="Normal 58 4 9 6" xfId="28478" xr:uid="{00000000-0005-0000-0000-0000EBA50000}"/>
    <cellStyle name="Normal 58 4_Degree data" xfId="4004" xr:uid="{00000000-0005-0000-0000-0000ECA50000}"/>
    <cellStyle name="Normal 58 5" xfId="162" xr:uid="{00000000-0005-0000-0000-0000EDA50000}"/>
    <cellStyle name="Normal 58 5 10" xfId="1427" xr:uid="{00000000-0005-0000-0000-0000EEA50000}"/>
    <cellStyle name="Normal 58 5 10 2" xfId="10804" xr:uid="{00000000-0005-0000-0000-0000EFA50000}"/>
    <cellStyle name="Normal 58 5 10 2 2" xfId="36359" xr:uid="{00000000-0005-0000-0000-0000F0A50000}"/>
    <cellStyle name="Normal 58 5 10 3" xfId="20808" xr:uid="{00000000-0005-0000-0000-0000F1A50000}"/>
    <cellStyle name="Normal 58 5 10 3 2" xfId="46361" xr:uid="{00000000-0005-0000-0000-0000F2A50000}"/>
    <cellStyle name="Normal 58 5 10 4" xfId="27291" xr:uid="{00000000-0005-0000-0000-0000F3A50000}"/>
    <cellStyle name="Normal 58 5 11" xfId="5536" xr:uid="{00000000-0005-0000-0000-0000F4A50000}"/>
    <cellStyle name="Normal 58 5 11 2" xfId="14363" xr:uid="{00000000-0005-0000-0000-0000F5A50000}"/>
    <cellStyle name="Normal 58 5 11 2 2" xfId="39918" xr:uid="{00000000-0005-0000-0000-0000F6A50000}"/>
    <cellStyle name="Normal 58 5 11 3" xfId="24614" xr:uid="{00000000-0005-0000-0000-0000F7A50000}"/>
    <cellStyle name="Normal 58 5 11 3 2" xfId="50167" xr:uid="{00000000-0005-0000-0000-0000F8A50000}"/>
    <cellStyle name="Normal 58 5 11 4" xfId="31097" xr:uid="{00000000-0005-0000-0000-0000F9A50000}"/>
    <cellStyle name="Normal 58 5 12" xfId="6980" xr:uid="{00000000-0005-0000-0000-0000FAA50000}"/>
    <cellStyle name="Normal 58 5 12 2" xfId="19621" xr:uid="{00000000-0005-0000-0000-0000FBA50000}"/>
    <cellStyle name="Normal 58 5 12 2 2" xfId="45174" xr:uid="{00000000-0005-0000-0000-0000FCA50000}"/>
    <cellStyle name="Normal 58 5 12 3" xfId="32537" xr:uid="{00000000-0005-0000-0000-0000FDA50000}"/>
    <cellStyle name="Normal 58 5 13" xfId="15801" xr:uid="{00000000-0005-0000-0000-0000FEA50000}"/>
    <cellStyle name="Normal 58 5 13 2" xfId="41354" xr:uid="{00000000-0005-0000-0000-0000FFA50000}"/>
    <cellStyle name="Normal 58 5 14" xfId="26104" xr:uid="{00000000-0005-0000-0000-000000A60000}"/>
    <cellStyle name="Normal 58 5 2" xfId="209" xr:uid="{00000000-0005-0000-0000-000001A60000}"/>
    <cellStyle name="Normal 58 5 2 10" xfId="7155" xr:uid="{00000000-0005-0000-0000-000002A60000}"/>
    <cellStyle name="Normal 58 5 2 10 2" xfId="19664" xr:uid="{00000000-0005-0000-0000-000003A60000}"/>
    <cellStyle name="Normal 58 5 2 10 2 2" xfId="45217" xr:uid="{00000000-0005-0000-0000-000004A60000}"/>
    <cellStyle name="Normal 58 5 2 10 3" xfId="32712" xr:uid="{00000000-0005-0000-0000-000005A60000}"/>
    <cellStyle name="Normal 58 5 2 11" xfId="15901" xr:uid="{00000000-0005-0000-0000-000006A60000}"/>
    <cellStyle name="Normal 58 5 2 11 2" xfId="41454" xr:uid="{00000000-0005-0000-0000-000007A60000}"/>
    <cellStyle name="Normal 58 5 2 12" xfId="26147" xr:uid="{00000000-0005-0000-0000-000008A60000}"/>
    <cellStyle name="Normal 58 5 2 2" xfId="535" xr:uid="{00000000-0005-0000-0000-000009A60000}"/>
    <cellStyle name="Normal 58 5 2 2 10" xfId="26464" xr:uid="{00000000-0005-0000-0000-00000AA60000}"/>
    <cellStyle name="Normal 58 5 2 2 2" xfId="910" xr:uid="{00000000-0005-0000-0000-00000BA60000}"/>
    <cellStyle name="Normal 58 5 2 2 2 2" xfId="3395" xr:uid="{00000000-0005-0000-0000-00000CA60000}"/>
    <cellStyle name="Normal 58 5 2 2 2 2 2" xfId="12537" xr:uid="{00000000-0005-0000-0000-00000DA60000}"/>
    <cellStyle name="Normal 58 5 2 2 2 2 2 2" xfId="22756" xr:uid="{00000000-0005-0000-0000-00000EA60000}"/>
    <cellStyle name="Normal 58 5 2 2 2 2 2 2 2" xfId="48309" xr:uid="{00000000-0005-0000-0000-00000FA60000}"/>
    <cellStyle name="Normal 58 5 2 2 2 2 2 3" xfId="38092" xr:uid="{00000000-0005-0000-0000-000010A60000}"/>
    <cellStyle name="Normal 58 5 2 2 2 2 3" xfId="8959" xr:uid="{00000000-0005-0000-0000-000011A60000}"/>
    <cellStyle name="Normal 58 5 2 2 2 2 3 2" xfId="34516" xr:uid="{00000000-0005-0000-0000-000012A60000}"/>
    <cellStyle name="Normal 58 5 2 2 2 2 4" xfId="17749" xr:uid="{00000000-0005-0000-0000-000013A60000}"/>
    <cellStyle name="Normal 58 5 2 2 2 2 4 2" xfId="43302" xr:uid="{00000000-0005-0000-0000-000014A60000}"/>
    <cellStyle name="Normal 58 5 2 2 2 2 5" xfId="29239" xr:uid="{00000000-0005-0000-0000-000015A60000}"/>
    <cellStyle name="Normal 58 5 2 2 2 3" xfId="4724" xr:uid="{00000000-0005-0000-0000-000016A60000}"/>
    <cellStyle name="Normal 58 5 2 2 2 3 2" xfId="13562" xr:uid="{00000000-0005-0000-0000-000017A60000}"/>
    <cellStyle name="Normal 58 5 2 2 2 3 2 2" xfId="23813" xr:uid="{00000000-0005-0000-0000-000018A60000}"/>
    <cellStyle name="Normal 58 5 2 2 2 3 2 2 2" xfId="49366" xr:uid="{00000000-0005-0000-0000-000019A60000}"/>
    <cellStyle name="Normal 58 5 2 2 2 3 2 3" xfId="39117" xr:uid="{00000000-0005-0000-0000-00001AA60000}"/>
    <cellStyle name="Normal 58 5 2 2 2 3 3" xfId="9983" xr:uid="{00000000-0005-0000-0000-00001BA60000}"/>
    <cellStyle name="Normal 58 5 2 2 2 3 3 2" xfId="35540" xr:uid="{00000000-0005-0000-0000-00001CA60000}"/>
    <cellStyle name="Normal 58 5 2 2 2 3 4" xfId="18806" xr:uid="{00000000-0005-0000-0000-00001DA60000}"/>
    <cellStyle name="Normal 58 5 2 2 2 3 4 2" xfId="44359" xr:uid="{00000000-0005-0000-0000-00001EA60000}"/>
    <cellStyle name="Normal 58 5 2 2 2 3 5" xfId="30296" xr:uid="{00000000-0005-0000-0000-00001FA60000}"/>
    <cellStyle name="Normal 58 5 2 2 2 4" xfId="2504" xr:uid="{00000000-0005-0000-0000-000020A60000}"/>
    <cellStyle name="Normal 58 5 2 2 2 4 2" xfId="11869" xr:uid="{00000000-0005-0000-0000-000021A60000}"/>
    <cellStyle name="Normal 58 5 2 2 2 4 2 2" xfId="37424" xr:uid="{00000000-0005-0000-0000-000022A60000}"/>
    <cellStyle name="Normal 58 5 2 2 2 4 3" xfId="21873" xr:uid="{00000000-0005-0000-0000-000023A60000}"/>
    <cellStyle name="Normal 58 5 2 2 2 4 3 2" xfId="47426" xr:uid="{00000000-0005-0000-0000-000024A60000}"/>
    <cellStyle name="Normal 58 5 2 2 2 4 4" xfId="28356" xr:uid="{00000000-0005-0000-0000-000025A60000}"/>
    <cellStyle name="Normal 58 5 2 2 2 5" xfId="6180" xr:uid="{00000000-0005-0000-0000-000026A60000}"/>
    <cellStyle name="Normal 58 5 2 2 2 5 2" xfId="15007" xr:uid="{00000000-0005-0000-0000-000027A60000}"/>
    <cellStyle name="Normal 58 5 2 2 2 5 2 2" xfId="40562" xr:uid="{00000000-0005-0000-0000-000028A60000}"/>
    <cellStyle name="Normal 58 5 2 2 2 5 3" xfId="25258" xr:uid="{00000000-0005-0000-0000-000029A60000}"/>
    <cellStyle name="Normal 58 5 2 2 2 5 3 2" xfId="50811" xr:uid="{00000000-0005-0000-0000-00002AA60000}"/>
    <cellStyle name="Normal 58 5 2 2 2 5 4" xfId="31741" xr:uid="{00000000-0005-0000-0000-00002BA60000}"/>
    <cellStyle name="Normal 58 5 2 2 2 6" xfId="7625" xr:uid="{00000000-0005-0000-0000-00002CA60000}"/>
    <cellStyle name="Normal 58 5 2 2 2 6 2" xfId="20355" xr:uid="{00000000-0005-0000-0000-00002DA60000}"/>
    <cellStyle name="Normal 58 5 2 2 2 6 2 2" xfId="45908" xr:uid="{00000000-0005-0000-0000-00002EA60000}"/>
    <cellStyle name="Normal 58 5 2 2 2 6 3" xfId="33182" xr:uid="{00000000-0005-0000-0000-00002FA60000}"/>
    <cellStyle name="Normal 58 5 2 2 2 7" xfId="16866" xr:uid="{00000000-0005-0000-0000-000030A60000}"/>
    <cellStyle name="Normal 58 5 2 2 2 7 2" xfId="42419" xr:uid="{00000000-0005-0000-0000-000031A60000}"/>
    <cellStyle name="Normal 58 5 2 2 2 8" xfId="26838" xr:uid="{00000000-0005-0000-0000-000032A60000}"/>
    <cellStyle name="Normal 58 5 2 2 3" xfId="1307" xr:uid="{00000000-0005-0000-0000-000033A60000}"/>
    <cellStyle name="Normal 58 5 2 2 3 2" xfId="3736" xr:uid="{00000000-0005-0000-0000-000034A60000}"/>
    <cellStyle name="Normal 58 5 2 2 3 2 2" xfId="12872" xr:uid="{00000000-0005-0000-0000-000035A60000}"/>
    <cellStyle name="Normal 58 5 2 2 3 2 2 2" xfId="23091" xr:uid="{00000000-0005-0000-0000-000036A60000}"/>
    <cellStyle name="Normal 58 5 2 2 3 2 2 2 2" xfId="48644" xr:uid="{00000000-0005-0000-0000-000037A60000}"/>
    <cellStyle name="Normal 58 5 2 2 3 2 2 3" xfId="38427" xr:uid="{00000000-0005-0000-0000-000038A60000}"/>
    <cellStyle name="Normal 58 5 2 2 3 2 3" xfId="9293" xr:uid="{00000000-0005-0000-0000-000039A60000}"/>
    <cellStyle name="Normal 58 5 2 2 3 2 3 2" xfId="34850" xr:uid="{00000000-0005-0000-0000-00003AA60000}"/>
    <cellStyle name="Normal 58 5 2 2 3 2 4" xfId="18084" xr:uid="{00000000-0005-0000-0000-00003BA60000}"/>
    <cellStyle name="Normal 58 5 2 2 3 2 4 2" xfId="43637" xr:uid="{00000000-0005-0000-0000-00003CA60000}"/>
    <cellStyle name="Normal 58 5 2 2 3 2 5" xfId="29574" xr:uid="{00000000-0005-0000-0000-00003DA60000}"/>
    <cellStyle name="Normal 58 5 2 2 3 3" xfId="5073" xr:uid="{00000000-0005-0000-0000-00003EA60000}"/>
    <cellStyle name="Normal 58 5 2 2 3 3 2" xfId="13910" xr:uid="{00000000-0005-0000-0000-00003FA60000}"/>
    <cellStyle name="Normal 58 5 2 2 3 3 2 2" xfId="24161" xr:uid="{00000000-0005-0000-0000-000040A60000}"/>
    <cellStyle name="Normal 58 5 2 2 3 3 2 2 2" xfId="49714" xr:uid="{00000000-0005-0000-0000-000041A60000}"/>
    <cellStyle name="Normal 58 5 2 2 3 3 2 3" xfId="39465" xr:uid="{00000000-0005-0000-0000-000042A60000}"/>
    <cellStyle name="Normal 58 5 2 2 3 3 3" xfId="10331" xr:uid="{00000000-0005-0000-0000-000043A60000}"/>
    <cellStyle name="Normal 58 5 2 2 3 3 3 2" xfId="35888" xr:uid="{00000000-0005-0000-0000-000044A60000}"/>
    <cellStyle name="Normal 58 5 2 2 3 3 4" xfId="19154" xr:uid="{00000000-0005-0000-0000-000045A60000}"/>
    <cellStyle name="Normal 58 5 2 2 3 3 4 2" xfId="44707" xr:uid="{00000000-0005-0000-0000-000046A60000}"/>
    <cellStyle name="Normal 58 5 2 2 3 3 5" xfId="30644" xr:uid="{00000000-0005-0000-0000-000047A60000}"/>
    <cellStyle name="Normal 58 5 2 2 3 4" xfId="2130" xr:uid="{00000000-0005-0000-0000-000048A60000}"/>
    <cellStyle name="Normal 58 5 2 2 3 4 2" xfId="11495" xr:uid="{00000000-0005-0000-0000-000049A60000}"/>
    <cellStyle name="Normal 58 5 2 2 3 4 2 2" xfId="37050" xr:uid="{00000000-0005-0000-0000-00004AA60000}"/>
    <cellStyle name="Normal 58 5 2 2 3 4 3" xfId="21499" xr:uid="{00000000-0005-0000-0000-00004BA60000}"/>
    <cellStyle name="Normal 58 5 2 2 3 4 3 2" xfId="47052" xr:uid="{00000000-0005-0000-0000-00004CA60000}"/>
    <cellStyle name="Normal 58 5 2 2 3 4 4" xfId="27982" xr:uid="{00000000-0005-0000-0000-00004DA60000}"/>
    <cellStyle name="Normal 58 5 2 2 3 5" xfId="6528" xr:uid="{00000000-0005-0000-0000-00004EA60000}"/>
    <cellStyle name="Normal 58 5 2 2 3 5 2" xfId="15355" xr:uid="{00000000-0005-0000-0000-00004FA60000}"/>
    <cellStyle name="Normal 58 5 2 2 3 5 2 2" xfId="40910" xr:uid="{00000000-0005-0000-0000-000050A60000}"/>
    <cellStyle name="Normal 58 5 2 2 3 5 3" xfId="25606" xr:uid="{00000000-0005-0000-0000-000051A60000}"/>
    <cellStyle name="Normal 58 5 2 2 3 5 3 2" xfId="51159" xr:uid="{00000000-0005-0000-0000-000052A60000}"/>
    <cellStyle name="Normal 58 5 2 2 3 5 4" xfId="32089" xr:uid="{00000000-0005-0000-0000-000053A60000}"/>
    <cellStyle name="Normal 58 5 2 2 3 6" xfId="7974" xr:uid="{00000000-0005-0000-0000-000054A60000}"/>
    <cellStyle name="Normal 58 5 2 2 3 6 2" xfId="20690" xr:uid="{00000000-0005-0000-0000-000055A60000}"/>
    <cellStyle name="Normal 58 5 2 2 3 6 2 2" xfId="46243" xr:uid="{00000000-0005-0000-0000-000056A60000}"/>
    <cellStyle name="Normal 58 5 2 2 3 6 3" xfId="33531" xr:uid="{00000000-0005-0000-0000-000057A60000}"/>
    <cellStyle name="Normal 58 5 2 2 3 7" xfId="16492" xr:uid="{00000000-0005-0000-0000-000058A60000}"/>
    <cellStyle name="Normal 58 5 2 2 3 7 2" xfId="42045" xr:uid="{00000000-0005-0000-0000-000059A60000}"/>
    <cellStyle name="Normal 58 5 2 2 3 8" xfId="27173" xr:uid="{00000000-0005-0000-0000-00005AA60000}"/>
    <cellStyle name="Normal 58 5 2 2 4" xfId="3021" xr:uid="{00000000-0005-0000-0000-00005BA60000}"/>
    <cellStyle name="Normal 58 5 2 2 4 2" xfId="5399" xr:uid="{00000000-0005-0000-0000-00005CA60000}"/>
    <cellStyle name="Normal 58 5 2 2 4 2 2" xfId="14236" xr:uid="{00000000-0005-0000-0000-00005DA60000}"/>
    <cellStyle name="Normal 58 5 2 2 4 2 2 2" xfId="24487" xr:uid="{00000000-0005-0000-0000-00005EA60000}"/>
    <cellStyle name="Normal 58 5 2 2 4 2 2 2 2" xfId="50040" xr:uid="{00000000-0005-0000-0000-00005FA60000}"/>
    <cellStyle name="Normal 58 5 2 2 4 2 2 3" xfId="39791" xr:uid="{00000000-0005-0000-0000-000060A60000}"/>
    <cellStyle name="Normal 58 5 2 2 4 2 3" xfId="10657" xr:uid="{00000000-0005-0000-0000-000061A60000}"/>
    <cellStyle name="Normal 58 5 2 2 4 2 3 2" xfId="36214" xr:uid="{00000000-0005-0000-0000-000062A60000}"/>
    <cellStyle name="Normal 58 5 2 2 4 2 4" xfId="19480" xr:uid="{00000000-0005-0000-0000-000063A60000}"/>
    <cellStyle name="Normal 58 5 2 2 4 2 4 2" xfId="45033" xr:uid="{00000000-0005-0000-0000-000064A60000}"/>
    <cellStyle name="Normal 58 5 2 2 4 2 5" xfId="30970" xr:uid="{00000000-0005-0000-0000-000065A60000}"/>
    <cellStyle name="Normal 58 5 2 2 4 3" xfId="6854" xr:uid="{00000000-0005-0000-0000-000066A60000}"/>
    <cellStyle name="Normal 58 5 2 2 4 3 2" xfId="15681" xr:uid="{00000000-0005-0000-0000-000067A60000}"/>
    <cellStyle name="Normal 58 5 2 2 4 3 2 2" xfId="41236" xr:uid="{00000000-0005-0000-0000-000068A60000}"/>
    <cellStyle name="Normal 58 5 2 2 4 3 3" xfId="25932" xr:uid="{00000000-0005-0000-0000-000069A60000}"/>
    <cellStyle name="Normal 58 5 2 2 4 3 3 2" xfId="51485" xr:uid="{00000000-0005-0000-0000-00006AA60000}"/>
    <cellStyle name="Normal 58 5 2 2 4 3 4" xfId="32415" xr:uid="{00000000-0005-0000-0000-00006BA60000}"/>
    <cellStyle name="Normal 58 5 2 2 4 4" xfId="8300" xr:uid="{00000000-0005-0000-0000-00006CA60000}"/>
    <cellStyle name="Normal 58 5 2 2 4 4 2" xfId="22382" xr:uid="{00000000-0005-0000-0000-00006DA60000}"/>
    <cellStyle name="Normal 58 5 2 2 4 4 2 2" xfId="47935" xr:uid="{00000000-0005-0000-0000-00006EA60000}"/>
    <cellStyle name="Normal 58 5 2 2 4 4 3" xfId="33857" xr:uid="{00000000-0005-0000-0000-00006FA60000}"/>
    <cellStyle name="Normal 58 5 2 2 4 5" xfId="17375" xr:uid="{00000000-0005-0000-0000-000070A60000}"/>
    <cellStyle name="Normal 58 5 2 2 4 5 2" xfId="42928" xr:uid="{00000000-0005-0000-0000-000071A60000}"/>
    <cellStyle name="Normal 58 5 2 2 4 6" xfId="28865" xr:uid="{00000000-0005-0000-0000-000072A60000}"/>
    <cellStyle name="Normal 58 5 2 2 5" xfId="4355" xr:uid="{00000000-0005-0000-0000-000073A60000}"/>
    <cellStyle name="Normal 58 5 2 2 5 2" xfId="13193" xr:uid="{00000000-0005-0000-0000-000074A60000}"/>
    <cellStyle name="Normal 58 5 2 2 5 2 2" xfId="23444" xr:uid="{00000000-0005-0000-0000-000075A60000}"/>
    <cellStyle name="Normal 58 5 2 2 5 2 2 2" xfId="48997" xr:uid="{00000000-0005-0000-0000-000076A60000}"/>
    <cellStyle name="Normal 58 5 2 2 5 2 3" xfId="38748" xr:uid="{00000000-0005-0000-0000-000077A60000}"/>
    <cellStyle name="Normal 58 5 2 2 5 3" xfId="9614" xr:uid="{00000000-0005-0000-0000-000078A60000}"/>
    <cellStyle name="Normal 58 5 2 2 5 3 2" xfId="35171" xr:uid="{00000000-0005-0000-0000-000079A60000}"/>
    <cellStyle name="Normal 58 5 2 2 5 4" xfId="18437" xr:uid="{00000000-0005-0000-0000-00007AA60000}"/>
    <cellStyle name="Normal 58 5 2 2 5 4 2" xfId="43990" xr:uid="{00000000-0005-0000-0000-00007BA60000}"/>
    <cellStyle name="Normal 58 5 2 2 5 5" xfId="29927" xr:uid="{00000000-0005-0000-0000-00007CA60000}"/>
    <cellStyle name="Normal 58 5 2 2 6" xfId="1627" xr:uid="{00000000-0005-0000-0000-00007DA60000}"/>
    <cellStyle name="Normal 58 5 2 2 6 2" xfId="11004" xr:uid="{00000000-0005-0000-0000-00007EA60000}"/>
    <cellStyle name="Normal 58 5 2 2 6 2 2" xfId="36559" xr:uid="{00000000-0005-0000-0000-00007FA60000}"/>
    <cellStyle name="Normal 58 5 2 2 6 3" xfId="21008" xr:uid="{00000000-0005-0000-0000-000080A60000}"/>
    <cellStyle name="Normal 58 5 2 2 6 3 2" xfId="46561" xr:uid="{00000000-0005-0000-0000-000081A60000}"/>
    <cellStyle name="Normal 58 5 2 2 6 4" xfId="27491" xr:uid="{00000000-0005-0000-0000-000082A60000}"/>
    <cellStyle name="Normal 58 5 2 2 7" xfId="5811" xr:uid="{00000000-0005-0000-0000-000083A60000}"/>
    <cellStyle name="Normal 58 5 2 2 7 2" xfId="14638" xr:uid="{00000000-0005-0000-0000-000084A60000}"/>
    <cellStyle name="Normal 58 5 2 2 7 2 2" xfId="40193" xr:uid="{00000000-0005-0000-0000-000085A60000}"/>
    <cellStyle name="Normal 58 5 2 2 7 3" xfId="24889" xr:uid="{00000000-0005-0000-0000-000086A60000}"/>
    <cellStyle name="Normal 58 5 2 2 7 3 2" xfId="50442" xr:uid="{00000000-0005-0000-0000-000087A60000}"/>
    <cellStyle name="Normal 58 5 2 2 7 4" xfId="31372" xr:uid="{00000000-0005-0000-0000-000088A60000}"/>
    <cellStyle name="Normal 58 5 2 2 8" xfId="7255" xr:uid="{00000000-0005-0000-0000-000089A60000}"/>
    <cellStyle name="Normal 58 5 2 2 8 2" xfId="19981" xr:uid="{00000000-0005-0000-0000-00008AA60000}"/>
    <cellStyle name="Normal 58 5 2 2 8 2 2" xfId="45534" xr:uid="{00000000-0005-0000-0000-00008BA60000}"/>
    <cellStyle name="Normal 58 5 2 2 8 3" xfId="32812" xr:uid="{00000000-0005-0000-0000-00008CA60000}"/>
    <cellStyle name="Normal 58 5 2 2 9" xfId="16001" xr:uid="{00000000-0005-0000-0000-00008DA60000}"/>
    <cellStyle name="Normal 58 5 2 2 9 2" xfId="41554" xr:uid="{00000000-0005-0000-0000-00008EA60000}"/>
    <cellStyle name="Normal 58 5 2 2_Degree data" xfId="4016" xr:uid="{00000000-0005-0000-0000-00008FA60000}"/>
    <cellStyle name="Normal 58 5 2 3" xfId="435" xr:uid="{00000000-0005-0000-0000-000090A60000}"/>
    <cellStyle name="Normal 58 5 2 3 2" xfId="2921" xr:uid="{00000000-0005-0000-0000-000091A60000}"/>
    <cellStyle name="Normal 58 5 2 3 2 2" xfId="12209" xr:uid="{00000000-0005-0000-0000-000092A60000}"/>
    <cellStyle name="Normal 58 5 2 3 2 2 2" xfId="22282" xr:uid="{00000000-0005-0000-0000-000093A60000}"/>
    <cellStyle name="Normal 58 5 2 3 2 2 2 2" xfId="47835" xr:uid="{00000000-0005-0000-0000-000094A60000}"/>
    <cellStyle name="Normal 58 5 2 3 2 2 3" xfId="37764" xr:uid="{00000000-0005-0000-0000-000095A60000}"/>
    <cellStyle name="Normal 58 5 2 3 2 3" xfId="8446" xr:uid="{00000000-0005-0000-0000-000096A60000}"/>
    <cellStyle name="Normal 58 5 2 3 2 3 2" xfId="34003" xr:uid="{00000000-0005-0000-0000-000097A60000}"/>
    <cellStyle name="Normal 58 5 2 3 2 4" xfId="17275" xr:uid="{00000000-0005-0000-0000-000098A60000}"/>
    <cellStyle name="Normal 58 5 2 3 2 4 2" xfId="42828" xr:uid="{00000000-0005-0000-0000-000099A60000}"/>
    <cellStyle name="Normal 58 5 2 3 2 5" xfId="28765" xr:uid="{00000000-0005-0000-0000-00009AA60000}"/>
    <cellStyle name="Normal 58 5 2 3 3" xfId="4723" xr:uid="{00000000-0005-0000-0000-00009BA60000}"/>
    <cellStyle name="Normal 58 5 2 3 3 2" xfId="13561" xr:uid="{00000000-0005-0000-0000-00009CA60000}"/>
    <cellStyle name="Normal 58 5 2 3 3 2 2" xfId="23812" xr:uid="{00000000-0005-0000-0000-00009DA60000}"/>
    <cellStyle name="Normal 58 5 2 3 3 2 2 2" xfId="49365" xr:uid="{00000000-0005-0000-0000-00009EA60000}"/>
    <cellStyle name="Normal 58 5 2 3 3 2 3" xfId="39116" xr:uid="{00000000-0005-0000-0000-00009FA60000}"/>
    <cellStyle name="Normal 58 5 2 3 3 3" xfId="9982" xr:uid="{00000000-0005-0000-0000-0000A0A60000}"/>
    <cellStyle name="Normal 58 5 2 3 3 3 2" xfId="35539" xr:uid="{00000000-0005-0000-0000-0000A1A60000}"/>
    <cellStyle name="Normal 58 5 2 3 3 4" xfId="18805" xr:uid="{00000000-0005-0000-0000-0000A2A60000}"/>
    <cellStyle name="Normal 58 5 2 3 3 4 2" xfId="44358" xr:uid="{00000000-0005-0000-0000-0000A3A60000}"/>
    <cellStyle name="Normal 58 5 2 3 3 5" xfId="30295" xr:uid="{00000000-0005-0000-0000-0000A4A60000}"/>
    <cellStyle name="Normal 58 5 2 3 4" xfId="2030" xr:uid="{00000000-0005-0000-0000-0000A5A60000}"/>
    <cellStyle name="Normal 58 5 2 3 4 2" xfId="11395" xr:uid="{00000000-0005-0000-0000-0000A6A60000}"/>
    <cellStyle name="Normal 58 5 2 3 4 2 2" xfId="36950" xr:uid="{00000000-0005-0000-0000-0000A7A60000}"/>
    <cellStyle name="Normal 58 5 2 3 4 3" xfId="21399" xr:uid="{00000000-0005-0000-0000-0000A8A60000}"/>
    <cellStyle name="Normal 58 5 2 3 4 3 2" xfId="46952" xr:uid="{00000000-0005-0000-0000-0000A9A60000}"/>
    <cellStyle name="Normal 58 5 2 3 4 4" xfId="27882" xr:uid="{00000000-0005-0000-0000-0000AAA60000}"/>
    <cellStyle name="Normal 58 5 2 3 5" xfId="6179" xr:uid="{00000000-0005-0000-0000-0000ABA60000}"/>
    <cellStyle name="Normal 58 5 2 3 5 2" xfId="15006" xr:uid="{00000000-0005-0000-0000-0000ACA60000}"/>
    <cellStyle name="Normal 58 5 2 3 5 2 2" xfId="40561" xr:uid="{00000000-0005-0000-0000-0000ADA60000}"/>
    <cellStyle name="Normal 58 5 2 3 5 3" xfId="25257" xr:uid="{00000000-0005-0000-0000-0000AEA60000}"/>
    <cellStyle name="Normal 58 5 2 3 5 3 2" xfId="50810" xr:uid="{00000000-0005-0000-0000-0000AFA60000}"/>
    <cellStyle name="Normal 58 5 2 3 5 4" xfId="31740" xr:uid="{00000000-0005-0000-0000-0000B0A60000}"/>
    <cellStyle name="Normal 58 5 2 3 6" xfId="7624" xr:uid="{00000000-0005-0000-0000-0000B1A60000}"/>
    <cellStyle name="Normal 58 5 2 3 6 2" xfId="19881" xr:uid="{00000000-0005-0000-0000-0000B2A60000}"/>
    <cellStyle name="Normal 58 5 2 3 6 2 2" xfId="45434" xr:uid="{00000000-0005-0000-0000-0000B3A60000}"/>
    <cellStyle name="Normal 58 5 2 3 6 3" xfId="33181" xr:uid="{00000000-0005-0000-0000-0000B4A60000}"/>
    <cellStyle name="Normal 58 5 2 3 7" xfId="16392" xr:uid="{00000000-0005-0000-0000-0000B5A60000}"/>
    <cellStyle name="Normal 58 5 2 3 7 2" xfId="41945" xr:uid="{00000000-0005-0000-0000-0000B6A60000}"/>
    <cellStyle name="Normal 58 5 2 3 8" xfId="26364" xr:uid="{00000000-0005-0000-0000-0000B7A60000}"/>
    <cellStyle name="Normal 58 5 2 4" xfId="909" xr:uid="{00000000-0005-0000-0000-0000B8A60000}"/>
    <cellStyle name="Normal 58 5 2 4 2" xfId="3394" xr:uid="{00000000-0005-0000-0000-0000B9A60000}"/>
    <cellStyle name="Normal 58 5 2 4 2 2" xfId="12536" xr:uid="{00000000-0005-0000-0000-0000BAA60000}"/>
    <cellStyle name="Normal 58 5 2 4 2 2 2" xfId="22755" xr:uid="{00000000-0005-0000-0000-0000BBA60000}"/>
    <cellStyle name="Normal 58 5 2 4 2 2 2 2" xfId="48308" xr:uid="{00000000-0005-0000-0000-0000BCA60000}"/>
    <cellStyle name="Normal 58 5 2 4 2 2 3" xfId="38091" xr:uid="{00000000-0005-0000-0000-0000BDA60000}"/>
    <cellStyle name="Normal 58 5 2 4 2 3" xfId="8958" xr:uid="{00000000-0005-0000-0000-0000BEA60000}"/>
    <cellStyle name="Normal 58 5 2 4 2 3 2" xfId="34515" xr:uid="{00000000-0005-0000-0000-0000BFA60000}"/>
    <cellStyle name="Normal 58 5 2 4 2 4" xfId="17748" xr:uid="{00000000-0005-0000-0000-0000C0A60000}"/>
    <cellStyle name="Normal 58 5 2 4 2 4 2" xfId="43301" xr:uid="{00000000-0005-0000-0000-0000C1A60000}"/>
    <cellStyle name="Normal 58 5 2 4 2 5" xfId="29238" xr:uid="{00000000-0005-0000-0000-0000C2A60000}"/>
    <cellStyle name="Normal 58 5 2 4 3" xfId="5072" xr:uid="{00000000-0005-0000-0000-0000C3A60000}"/>
    <cellStyle name="Normal 58 5 2 4 3 2" xfId="13909" xr:uid="{00000000-0005-0000-0000-0000C4A60000}"/>
    <cellStyle name="Normal 58 5 2 4 3 2 2" xfId="24160" xr:uid="{00000000-0005-0000-0000-0000C5A60000}"/>
    <cellStyle name="Normal 58 5 2 4 3 2 2 2" xfId="49713" xr:uid="{00000000-0005-0000-0000-0000C6A60000}"/>
    <cellStyle name="Normal 58 5 2 4 3 2 3" xfId="39464" xr:uid="{00000000-0005-0000-0000-0000C7A60000}"/>
    <cellStyle name="Normal 58 5 2 4 3 3" xfId="10330" xr:uid="{00000000-0005-0000-0000-0000C8A60000}"/>
    <cellStyle name="Normal 58 5 2 4 3 3 2" xfId="35887" xr:uid="{00000000-0005-0000-0000-0000C9A60000}"/>
    <cellStyle name="Normal 58 5 2 4 3 4" xfId="19153" xr:uid="{00000000-0005-0000-0000-0000CAA60000}"/>
    <cellStyle name="Normal 58 5 2 4 3 4 2" xfId="44706" xr:uid="{00000000-0005-0000-0000-0000CBA60000}"/>
    <cellStyle name="Normal 58 5 2 4 3 5" xfId="30643" xr:uid="{00000000-0005-0000-0000-0000CCA60000}"/>
    <cellStyle name="Normal 58 5 2 4 4" xfId="2503" xr:uid="{00000000-0005-0000-0000-0000CDA60000}"/>
    <cellStyle name="Normal 58 5 2 4 4 2" xfId="11868" xr:uid="{00000000-0005-0000-0000-0000CEA60000}"/>
    <cellStyle name="Normal 58 5 2 4 4 2 2" xfId="37423" xr:uid="{00000000-0005-0000-0000-0000CFA60000}"/>
    <cellStyle name="Normal 58 5 2 4 4 3" xfId="21872" xr:uid="{00000000-0005-0000-0000-0000D0A60000}"/>
    <cellStyle name="Normal 58 5 2 4 4 3 2" xfId="47425" xr:uid="{00000000-0005-0000-0000-0000D1A60000}"/>
    <cellStyle name="Normal 58 5 2 4 4 4" xfId="28355" xr:uid="{00000000-0005-0000-0000-0000D2A60000}"/>
    <cellStyle name="Normal 58 5 2 4 5" xfId="6527" xr:uid="{00000000-0005-0000-0000-0000D3A60000}"/>
    <cellStyle name="Normal 58 5 2 4 5 2" xfId="15354" xr:uid="{00000000-0005-0000-0000-0000D4A60000}"/>
    <cellStyle name="Normal 58 5 2 4 5 2 2" xfId="40909" xr:uid="{00000000-0005-0000-0000-0000D5A60000}"/>
    <cellStyle name="Normal 58 5 2 4 5 3" xfId="25605" xr:uid="{00000000-0005-0000-0000-0000D6A60000}"/>
    <cellStyle name="Normal 58 5 2 4 5 3 2" xfId="51158" xr:uid="{00000000-0005-0000-0000-0000D7A60000}"/>
    <cellStyle name="Normal 58 5 2 4 5 4" xfId="32088" xr:uid="{00000000-0005-0000-0000-0000D8A60000}"/>
    <cellStyle name="Normal 58 5 2 4 6" xfId="7973" xr:uid="{00000000-0005-0000-0000-0000D9A60000}"/>
    <cellStyle name="Normal 58 5 2 4 6 2" xfId="20354" xr:uid="{00000000-0005-0000-0000-0000DAA60000}"/>
    <cellStyle name="Normal 58 5 2 4 6 2 2" xfId="45907" xr:uid="{00000000-0005-0000-0000-0000DBA60000}"/>
    <cellStyle name="Normal 58 5 2 4 6 3" xfId="33530" xr:uid="{00000000-0005-0000-0000-0000DCA60000}"/>
    <cellStyle name="Normal 58 5 2 4 7" xfId="16865" xr:uid="{00000000-0005-0000-0000-0000DDA60000}"/>
    <cellStyle name="Normal 58 5 2 4 7 2" xfId="42418" xr:uid="{00000000-0005-0000-0000-0000DEA60000}"/>
    <cellStyle name="Normal 58 5 2 4 8" xfId="26837" xr:uid="{00000000-0005-0000-0000-0000DFA60000}"/>
    <cellStyle name="Normal 58 5 2 5" xfId="1207" xr:uid="{00000000-0005-0000-0000-0000E0A60000}"/>
    <cellStyle name="Normal 58 5 2 5 2" xfId="3636" xr:uid="{00000000-0005-0000-0000-0000E1A60000}"/>
    <cellStyle name="Normal 58 5 2 5 2 2" xfId="12772" xr:uid="{00000000-0005-0000-0000-0000E2A60000}"/>
    <cellStyle name="Normal 58 5 2 5 2 2 2" xfId="22991" xr:uid="{00000000-0005-0000-0000-0000E3A60000}"/>
    <cellStyle name="Normal 58 5 2 5 2 2 2 2" xfId="48544" xr:uid="{00000000-0005-0000-0000-0000E4A60000}"/>
    <cellStyle name="Normal 58 5 2 5 2 2 3" xfId="38327" xr:uid="{00000000-0005-0000-0000-0000E5A60000}"/>
    <cellStyle name="Normal 58 5 2 5 2 3" xfId="9193" xr:uid="{00000000-0005-0000-0000-0000E6A60000}"/>
    <cellStyle name="Normal 58 5 2 5 2 3 2" xfId="34750" xr:uid="{00000000-0005-0000-0000-0000E7A60000}"/>
    <cellStyle name="Normal 58 5 2 5 2 4" xfId="17984" xr:uid="{00000000-0005-0000-0000-0000E8A60000}"/>
    <cellStyle name="Normal 58 5 2 5 2 4 2" xfId="43537" xr:uid="{00000000-0005-0000-0000-0000E9A60000}"/>
    <cellStyle name="Normal 58 5 2 5 2 5" xfId="29474" xr:uid="{00000000-0005-0000-0000-0000EAA60000}"/>
    <cellStyle name="Normal 58 5 2 5 3" xfId="5299" xr:uid="{00000000-0005-0000-0000-0000EBA60000}"/>
    <cellStyle name="Normal 58 5 2 5 3 2" xfId="14136" xr:uid="{00000000-0005-0000-0000-0000ECA60000}"/>
    <cellStyle name="Normal 58 5 2 5 3 2 2" xfId="24387" xr:uid="{00000000-0005-0000-0000-0000EDA60000}"/>
    <cellStyle name="Normal 58 5 2 5 3 2 2 2" xfId="49940" xr:uid="{00000000-0005-0000-0000-0000EEA60000}"/>
    <cellStyle name="Normal 58 5 2 5 3 2 3" xfId="39691" xr:uid="{00000000-0005-0000-0000-0000EFA60000}"/>
    <cellStyle name="Normal 58 5 2 5 3 3" xfId="10557" xr:uid="{00000000-0005-0000-0000-0000F0A60000}"/>
    <cellStyle name="Normal 58 5 2 5 3 3 2" xfId="36114" xr:uid="{00000000-0005-0000-0000-0000F1A60000}"/>
    <cellStyle name="Normal 58 5 2 5 3 4" xfId="19380" xr:uid="{00000000-0005-0000-0000-0000F2A60000}"/>
    <cellStyle name="Normal 58 5 2 5 3 4 2" xfId="44933" xr:uid="{00000000-0005-0000-0000-0000F3A60000}"/>
    <cellStyle name="Normal 58 5 2 5 3 5" xfId="30870" xr:uid="{00000000-0005-0000-0000-0000F4A60000}"/>
    <cellStyle name="Normal 58 5 2 5 4" xfId="1810" xr:uid="{00000000-0005-0000-0000-0000F5A60000}"/>
    <cellStyle name="Normal 58 5 2 5 4 2" xfId="11178" xr:uid="{00000000-0005-0000-0000-0000F6A60000}"/>
    <cellStyle name="Normal 58 5 2 5 4 2 2" xfId="36733" xr:uid="{00000000-0005-0000-0000-0000F7A60000}"/>
    <cellStyle name="Normal 58 5 2 5 4 3" xfId="21182" xr:uid="{00000000-0005-0000-0000-0000F8A60000}"/>
    <cellStyle name="Normal 58 5 2 5 4 3 2" xfId="46735" xr:uid="{00000000-0005-0000-0000-0000F9A60000}"/>
    <cellStyle name="Normal 58 5 2 5 4 4" xfId="27665" xr:uid="{00000000-0005-0000-0000-0000FAA60000}"/>
    <cellStyle name="Normal 58 5 2 5 5" xfId="6754" xr:uid="{00000000-0005-0000-0000-0000FBA60000}"/>
    <cellStyle name="Normal 58 5 2 5 5 2" xfId="15581" xr:uid="{00000000-0005-0000-0000-0000FCA60000}"/>
    <cellStyle name="Normal 58 5 2 5 5 2 2" xfId="41136" xr:uid="{00000000-0005-0000-0000-0000FDA60000}"/>
    <cellStyle name="Normal 58 5 2 5 5 3" xfId="25832" xr:uid="{00000000-0005-0000-0000-0000FEA60000}"/>
    <cellStyle name="Normal 58 5 2 5 5 3 2" xfId="51385" xr:uid="{00000000-0005-0000-0000-0000FFA60000}"/>
    <cellStyle name="Normal 58 5 2 5 5 4" xfId="32315" xr:uid="{00000000-0005-0000-0000-000000A70000}"/>
    <cellStyle name="Normal 58 5 2 5 6" xfId="8200" xr:uid="{00000000-0005-0000-0000-000001A70000}"/>
    <cellStyle name="Normal 58 5 2 5 6 2" xfId="20590" xr:uid="{00000000-0005-0000-0000-000002A70000}"/>
    <cellStyle name="Normal 58 5 2 5 6 2 2" xfId="46143" xr:uid="{00000000-0005-0000-0000-000003A70000}"/>
    <cellStyle name="Normal 58 5 2 5 6 3" xfId="33757" xr:uid="{00000000-0005-0000-0000-000004A70000}"/>
    <cellStyle name="Normal 58 5 2 5 7" xfId="16175" xr:uid="{00000000-0005-0000-0000-000005A70000}"/>
    <cellStyle name="Normal 58 5 2 5 7 2" xfId="41728" xr:uid="{00000000-0005-0000-0000-000006A70000}"/>
    <cellStyle name="Normal 58 5 2 5 8" xfId="27073" xr:uid="{00000000-0005-0000-0000-000007A70000}"/>
    <cellStyle name="Normal 58 5 2 6" xfId="2704" xr:uid="{00000000-0005-0000-0000-000008A70000}"/>
    <cellStyle name="Normal 58 5 2 6 2" xfId="12021" xr:uid="{00000000-0005-0000-0000-000009A70000}"/>
    <cellStyle name="Normal 58 5 2 6 2 2" xfId="22065" xr:uid="{00000000-0005-0000-0000-00000AA70000}"/>
    <cellStyle name="Normal 58 5 2 6 2 2 2" xfId="47618" xr:uid="{00000000-0005-0000-0000-00000BA70000}"/>
    <cellStyle name="Normal 58 5 2 6 2 3" xfId="37576" xr:uid="{00000000-0005-0000-0000-00000CA70000}"/>
    <cellStyle name="Normal 58 5 2 6 3" xfId="6949" xr:uid="{00000000-0005-0000-0000-00000DA70000}"/>
    <cellStyle name="Normal 58 5 2 6 3 2" xfId="32507" xr:uid="{00000000-0005-0000-0000-00000EA70000}"/>
    <cellStyle name="Normal 58 5 2 6 4" xfId="17058" xr:uid="{00000000-0005-0000-0000-00000FA70000}"/>
    <cellStyle name="Normal 58 5 2 6 4 2" xfId="42611" xr:uid="{00000000-0005-0000-0000-000010A70000}"/>
    <cellStyle name="Normal 58 5 2 6 5" xfId="28548" xr:uid="{00000000-0005-0000-0000-000011A70000}"/>
    <cellStyle name="Normal 58 5 2 7" xfId="4255" xr:uid="{00000000-0005-0000-0000-000012A70000}"/>
    <cellStyle name="Normal 58 5 2 7 2" xfId="13093" xr:uid="{00000000-0005-0000-0000-000013A70000}"/>
    <cellStyle name="Normal 58 5 2 7 2 2" xfId="23344" xr:uid="{00000000-0005-0000-0000-000014A70000}"/>
    <cellStyle name="Normal 58 5 2 7 2 2 2" xfId="48897" xr:uid="{00000000-0005-0000-0000-000015A70000}"/>
    <cellStyle name="Normal 58 5 2 7 2 3" xfId="38648" xr:uid="{00000000-0005-0000-0000-000016A70000}"/>
    <cellStyle name="Normal 58 5 2 7 3" xfId="9514" xr:uid="{00000000-0005-0000-0000-000017A70000}"/>
    <cellStyle name="Normal 58 5 2 7 3 2" xfId="35071" xr:uid="{00000000-0005-0000-0000-000018A70000}"/>
    <cellStyle name="Normal 58 5 2 7 4" xfId="18337" xr:uid="{00000000-0005-0000-0000-000019A70000}"/>
    <cellStyle name="Normal 58 5 2 7 4 2" xfId="43890" xr:uid="{00000000-0005-0000-0000-00001AA70000}"/>
    <cellStyle name="Normal 58 5 2 7 5" xfId="29827" xr:uid="{00000000-0005-0000-0000-00001BA70000}"/>
    <cellStyle name="Normal 58 5 2 8" xfId="1527" xr:uid="{00000000-0005-0000-0000-00001CA70000}"/>
    <cellStyle name="Normal 58 5 2 8 2" xfId="10904" xr:uid="{00000000-0005-0000-0000-00001DA70000}"/>
    <cellStyle name="Normal 58 5 2 8 2 2" xfId="36459" xr:uid="{00000000-0005-0000-0000-00001EA70000}"/>
    <cellStyle name="Normal 58 5 2 8 3" xfId="20908" xr:uid="{00000000-0005-0000-0000-00001FA70000}"/>
    <cellStyle name="Normal 58 5 2 8 3 2" xfId="46461" xr:uid="{00000000-0005-0000-0000-000020A70000}"/>
    <cellStyle name="Normal 58 5 2 8 4" xfId="27391" xr:uid="{00000000-0005-0000-0000-000021A70000}"/>
    <cellStyle name="Normal 58 5 2 9" xfId="5711" xr:uid="{00000000-0005-0000-0000-000022A70000}"/>
    <cellStyle name="Normal 58 5 2 9 2" xfId="14538" xr:uid="{00000000-0005-0000-0000-000023A70000}"/>
    <cellStyle name="Normal 58 5 2 9 2 2" xfId="40093" xr:uid="{00000000-0005-0000-0000-000024A70000}"/>
    <cellStyle name="Normal 58 5 2 9 3" xfId="24789" xr:uid="{00000000-0005-0000-0000-000025A70000}"/>
    <cellStyle name="Normal 58 5 2 9 3 2" xfId="50342" xr:uid="{00000000-0005-0000-0000-000026A70000}"/>
    <cellStyle name="Normal 58 5 2 9 4" xfId="31272" xr:uid="{00000000-0005-0000-0000-000027A70000}"/>
    <cellStyle name="Normal 58 5 2_Degree data" xfId="4015" xr:uid="{00000000-0005-0000-0000-000028A70000}"/>
    <cellStyle name="Normal 58 5 3" xfId="274" xr:uid="{00000000-0005-0000-0000-000029A70000}"/>
    <cellStyle name="Normal 58 5 3 10" xfId="7112" xr:uid="{00000000-0005-0000-0000-00002AA70000}"/>
    <cellStyle name="Normal 58 5 3 10 2" xfId="19725" xr:uid="{00000000-0005-0000-0000-00002BA70000}"/>
    <cellStyle name="Normal 58 5 3 10 2 2" xfId="45278" xr:uid="{00000000-0005-0000-0000-00002CA70000}"/>
    <cellStyle name="Normal 58 5 3 10 3" xfId="32669" xr:uid="{00000000-0005-0000-0000-00002DA70000}"/>
    <cellStyle name="Normal 58 5 3 11" xfId="15858" xr:uid="{00000000-0005-0000-0000-00002EA70000}"/>
    <cellStyle name="Normal 58 5 3 11 2" xfId="41411" xr:uid="{00000000-0005-0000-0000-00002FA70000}"/>
    <cellStyle name="Normal 58 5 3 12" xfId="26208" xr:uid="{00000000-0005-0000-0000-000030A70000}"/>
    <cellStyle name="Normal 58 5 3 2" xfId="596" xr:uid="{00000000-0005-0000-0000-000031A70000}"/>
    <cellStyle name="Normal 58 5 3 2 10" xfId="26525" xr:uid="{00000000-0005-0000-0000-000032A70000}"/>
    <cellStyle name="Normal 58 5 3 2 2" xfId="912" xr:uid="{00000000-0005-0000-0000-000033A70000}"/>
    <cellStyle name="Normal 58 5 3 2 2 2" xfId="3397" xr:uid="{00000000-0005-0000-0000-000034A70000}"/>
    <cellStyle name="Normal 58 5 3 2 2 2 2" xfId="12539" xr:uid="{00000000-0005-0000-0000-000035A70000}"/>
    <cellStyle name="Normal 58 5 3 2 2 2 2 2" xfId="22758" xr:uid="{00000000-0005-0000-0000-000036A70000}"/>
    <cellStyle name="Normal 58 5 3 2 2 2 2 2 2" xfId="48311" xr:uid="{00000000-0005-0000-0000-000037A70000}"/>
    <cellStyle name="Normal 58 5 3 2 2 2 2 3" xfId="38094" xr:uid="{00000000-0005-0000-0000-000038A70000}"/>
    <cellStyle name="Normal 58 5 3 2 2 2 3" xfId="8961" xr:uid="{00000000-0005-0000-0000-000039A70000}"/>
    <cellStyle name="Normal 58 5 3 2 2 2 3 2" xfId="34518" xr:uid="{00000000-0005-0000-0000-00003AA70000}"/>
    <cellStyle name="Normal 58 5 3 2 2 2 4" xfId="17751" xr:uid="{00000000-0005-0000-0000-00003BA70000}"/>
    <cellStyle name="Normal 58 5 3 2 2 2 4 2" xfId="43304" xr:uid="{00000000-0005-0000-0000-00003CA70000}"/>
    <cellStyle name="Normal 58 5 3 2 2 2 5" xfId="29241" xr:uid="{00000000-0005-0000-0000-00003DA70000}"/>
    <cellStyle name="Normal 58 5 3 2 2 3" xfId="4726" xr:uid="{00000000-0005-0000-0000-00003EA70000}"/>
    <cellStyle name="Normal 58 5 3 2 2 3 2" xfId="13564" xr:uid="{00000000-0005-0000-0000-00003FA70000}"/>
    <cellStyle name="Normal 58 5 3 2 2 3 2 2" xfId="23815" xr:uid="{00000000-0005-0000-0000-000040A70000}"/>
    <cellStyle name="Normal 58 5 3 2 2 3 2 2 2" xfId="49368" xr:uid="{00000000-0005-0000-0000-000041A70000}"/>
    <cellStyle name="Normal 58 5 3 2 2 3 2 3" xfId="39119" xr:uid="{00000000-0005-0000-0000-000042A70000}"/>
    <cellStyle name="Normal 58 5 3 2 2 3 3" xfId="9985" xr:uid="{00000000-0005-0000-0000-000043A70000}"/>
    <cellStyle name="Normal 58 5 3 2 2 3 3 2" xfId="35542" xr:uid="{00000000-0005-0000-0000-000044A70000}"/>
    <cellStyle name="Normal 58 5 3 2 2 3 4" xfId="18808" xr:uid="{00000000-0005-0000-0000-000045A70000}"/>
    <cellStyle name="Normal 58 5 3 2 2 3 4 2" xfId="44361" xr:uid="{00000000-0005-0000-0000-000046A70000}"/>
    <cellStyle name="Normal 58 5 3 2 2 3 5" xfId="30298" xr:uid="{00000000-0005-0000-0000-000047A70000}"/>
    <cellStyle name="Normal 58 5 3 2 2 4" xfId="2506" xr:uid="{00000000-0005-0000-0000-000048A70000}"/>
    <cellStyle name="Normal 58 5 3 2 2 4 2" xfId="11871" xr:uid="{00000000-0005-0000-0000-000049A70000}"/>
    <cellStyle name="Normal 58 5 3 2 2 4 2 2" xfId="37426" xr:uid="{00000000-0005-0000-0000-00004AA70000}"/>
    <cellStyle name="Normal 58 5 3 2 2 4 3" xfId="21875" xr:uid="{00000000-0005-0000-0000-00004BA70000}"/>
    <cellStyle name="Normal 58 5 3 2 2 4 3 2" xfId="47428" xr:uid="{00000000-0005-0000-0000-00004CA70000}"/>
    <cellStyle name="Normal 58 5 3 2 2 4 4" xfId="28358" xr:uid="{00000000-0005-0000-0000-00004DA70000}"/>
    <cellStyle name="Normal 58 5 3 2 2 5" xfId="6182" xr:uid="{00000000-0005-0000-0000-00004EA70000}"/>
    <cellStyle name="Normal 58 5 3 2 2 5 2" xfId="15009" xr:uid="{00000000-0005-0000-0000-00004FA70000}"/>
    <cellStyle name="Normal 58 5 3 2 2 5 2 2" xfId="40564" xr:uid="{00000000-0005-0000-0000-000050A70000}"/>
    <cellStyle name="Normal 58 5 3 2 2 5 3" xfId="25260" xr:uid="{00000000-0005-0000-0000-000051A70000}"/>
    <cellStyle name="Normal 58 5 3 2 2 5 3 2" xfId="50813" xr:uid="{00000000-0005-0000-0000-000052A70000}"/>
    <cellStyle name="Normal 58 5 3 2 2 5 4" xfId="31743" xr:uid="{00000000-0005-0000-0000-000053A70000}"/>
    <cellStyle name="Normal 58 5 3 2 2 6" xfId="7627" xr:uid="{00000000-0005-0000-0000-000054A70000}"/>
    <cellStyle name="Normal 58 5 3 2 2 6 2" xfId="20357" xr:uid="{00000000-0005-0000-0000-000055A70000}"/>
    <cellStyle name="Normal 58 5 3 2 2 6 2 2" xfId="45910" xr:uid="{00000000-0005-0000-0000-000056A70000}"/>
    <cellStyle name="Normal 58 5 3 2 2 6 3" xfId="33184" xr:uid="{00000000-0005-0000-0000-000057A70000}"/>
    <cellStyle name="Normal 58 5 3 2 2 7" xfId="16868" xr:uid="{00000000-0005-0000-0000-000058A70000}"/>
    <cellStyle name="Normal 58 5 3 2 2 7 2" xfId="42421" xr:uid="{00000000-0005-0000-0000-000059A70000}"/>
    <cellStyle name="Normal 58 5 3 2 2 8" xfId="26840" xr:uid="{00000000-0005-0000-0000-00005AA70000}"/>
    <cellStyle name="Normal 58 5 3 2 3" xfId="1368" xr:uid="{00000000-0005-0000-0000-00005BA70000}"/>
    <cellStyle name="Normal 58 5 3 2 3 2" xfId="3797" xr:uid="{00000000-0005-0000-0000-00005CA70000}"/>
    <cellStyle name="Normal 58 5 3 2 3 2 2" xfId="12933" xr:uid="{00000000-0005-0000-0000-00005DA70000}"/>
    <cellStyle name="Normal 58 5 3 2 3 2 2 2" xfId="23152" xr:uid="{00000000-0005-0000-0000-00005EA70000}"/>
    <cellStyle name="Normal 58 5 3 2 3 2 2 2 2" xfId="48705" xr:uid="{00000000-0005-0000-0000-00005FA70000}"/>
    <cellStyle name="Normal 58 5 3 2 3 2 2 3" xfId="38488" xr:uid="{00000000-0005-0000-0000-000060A70000}"/>
    <cellStyle name="Normal 58 5 3 2 3 2 3" xfId="9354" xr:uid="{00000000-0005-0000-0000-000061A70000}"/>
    <cellStyle name="Normal 58 5 3 2 3 2 3 2" xfId="34911" xr:uid="{00000000-0005-0000-0000-000062A70000}"/>
    <cellStyle name="Normal 58 5 3 2 3 2 4" xfId="18145" xr:uid="{00000000-0005-0000-0000-000063A70000}"/>
    <cellStyle name="Normal 58 5 3 2 3 2 4 2" xfId="43698" xr:uid="{00000000-0005-0000-0000-000064A70000}"/>
    <cellStyle name="Normal 58 5 3 2 3 2 5" xfId="29635" xr:uid="{00000000-0005-0000-0000-000065A70000}"/>
    <cellStyle name="Normal 58 5 3 2 3 3" xfId="5075" xr:uid="{00000000-0005-0000-0000-000066A70000}"/>
    <cellStyle name="Normal 58 5 3 2 3 3 2" xfId="13912" xr:uid="{00000000-0005-0000-0000-000067A70000}"/>
    <cellStyle name="Normal 58 5 3 2 3 3 2 2" xfId="24163" xr:uid="{00000000-0005-0000-0000-000068A70000}"/>
    <cellStyle name="Normal 58 5 3 2 3 3 2 2 2" xfId="49716" xr:uid="{00000000-0005-0000-0000-000069A70000}"/>
    <cellStyle name="Normal 58 5 3 2 3 3 2 3" xfId="39467" xr:uid="{00000000-0005-0000-0000-00006AA70000}"/>
    <cellStyle name="Normal 58 5 3 2 3 3 3" xfId="10333" xr:uid="{00000000-0005-0000-0000-00006BA70000}"/>
    <cellStyle name="Normal 58 5 3 2 3 3 3 2" xfId="35890" xr:uid="{00000000-0005-0000-0000-00006CA70000}"/>
    <cellStyle name="Normal 58 5 3 2 3 3 4" xfId="19156" xr:uid="{00000000-0005-0000-0000-00006DA70000}"/>
    <cellStyle name="Normal 58 5 3 2 3 3 4 2" xfId="44709" xr:uid="{00000000-0005-0000-0000-00006EA70000}"/>
    <cellStyle name="Normal 58 5 3 2 3 3 5" xfId="30646" xr:uid="{00000000-0005-0000-0000-00006FA70000}"/>
    <cellStyle name="Normal 58 5 3 2 3 4" xfId="2191" xr:uid="{00000000-0005-0000-0000-000070A70000}"/>
    <cellStyle name="Normal 58 5 3 2 3 4 2" xfId="11556" xr:uid="{00000000-0005-0000-0000-000071A70000}"/>
    <cellStyle name="Normal 58 5 3 2 3 4 2 2" xfId="37111" xr:uid="{00000000-0005-0000-0000-000072A70000}"/>
    <cellStyle name="Normal 58 5 3 2 3 4 3" xfId="21560" xr:uid="{00000000-0005-0000-0000-000073A70000}"/>
    <cellStyle name="Normal 58 5 3 2 3 4 3 2" xfId="47113" xr:uid="{00000000-0005-0000-0000-000074A70000}"/>
    <cellStyle name="Normal 58 5 3 2 3 4 4" xfId="28043" xr:uid="{00000000-0005-0000-0000-000075A70000}"/>
    <cellStyle name="Normal 58 5 3 2 3 5" xfId="6530" xr:uid="{00000000-0005-0000-0000-000076A70000}"/>
    <cellStyle name="Normal 58 5 3 2 3 5 2" xfId="15357" xr:uid="{00000000-0005-0000-0000-000077A70000}"/>
    <cellStyle name="Normal 58 5 3 2 3 5 2 2" xfId="40912" xr:uid="{00000000-0005-0000-0000-000078A70000}"/>
    <cellStyle name="Normal 58 5 3 2 3 5 3" xfId="25608" xr:uid="{00000000-0005-0000-0000-000079A70000}"/>
    <cellStyle name="Normal 58 5 3 2 3 5 3 2" xfId="51161" xr:uid="{00000000-0005-0000-0000-00007AA70000}"/>
    <cellStyle name="Normal 58 5 3 2 3 5 4" xfId="32091" xr:uid="{00000000-0005-0000-0000-00007BA70000}"/>
    <cellStyle name="Normal 58 5 3 2 3 6" xfId="7976" xr:uid="{00000000-0005-0000-0000-00007CA70000}"/>
    <cellStyle name="Normal 58 5 3 2 3 6 2" xfId="20751" xr:uid="{00000000-0005-0000-0000-00007DA70000}"/>
    <cellStyle name="Normal 58 5 3 2 3 6 2 2" xfId="46304" xr:uid="{00000000-0005-0000-0000-00007EA70000}"/>
    <cellStyle name="Normal 58 5 3 2 3 6 3" xfId="33533" xr:uid="{00000000-0005-0000-0000-00007FA70000}"/>
    <cellStyle name="Normal 58 5 3 2 3 7" xfId="16553" xr:uid="{00000000-0005-0000-0000-000080A70000}"/>
    <cellStyle name="Normal 58 5 3 2 3 7 2" xfId="42106" xr:uid="{00000000-0005-0000-0000-000081A70000}"/>
    <cellStyle name="Normal 58 5 3 2 3 8" xfId="27234" xr:uid="{00000000-0005-0000-0000-000082A70000}"/>
    <cellStyle name="Normal 58 5 3 2 4" xfId="3082" xr:uid="{00000000-0005-0000-0000-000083A70000}"/>
    <cellStyle name="Normal 58 5 3 2 4 2" xfId="5460" xr:uid="{00000000-0005-0000-0000-000084A70000}"/>
    <cellStyle name="Normal 58 5 3 2 4 2 2" xfId="14297" xr:uid="{00000000-0005-0000-0000-000085A70000}"/>
    <cellStyle name="Normal 58 5 3 2 4 2 2 2" xfId="24548" xr:uid="{00000000-0005-0000-0000-000086A70000}"/>
    <cellStyle name="Normal 58 5 3 2 4 2 2 2 2" xfId="50101" xr:uid="{00000000-0005-0000-0000-000087A70000}"/>
    <cellStyle name="Normal 58 5 3 2 4 2 2 3" xfId="39852" xr:uid="{00000000-0005-0000-0000-000088A70000}"/>
    <cellStyle name="Normal 58 5 3 2 4 2 3" xfId="10718" xr:uid="{00000000-0005-0000-0000-000089A70000}"/>
    <cellStyle name="Normal 58 5 3 2 4 2 3 2" xfId="36275" xr:uid="{00000000-0005-0000-0000-00008AA70000}"/>
    <cellStyle name="Normal 58 5 3 2 4 2 4" xfId="19541" xr:uid="{00000000-0005-0000-0000-00008BA70000}"/>
    <cellStyle name="Normal 58 5 3 2 4 2 4 2" xfId="45094" xr:uid="{00000000-0005-0000-0000-00008CA70000}"/>
    <cellStyle name="Normal 58 5 3 2 4 2 5" xfId="31031" xr:uid="{00000000-0005-0000-0000-00008DA70000}"/>
    <cellStyle name="Normal 58 5 3 2 4 3" xfId="6915" xr:uid="{00000000-0005-0000-0000-00008EA70000}"/>
    <cellStyle name="Normal 58 5 3 2 4 3 2" xfId="15742" xr:uid="{00000000-0005-0000-0000-00008FA70000}"/>
    <cellStyle name="Normal 58 5 3 2 4 3 2 2" xfId="41297" xr:uid="{00000000-0005-0000-0000-000090A70000}"/>
    <cellStyle name="Normal 58 5 3 2 4 3 3" xfId="25993" xr:uid="{00000000-0005-0000-0000-000091A70000}"/>
    <cellStyle name="Normal 58 5 3 2 4 3 3 2" xfId="51546" xr:uid="{00000000-0005-0000-0000-000092A70000}"/>
    <cellStyle name="Normal 58 5 3 2 4 3 4" xfId="32476" xr:uid="{00000000-0005-0000-0000-000093A70000}"/>
    <cellStyle name="Normal 58 5 3 2 4 4" xfId="8361" xr:uid="{00000000-0005-0000-0000-000094A70000}"/>
    <cellStyle name="Normal 58 5 3 2 4 4 2" xfId="22443" xr:uid="{00000000-0005-0000-0000-000095A70000}"/>
    <cellStyle name="Normal 58 5 3 2 4 4 2 2" xfId="47996" xr:uid="{00000000-0005-0000-0000-000096A70000}"/>
    <cellStyle name="Normal 58 5 3 2 4 4 3" xfId="33918" xr:uid="{00000000-0005-0000-0000-000097A70000}"/>
    <cellStyle name="Normal 58 5 3 2 4 5" xfId="17436" xr:uid="{00000000-0005-0000-0000-000098A70000}"/>
    <cellStyle name="Normal 58 5 3 2 4 5 2" xfId="42989" xr:uid="{00000000-0005-0000-0000-000099A70000}"/>
    <cellStyle name="Normal 58 5 3 2 4 6" xfId="28926" xr:uid="{00000000-0005-0000-0000-00009AA70000}"/>
    <cellStyle name="Normal 58 5 3 2 5" xfId="4416" xr:uid="{00000000-0005-0000-0000-00009BA70000}"/>
    <cellStyle name="Normal 58 5 3 2 5 2" xfId="13254" xr:uid="{00000000-0005-0000-0000-00009CA70000}"/>
    <cellStyle name="Normal 58 5 3 2 5 2 2" xfId="23505" xr:uid="{00000000-0005-0000-0000-00009DA70000}"/>
    <cellStyle name="Normal 58 5 3 2 5 2 2 2" xfId="49058" xr:uid="{00000000-0005-0000-0000-00009EA70000}"/>
    <cellStyle name="Normal 58 5 3 2 5 2 3" xfId="38809" xr:uid="{00000000-0005-0000-0000-00009FA70000}"/>
    <cellStyle name="Normal 58 5 3 2 5 3" xfId="9675" xr:uid="{00000000-0005-0000-0000-0000A0A70000}"/>
    <cellStyle name="Normal 58 5 3 2 5 3 2" xfId="35232" xr:uid="{00000000-0005-0000-0000-0000A1A70000}"/>
    <cellStyle name="Normal 58 5 3 2 5 4" xfId="18498" xr:uid="{00000000-0005-0000-0000-0000A2A70000}"/>
    <cellStyle name="Normal 58 5 3 2 5 4 2" xfId="44051" xr:uid="{00000000-0005-0000-0000-0000A3A70000}"/>
    <cellStyle name="Normal 58 5 3 2 5 5" xfId="29988" xr:uid="{00000000-0005-0000-0000-0000A4A70000}"/>
    <cellStyle name="Normal 58 5 3 2 6" xfId="1688" xr:uid="{00000000-0005-0000-0000-0000A5A70000}"/>
    <cellStyle name="Normal 58 5 3 2 6 2" xfId="11065" xr:uid="{00000000-0005-0000-0000-0000A6A70000}"/>
    <cellStyle name="Normal 58 5 3 2 6 2 2" xfId="36620" xr:uid="{00000000-0005-0000-0000-0000A7A70000}"/>
    <cellStyle name="Normal 58 5 3 2 6 3" xfId="21069" xr:uid="{00000000-0005-0000-0000-0000A8A70000}"/>
    <cellStyle name="Normal 58 5 3 2 6 3 2" xfId="46622" xr:uid="{00000000-0005-0000-0000-0000A9A70000}"/>
    <cellStyle name="Normal 58 5 3 2 6 4" xfId="27552" xr:uid="{00000000-0005-0000-0000-0000AAA70000}"/>
    <cellStyle name="Normal 58 5 3 2 7" xfId="5872" xr:uid="{00000000-0005-0000-0000-0000ABA70000}"/>
    <cellStyle name="Normal 58 5 3 2 7 2" xfId="14699" xr:uid="{00000000-0005-0000-0000-0000ACA70000}"/>
    <cellStyle name="Normal 58 5 3 2 7 2 2" xfId="40254" xr:uid="{00000000-0005-0000-0000-0000ADA70000}"/>
    <cellStyle name="Normal 58 5 3 2 7 3" xfId="24950" xr:uid="{00000000-0005-0000-0000-0000AEA70000}"/>
    <cellStyle name="Normal 58 5 3 2 7 3 2" xfId="50503" xr:uid="{00000000-0005-0000-0000-0000AFA70000}"/>
    <cellStyle name="Normal 58 5 3 2 7 4" xfId="31433" xr:uid="{00000000-0005-0000-0000-0000B0A70000}"/>
    <cellStyle name="Normal 58 5 3 2 8" xfId="7316" xr:uid="{00000000-0005-0000-0000-0000B1A70000}"/>
    <cellStyle name="Normal 58 5 3 2 8 2" xfId="20042" xr:uid="{00000000-0005-0000-0000-0000B2A70000}"/>
    <cellStyle name="Normal 58 5 3 2 8 2 2" xfId="45595" xr:uid="{00000000-0005-0000-0000-0000B3A70000}"/>
    <cellStyle name="Normal 58 5 3 2 8 3" xfId="32873" xr:uid="{00000000-0005-0000-0000-0000B4A70000}"/>
    <cellStyle name="Normal 58 5 3 2 9" xfId="16062" xr:uid="{00000000-0005-0000-0000-0000B5A70000}"/>
    <cellStyle name="Normal 58 5 3 2 9 2" xfId="41615" xr:uid="{00000000-0005-0000-0000-0000B6A70000}"/>
    <cellStyle name="Normal 58 5 3 2_Degree data" xfId="4018" xr:uid="{00000000-0005-0000-0000-0000B7A70000}"/>
    <cellStyle name="Normal 58 5 3 3" xfId="392" xr:uid="{00000000-0005-0000-0000-0000B8A70000}"/>
    <cellStyle name="Normal 58 5 3 3 2" xfId="2878" xr:uid="{00000000-0005-0000-0000-0000B9A70000}"/>
    <cellStyle name="Normal 58 5 3 3 2 2" xfId="12166" xr:uid="{00000000-0005-0000-0000-0000BAA70000}"/>
    <cellStyle name="Normal 58 5 3 3 2 2 2" xfId="22239" xr:uid="{00000000-0005-0000-0000-0000BBA70000}"/>
    <cellStyle name="Normal 58 5 3 3 2 2 2 2" xfId="47792" xr:uid="{00000000-0005-0000-0000-0000BCA70000}"/>
    <cellStyle name="Normal 58 5 3 3 2 2 3" xfId="37721" xr:uid="{00000000-0005-0000-0000-0000BDA70000}"/>
    <cellStyle name="Normal 58 5 3 3 2 3" xfId="8457" xr:uid="{00000000-0005-0000-0000-0000BEA70000}"/>
    <cellStyle name="Normal 58 5 3 3 2 3 2" xfId="34014" xr:uid="{00000000-0005-0000-0000-0000BFA70000}"/>
    <cellStyle name="Normal 58 5 3 3 2 4" xfId="17232" xr:uid="{00000000-0005-0000-0000-0000C0A70000}"/>
    <cellStyle name="Normal 58 5 3 3 2 4 2" xfId="42785" xr:uid="{00000000-0005-0000-0000-0000C1A70000}"/>
    <cellStyle name="Normal 58 5 3 3 2 5" xfId="28722" xr:uid="{00000000-0005-0000-0000-0000C2A70000}"/>
    <cellStyle name="Normal 58 5 3 3 3" xfId="4725" xr:uid="{00000000-0005-0000-0000-0000C3A70000}"/>
    <cellStyle name="Normal 58 5 3 3 3 2" xfId="13563" xr:uid="{00000000-0005-0000-0000-0000C4A70000}"/>
    <cellStyle name="Normal 58 5 3 3 3 2 2" xfId="23814" xr:uid="{00000000-0005-0000-0000-0000C5A70000}"/>
    <cellStyle name="Normal 58 5 3 3 3 2 2 2" xfId="49367" xr:uid="{00000000-0005-0000-0000-0000C6A70000}"/>
    <cellStyle name="Normal 58 5 3 3 3 2 3" xfId="39118" xr:uid="{00000000-0005-0000-0000-0000C7A70000}"/>
    <cellStyle name="Normal 58 5 3 3 3 3" xfId="9984" xr:uid="{00000000-0005-0000-0000-0000C8A70000}"/>
    <cellStyle name="Normal 58 5 3 3 3 3 2" xfId="35541" xr:uid="{00000000-0005-0000-0000-0000C9A70000}"/>
    <cellStyle name="Normal 58 5 3 3 3 4" xfId="18807" xr:uid="{00000000-0005-0000-0000-0000CAA70000}"/>
    <cellStyle name="Normal 58 5 3 3 3 4 2" xfId="44360" xr:uid="{00000000-0005-0000-0000-0000CBA70000}"/>
    <cellStyle name="Normal 58 5 3 3 3 5" xfId="30297" xr:uid="{00000000-0005-0000-0000-0000CCA70000}"/>
    <cellStyle name="Normal 58 5 3 3 4" xfId="1987" xr:uid="{00000000-0005-0000-0000-0000CDA70000}"/>
    <cellStyle name="Normal 58 5 3 3 4 2" xfId="11352" xr:uid="{00000000-0005-0000-0000-0000CEA70000}"/>
    <cellStyle name="Normal 58 5 3 3 4 2 2" xfId="36907" xr:uid="{00000000-0005-0000-0000-0000CFA70000}"/>
    <cellStyle name="Normal 58 5 3 3 4 3" xfId="21356" xr:uid="{00000000-0005-0000-0000-0000D0A70000}"/>
    <cellStyle name="Normal 58 5 3 3 4 3 2" xfId="46909" xr:uid="{00000000-0005-0000-0000-0000D1A70000}"/>
    <cellStyle name="Normal 58 5 3 3 4 4" xfId="27839" xr:uid="{00000000-0005-0000-0000-0000D2A70000}"/>
    <cellStyle name="Normal 58 5 3 3 5" xfId="6181" xr:uid="{00000000-0005-0000-0000-0000D3A70000}"/>
    <cellStyle name="Normal 58 5 3 3 5 2" xfId="15008" xr:uid="{00000000-0005-0000-0000-0000D4A70000}"/>
    <cellStyle name="Normal 58 5 3 3 5 2 2" xfId="40563" xr:uid="{00000000-0005-0000-0000-0000D5A70000}"/>
    <cellStyle name="Normal 58 5 3 3 5 3" xfId="25259" xr:uid="{00000000-0005-0000-0000-0000D6A70000}"/>
    <cellStyle name="Normal 58 5 3 3 5 3 2" xfId="50812" xr:uid="{00000000-0005-0000-0000-0000D7A70000}"/>
    <cellStyle name="Normal 58 5 3 3 5 4" xfId="31742" xr:uid="{00000000-0005-0000-0000-0000D8A70000}"/>
    <cellStyle name="Normal 58 5 3 3 6" xfId="7626" xr:uid="{00000000-0005-0000-0000-0000D9A70000}"/>
    <cellStyle name="Normal 58 5 3 3 6 2" xfId="19838" xr:uid="{00000000-0005-0000-0000-0000DAA70000}"/>
    <cellStyle name="Normal 58 5 3 3 6 2 2" xfId="45391" xr:uid="{00000000-0005-0000-0000-0000DBA70000}"/>
    <cellStyle name="Normal 58 5 3 3 6 3" xfId="33183" xr:uid="{00000000-0005-0000-0000-0000DCA70000}"/>
    <cellStyle name="Normal 58 5 3 3 7" xfId="16349" xr:uid="{00000000-0005-0000-0000-0000DDA70000}"/>
    <cellStyle name="Normal 58 5 3 3 7 2" xfId="41902" xr:uid="{00000000-0005-0000-0000-0000DEA70000}"/>
    <cellStyle name="Normal 58 5 3 3 8" xfId="26321" xr:uid="{00000000-0005-0000-0000-0000DFA70000}"/>
    <cellStyle name="Normal 58 5 3 4" xfId="911" xr:uid="{00000000-0005-0000-0000-0000E0A70000}"/>
    <cellStyle name="Normal 58 5 3 4 2" xfId="3396" xr:uid="{00000000-0005-0000-0000-0000E1A70000}"/>
    <cellStyle name="Normal 58 5 3 4 2 2" xfId="12538" xr:uid="{00000000-0005-0000-0000-0000E2A70000}"/>
    <cellStyle name="Normal 58 5 3 4 2 2 2" xfId="22757" xr:uid="{00000000-0005-0000-0000-0000E3A70000}"/>
    <cellStyle name="Normal 58 5 3 4 2 2 2 2" xfId="48310" xr:uid="{00000000-0005-0000-0000-0000E4A70000}"/>
    <cellStyle name="Normal 58 5 3 4 2 2 3" xfId="38093" xr:uid="{00000000-0005-0000-0000-0000E5A70000}"/>
    <cellStyle name="Normal 58 5 3 4 2 3" xfId="8960" xr:uid="{00000000-0005-0000-0000-0000E6A70000}"/>
    <cellStyle name="Normal 58 5 3 4 2 3 2" xfId="34517" xr:uid="{00000000-0005-0000-0000-0000E7A70000}"/>
    <cellStyle name="Normal 58 5 3 4 2 4" xfId="17750" xr:uid="{00000000-0005-0000-0000-0000E8A70000}"/>
    <cellStyle name="Normal 58 5 3 4 2 4 2" xfId="43303" xr:uid="{00000000-0005-0000-0000-0000E9A70000}"/>
    <cellStyle name="Normal 58 5 3 4 2 5" xfId="29240" xr:uid="{00000000-0005-0000-0000-0000EAA70000}"/>
    <cellStyle name="Normal 58 5 3 4 3" xfId="5074" xr:uid="{00000000-0005-0000-0000-0000EBA70000}"/>
    <cellStyle name="Normal 58 5 3 4 3 2" xfId="13911" xr:uid="{00000000-0005-0000-0000-0000ECA70000}"/>
    <cellStyle name="Normal 58 5 3 4 3 2 2" xfId="24162" xr:uid="{00000000-0005-0000-0000-0000EDA70000}"/>
    <cellStyle name="Normal 58 5 3 4 3 2 2 2" xfId="49715" xr:uid="{00000000-0005-0000-0000-0000EEA70000}"/>
    <cellStyle name="Normal 58 5 3 4 3 2 3" xfId="39466" xr:uid="{00000000-0005-0000-0000-0000EFA70000}"/>
    <cellStyle name="Normal 58 5 3 4 3 3" xfId="10332" xr:uid="{00000000-0005-0000-0000-0000F0A70000}"/>
    <cellStyle name="Normal 58 5 3 4 3 3 2" xfId="35889" xr:uid="{00000000-0005-0000-0000-0000F1A70000}"/>
    <cellStyle name="Normal 58 5 3 4 3 4" xfId="19155" xr:uid="{00000000-0005-0000-0000-0000F2A70000}"/>
    <cellStyle name="Normal 58 5 3 4 3 4 2" xfId="44708" xr:uid="{00000000-0005-0000-0000-0000F3A70000}"/>
    <cellStyle name="Normal 58 5 3 4 3 5" xfId="30645" xr:uid="{00000000-0005-0000-0000-0000F4A70000}"/>
    <cellStyle name="Normal 58 5 3 4 4" xfId="2505" xr:uid="{00000000-0005-0000-0000-0000F5A70000}"/>
    <cellStyle name="Normal 58 5 3 4 4 2" xfId="11870" xr:uid="{00000000-0005-0000-0000-0000F6A70000}"/>
    <cellStyle name="Normal 58 5 3 4 4 2 2" xfId="37425" xr:uid="{00000000-0005-0000-0000-0000F7A70000}"/>
    <cellStyle name="Normal 58 5 3 4 4 3" xfId="21874" xr:uid="{00000000-0005-0000-0000-0000F8A70000}"/>
    <cellStyle name="Normal 58 5 3 4 4 3 2" xfId="47427" xr:uid="{00000000-0005-0000-0000-0000F9A70000}"/>
    <cellStyle name="Normal 58 5 3 4 4 4" xfId="28357" xr:uid="{00000000-0005-0000-0000-0000FAA70000}"/>
    <cellStyle name="Normal 58 5 3 4 5" xfId="6529" xr:uid="{00000000-0005-0000-0000-0000FBA70000}"/>
    <cellStyle name="Normal 58 5 3 4 5 2" xfId="15356" xr:uid="{00000000-0005-0000-0000-0000FCA70000}"/>
    <cellStyle name="Normal 58 5 3 4 5 2 2" xfId="40911" xr:uid="{00000000-0005-0000-0000-0000FDA70000}"/>
    <cellStyle name="Normal 58 5 3 4 5 3" xfId="25607" xr:uid="{00000000-0005-0000-0000-0000FEA70000}"/>
    <cellStyle name="Normal 58 5 3 4 5 3 2" xfId="51160" xr:uid="{00000000-0005-0000-0000-0000FFA70000}"/>
    <cellStyle name="Normal 58 5 3 4 5 4" xfId="32090" xr:uid="{00000000-0005-0000-0000-000000A80000}"/>
    <cellStyle name="Normal 58 5 3 4 6" xfId="7975" xr:uid="{00000000-0005-0000-0000-000001A80000}"/>
    <cellStyle name="Normal 58 5 3 4 6 2" xfId="20356" xr:uid="{00000000-0005-0000-0000-000002A80000}"/>
    <cellStyle name="Normal 58 5 3 4 6 2 2" xfId="45909" xr:uid="{00000000-0005-0000-0000-000003A80000}"/>
    <cellStyle name="Normal 58 5 3 4 6 3" xfId="33532" xr:uid="{00000000-0005-0000-0000-000004A80000}"/>
    <cellStyle name="Normal 58 5 3 4 7" xfId="16867" xr:uid="{00000000-0005-0000-0000-000005A80000}"/>
    <cellStyle name="Normal 58 5 3 4 7 2" xfId="42420" xr:uid="{00000000-0005-0000-0000-000006A80000}"/>
    <cellStyle name="Normal 58 5 3 4 8" xfId="26839" xr:uid="{00000000-0005-0000-0000-000007A80000}"/>
    <cellStyle name="Normal 58 5 3 5" xfId="1164" xr:uid="{00000000-0005-0000-0000-000008A80000}"/>
    <cellStyle name="Normal 58 5 3 5 2" xfId="3593" xr:uid="{00000000-0005-0000-0000-000009A80000}"/>
    <cellStyle name="Normal 58 5 3 5 2 2" xfId="12729" xr:uid="{00000000-0005-0000-0000-00000AA80000}"/>
    <cellStyle name="Normal 58 5 3 5 2 2 2" xfId="22948" xr:uid="{00000000-0005-0000-0000-00000BA80000}"/>
    <cellStyle name="Normal 58 5 3 5 2 2 2 2" xfId="48501" xr:uid="{00000000-0005-0000-0000-00000CA80000}"/>
    <cellStyle name="Normal 58 5 3 5 2 2 3" xfId="38284" xr:uid="{00000000-0005-0000-0000-00000DA80000}"/>
    <cellStyle name="Normal 58 5 3 5 2 3" xfId="9150" xr:uid="{00000000-0005-0000-0000-00000EA80000}"/>
    <cellStyle name="Normal 58 5 3 5 2 3 2" xfId="34707" xr:uid="{00000000-0005-0000-0000-00000FA80000}"/>
    <cellStyle name="Normal 58 5 3 5 2 4" xfId="17941" xr:uid="{00000000-0005-0000-0000-000010A80000}"/>
    <cellStyle name="Normal 58 5 3 5 2 4 2" xfId="43494" xr:uid="{00000000-0005-0000-0000-000011A80000}"/>
    <cellStyle name="Normal 58 5 3 5 2 5" xfId="29431" xr:uid="{00000000-0005-0000-0000-000012A80000}"/>
    <cellStyle name="Normal 58 5 3 5 3" xfId="5256" xr:uid="{00000000-0005-0000-0000-000013A80000}"/>
    <cellStyle name="Normal 58 5 3 5 3 2" xfId="14093" xr:uid="{00000000-0005-0000-0000-000014A80000}"/>
    <cellStyle name="Normal 58 5 3 5 3 2 2" xfId="24344" xr:uid="{00000000-0005-0000-0000-000015A80000}"/>
    <cellStyle name="Normal 58 5 3 5 3 2 2 2" xfId="49897" xr:uid="{00000000-0005-0000-0000-000016A80000}"/>
    <cellStyle name="Normal 58 5 3 5 3 2 3" xfId="39648" xr:uid="{00000000-0005-0000-0000-000017A80000}"/>
    <cellStyle name="Normal 58 5 3 5 3 3" xfId="10514" xr:uid="{00000000-0005-0000-0000-000018A80000}"/>
    <cellStyle name="Normal 58 5 3 5 3 3 2" xfId="36071" xr:uid="{00000000-0005-0000-0000-000019A80000}"/>
    <cellStyle name="Normal 58 5 3 5 3 4" xfId="19337" xr:uid="{00000000-0005-0000-0000-00001AA80000}"/>
    <cellStyle name="Normal 58 5 3 5 3 4 2" xfId="44890" xr:uid="{00000000-0005-0000-0000-00001BA80000}"/>
    <cellStyle name="Normal 58 5 3 5 3 5" xfId="30827" xr:uid="{00000000-0005-0000-0000-00001CA80000}"/>
    <cellStyle name="Normal 58 5 3 5 4" xfId="1871" xr:uid="{00000000-0005-0000-0000-00001DA80000}"/>
    <cellStyle name="Normal 58 5 3 5 4 2" xfId="11239" xr:uid="{00000000-0005-0000-0000-00001EA80000}"/>
    <cellStyle name="Normal 58 5 3 5 4 2 2" xfId="36794" xr:uid="{00000000-0005-0000-0000-00001FA80000}"/>
    <cellStyle name="Normal 58 5 3 5 4 3" xfId="21243" xr:uid="{00000000-0005-0000-0000-000020A80000}"/>
    <cellStyle name="Normal 58 5 3 5 4 3 2" xfId="46796" xr:uid="{00000000-0005-0000-0000-000021A80000}"/>
    <cellStyle name="Normal 58 5 3 5 4 4" xfId="27726" xr:uid="{00000000-0005-0000-0000-000022A80000}"/>
    <cellStyle name="Normal 58 5 3 5 5" xfId="6711" xr:uid="{00000000-0005-0000-0000-000023A80000}"/>
    <cellStyle name="Normal 58 5 3 5 5 2" xfId="15538" xr:uid="{00000000-0005-0000-0000-000024A80000}"/>
    <cellStyle name="Normal 58 5 3 5 5 2 2" xfId="41093" xr:uid="{00000000-0005-0000-0000-000025A80000}"/>
    <cellStyle name="Normal 58 5 3 5 5 3" xfId="25789" xr:uid="{00000000-0005-0000-0000-000026A80000}"/>
    <cellStyle name="Normal 58 5 3 5 5 3 2" xfId="51342" xr:uid="{00000000-0005-0000-0000-000027A80000}"/>
    <cellStyle name="Normal 58 5 3 5 5 4" xfId="32272" xr:uid="{00000000-0005-0000-0000-000028A80000}"/>
    <cellStyle name="Normal 58 5 3 5 6" xfId="8157" xr:uid="{00000000-0005-0000-0000-000029A80000}"/>
    <cellStyle name="Normal 58 5 3 5 6 2" xfId="20547" xr:uid="{00000000-0005-0000-0000-00002AA80000}"/>
    <cellStyle name="Normal 58 5 3 5 6 2 2" xfId="46100" xr:uid="{00000000-0005-0000-0000-00002BA80000}"/>
    <cellStyle name="Normal 58 5 3 5 6 3" xfId="33714" xr:uid="{00000000-0005-0000-0000-00002CA80000}"/>
    <cellStyle name="Normal 58 5 3 5 7" xfId="16236" xr:uid="{00000000-0005-0000-0000-00002DA80000}"/>
    <cellStyle name="Normal 58 5 3 5 7 2" xfId="41789" xr:uid="{00000000-0005-0000-0000-00002EA80000}"/>
    <cellStyle name="Normal 58 5 3 5 8" xfId="27030" xr:uid="{00000000-0005-0000-0000-00002FA80000}"/>
    <cellStyle name="Normal 58 5 3 6" xfId="2765" xr:uid="{00000000-0005-0000-0000-000030A80000}"/>
    <cellStyle name="Normal 58 5 3 6 2" xfId="12082" xr:uid="{00000000-0005-0000-0000-000031A80000}"/>
    <cellStyle name="Normal 58 5 3 6 2 2" xfId="22126" xr:uid="{00000000-0005-0000-0000-000032A80000}"/>
    <cellStyle name="Normal 58 5 3 6 2 2 2" xfId="47679" xr:uid="{00000000-0005-0000-0000-000033A80000}"/>
    <cellStyle name="Normal 58 5 3 6 2 3" xfId="37637" xr:uid="{00000000-0005-0000-0000-000034A80000}"/>
    <cellStyle name="Normal 58 5 3 6 3" xfId="8536" xr:uid="{00000000-0005-0000-0000-000035A80000}"/>
    <cellStyle name="Normal 58 5 3 6 3 2" xfId="34093" xr:uid="{00000000-0005-0000-0000-000036A80000}"/>
    <cellStyle name="Normal 58 5 3 6 4" xfId="17119" xr:uid="{00000000-0005-0000-0000-000037A80000}"/>
    <cellStyle name="Normal 58 5 3 6 4 2" xfId="42672" xr:uid="{00000000-0005-0000-0000-000038A80000}"/>
    <cellStyle name="Normal 58 5 3 6 5" xfId="28609" xr:uid="{00000000-0005-0000-0000-000039A80000}"/>
    <cellStyle name="Normal 58 5 3 7" xfId="4212" xr:uid="{00000000-0005-0000-0000-00003AA80000}"/>
    <cellStyle name="Normal 58 5 3 7 2" xfId="13050" xr:uid="{00000000-0005-0000-0000-00003BA80000}"/>
    <cellStyle name="Normal 58 5 3 7 2 2" xfId="23301" xr:uid="{00000000-0005-0000-0000-00003CA80000}"/>
    <cellStyle name="Normal 58 5 3 7 2 2 2" xfId="48854" xr:uid="{00000000-0005-0000-0000-00003DA80000}"/>
    <cellStyle name="Normal 58 5 3 7 2 3" xfId="38605" xr:uid="{00000000-0005-0000-0000-00003EA80000}"/>
    <cellStyle name="Normal 58 5 3 7 3" xfId="9471" xr:uid="{00000000-0005-0000-0000-00003FA80000}"/>
    <cellStyle name="Normal 58 5 3 7 3 2" xfId="35028" xr:uid="{00000000-0005-0000-0000-000040A80000}"/>
    <cellStyle name="Normal 58 5 3 7 4" xfId="18294" xr:uid="{00000000-0005-0000-0000-000041A80000}"/>
    <cellStyle name="Normal 58 5 3 7 4 2" xfId="43847" xr:uid="{00000000-0005-0000-0000-000042A80000}"/>
    <cellStyle name="Normal 58 5 3 7 5" xfId="29784" xr:uid="{00000000-0005-0000-0000-000043A80000}"/>
    <cellStyle name="Normal 58 5 3 8" xfId="1484" xr:uid="{00000000-0005-0000-0000-000044A80000}"/>
    <cellStyle name="Normal 58 5 3 8 2" xfId="10861" xr:uid="{00000000-0005-0000-0000-000045A80000}"/>
    <cellStyle name="Normal 58 5 3 8 2 2" xfId="36416" xr:uid="{00000000-0005-0000-0000-000046A80000}"/>
    <cellStyle name="Normal 58 5 3 8 3" xfId="20865" xr:uid="{00000000-0005-0000-0000-000047A80000}"/>
    <cellStyle name="Normal 58 5 3 8 3 2" xfId="46418" xr:uid="{00000000-0005-0000-0000-000048A80000}"/>
    <cellStyle name="Normal 58 5 3 8 4" xfId="27348" xr:uid="{00000000-0005-0000-0000-000049A80000}"/>
    <cellStyle name="Normal 58 5 3 9" xfId="5668" xr:uid="{00000000-0005-0000-0000-00004AA80000}"/>
    <cellStyle name="Normal 58 5 3 9 2" xfId="14495" xr:uid="{00000000-0005-0000-0000-00004BA80000}"/>
    <cellStyle name="Normal 58 5 3 9 2 2" xfId="40050" xr:uid="{00000000-0005-0000-0000-00004CA80000}"/>
    <cellStyle name="Normal 58 5 3 9 3" xfId="24746" xr:uid="{00000000-0005-0000-0000-00004DA80000}"/>
    <cellStyle name="Normal 58 5 3 9 3 2" xfId="50299" xr:uid="{00000000-0005-0000-0000-00004EA80000}"/>
    <cellStyle name="Normal 58 5 3 9 4" xfId="31229" xr:uid="{00000000-0005-0000-0000-00004FA80000}"/>
    <cellStyle name="Normal 58 5 3_Degree data" xfId="4017" xr:uid="{00000000-0005-0000-0000-000050A80000}"/>
    <cellStyle name="Normal 58 5 4" xfId="492" xr:uid="{00000000-0005-0000-0000-000051A80000}"/>
    <cellStyle name="Normal 58 5 4 10" xfId="26421" xr:uid="{00000000-0005-0000-0000-000052A80000}"/>
    <cellStyle name="Normal 58 5 4 2" xfId="913" xr:uid="{00000000-0005-0000-0000-000053A80000}"/>
    <cellStyle name="Normal 58 5 4 2 2" xfId="3398" xr:uid="{00000000-0005-0000-0000-000054A80000}"/>
    <cellStyle name="Normal 58 5 4 2 2 2" xfId="12540" xr:uid="{00000000-0005-0000-0000-000055A80000}"/>
    <cellStyle name="Normal 58 5 4 2 2 2 2" xfId="22759" xr:uid="{00000000-0005-0000-0000-000056A80000}"/>
    <cellStyle name="Normal 58 5 4 2 2 2 2 2" xfId="48312" xr:uid="{00000000-0005-0000-0000-000057A80000}"/>
    <cellStyle name="Normal 58 5 4 2 2 2 3" xfId="38095" xr:uid="{00000000-0005-0000-0000-000058A80000}"/>
    <cellStyle name="Normal 58 5 4 2 2 3" xfId="8962" xr:uid="{00000000-0005-0000-0000-000059A80000}"/>
    <cellStyle name="Normal 58 5 4 2 2 3 2" xfId="34519" xr:uid="{00000000-0005-0000-0000-00005AA80000}"/>
    <cellStyle name="Normal 58 5 4 2 2 4" xfId="17752" xr:uid="{00000000-0005-0000-0000-00005BA80000}"/>
    <cellStyle name="Normal 58 5 4 2 2 4 2" xfId="43305" xr:uid="{00000000-0005-0000-0000-00005CA80000}"/>
    <cellStyle name="Normal 58 5 4 2 2 5" xfId="29242" xr:uid="{00000000-0005-0000-0000-00005DA80000}"/>
    <cellStyle name="Normal 58 5 4 2 3" xfId="4727" xr:uid="{00000000-0005-0000-0000-00005EA80000}"/>
    <cellStyle name="Normal 58 5 4 2 3 2" xfId="13565" xr:uid="{00000000-0005-0000-0000-00005FA80000}"/>
    <cellStyle name="Normal 58 5 4 2 3 2 2" xfId="23816" xr:uid="{00000000-0005-0000-0000-000060A80000}"/>
    <cellStyle name="Normal 58 5 4 2 3 2 2 2" xfId="49369" xr:uid="{00000000-0005-0000-0000-000061A80000}"/>
    <cellStyle name="Normal 58 5 4 2 3 2 3" xfId="39120" xr:uid="{00000000-0005-0000-0000-000062A80000}"/>
    <cellStyle name="Normal 58 5 4 2 3 3" xfId="9986" xr:uid="{00000000-0005-0000-0000-000063A80000}"/>
    <cellStyle name="Normal 58 5 4 2 3 3 2" xfId="35543" xr:uid="{00000000-0005-0000-0000-000064A80000}"/>
    <cellStyle name="Normal 58 5 4 2 3 4" xfId="18809" xr:uid="{00000000-0005-0000-0000-000065A80000}"/>
    <cellStyle name="Normal 58 5 4 2 3 4 2" xfId="44362" xr:uid="{00000000-0005-0000-0000-000066A80000}"/>
    <cellStyle name="Normal 58 5 4 2 3 5" xfId="30299" xr:uid="{00000000-0005-0000-0000-000067A80000}"/>
    <cellStyle name="Normal 58 5 4 2 4" xfId="2507" xr:uid="{00000000-0005-0000-0000-000068A80000}"/>
    <cellStyle name="Normal 58 5 4 2 4 2" xfId="11872" xr:uid="{00000000-0005-0000-0000-000069A80000}"/>
    <cellStyle name="Normal 58 5 4 2 4 2 2" xfId="37427" xr:uid="{00000000-0005-0000-0000-00006AA80000}"/>
    <cellStyle name="Normal 58 5 4 2 4 3" xfId="21876" xr:uid="{00000000-0005-0000-0000-00006BA80000}"/>
    <cellStyle name="Normal 58 5 4 2 4 3 2" xfId="47429" xr:uid="{00000000-0005-0000-0000-00006CA80000}"/>
    <cellStyle name="Normal 58 5 4 2 4 4" xfId="28359" xr:uid="{00000000-0005-0000-0000-00006DA80000}"/>
    <cellStyle name="Normal 58 5 4 2 5" xfId="6183" xr:uid="{00000000-0005-0000-0000-00006EA80000}"/>
    <cellStyle name="Normal 58 5 4 2 5 2" xfId="15010" xr:uid="{00000000-0005-0000-0000-00006FA80000}"/>
    <cellStyle name="Normal 58 5 4 2 5 2 2" xfId="40565" xr:uid="{00000000-0005-0000-0000-000070A80000}"/>
    <cellStyle name="Normal 58 5 4 2 5 3" xfId="25261" xr:uid="{00000000-0005-0000-0000-000071A80000}"/>
    <cellStyle name="Normal 58 5 4 2 5 3 2" xfId="50814" xr:uid="{00000000-0005-0000-0000-000072A80000}"/>
    <cellStyle name="Normal 58 5 4 2 5 4" xfId="31744" xr:uid="{00000000-0005-0000-0000-000073A80000}"/>
    <cellStyle name="Normal 58 5 4 2 6" xfId="7628" xr:uid="{00000000-0005-0000-0000-000074A80000}"/>
    <cellStyle name="Normal 58 5 4 2 6 2" xfId="20358" xr:uid="{00000000-0005-0000-0000-000075A80000}"/>
    <cellStyle name="Normal 58 5 4 2 6 2 2" xfId="45911" xr:uid="{00000000-0005-0000-0000-000076A80000}"/>
    <cellStyle name="Normal 58 5 4 2 6 3" xfId="33185" xr:uid="{00000000-0005-0000-0000-000077A80000}"/>
    <cellStyle name="Normal 58 5 4 2 7" xfId="16869" xr:uid="{00000000-0005-0000-0000-000078A80000}"/>
    <cellStyle name="Normal 58 5 4 2 7 2" xfId="42422" xr:uid="{00000000-0005-0000-0000-000079A80000}"/>
    <cellStyle name="Normal 58 5 4 2 8" xfId="26841" xr:uid="{00000000-0005-0000-0000-00007AA80000}"/>
    <cellStyle name="Normal 58 5 4 3" xfId="1264" xr:uid="{00000000-0005-0000-0000-00007BA80000}"/>
    <cellStyle name="Normal 58 5 4 3 2" xfId="3693" xr:uid="{00000000-0005-0000-0000-00007CA80000}"/>
    <cellStyle name="Normal 58 5 4 3 2 2" xfId="12829" xr:uid="{00000000-0005-0000-0000-00007DA80000}"/>
    <cellStyle name="Normal 58 5 4 3 2 2 2" xfId="23048" xr:uid="{00000000-0005-0000-0000-00007EA80000}"/>
    <cellStyle name="Normal 58 5 4 3 2 2 2 2" xfId="48601" xr:uid="{00000000-0005-0000-0000-00007FA80000}"/>
    <cellStyle name="Normal 58 5 4 3 2 2 3" xfId="38384" xr:uid="{00000000-0005-0000-0000-000080A80000}"/>
    <cellStyle name="Normal 58 5 4 3 2 3" xfId="9250" xr:uid="{00000000-0005-0000-0000-000081A80000}"/>
    <cellStyle name="Normal 58 5 4 3 2 3 2" xfId="34807" xr:uid="{00000000-0005-0000-0000-000082A80000}"/>
    <cellStyle name="Normal 58 5 4 3 2 4" xfId="18041" xr:uid="{00000000-0005-0000-0000-000083A80000}"/>
    <cellStyle name="Normal 58 5 4 3 2 4 2" xfId="43594" xr:uid="{00000000-0005-0000-0000-000084A80000}"/>
    <cellStyle name="Normal 58 5 4 3 2 5" xfId="29531" xr:uid="{00000000-0005-0000-0000-000085A80000}"/>
    <cellStyle name="Normal 58 5 4 3 3" xfId="5076" xr:uid="{00000000-0005-0000-0000-000086A80000}"/>
    <cellStyle name="Normal 58 5 4 3 3 2" xfId="13913" xr:uid="{00000000-0005-0000-0000-000087A80000}"/>
    <cellStyle name="Normal 58 5 4 3 3 2 2" xfId="24164" xr:uid="{00000000-0005-0000-0000-000088A80000}"/>
    <cellStyle name="Normal 58 5 4 3 3 2 2 2" xfId="49717" xr:uid="{00000000-0005-0000-0000-000089A80000}"/>
    <cellStyle name="Normal 58 5 4 3 3 2 3" xfId="39468" xr:uid="{00000000-0005-0000-0000-00008AA80000}"/>
    <cellStyle name="Normal 58 5 4 3 3 3" xfId="10334" xr:uid="{00000000-0005-0000-0000-00008BA80000}"/>
    <cellStyle name="Normal 58 5 4 3 3 3 2" xfId="35891" xr:uid="{00000000-0005-0000-0000-00008CA80000}"/>
    <cellStyle name="Normal 58 5 4 3 3 4" xfId="19157" xr:uid="{00000000-0005-0000-0000-00008DA80000}"/>
    <cellStyle name="Normal 58 5 4 3 3 4 2" xfId="44710" xr:uid="{00000000-0005-0000-0000-00008EA80000}"/>
    <cellStyle name="Normal 58 5 4 3 3 5" xfId="30647" xr:uid="{00000000-0005-0000-0000-00008FA80000}"/>
    <cellStyle name="Normal 58 5 4 3 4" xfId="2087" xr:uid="{00000000-0005-0000-0000-000090A80000}"/>
    <cellStyle name="Normal 58 5 4 3 4 2" xfId="11452" xr:uid="{00000000-0005-0000-0000-000091A80000}"/>
    <cellStyle name="Normal 58 5 4 3 4 2 2" xfId="37007" xr:uid="{00000000-0005-0000-0000-000092A80000}"/>
    <cellStyle name="Normal 58 5 4 3 4 3" xfId="21456" xr:uid="{00000000-0005-0000-0000-000093A80000}"/>
    <cellStyle name="Normal 58 5 4 3 4 3 2" xfId="47009" xr:uid="{00000000-0005-0000-0000-000094A80000}"/>
    <cellStyle name="Normal 58 5 4 3 4 4" xfId="27939" xr:uid="{00000000-0005-0000-0000-000095A80000}"/>
    <cellStyle name="Normal 58 5 4 3 5" xfId="6531" xr:uid="{00000000-0005-0000-0000-000096A80000}"/>
    <cellStyle name="Normal 58 5 4 3 5 2" xfId="15358" xr:uid="{00000000-0005-0000-0000-000097A80000}"/>
    <cellStyle name="Normal 58 5 4 3 5 2 2" xfId="40913" xr:uid="{00000000-0005-0000-0000-000098A80000}"/>
    <cellStyle name="Normal 58 5 4 3 5 3" xfId="25609" xr:uid="{00000000-0005-0000-0000-000099A80000}"/>
    <cellStyle name="Normal 58 5 4 3 5 3 2" xfId="51162" xr:uid="{00000000-0005-0000-0000-00009AA80000}"/>
    <cellStyle name="Normal 58 5 4 3 5 4" xfId="32092" xr:uid="{00000000-0005-0000-0000-00009BA80000}"/>
    <cellStyle name="Normal 58 5 4 3 6" xfId="7977" xr:uid="{00000000-0005-0000-0000-00009CA80000}"/>
    <cellStyle name="Normal 58 5 4 3 6 2" xfId="20647" xr:uid="{00000000-0005-0000-0000-00009DA80000}"/>
    <cellStyle name="Normal 58 5 4 3 6 2 2" xfId="46200" xr:uid="{00000000-0005-0000-0000-00009EA80000}"/>
    <cellStyle name="Normal 58 5 4 3 6 3" xfId="33534" xr:uid="{00000000-0005-0000-0000-00009FA80000}"/>
    <cellStyle name="Normal 58 5 4 3 7" xfId="16449" xr:uid="{00000000-0005-0000-0000-0000A0A80000}"/>
    <cellStyle name="Normal 58 5 4 3 7 2" xfId="42002" xr:uid="{00000000-0005-0000-0000-0000A1A80000}"/>
    <cellStyle name="Normal 58 5 4 3 8" xfId="27130" xr:uid="{00000000-0005-0000-0000-0000A2A80000}"/>
    <cellStyle name="Normal 58 5 4 4" xfId="2978" xr:uid="{00000000-0005-0000-0000-0000A3A80000}"/>
    <cellStyle name="Normal 58 5 4 4 2" xfId="5356" xr:uid="{00000000-0005-0000-0000-0000A4A80000}"/>
    <cellStyle name="Normal 58 5 4 4 2 2" xfId="14193" xr:uid="{00000000-0005-0000-0000-0000A5A80000}"/>
    <cellStyle name="Normal 58 5 4 4 2 2 2" xfId="24444" xr:uid="{00000000-0005-0000-0000-0000A6A80000}"/>
    <cellStyle name="Normal 58 5 4 4 2 2 2 2" xfId="49997" xr:uid="{00000000-0005-0000-0000-0000A7A80000}"/>
    <cellStyle name="Normal 58 5 4 4 2 2 3" xfId="39748" xr:uid="{00000000-0005-0000-0000-0000A8A80000}"/>
    <cellStyle name="Normal 58 5 4 4 2 3" xfId="10614" xr:uid="{00000000-0005-0000-0000-0000A9A80000}"/>
    <cellStyle name="Normal 58 5 4 4 2 3 2" xfId="36171" xr:uid="{00000000-0005-0000-0000-0000AAA80000}"/>
    <cellStyle name="Normal 58 5 4 4 2 4" xfId="19437" xr:uid="{00000000-0005-0000-0000-0000ABA80000}"/>
    <cellStyle name="Normal 58 5 4 4 2 4 2" xfId="44990" xr:uid="{00000000-0005-0000-0000-0000ACA80000}"/>
    <cellStyle name="Normal 58 5 4 4 2 5" xfId="30927" xr:uid="{00000000-0005-0000-0000-0000ADA80000}"/>
    <cellStyle name="Normal 58 5 4 4 3" xfId="6811" xr:uid="{00000000-0005-0000-0000-0000AEA80000}"/>
    <cellStyle name="Normal 58 5 4 4 3 2" xfId="15638" xr:uid="{00000000-0005-0000-0000-0000AFA80000}"/>
    <cellStyle name="Normal 58 5 4 4 3 2 2" xfId="41193" xr:uid="{00000000-0005-0000-0000-0000B0A80000}"/>
    <cellStyle name="Normal 58 5 4 4 3 3" xfId="25889" xr:uid="{00000000-0005-0000-0000-0000B1A80000}"/>
    <cellStyle name="Normal 58 5 4 4 3 3 2" xfId="51442" xr:uid="{00000000-0005-0000-0000-0000B2A80000}"/>
    <cellStyle name="Normal 58 5 4 4 3 4" xfId="32372" xr:uid="{00000000-0005-0000-0000-0000B3A80000}"/>
    <cellStyle name="Normal 58 5 4 4 4" xfId="8257" xr:uid="{00000000-0005-0000-0000-0000B4A80000}"/>
    <cellStyle name="Normal 58 5 4 4 4 2" xfId="22339" xr:uid="{00000000-0005-0000-0000-0000B5A80000}"/>
    <cellStyle name="Normal 58 5 4 4 4 2 2" xfId="47892" xr:uid="{00000000-0005-0000-0000-0000B6A80000}"/>
    <cellStyle name="Normal 58 5 4 4 4 3" xfId="33814" xr:uid="{00000000-0005-0000-0000-0000B7A80000}"/>
    <cellStyle name="Normal 58 5 4 4 5" xfId="17332" xr:uid="{00000000-0005-0000-0000-0000B8A80000}"/>
    <cellStyle name="Normal 58 5 4 4 5 2" xfId="42885" xr:uid="{00000000-0005-0000-0000-0000B9A80000}"/>
    <cellStyle name="Normal 58 5 4 4 6" xfId="28822" xr:uid="{00000000-0005-0000-0000-0000BAA80000}"/>
    <cellStyle name="Normal 58 5 4 5" xfId="4312" xr:uid="{00000000-0005-0000-0000-0000BBA80000}"/>
    <cellStyle name="Normal 58 5 4 5 2" xfId="13150" xr:uid="{00000000-0005-0000-0000-0000BCA80000}"/>
    <cellStyle name="Normal 58 5 4 5 2 2" xfId="23401" xr:uid="{00000000-0005-0000-0000-0000BDA80000}"/>
    <cellStyle name="Normal 58 5 4 5 2 2 2" xfId="48954" xr:uid="{00000000-0005-0000-0000-0000BEA80000}"/>
    <cellStyle name="Normal 58 5 4 5 2 3" xfId="38705" xr:uid="{00000000-0005-0000-0000-0000BFA80000}"/>
    <cellStyle name="Normal 58 5 4 5 3" xfId="9571" xr:uid="{00000000-0005-0000-0000-0000C0A80000}"/>
    <cellStyle name="Normal 58 5 4 5 3 2" xfId="35128" xr:uid="{00000000-0005-0000-0000-0000C1A80000}"/>
    <cellStyle name="Normal 58 5 4 5 4" xfId="18394" xr:uid="{00000000-0005-0000-0000-0000C2A80000}"/>
    <cellStyle name="Normal 58 5 4 5 4 2" xfId="43947" xr:uid="{00000000-0005-0000-0000-0000C3A80000}"/>
    <cellStyle name="Normal 58 5 4 5 5" xfId="29884" xr:uid="{00000000-0005-0000-0000-0000C4A80000}"/>
    <cellStyle name="Normal 58 5 4 6" xfId="1584" xr:uid="{00000000-0005-0000-0000-0000C5A80000}"/>
    <cellStyle name="Normal 58 5 4 6 2" xfId="10961" xr:uid="{00000000-0005-0000-0000-0000C6A80000}"/>
    <cellStyle name="Normal 58 5 4 6 2 2" xfId="36516" xr:uid="{00000000-0005-0000-0000-0000C7A80000}"/>
    <cellStyle name="Normal 58 5 4 6 3" xfId="20965" xr:uid="{00000000-0005-0000-0000-0000C8A80000}"/>
    <cellStyle name="Normal 58 5 4 6 3 2" xfId="46518" xr:uid="{00000000-0005-0000-0000-0000C9A80000}"/>
    <cellStyle name="Normal 58 5 4 6 4" xfId="27448" xr:uid="{00000000-0005-0000-0000-0000CAA80000}"/>
    <cellStyle name="Normal 58 5 4 7" xfId="5768" xr:uid="{00000000-0005-0000-0000-0000CBA80000}"/>
    <cellStyle name="Normal 58 5 4 7 2" xfId="14595" xr:uid="{00000000-0005-0000-0000-0000CCA80000}"/>
    <cellStyle name="Normal 58 5 4 7 2 2" xfId="40150" xr:uid="{00000000-0005-0000-0000-0000CDA80000}"/>
    <cellStyle name="Normal 58 5 4 7 3" xfId="24846" xr:uid="{00000000-0005-0000-0000-0000CEA80000}"/>
    <cellStyle name="Normal 58 5 4 7 3 2" xfId="50399" xr:uid="{00000000-0005-0000-0000-0000CFA80000}"/>
    <cellStyle name="Normal 58 5 4 7 4" xfId="31329" xr:uid="{00000000-0005-0000-0000-0000D0A80000}"/>
    <cellStyle name="Normal 58 5 4 8" xfId="7212" xr:uid="{00000000-0005-0000-0000-0000D1A80000}"/>
    <cellStyle name="Normal 58 5 4 8 2" xfId="19938" xr:uid="{00000000-0005-0000-0000-0000D2A80000}"/>
    <cellStyle name="Normal 58 5 4 8 2 2" xfId="45491" xr:uid="{00000000-0005-0000-0000-0000D3A80000}"/>
    <cellStyle name="Normal 58 5 4 8 3" xfId="32769" xr:uid="{00000000-0005-0000-0000-0000D4A80000}"/>
    <cellStyle name="Normal 58 5 4 9" xfId="15958" xr:uid="{00000000-0005-0000-0000-0000D5A80000}"/>
    <cellStyle name="Normal 58 5 4 9 2" xfId="41511" xr:uid="{00000000-0005-0000-0000-0000D6A80000}"/>
    <cellStyle name="Normal 58 5 4_Degree data" xfId="4019" xr:uid="{00000000-0005-0000-0000-0000D7A80000}"/>
    <cellStyle name="Normal 58 5 5" xfId="335" xr:uid="{00000000-0005-0000-0000-0000D8A80000}"/>
    <cellStyle name="Normal 58 5 5 10" xfId="26264" xr:uid="{00000000-0005-0000-0000-0000D9A80000}"/>
    <cellStyle name="Normal 58 5 5 2" xfId="914" xr:uid="{00000000-0005-0000-0000-0000DAA80000}"/>
    <cellStyle name="Normal 58 5 5 2 2" xfId="3399" xr:uid="{00000000-0005-0000-0000-0000DBA80000}"/>
    <cellStyle name="Normal 58 5 5 2 2 2" xfId="12541" xr:uid="{00000000-0005-0000-0000-0000DCA80000}"/>
    <cellStyle name="Normal 58 5 5 2 2 2 2" xfId="22760" xr:uid="{00000000-0005-0000-0000-0000DDA80000}"/>
    <cellStyle name="Normal 58 5 5 2 2 2 2 2" xfId="48313" xr:uid="{00000000-0005-0000-0000-0000DEA80000}"/>
    <cellStyle name="Normal 58 5 5 2 2 2 3" xfId="38096" xr:uid="{00000000-0005-0000-0000-0000DFA80000}"/>
    <cellStyle name="Normal 58 5 5 2 2 3" xfId="8963" xr:uid="{00000000-0005-0000-0000-0000E0A80000}"/>
    <cellStyle name="Normal 58 5 5 2 2 3 2" xfId="34520" xr:uid="{00000000-0005-0000-0000-0000E1A80000}"/>
    <cellStyle name="Normal 58 5 5 2 2 4" xfId="17753" xr:uid="{00000000-0005-0000-0000-0000E2A80000}"/>
    <cellStyle name="Normal 58 5 5 2 2 4 2" xfId="43306" xr:uid="{00000000-0005-0000-0000-0000E3A80000}"/>
    <cellStyle name="Normal 58 5 5 2 2 5" xfId="29243" xr:uid="{00000000-0005-0000-0000-0000E4A80000}"/>
    <cellStyle name="Normal 58 5 5 2 3" xfId="4728" xr:uid="{00000000-0005-0000-0000-0000E5A80000}"/>
    <cellStyle name="Normal 58 5 5 2 3 2" xfId="13566" xr:uid="{00000000-0005-0000-0000-0000E6A80000}"/>
    <cellStyle name="Normal 58 5 5 2 3 2 2" xfId="23817" xr:uid="{00000000-0005-0000-0000-0000E7A80000}"/>
    <cellStyle name="Normal 58 5 5 2 3 2 2 2" xfId="49370" xr:uid="{00000000-0005-0000-0000-0000E8A80000}"/>
    <cellStyle name="Normal 58 5 5 2 3 2 3" xfId="39121" xr:uid="{00000000-0005-0000-0000-0000E9A80000}"/>
    <cellStyle name="Normal 58 5 5 2 3 3" xfId="9987" xr:uid="{00000000-0005-0000-0000-0000EAA80000}"/>
    <cellStyle name="Normal 58 5 5 2 3 3 2" xfId="35544" xr:uid="{00000000-0005-0000-0000-0000EBA80000}"/>
    <cellStyle name="Normal 58 5 5 2 3 4" xfId="18810" xr:uid="{00000000-0005-0000-0000-0000ECA80000}"/>
    <cellStyle name="Normal 58 5 5 2 3 4 2" xfId="44363" xr:uid="{00000000-0005-0000-0000-0000EDA80000}"/>
    <cellStyle name="Normal 58 5 5 2 3 5" xfId="30300" xr:uid="{00000000-0005-0000-0000-0000EEA80000}"/>
    <cellStyle name="Normal 58 5 5 2 4" xfId="2508" xr:uid="{00000000-0005-0000-0000-0000EFA80000}"/>
    <cellStyle name="Normal 58 5 5 2 4 2" xfId="11873" xr:uid="{00000000-0005-0000-0000-0000F0A80000}"/>
    <cellStyle name="Normal 58 5 5 2 4 2 2" xfId="37428" xr:uid="{00000000-0005-0000-0000-0000F1A80000}"/>
    <cellStyle name="Normal 58 5 5 2 4 3" xfId="21877" xr:uid="{00000000-0005-0000-0000-0000F2A80000}"/>
    <cellStyle name="Normal 58 5 5 2 4 3 2" xfId="47430" xr:uid="{00000000-0005-0000-0000-0000F3A80000}"/>
    <cellStyle name="Normal 58 5 5 2 4 4" xfId="28360" xr:uid="{00000000-0005-0000-0000-0000F4A80000}"/>
    <cellStyle name="Normal 58 5 5 2 5" xfId="6184" xr:uid="{00000000-0005-0000-0000-0000F5A80000}"/>
    <cellStyle name="Normal 58 5 5 2 5 2" xfId="15011" xr:uid="{00000000-0005-0000-0000-0000F6A80000}"/>
    <cellStyle name="Normal 58 5 5 2 5 2 2" xfId="40566" xr:uid="{00000000-0005-0000-0000-0000F7A80000}"/>
    <cellStyle name="Normal 58 5 5 2 5 3" xfId="25262" xr:uid="{00000000-0005-0000-0000-0000F8A80000}"/>
    <cellStyle name="Normal 58 5 5 2 5 3 2" xfId="50815" xr:uid="{00000000-0005-0000-0000-0000F9A80000}"/>
    <cellStyle name="Normal 58 5 5 2 5 4" xfId="31745" xr:uid="{00000000-0005-0000-0000-0000FAA80000}"/>
    <cellStyle name="Normal 58 5 5 2 6" xfId="7629" xr:uid="{00000000-0005-0000-0000-0000FBA80000}"/>
    <cellStyle name="Normal 58 5 5 2 6 2" xfId="20359" xr:uid="{00000000-0005-0000-0000-0000FCA80000}"/>
    <cellStyle name="Normal 58 5 5 2 6 2 2" xfId="45912" xr:uid="{00000000-0005-0000-0000-0000FDA80000}"/>
    <cellStyle name="Normal 58 5 5 2 6 3" xfId="33186" xr:uid="{00000000-0005-0000-0000-0000FEA80000}"/>
    <cellStyle name="Normal 58 5 5 2 7" xfId="16870" xr:uid="{00000000-0005-0000-0000-0000FFA80000}"/>
    <cellStyle name="Normal 58 5 5 2 7 2" xfId="42423" xr:uid="{00000000-0005-0000-0000-000000A90000}"/>
    <cellStyle name="Normal 58 5 5 2 8" xfId="26842" xr:uid="{00000000-0005-0000-0000-000001A90000}"/>
    <cellStyle name="Normal 58 5 5 3" xfId="1107" xr:uid="{00000000-0005-0000-0000-000002A90000}"/>
    <cellStyle name="Normal 58 5 5 3 2" xfId="3536" xr:uid="{00000000-0005-0000-0000-000003A90000}"/>
    <cellStyle name="Normal 58 5 5 3 2 2" xfId="12672" xr:uid="{00000000-0005-0000-0000-000004A90000}"/>
    <cellStyle name="Normal 58 5 5 3 2 2 2" xfId="22891" xr:uid="{00000000-0005-0000-0000-000005A90000}"/>
    <cellStyle name="Normal 58 5 5 3 2 2 2 2" xfId="48444" xr:uid="{00000000-0005-0000-0000-000006A90000}"/>
    <cellStyle name="Normal 58 5 5 3 2 2 3" xfId="38227" xr:uid="{00000000-0005-0000-0000-000007A90000}"/>
    <cellStyle name="Normal 58 5 5 3 2 3" xfId="9093" xr:uid="{00000000-0005-0000-0000-000008A90000}"/>
    <cellStyle name="Normal 58 5 5 3 2 3 2" xfId="34650" xr:uid="{00000000-0005-0000-0000-000009A90000}"/>
    <cellStyle name="Normal 58 5 5 3 2 4" xfId="17884" xr:uid="{00000000-0005-0000-0000-00000AA90000}"/>
    <cellStyle name="Normal 58 5 5 3 2 4 2" xfId="43437" xr:uid="{00000000-0005-0000-0000-00000BA90000}"/>
    <cellStyle name="Normal 58 5 5 3 2 5" xfId="29374" xr:uid="{00000000-0005-0000-0000-00000CA90000}"/>
    <cellStyle name="Normal 58 5 5 3 3" xfId="5077" xr:uid="{00000000-0005-0000-0000-00000DA90000}"/>
    <cellStyle name="Normal 58 5 5 3 3 2" xfId="13914" xr:uid="{00000000-0005-0000-0000-00000EA90000}"/>
    <cellStyle name="Normal 58 5 5 3 3 2 2" xfId="24165" xr:uid="{00000000-0005-0000-0000-00000FA90000}"/>
    <cellStyle name="Normal 58 5 5 3 3 2 2 2" xfId="49718" xr:uid="{00000000-0005-0000-0000-000010A90000}"/>
    <cellStyle name="Normal 58 5 5 3 3 2 3" xfId="39469" xr:uid="{00000000-0005-0000-0000-000011A90000}"/>
    <cellStyle name="Normal 58 5 5 3 3 3" xfId="10335" xr:uid="{00000000-0005-0000-0000-000012A90000}"/>
    <cellStyle name="Normal 58 5 5 3 3 3 2" xfId="35892" xr:uid="{00000000-0005-0000-0000-000013A90000}"/>
    <cellStyle name="Normal 58 5 5 3 3 4" xfId="19158" xr:uid="{00000000-0005-0000-0000-000014A90000}"/>
    <cellStyle name="Normal 58 5 5 3 3 4 2" xfId="44711" xr:uid="{00000000-0005-0000-0000-000015A90000}"/>
    <cellStyle name="Normal 58 5 5 3 3 5" xfId="30648" xr:uid="{00000000-0005-0000-0000-000016A90000}"/>
    <cellStyle name="Normal 58 5 5 3 4" xfId="2597" xr:uid="{00000000-0005-0000-0000-000017A90000}"/>
    <cellStyle name="Normal 58 5 5 3 4 2" xfId="11961" xr:uid="{00000000-0005-0000-0000-000018A90000}"/>
    <cellStyle name="Normal 58 5 5 3 4 2 2" xfId="37516" xr:uid="{00000000-0005-0000-0000-000019A90000}"/>
    <cellStyle name="Normal 58 5 5 3 4 3" xfId="21965" xr:uid="{00000000-0005-0000-0000-00001AA90000}"/>
    <cellStyle name="Normal 58 5 5 3 4 3 2" xfId="47518" xr:uid="{00000000-0005-0000-0000-00001BA90000}"/>
    <cellStyle name="Normal 58 5 5 3 4 4" xfId="28448" xr:uid="{00000000-0005-0000-0000-00001CA90000}"/>
    <cellStyle name="Normal 58 5 5 3 5" xfId="6532" xr:uid="{00000000-0005-0000-0000-00001DA90000}"/>
    <cellStyle name="Normal 58 5 5 3 5 2" xfId="15359" xr:uid="{00000000-0005-0000-0000-00001EA90000}"/>
    <cellStyle name="Normal 58 5 5 3 5 2 2" xfId="40914" xr:uid="{00000000-0005-0000-0000-00001FA90000}"/>
    <cellStyle name="Normal 58 5 5 3 5 3" xfId="25610" xr:uid="{00000000-0005-0000-0000-000020A90000}"/>
    <cellStyle name="Normal 58 5 5 3 5 3 2" xfId="51163" xr:uid="{00000000-0005-0000-0000-000021A90000}"/>
    <cellStyle name="Normal 58 5 5 3 5 4" xfId="32093" xr:uid="{00000000-0005-0000-0000-000022A90000}"/>
    <cellStyle name="Normal 58 5 5 3 6" xfId="7978" xr:uid="{00000000-0005-0000-0000-000023A90000}"/>
    <cellStyle name="Normal 58 5 5 3 6 2" xfId="20490" xr:uid="{00000000-0005-0000-0000-000024A90000}"/>
    <cellStyle name="Normal 58 5 5 3 6 2 2" xfId="46043" xr:uid="{00000000-0005-0000-0000-000025A90000}"/>
    <cellStyle name="Normal 58 5 5 3 6 3" xfId="33535" xr:uid="{00000000-0005-0000-0000-000026A90000}"/>
    <cellStyle name="Normal 58 5 5 3 7" xfId="16958" xr:uid="{00000000-0005-0000-0000-000027A90000}"/>
    <cellStyle name="Normal 58 5 5 3 7 2" xfId="42511" xr:uid="{00000000-0005-0000-0000-000028A90000}"/>
    <cellStyle name="Normal 58 5 5 3 8" xfId="26973" xr:uid="{00000000-0005-0000-0000-000029A90000}"/>
    <cellStyle name="Normal 58 5 5 4" xfId="2821" xr:uid="{00000000-0005-0000-0000-00002AA90000}"/>
    <cellStyle name="Normal 58 5 5 4 2" xfId="5199" xr:uid="{00000000-0005-0000-0000-00002BA90000}"/>
    <cellStyle name="Normal 58 5 5 4 2 2" xfId="14036" xr:uid="{00000000-0005-0000-0000-00002CA90000}"/>
    <cellStyle name="Normal 58 5 5 4 2 2 2" xfId="24287" xr:uid="{00000000-0005-0000-0000-00002DA90000}"/>
    <cellStyle name="Normal 58 5 5 4 2 2 2 2" xfId="49840" xr:uid="{00000000-0005-0000-0000-00002EA90000}"/>
    <cellStyle name="Normal 58 5 5 4 2 2 3" xfId="39591" xr:uid="{00000000-0005-0000-0000-00002FA90000}"/>
    <cellStyle name="Normal 58 5 5 4 2 3" xfId="10457" xr:uid="{00000000-0005-0000-0000-000030A90000}"/>
    <cellStyle name="Normal 58 5 5 4 2 3 2" xfId="36014" xr:uid="{00000000-0005-0000-0000-000031A90000}"/>
    <cellStyle name="Normal 58 5 5 4 2 4" xfId="19280" xr:uid="{00000000-0005-0000-0000-000032A90000}"/>
    <cellStyle name="Normal 58 5 5 4 2 4 2" xfId="44833" xr:uid="{00000000-0005-0000-0000-000033A90000}"/>
    <cellStyle name="Normal 58 5 5 4 2 5" xfId="30770" xr:uid="{00000000-0005-0000-0000-000034A90000}"/>
    <cellStyle name="Normal 58 5 5 4 3" xfId="6654" xr:uid="{00000000-0005-0000-0000-000035A90000}"/>
    <cellStyle name="Normal 58 5 5 4 3 2" xfId="15481" xr:uid="{00000000-0005-0000-0000-000036A90000}"/>
    <cellStyle name="Normal 58 5 5 4 3 2 2" xfId="41036" xr:uid="{00000000-0005-0000-0000-000037A90000}"/>
    <cellStyle name="Normal 58 5 5 4 3 3" xfId="25732" xr:uid="{00000000-0005-0000-0000-000038A90000}"/>
    <cellStyle name="Normal 58 5 5 4 3 3 2" xfId="51285" xr:uid="{00000000-0005-0000-0000-000039A90000}"/>
    <cellStyle name="Normal 58 5 5 4 3 4" xfId="32215" xr:uid="{00000000-0005-0000-0000-00003AA90000}"/>
    <cellStyle name="Normal 58 5 5 4 4" xfId="8100" xr:uid="{00000000-0005-0000-0000-00003BA90000}"/>
    <cellStyle name="Normal 58 5 5 4 4 2" xfId="22182" xr:uid="{00000000-0005-0000-0000-00003CA90000}"/>
    <cellStyle name="Normal 58 5 5 4 4 2 2" xfId="47735" xr:uid="{00000000-0005-0000-0000-00003DA90000}"/>
    <cellStyle name="Normal 58 5 5 4 4 3" xfId="33657" xr:uid="{00000000-0005-0000-0000-00003EA90000}"/>
    <cellStyle name="Normal 58 5 5 4 5" xfId="17175" xr:uid="{00000000-0005-0000-0000-00003FA90000}"/>
    <cellStyle name="Normal 58 5 5 4 5 2" xfId="42728" xr:uid="{00000000-0005-0000-0000-000040A90000}"/>
    <cellStyle name="Normal 58 5 5 4 6" xfId="28665" xr:uid="{00000000-0005-0000-0000-000041A90000}"/>
    <cellStyle name="Normal 58 5 5 5" xfId="4153" xr:uid="{00000000-0005-0000-0000-000042A90000}"/>
    <cellStyle name="Normal 58 5 5 5 2" xfId="12991" xr:uid="{00000000-0005-0000-0000-000043A90000}"/>
    <cellStyle name="Normal 58 5 5 5 2 2" xfId="23242" xr:uid="{00000000-0005-0000-0000-000044A90000}"/>
    <cellStyle name="Normal 58 5 5 5 2 2 2" xfId="48795" xr:uid="{00000000-0005-0000-0000-000045A90000}"/>
    <cellStyle name="Normal 58 5 5 5 2 3" xfId="38546" xr:uid="{00000000-0005-0000-0000-000046A90000}"/>
    <cellStyle name="Normal 58 5 5 5 3" xfId="9412" xr:uid="{00000000-0005-0000-0000-000047A90000}"/>
    <cellStyle name="Normal 58 5 5 5 3 2" xfId="34969" xr:uid="{00000000-0005-0000-0000-000048A90000}"/>
    <cellStyle name="Normal 58 5 5 5 4" xfId="18235" xr:uid="{00000000-0005-0000-0000-000049A90000}"/>
    <cellStyle name="Normal 58 5 5 5 4 2" xfId="43788" xr:uid="{00000000-0005-0000-0000-00004AA90000}"/>
    <cellStyle name="Normal 58 5 5 5 5" xfId="29725" xr:uid="{00000000-0005-0000-0000-00004BA90000}"/>
    <cellStyle name="Normal 58 5 5 6" xfId="1930" xr:uid="{00000000-0005-0000-0000-00004CA90000}"/>
    <cellStyle name="Normal 58 5 5 6 2" xfId="11295" xr:uid="{00000000-0005-0000-0000-00004DA90000}"/>
    <cellStyle name="Normal 58 5 5 6 2 2" xfId="36850" xr:uid="{00000000-0005-0000-0000-00004EA90000}"/>
    <cellStyle name="Normal 58 5 5 6 3" xfId="21299" xr:uid="{00000000-0005-0000-0000-00004FA90000}"/>
    <cellStyle name="Normal 58 5 5 6 3 2" xfId="46852" xr:uid="{00000000-0005-0000-0000-000050A90000}"/>
    <cellStyle name="Normal 58 5 5 6 4" xfId="27782" xr:uid="{00000000-0005-0000-0000-000051A90000}"/>
    <cellStyle name="Normal 58 5 5 7" xfId="5611" xr:uid="{00000000-0005-0000-0000-000052A90000}"/>
    <cellStyle name="Normal 58 5 5 7 2" xfId="14438" xr:uid="{00000000-0005-0000-0000-000053A90000}"/>
    <cellStyle name="Normal 58 5 5 7 2 2" xfId="39993" xr:uid="{00000000-0005-0000-0000-000054A90000}"/>
    <cellStyle name="Normal 58 5 5 7 3" xfId="24689" xr:uid="{00000000-0005-0000-0000-000055A90000}"/>
    <cellStyle name="Normal 58 5 5 7 3 2" xfId="50242" xr:uid="{00000000-0005-0000-0000-000056A90000}"/>
    <cellStyle name="Normal 58 5 5 7 4" xfId="31172" xr:uid="{00000000-0005-0000-0000-000057A90000}"/>
    <cellStyle name="Normal 58 5 5 8" xfId="7055" xr:uid="{00000000-0005-0000-0000-000058A90000}"/>
    <cellStyle name="Normal 58 5 5 8 2" xfId="19781" xr:uid="{00000000-0005-0000-0000-000059A90000}"/>
    <cellStyle name="Normal 58 5 5 8 2 2" xfId="45334" xr:uid="{00000000-0005-0000-0000-00005AA90000}"/>
    <cellStyle name="Normal 58 5 5 8 3" xfId="32612" xr:uid="{00000000-0005-0000-0000-00005BA90000}"/>
    <cellStyle name="Normal 58 5 5 9" xfId="16292" xr:uid="{00000000-0005-0000-0000-00005CA90000}"/>
    <cellStyle name="Normal 58 5 5 9 2" xfId="41845" xr:uid="{00000000-0005-0000-0000-00005DA90000}"/>
    <cellStyle name="Normal 58 5 5_Degree data" xfId="4020" xr:uid="{00000000-0005-0000-0000-00005EA90000}"/>
    <cellStyle name="Normal 58 5 6" xfId="908" xr:uid="{00000000-0005-0000-0000-00005FA90000}"/>
    <cellStyle name="Normal 58 5 6 2" xfId="3393" xr:uid="{00000000-0005-0000-0000-000060A90000}"/>
    <cellStyle name="Normal 58 5 6 2 2" xfId="12535" xr:uid="{00000000-0005-0000-0000-000061A90000}"/>
    <cellStyle name="Normal 58 5 6 2 2 2" xfId="22754" xr:uid="{00000000-0005-0000-0000-000062A90000}"/>
    <cellStyle name="Normal 58 5 6 2 2 2 2" xfId="48307" xr:uid="{00000000-0005-0000-0000-000063A90000}"/>
    <cellStyle name="Normal 58 5 6 2 2 3" xfId="38090" xr:uid="{00000000-0005-0000-0000-000064A90000}"/>
    <cellStyle name="Normal 58 5 6 2 3" xfId="8957" xr:uid="{00000000-0005-0000-0000-000065A90000}"/>
    <cellStyle name="Normal 58 5 6 2 3 2" xfId="34514" xr:uid="{00000000-0005-0000-0000-000066A90000}"/>
    <cellStyle name="Normal 58 5 6 2 4" xfId="17747" xr:uid="{00000000-0005-0000-0000-000067A90000}"/>
    <cellStyle name="Normal 58 5 6 2 4 2" xfId="43300" xr:uid="{00000000-0005-0000-0000-000068A90000}"/>
    <cellStyle name="Normal 58 5 6 2 5" xfId="29237" xr:uid="{00000000-0005-0000-0000-000069A90000}"/>
    <cellStyle name="Normal 58 5 6 3" xfId="4722" xr:uid="{00000000-0005-0000-0000-00006AA90000}"/>
    <cellStyle name="Normal 58 5 6 3 2" xfId="13560" xr:uid="{00000000-0005-0000-0000-00006BA90000}"/>
    <cellStyle name="Normal 58 5 6 3 2 2" xfId="23811" xr:uid="{00000000-0005-0000-0000-00006CA90000}"/>
    <cellStyle name="Normal 58 5 6 3 2 2 2" xfId="49364" xr:uid="{00000000-0005-0000-0000-00006DA90000}"/>
    <cellStyle name="Normal 58 5 6 3 2 3" xfId="39115" xr:uid="{00000000-0005-0000-0000-00006EA90000}"/>
    <cellStyle name="Normal 58 5 6 3 3" xfId="9981" xr:uid="{00000000-0005-0000-0000-00006FA90000}"/>
    <cellStyle name="Normal 58 5 6 3 3 2" xfId="35538" xr:uid="{00000000-0005-0000-0000-000070A90000}"/>
    <cellStyle name="Normal 58 5 6 3 4" xfId="18804" xr:uid="{00000000-0005-0000-0000-000071A90000}"/>
    <cellStyle name="Normal 58 5 6 3 4 2" xfId="44357" xr:uid="{00000000-0005-0000-0000-000072A90000}"/>
    <cellStyle name="Normal 58 5 6 3 5" xfId="30294" xr:uid="{00000000-0005-0000-0000-000073A90000}"/>
    <cellStyle name="Normal 58 5 6 4" xfId="2502" xr:uid="{00000000-0005-0000-0000-000074A90000}"/>
    <cellStyle name="Normal 58 5 6 4 2" xfId="11867" xr:uid="{00000000-0005-0000-0000-000075A90000}"/>
    <cellStyle name="Normal 58 5 6 4 2 2" xfId="37422" xr:uid="{00000000-0005-0000-0000-000076A90000}"/>
    <cellStyle name="Normal 58 5 6 4 3" xfId="21871" xr:uid="{00000000-0005-0000-0000-000077A90000}"/>
    <cellStyle name="Normal 58 5 6 4 3 2" xfId="47424" xr:uid="{00000000-0005-0000-0000-000078A90000}"/>
    <cellStyle name="Normal 58 5 6 4 4" xfId="28354" xr:uid="{00000000-0005-0000-0000-000079A90000}"/>
    <cellStyle name="Normal 58 5 6 5" xfId="6178" xr:uid="{00000000-0005-0000-0000-00007AA90000}"/>
    <cellStyle name="Normal 58 5 6 5 2" xfId="15005" xr:uid="{00000000-0005-0000-0000-00007BA90000}"/>
    <cellStyle name="Normal 58 5 6 5 2 2" xfId="40560" xr:uid="{00000000-0005-0000-0000-00007CA90000}"/>
    <cellStyle name="Normal 58 5 6 5 3" xfId="25256" xr:uid="{00000000-0005-0000-0000-00007DA90000}"/>
    <cellStyle name="Normal 58 5 6 5 3 2" xfId="50809" xr:uid="{00000000-0005-0000-0000-00007EA90000}"/>
    <cellStyle name="Normal 58 5 6 5 4" xfId="31739" xr:uid="{00000000-0005-0000-0000-00007FA90000}"/>
    <cellStyle name="Normal 58 5 6 6" xfId="7623" xr:uid="{00000000-0005-0000-0000-000080A90000}"/>
    <cellStyle name="Normal 58 5 6 6 2" xfId="20353" xr:uid="{00000000-0005-0000-0000-000081A90000}"/>
    <cellStyle name="Normal 58 5 6 6 2 2" xfId="45906" xr:uid="{00000000-0005-0000-0000-000082A90000}"/>
    <cellStyle name="Normal 58 5 6 6 3" xfId="33180" xr:uid="{00000000-0005-0000-0000-000083A90000}"/>
    <cellStyle name="Normal 58 5 6 7" xfId="16864" xr:uid="{00000000-0005-0000-0000-000084A90000}"/>
    <cellStyle name="Normal 58 5 6 7 2" xfId="42417" xr:uid="{00000000-0005-0000-0000-000085A90000}"/>
    <cellStyle name="Normal 58 5 6 8" xfId="26836" xr:uid="{00000000-0005-0000-0000-000086A90000}"/>
    <cellStyle name="Normal 58 5 7" xfId="1062" xr:uid="{00000000-0005-0000-0000-000087A90000}"/>
    <cellStyle name="Normal 58 5 7 2" xfId="3491" xr:uid="{00000000-0005-0000-0000-000088A90000}"/>
    <cellStyle name="Normal 58 5 7 2 2" xfId="12627" xr:uid="{00000000-0005-0000-0000-000089A90000}"/>
    <cellStyle name="Normal 58 5 7 2 2 2" xfId="22846" xr:uid="{00000000-0005-0000-0000-00008AA90000}"/>
    <cellStyle name="Normal 58 5 7 2 2 2 2" xfId="48399" xr:uid="{00000000-0005-0000-0000-00008BA90000}"/>
    <cellStyle name="Normal 58 5 7 2 2 3" xfId="38182" xr:uid="{00000000-0005-0000-0000-00008CA90000}"/>
    <cellStyle name="Normal 58 5 7 2 3" xfId="9049" xr:uid="{00000000-0005-0000-0000-00008DA90000}"/>
    <cellStyle name="Normal 58 5 7 2 3 2" xfId="34606" xr:uid="{00000000-0005-0000-0000-00008EA90000}"/>
    <cellStyle name="Normal 58 5 7 2 4" xfId="17839" xr:uid="{00000000-0005-0000-0000-00008FA90000}"/>
    <cellStyle name="Normal 58 5 7 2 4 2" xfId="43392" xr:uid="{00000000-0005-0000-0000-000090A90000}"/>
    <cellStyle name="Normal 58 5 7 2 5" xfId="29329" xr:uid="{00000000-0005-0000-0000-000091A90000}"/>
    <cellStyle name="Normal 58 5 7 3" xfId="5071" xr:uid="{00000000-0005-0000-0000-000092A90000}"/>
    <cellStyle name="Normal 58 5 7 3 2" xfId="13908" xr:uid="{00000000-0005-0000-0000-000093A90000}"/>
    <cellStyle name="Normal 58 5 7 3 2 2" xfId="24159" xr:uid="{00000000-0005-0000-0000-000094A90000}"/>
    <cellStyle name="Normal 58 5 7 3 2 2 2" xfId="49712" xr:uid="{00000000-0005-0000-0000-000095A90000}"/>
    <cellStyle name="Normal 58 5 7 3 2 3" xfId="39463" xr:uid="{00000000-0005-0000-0000-000096A90000}"/>
    <cellStyle name="Normal 58 5 7 3 3" xfId="10329" xr:uid="{00000000-0005-0000-0000-000097A90000}"/>
    <cellStyle name="Normal 58 5 7 3 3 2" xfId="35886" xr:uid="{00000000-0005-0000-0000-000098A90000}"/>
    <cellStyle name="Normal 58 5 7 3 4" xfId="19152" xr:uid="{00000000-0005-0000-0000-000099A90000}"/>
    <cellStyle name="Normal 58 5 7 3 4 2" xfId="44705" xr:uid="{00000000-0005-0000-0000-00009AA90000}"/>
    <cellStyle name="Normal 58 5 7 3 5" xfId="30642" xr:uid="{00000000-0005-0000-0000-00009BA90000}"/>
    <cellStyle name="Normal 58 5 7 4" xfId="1764" xr:uid="{00000000-0005-0000-0000-00009CA90000}"/>
    <cellStyle name="Normal 58 5 7 4 2" xfId="11135" xr:uid="{00000000-0005-0000-0000-00009DA90000}"/>
    <cellStyle name="Normal 58 5 7 4 2 2" xfId="36690" xr:uid="{00000000-0005-0000-0000-00009EA90000}"/>
    <cellStyle name="Normal 58 5 7 4 3" xfId="21139" xr:uid="{00000000-0005-0000-0000-00009FA90000}"/>
    <cellStyle name="Normal 58 5 7 4 3 2" xfId="46692" xr:uid="{00000000-0005-0000-0000-0000A0A90000}"/>
    <cellStyle name="Normal 58 5 7 4 4" xfId="27622" xr:uid="{00000000-0005-0000-0000-0000A1A90000}"/>
    <cellStyle name="Normal 58 5 7 5" xfId="6526" xr:uid="{00000000-0005-0000-0000-0000A2A90000}"/>
    <cellStyle name="Normal 58 5 7 5 2" xfId="15353" xr:uid="{00000000-0005-0000-0000-0000A3A90000}"/>
    <cellStyle name="Normal 58 5 7 5 2 2" xfId="40908" xr:uid="{00000000-0005-0000-0000-0000A4A90000}"/>
    <cellStyle name="Normal 58 5 7 5 3" xfId="25604" xr:uid="{00000000-0005-0000-0000-0000A5A90000}"/>
    <cellStyle name="Normal 58 5 7 5 3 2" xfId="51157" xr:uid="{00000000-0005-0000-0000-0000A6A90000}"/>
    <cellStyle name="Normal 58 5 7 5 4" xfId="32087" xr:uid="{00000000-0005-0000-0000-0000A7A90000}"/>
    <cellStyle name="Normal 58 5 7 6" xfId="7972" xr:uid="{00000000-0005-0000-0000-0000A8A90000}"/>
    <cellStyle name="Normal 58 5 7 6 2" xfId="20445" xr:uid="{00000000-0005-0000-0000-0000A9A90000}"/>
    <cellStyle name="Normal 58 5 7 6 2 2" xfId="45998" xr:uid="{00000000-0005-0000-0000-0000AAA90000}"/>
    <cellStyle name="Normal 58 5 7 6 3" xfId="33529" xr:uid="{00000000-0005-0000-0000-0000ABA90000}"/>
    <cellStyle name="Normal 58 5 7 7" xfId="16132" xr:uid="{00000000-0005-0000-0000-0000ACA90000}"/>
    <cellStyle name="Normal 58 5 7 7 2" xfId="41685" xr:uid="{00000000-0005-0000-0000-0000ADA90000}"/>
    <cellStyle name="Normal 58 5 7 8" xfId="26928" xr:uid="{00000000-0005-0000-0000-0000AEA90000}"/>
    <cellStyle name="Normal 58 5 8" xfId="2661" xr:uid="{00000000-0005-0000-0000-0000AFA90000}"/>
    <cellStyle name="Normal 58 5 8 2" xfId="5154" xr:uid="{00000000-0005-0000-0000-0000B0A90000}"/>
    <cellStyle name="Normal 58 5 8 2 2" xfId="13991" xr:uid="{00000000-0005-0000-0000-0000B1A90000}"/>
    <cellStyle name="Normal 58 5 8 2 2 2" xfId="24242" xr:uid="{00000000-0005-0000-0000-0000B2A90000}"/>
    <cellStyle name="Normal 58 5 8 2 2 2 2" xfId="49795" xr:uid="{00000000-0005-0000-0000-0000B3A90000}"/>
    <cellStyle name="Normal 58 5 8 2 2 3" xfId="39546" xr:uid="{00000000-0005-0000-0000-0000B4A90000}"/>
    <cellStyle name="Normal 58 5 8 2 3" xfId="10412" xr:uid="{00000000-0005-0000-0000-0000B5A90000}"/>
    <cellStyle name="Normal 58 5 8 2 3 2" xfId="35969" xr:uid="{00000000-0005-0000-0000-0000B6A90000}"/>
    <cellStyle name="Normal 58 5 8 2 4" xfId="19235" xr:uid="{00000000-0005-0000-0000-0000B7A90000}"/>
    <cellStyle name="Normal 58 5 8 2 4 2" xfId="44788" xr:uid="{00000000-0005-0000-0000-0000B8A90000}"/>
    <cellStyle name="Normal 58 5 8 2 5" xfId="30725" xr:uid="{00000000-0005-0000-0000-0000B9A90000}"/>
    <cellStyle name="Normal 58 5 8 3" xfId="6609" xr:uid="{00000000-0005-0000-0000-0000BAA90000}"/>
    <cellStyle name="Normal 58 5 8 3 2" xfId="15436" xr:uid="{00000000-0005-0000-0000-0000BBA90000}"/>
    <cellStyle name="Normal 58 5 8 3 2 2" xfId="40991" xr:uid="{00000000-0005-0000-0000-0000BCA90000}"/>
    <cellStyle name="Normal 58 5 8 3 3" xfId="25687" xr:uid="{00000000-0005-0000-0000-0000BDA90000}"/>
    <cellStyle name="Normal 58 5 8 3 3 2" xfId="51240" xr:uid="{00000000-0005-0000-0000-0000BEA90000}"/>
    <cellStyle name="Normal 58 5 8 3 4" xfId="32170" xr:uid="{00000000-0005-0000-0000-0000BFA90000}"/>
    <cellStyle name="Normal 58 5 8 4" xfId="8055" xr:uid="{00000000-0005-0000-0000-0000C0A90000}"/>
    <cellStyle name="Normal 58 5 8 4 2" xfId="22022" xr:uid="{00000000-0005-0000-0000-0000C1A90000}"/>
    <cellStyle name="Normal 58 5 8 4 2 2" xfId="47575" xr:uid="{00000000-0005-0000-0000-0000C2A90000}"/>
    <cellStyle name="Normal 58 5 8 4 3" xfId="33612" xr:uid="{00000000-0005-0000-0000-0000C3A90000}"/>
    <cellStyle name="Normal 58 5 8 5" xfId="17015" xr:uid="{00000000-0005-0000-0000-0000C4A90000}"/>
    <cellStyle name="Normal 58 5 8 5 2" xfId="42568" xr:uid="{00000000-0005-0000-0000-0000C5A90000}"/>
    <cellStyle name="Normal 58 5 8 6" xfId="28505" xr:uid="{00000000-0005-0000-0000-0000C6A90000}"/>
    <cellStyle name="Normal 58 5 9" xfId="4108" xr:uid="{00000000-0005-0000-0000-0000C7A90000}"/>
    <cellStyle name="Normal 58 5 9 2" xfId="5566" xr:uid="{00000000-0005-0000-0000-0000C8A90000}"/>
    <cellStyle name="Normal 58 5 9 2 2" xfId="14393" xr:uid="{00000000-0005-0000-0000-0000C9A90000}"/>
    <cellStyle name="Normal 58 5 9 2 2 2" xfId="39948" xr:uid="{00000000-0005-0000-0000-0000CAA90000}"/>
    <cellStyle name="Normal 58 5 9 2 3" xfId="24644" xr:uid="{00000000-0005-0000-0000-0000CBA90000}"/>
    <cellStyle name="Normal 58 5 9 2 3 2" xfId="50197" xr:uid="{00000000-0005-0000-0000-0000CCA90000}"/>
    <cellStyle name="Normal 58 5 9 2 4" xfId="31127" xr:uid="{00000000-0005-0000-0000-0000CDA90000}"/>
    <cellStyle name="Normal 58 5 9 3" xfId="7010" xr:uid="{00000000-0005-0000-0000-0000CEA90000}"/>
    <cellStyle name="Normal 58 5 9 3 2" xfId="23197" xr:uid="{00000000-0005-0000-0000-0000CFA90000}"/>
    <cellStyle name="Normal 58 5 9 3 2 2" xfId="48750" xr:uid="{00000000-0005-0000-0000-0000D0A90000}"/>
    <cellStyle name="Normal 58 5 9 3 3" xfId="32567" xr:uid="{00000000-0005-0000-0000-0000D1A90000}"/>
    <cellStyle name="Normal 58 5 9 4" xfId="18190" xr:uid="{00000000-0005-0000-0000-0000D2A90000}"/>
    <cellStyle name="Normal 58 5 9 4 2" xfId="43743" xr:uid="{00000000-0005-0000-0000-0000D3A90000}"/>
    <cellStyle name="Normal 58 5 9 5" xfId="29680" xr:uid="{00000000-0005-0000-0000-0000D4A90000}"/>
    <cellStyle name="Normal 58 5_Degree data" xfId="4014" xr:uid="{00000000-0005-0000-0000-0000D5A90000}"/>
    <cellStyle name="Normal 58 6" xfId="137" xr:uid="{00000000-0005-0000-0000-0000D6A90000}"/>
    <cellStyle name="Normal 58 6 10" xfId="1405" xr:uid="{00000000-0005-0000-0000-0000D7A90000}"/>
    <cellStyle name="Normal 58 6 10 2" xfId="10782" xr:uid="{00000000-0005-0000-0000-0000D8A90000}"/>
    <cellStyle name="Normal 58 6 10 2 2" xfId="36337" xr:uid="{00000000-0005-0000-0000-0000D9A90000}"/>
    <cellStyle name="Normal 58 6 10 3" xfId="20786" xr:uid="{00000000-0005-0000-0000-0000DAA90000}"/>
    <cellStyle name="Normal 58 6 10 3 2" xfId="46339" xr:uid="{00000000-0005-0000-0000-0000DBA90000}"/>
    <cellStyle name="Normal 58 6 10 4" xfId="27269" xr:uid="{00000000-0005-0000-0000-0000DCA90000}"/>
    <cellStyle name="Normal 58 6 11" xfId="5516" xr:uid="{00000000-0005-0000-0000-0000DDA90000}"/>
    <cellStyle name="Normal 58 6 11 2" xfId="14343" xr:uid="{00000000-0005-0000-0000-0000DEA90000}"/>
    <cellStyle name="Normal 58 6 11 2 2" xfId="39898" xr:uid="{00000000-0005-0000-0000-0000DFA90000}"/>
    <cellStyle name="Normal 58 6 11 3" xfId="24594" xr:uid="{00000000-0005-0000-0000-0000E0A90000}"/>
    <cellStyle name="Normal 58 6 11 3 2" xfId="50147" xr:uid="{00000000-0005-0000-0000-0000E1A90000}"/>
    <cellStyle name="Normal 58 6 11 4" xfId="31077" xr:uid="{00000000-0005-0000-0000-0000E2A90000}"/>
    <cellStyle name="Normal 58 6 12" xfId="6956" xr:uid="{00000000-0005-0000-0000-0000E3A90000}"/>
    <cellStyle name="Normal 58 6 12 2" xfId="19601" xr:uid="{00000000-0005-0000-0000-0000E4A90000}"/>
    <cellStyle name="Normal 58 6 12 2 2" xfId="45154" xr:uid="{00000000-0005-0000-0000-0000E5A90000}"/>
    <cellStyle name="Normal 58 6 12 3" xfId="32514" xr:uid="{00000000-0005-0000-0000-0000E6A90000}"/>
    <cellStyle name="Normal 58 6 13" xfId="15779" xr:uid="{00000000-0005-0000-0000-0000E7A90000}"/>
    <cellStyle name="Normal 58 6 13 2" xfId="41332" xr:uid="{00000000-0005-0000-0000-0000E8A90000}"/>
    <cellStyle name="Normal 58 6 14" xfId="26084" xr:uid="{00000000-0005-0000-0000-0000E9A90000}"/>
    <cellStyle name="Normal 58 6 2" xfId="187" xr:uid="{00000000-0005-0000-0000-0000EAA90000}"/>
    <cellStyle name="Normal 58 6 2 10" xfId="7135" xr:uid="{00000000-0005-0000-0000-0000EBA90000}"/>
    <cellStyle name="Normal 58 6 2 10 2" xfId="19644" xr:uid="{00000000-0005-0000-0000-0000ECA90000}"/>
    <cellStyle name="Normal 58 6 2 10 2 2" xfId="45197" xr:uid="{00000000-0005-0000-0000-0000EDA90000}"/>
    <cellStyle name="Normal 58 6 2 10 3" xfId="32692" xr:uid="{00000000-0005-0000-0000-0000EEA90000}"/>
    <cellStyle name="Normal 58 6 2 11" xfId="15881" xr:uid="{00000000-0005-0000-0000-0000EFA90000}"/>
    <cellStyle name="Normal 58 6 2 11 2" xfId="41434" xr:uid="{00000000-0005-0000-0000-0000F0A90000}"/>
    <cellStyle name="Normal 58 6 2 12" xfId="26127" xr:uid="{00000000-0005-0000-0000-0000F1A90000}"/>
    <cellStyle name="Normal 58 6 2 2" xfId="515" xr:uid="{00000000-0005-0000-0000-0000F2A90000}"/>
    <cellStyle name="Normal 58 6 2 2 10" xfId="26444" xr:uid="{00000000-0005-0000-0000-0000F3A90000}"/>
    <cellStyle name="Normal 58 6 2 2 2" xfId="917" xr:uid="{00000000-0005-0000-0000-0000F4A90000}"/>
    <cellStyle name="Normal 58 6 2 2 2 2" xfId="3402" xr:uid="{00000000-0005-0000-0000-0000F5A90000}"/>
    <cellStyle name="Normal 58 6 2 2 2 2 2" xfId="12544" xr:uid="{00000000-0005-0000-0000-0000F6A90000}"/>
    <cellStyle name="Normal 58 6 2 2 2 2 2 2" xfId="22763" xr:uid="{00000000-0005-0000-0000-0000F7A90000}"/>
    <cellStyle name="Normal 58 6 2 2 2 2 2 2 2" xfId="48316" xr:uid="{00000000-0005-0000-0000-0000F8A90000}"/>
    <cellStyle name="Normal 58 6 2 2 2 2 2 3" xfId="38099" xr:uid="{00000000-0005-0000-0000-0000F9A90000}"/>
    <cellStyle name="Normal 58 6 2 2 2 2 3" xfId="8966" xr:uid="{00000000-0005-0000-0000-0000FAA90000}"/>
    <cellStyle name="Normal 58 6 2 2 2 2 3 2" xfId="34523" xr:uid="{00000000-0005-0000-0000-0000FBA90000}"/>
    <cellStyle name="Normal 58 6 2 2 2 2 4" xfId="17756" xr:uid="{00000000-0005-0000-0000-0000FCA90000}"/>
    <cellStyle name="Normal 58 6 2 2 2 2 4 2" xfId="43309" xr:uid="{00000000-0005-0000-0000-0000FDA90000}"/>
    <cellStyle name="Normal 58 6 2 2 2 2 5" xfId="29246" xr:uid="{00000000-0005-0000-0000-0000FEA90000}"/>
    <cellStyle name="Normal 58 6 2 2 2 3" xfId="4731" xr:uid="{00000000-0005-0000-0000-0000FFA90000}"/>
    <cellStyle name="Normal 58 6 2 2 2 3 2" xfId="13569" xr:uid="{00000000-0005-0000-0000-000000AA0000}"/>
    <cellStyle name="Normal 58 6 2 2 2 3 2 2" xfId="23820" xr:uid="{00000000-0005-0000-0000-000001AA0000}"/>
    <cellStyle name="Normal 58 6 2 2 2 3 2 2 2" xfId="49373" xr:uid="{00000000-0005-0000-0000-000002AA0000}"/>
    <cellStyle name="Normal 58 6 2 2 2 3 2 3" xfId="39124" xr:uid="{00000000-0005-0000-0000-000003AA0000}"/>
    <cellStyle name="Normal 58 6 2 2 2 3 3" xfId="9990" xr:uid="{00000000-0005-0000-0000-000004AA0000}"/>
    <cellStyle name="Normal 58 6 2 2 2 3 3 2" xfId="35547" xr:uid="{00000000-0005-0000-0000-000005AA0000}"/>
    <cellStyle name="Normal 58 6 2 2 2 3 4" xfId="18813" xr:uid="{00000000-0005-0000-0000-000006AA0000}"/>
    <cellStyle name="Normal 58 6 2 2 2 3 4 2" xfId="44366" xr:uid="{00000000-0005-0000-0000-000007AA0000}"/>
    <cellStyle name="Normal 58 6 2 2 2 3 5" xfId="30303" xr:uid="{00000000-0005-0000-0000-000008AA0000}"/>
    <cellStyle name="Normal 58 6 2 2 2 4" xfId="2511" xr:uid="{00000000-0005-0000-0000-000009AA0000}"/>
    <cellStyle name="Normal 58 6 2 2 2 4 2" xfId="11876" xr:uid="{00000000-0005-0000-0000-00000AAA0000}"/>
    <cellStyle name="Normal 58 6 2 2 2 4 2 2" xfId="37431" xr:uid="{00000000-0005-0000-0000-00000BAA0000}"/>
    <cellStyle name="Normal 58 6 2 2 2 4 3" xfId="21880" xr:uid="{00000000-0005-0000-0000-00000CAA0000}"/>
    <cellStyle name="Normal 58 6 2 2 2 4 3 2" xfId="47433" xr:uid="{00000000-0005-0000-0000-00000DAA0000}"/>
    <cellStyle name="Normal 58 6 2 2 2 4 4" xfId="28363" xr:uid="{00000000-0005-0000-0000-00000EAA0000}"/>
    <cellStyle name="Normal 58 6 2 2 2 5" xfId="6187" xr:uid="{00000000-0005-0000-0000-00000FAA0000}"/>
    <cellStyle name="Normal 58 6 2 2 2 5 2" xfId="15014" xr:uid="{00000000-0005-0000-0000-000010AA0000}"/>
    <cellStyle name="Normal 58 6 2 2 2 5 2 2" xfId="40569" xr:uid="{00000000-0005-0000-0000-000011AA0000}"/>
    <cellStyle name="Normal 58 6 2 2 2 5 3" xfId="25265" xr:uid="{00000000-0005-0000-0000-000012AA0000}"/>
    <cellStyle name="Normal 58 6 2 2 2 5 3 2" xfId="50818" xr:uid="{00000000-0005-0000-0000-000013AA0000}"/>
    <cellStyle name="Normal 58 6 2 2 2 5 4" xfId="31748" xr:uid="{00000000-0005-0000-0000-000014AA0000}"/>
    <cellStyle name="Normal 58 6 2 2 2 6" xfId="7632" xr:uid="{00000000-0005-0000-0000-000015AA0000}"/>
    <cellStyle name="Normal 58 6 2 2 2 6 2" xfId="20362" xr:uid="{00000000-0005-0000-0000-000016AA0000}"/>
    <cellStyle name="Normal 58 6 2 2 2 6 2 2" xfId="45915" xr:uid="{00000000-0005-0000-0000-000017AA0000}"/>
    <cellStyle name="Normal 58 6 2 2 2 6 3" xfId="33189" xr:uid="{00000000-0005-0000-0000-000018AA0000}"/>
    <cellStyle name="Normal 58 6 2 2 2 7" xfId="16873" xr:uid="{00000000-0005-0000-0000-000019AA0000}"/>
    <cellStyle name="Normal 58 6 2 2 2 7 2" xfId="42426" xr:uid="{00000000-0005-0000-0000-00001AAA0000}"/>
    <cellStyle name="Normal 58 6 2 2 2 8" xfId="26845" xr:uid="{00000000-0005-0000-0000-00001BAA0000}"/>
    <cellStyle name="Normal 58 6 2 2 3" xfId="1287" xr:uid="{00000000-0005-0000-0000-00001CAA0000}"/>
    <cellStyle name="Normal 58 6 2 2 3 2" xfId="3716" xr:uid="{00000000-0005-0000-0000-00001DAA0000}"/>
    <cellStyle name="Normal 58 6 2 2 3 2 2" xfId="12852" xr:uid="{00000000-0005-0000-0000-00001EAA0000}"/>
    <cellStyle name="Normal 58 6 2 2 3 2 2 2" xfId="23071" xr:uid="{00000000-0005-0000-0000-00001FAA0000}"/>
    <cellStyle name="Normal 58 6 2 2 3 2 2 2 2" xfId="48624" xr:uid="{00000000-0005-0000-0000-000020AA0000}"/>
    <cellStyle name="Normal 58 6 2 2 3 2 2 3" xfId="38407" xr:uid="{00000000-0005-0000-0000-000021AA0000}"/>
    <cellStyle name="Normal 58 6 2 2 3 2 3" xfId="9273" xr:uid="{00000000-0005-0000-0000-000022AA0000}"/>
    <cellStyle name="Normal 58 6 2 2 3 2 3 2" xfId="34830" xr:uid="{00000000-0005-0000-0000-000023AA0000}"/>
    <cellStyle name="Normal 58 6 2 2 3 2 4" xfId="18064" xr:uid="{00000000-0005-0000-0000-000024AA0000}"/>
    <cellStyle name="Normal 58 6 2 2 3 2 4 2" xfId="43617" xr:uid="{00000000-0005-0000-0000-000025AA0000}"/>
    <cellStyle name="Normal 58 6 2 2 3 2 5" xfId="29554" xr:uid="{00000000-0005-0000-0000-000026AA0000}"/>
    <cellStyle name="Normal 58 6 2 2 3 3" xfId="5080" xr:uid="{00000000-0005-0000-0000-000027AA0000}"/>
    <cellStyle name="Normal 58 6 2 2 3 3 2" xfId="13917" xr:uid="{00000000-0005-0000-0000-000028AA0000}"/>
    <cellStyle name="Normal 58 6 2 2 3 3 2 2" xfId="24168" xr:uid="{00000000-0005-0000-0000-000029AA0000}"/>
    <cellStyle name="Normal 58 6 2 2 3 3 2 2 2" xfId="49721" xr:uid="{00000000-0005-0000-0000-00002AAA0000}"/>
    <cellStyle name="Normal 58 6 2 2 3 3 2 3" xfId="39472" xr:uid="{00000000-0005-0000-0000-00002BAA0000}"/>
    <cellStyle name="Normal 58 6 2 2 3 3 3" xfId="10338" xr:uid="{00000000-0005-0000-0000-00002CAA0000}"/>
    <cellStyle name="Normal 58 6 2 2 3 3 3 2" xfId="35895" xr:uid="{00000000-0005-0000-0000-00002DAA0000}"/>
    <cellStyle name="Normal 58 6 2 2 3 3 4" xfId="19161" xr:uid="{00000000-0005-0000-0000-00002EAA0000}"/>
    <cellStyle name="Normal 58 6 2 2 3 3 4 2" xfId="44714" xr:uid="{00000000-0005-0000-0000-00002FAA0000}"/>
    <cellStyle name="Normal 58 6 2 2 3 3 5" xfId="30651" xr:uid="{00000000-0005-0000-0000-000030AA0000}"/>
    <cellStyle name="Normal 58 6 2 2 3 4" xfId="2110" xr:uid="{00000000-0005-0000-0000-000031AA0000}"/>
    <cellStyle name="Normal 58 6 2 2 3 4 2" xfId="11475" xr:uid="{00000000-0005-0000-0000-000032AA0000}"/>
    <cellStyle name="Normal 58 6 2 2 3 4 2 2" xfId="37030" xr:uid="{00000000-0005-0000-0000-000033AA0000}"/>
    <cellStyle name="Normal 58 6 2 2 3 4 3" xfId="21479" xr:uid="{00000000-0005-0000-0000-000034AA0000}"/>
    <cellStyle name="Normal 58 6 2 2 3 4 3 2" xfId="47032" xr:uid="{00000000-0005-0000-0000-000035AA0000}"/>
    <cellStyle name="Normal 58 6 2 2 3 4 4" xfId="27962" xr:uid="{00000000-0005-0000-0000-000036AA0000}"/>
    <cellStyle name="Normal 58 6 2 2 3 5" xfId="6535" xr:uid="{00000000-0005-0000-0000-000037AA0000}"/>
    <cellStyle name="Normal 58 6 2 2 3 5 2" xfId="15362" xr:uid="{00000000-0005-0000-0000-000038AA0000}"/>
    <cellStyle name="Normal 58 6 2 2 3 5 2 2" xfId="40917" xr:uid="{00000000-0005-0000-0000-000039AA0000}"/>
    <cellStyle name="Normal 58 6 2 2 3 5 3" xfId="25613" xr:uid="{00000000-0005-0000-0000-00003AAA0000}"/>
    <cellStyle name="Normal 58 6 2 2 3 5 3 2" xfId="51166" xr:uid="{00000000-0005-0000-0000-00003BAA0000}"/>
    <cellStyle name="Normal 58 6 2 2 3 5 4" xfId="32096" xr:uid="{00000000-0005-0000-0000-00003CAA0000}"/>
    <cellStyle name="Normal 58 6 2 2 3 6" xfId="7981" xr:uid="{00000000-0005-0000-0000-00003DAA0000}"/>
    <cellStyle name="Normal 58 6 2 2 3 6 2" xfId="20670" xr:uid="{00000000-0005-0000-0000-00003EAA0000}"/>
    <cellStyle name="Normal 58 6 2 2 3 6 2 2" xfId="46223" xr:uid="{00000000-0005-0000-0000-00003FAA0000}"/>
    <cellStyle name="Normal 58 6 2 2 3 6 3" xfId="33538" xr:uid="{00000000-0005-0000-0000-000040AA0000}"/>
    <cellStyle name="Normal 58 6 2 2 3 7" xfId="16472" xr:uid="{00000000-0005-0000-0000-000041AA0000}"/>
    <cellStyle name="Normal 58 6 2 2 3 7 2" xfId="42025" xr:uid="{00000000-0005-0000-0000-000042AA0000}"/>
    <cellStyle name="Normal 58 6 2 2 3 8" xfId="27153" xr:uid="{00000000-0005-0000-0000-000043AA0000}"/>
    <cellStyle name="Normal 58 6 2 2 4" xfId="3001" xr:uid="{00000000-0005-0000-0000-000044AA0000}"/>
    <cellStyle name="Normal 58 6 2 2 4 2" xfId="5379" xr:uid="{00000000-0005-0000-0000-000045AA0000}"/>
    <cellStyle name="Normal 58 6 2 2 4 2 2" xfId="14216" xr:uid="{00000000-0005-0000-0000-000046AA0000}"/>
    <cellStyle name="Normal 58 6 2 2 4 2 2 2" xfId="24467" xr:uid="{00000000-0005-0000-0000-000047AA0000}"/>
    <cellStyle name="Normal 58 6 2 2 4 2 2 2 2" xfId="50020" xr:uid="{00000000-0005-0000-0000-000048AA0000}"/>
    <cellStyle name="Normal 58 6 2 2 4 2 2 3" xfId="39771" xr:uid="{00000000-0005-0000-0000-000049AA0000}"/>
    <cellStyle name="Normal 58 6 2 2 4 2 3" xfId="10637" xr:uid="{00000000-0005-0000-0000-00004AAA0000}"/>
    <cellStyle name="Normal 58 6 2 2 4 2 3 2" xfId="36194" xr:uid="{00000000-0005-0000-0000-00004BAA0000}"/>
    <cellStyle name="Normal 58 6 2 2 4 2 4" xfId="19460" xr:uid="{00000000-0005-0000-0000-00004CAA0000}"/>
    <cellStyle name="Normal 58 6 2 2 4 2 4 2" xfId="45013" xr:uid="{00000000-0005-0000-0000-00004DAA0000}"/>
    <cellStyle name="Normal 58 6 2 2 4 2 5" xfId="30950" xr:uid="{00000000-0005-0000-0000-00004EAA0000}"/>
    <cellStyle name="Normal 58 6 2 2 4 3" xfId="6834" xr:uid="{00000000-0005-0000-0000-00004FAA0000}"/>
    <cellStyle name="Normal 58 6 2 2 4 3 2" xfId="15661" xr:uid="{00000000-0005-0000-0000-000050AA0000}"/>
    <cellStyle name="Normal 58 6 2 2 4 3 2 2" xfId="41216" xr:uid="{00000000-0005-0000-0000-000051AA0000}"/>
    <cellStyle name="Normal 58 6 2 2 4 3 3" xfId="25912" xr:uid="{00000000-0005-0000-0000-000052AA0000}"/>
    <cellStyle name="Normal 58 6 2 2 4 3 3 2" xfId="51465" xr:uid="{00000000-0005-0000-0000-000053AA0000}"/>
    <cellStyle name="Normal 58 6 2 2 4 3 4" xfId="32395" xr:uid="{00000000-0005-0000-0000-000054AA0000}"/>
    <cellStyle name="Normal 58 6 2 2 4 4" xfId="8280" xr:uid="{00000000-0005-0000-0000-000055AA0000}"/>
    <cellStyle name="Normal 58 6 2 2 4 4 2" xfId="22362" xr:uid="{00000000-0005-0000-0000-000056AA0000}"/>
    <cellStyle name="Normal 58 6 2 2 4 4 2 2" xfId="47915" xr:uid="{00000000-0005-0000-0000-000057AA0000}"/>
    <cellStyle name="Normal 58 6 2 2 4 4 3" xfId="33837" xr:uid="{00000000-0005-0000-0000-000058AA0000}"/>
    <cellStyle name="Normal 58 6 2 2 4 5" xfId="17355" xr:uid="{00000000-0005-0000-0000-000059AA0000}"/>
    <cellStyle name="Normal 58 6 2 2 4 5 2" xfId="42908" xr:uid="{00000000-0005-0000-0000-00005AAA0000}"/>
    <cellStyle name="Normal 58 6 2 2 4 6" xfId="28845" xr:uid="{00000000-0005-0000-0000-00005BAA0000}"/>
    <cellStyle name="Normal 58 6 2 2 5" xfId="4335" xr:uid="{00000000-0005-0000-0000-00005CAA0000}"/>
    <cellStyle name="Normal 58 6 2 2 5 2" xfId="13173" xr:uid="{00000000-0005-0000-0000-00005DAA0000}"/>
    <cellStyle name="Normal 58 6 2 2 5 2 2" xfId="23424" xr:uid="{00000000-0005-0000-0000-00005EAA0000}"/>
    <cellStyle name="Normal 58 6 2 2 5 2 2 2" xfId="48977" xr:uid="{00000000-0005-0000-0000-00005FAA0000}"/>
    <cellStyle name="Normal 58 6 2 2 5 2 3" xfId="38728" xr:uid="{00000000-0005-0000-0000-000060AA0000}"/>
    <cellStyle name="Normal 58 6 2 2 5 3" xfId="9594" xr:uid="{00000000-0005-0000-0000-000061AA0000}"/>
    <cellStyle name="Normal 58 6 2 2 5 3 2" xfId="35151" xr:uid="{00000000-0005-0000-0000-000062AA0000}"/>
    <cellStyle name="Normal 58 6 2 2 5 4" xfId="18417" xr:uid="{00000000-0005-0000-0000-000063AA0000}"/>
    <cellStyle name="Normal 58 6 2 2 5 4 2" xfId="43970" xr:uid="{00000000-0005-0000-0000-000064AA0000}"/>
    <cellStyle name="Normal 58 6 2 2 5 5" xfId="29907" xr:uid="{00000000-0005-0000-0000-000065AA0000}"/>
    <cellStyle name="Normal 58 6 2 2 6" xfId="1607" xr:uid="{00000000-0005-0000-0000-000066AA0000}"/>
    <cellStyle name="Normal 58 6 2 2 6 2" xfId="10984" xr:uid="{00000000-0005-0000-0000-000067AA0000}"/>
    <cellStyle name="Normal 58 6 2 2 6 2 2" xfId="36539" xr:uid="{00000000-0005-0000-0000-000068AA0000}"/>
    <cellStyle name="Normal 58 6 2 2 6 3" xfId="20988" xr:uid="{00000000-0005-0000-0000-000069AA0000}"/>
    <cellStyle name="Normal 58 6 2 2 6 3 2" xfId="46541" xr:uid="{00000000-0005-0000-0000-00006AAA0000}"/>
    <cellStyle name="Normal 58 6 2 2 6 4" xfId="27471" xr:uid="{00000000-0005-0000-0000-00006BAA0000}"/>
    <cellStyle name="Normal 58 6 2 2 7" xfId="5791" xr:uid="{00000000-0005-0000-0000-00006CAA0000}"/>
    <cellStyle name="Normal 58 6 2 2 7 2" xfId="14618" xr:uid="{00000000-0005-0000-0000-00006DAA0000}"/>
    <cellStyle name="Normal 58 6 2 2 7 2 2" xfId="40173" xr:uid="{00000000-0005-0000-0000-00006EAA0000}"/>
    <cellStyle name="Normal 58 6 2 2 7 3" xfId="24869" xr:uid="{00000000-0005-0000-0000-00006FAA0000}"/>
    <cellStyle name="Normal 58 6 2 2 7 3 2" xfId="50422" xr:uid="{00000000-0005-0000-0000-000070AA0000}"/>
    <cellStyle name="Normal 58 6 2 2 7 4" xfId="31352" xr:uid="{00000000-0005-0000-0000-000071AA0000}"/>
    <cellStyle name="Normal 58 6 2 2 8" xfId="7235" xr:uid="{00000000-0005-0000-0000-000072AA0000}"/>
    <cellStyle name="Normal 58 6 2 2 8 2" xfId="19961" xr:uid="{00000000-0005-0000-0000-000073AA0000}"/>
    <cellStyle name="Normal 58 6 2 2 8 2 2" xfId="45514" xr:uid="{00000000-0005-0000-0000-000074AA0000}"/>
    <cellStyle name="Normal 58 6 2 2 8 3" xfId="32792" xr:uid="{00000000-0005-0000-0000-000075AA0000}"/>
    <cellStyle name="Normal 58 6 2 2 9" xfId="15981" xr:uid="{00000000-0005-0000-0000-000076AA0000}"/>
    <cellStyle name="Normal 58 6 2 2 9 2" xfId="41534" xr:uid="{00000000-0005-0000-0000-000077AA0000}"/>
    <cellStyle name="Normal 58 6 2 2_Degree data" xfId="4023" xr:uid="{00000000-0005-0000-0000-000078AA0000}"/>
    <cellStyle name="Normal 58 6 2 3" xfId="415" xr:uid="{00000000-0005-0000-0000-000079AA0000}"/>
    <cellStyle name="Normal 58 6 2 3 2" xfId="2901" xr:uid="{00000000-0005-0000-0000-00007AAA0000}"/>
    <cellStyle name="Normal 58 6 2 3 2 2" xfId="12189" xr:uid="{00000000-0005-0000-0000-00007BAA0000}"/>
    <cellStyle name="Normal 58 6 2 3 2 2 2" xfId="22262" xr:uid="{00000000-0005-0000-0000-00007CAA0000}"/>
    <cellStyle name="Normal 58 6 2 3 2 2 2 2" xfId="47815" xr:uid="{00000000-0005-0000-0000-00007DAA0000}"/>
    <cellStyle name="Normal 58 6 2 3 2 2 3" xfId="37744" xr:uid="{00000000-0005-0000-0000-00007EAA0000}"/>
    <cellStyle name="Normal 58 6 2 3 2 3" xfId="8449" xr:uid="{00000000-0005-0000-0000-00007FAA0000}"/>
    <cellStyle name="Normal 58 6 2 3 2 3 2" xfId="34006" xr:uid="{00000000-0005-0000-0000-000080AA0000}"/>
    <cellStyle name="Normal 58 6 2 3 2 4" xfId="17255" xr:uid="{00000000-0005-0000-0000-000081AA0000}"/>
    <cellStyle name="Normal 58 6 2 3 2 4 2" xfId="42808" xr:uid="{00000000-0005-0000-0000-000082AA0000}"/>
    <cellStyle name="Normal 58 6 2 3 2 5" xfId="28745" xr:uid="{00000000-0005-0000-0000-000083AA0000}"/>
    <cellStyle name="Normal 58 6 2 3 3" xfId="4730" xr:uid="{00000000-0005-0000-0000-000084AA0000}"/>
    <cellStyle name="Normal 58 6 2 3 3 2" xfId="13568" xr:uid="{00000000-0005-0000-0000-000085AA0000}"/>
    <cellStyle name="Normal 58 6 2 3 3 2 2" xfId="23819" xr:uid="{00000000-0005-0000-0000-000086AA0000}"/>
    <cellStyle name="Normal 58 6 2 3 3 2 2 2" xfId="49372" xr:uid="{00000000-0005-0000-0000-000087AA0000}"/>
    <cellStyle name="Normal 58 6 2 3 3 2 3" xfId="39123" xr:uid="{00000000-0005-0000-0000-000088AA0000}"/>
    <cellStyle name="Normal 58 6 2 3 3 3" xfId="9989" xr:uid="{00000000-0005-0000-0000-000089AA0000}"/>
    <cellStyle name="Normal 58 6 2 3 3 3 2" xfId="35546" xr:uid="{00000000-0005-0000-0000-00008AAA0000}"/>
    <cellStyle name="Normal 58 6 2 3 3 4" xfId="18812" xr:uid="{00000000-0005-0000-0000-00008BAA0000}"/>
    <cellStyle name="Normal 58 6 2 3 3 4 2" xfId="44365" xr:uid="{00000000-0005-0000-0000-00008CAA0000}"/>
    <cellStyle name="Normal 58 6 2 3 3 5" xfId="30302" xr:uid="{00000000-0005-0000-0000-00008DAA0000}"/>
    <cellStyle name="Normal 58 6 2 3 4" xfId="2010" xr:uid="{00000000-0005-0000-0000-00008EAA0000}"/>
    <cellStyle name="Normal 58 6 2 3 4 2" xfId="11375" xr:uid="{00000000-0005-0000-0000-00008FAA0000}"/>
    <cellStyle name="Normal 58 6 2 3 4 2 2" xfId="36930" xr:uid="{00000000-0005-0000-0000-000090AA0000}"/>
    <cellStyle name="Normal 58 6 2 3 4 3" xfId="21379" xr:uid="{00000000-0005-0000-0000-000091AA0000}"/>
    <cellStyle name="Normal 58 6 2 3 4 3 2" xfId="46932" xr:uid="{00000000-0005-0000-0000-000092AA0000}"/>
    <cellStyle name="Normal 58 6 2 3 4 4" xfId="27862" xr:uid="{00000000-0005-0000-0000-000093AA0000}"/>
    <cellStyle name="Normal 58 6 2 3 5" xfId="6186" xr:uid="{00000000-0005-0000-0000-000094AA0000}"/>
    <cellStyle name="Normal 58 6 2 3 5 2" xfId="15013" xr:uid="{00000000-0005-0000-0000-000095AA0000}"/>
    <cellStyle name="Normal 58 6 2 3 5 2 2" xfId="40568" xr:uid="{00000000-0005-0000-0000-000096AA0000}"/>
    <cellStyle name="Normal 58 6 2 3 5 3" xfId="25264" xr:uid="{00000000-0005-0000-0000-000097AA0000}"/>
    <cellStyle name="Normal 58 6 2 3 5 3 2" xfId="50817" xr:uid="{00000000-0005-0000-0000-000098AA0000}"/>
    <cellStyle name="Normal 58 6 2 3 5 4" xfId="31747" xr:uid="{00000000-0005-0000-0000-000099AA0000}"/>
    <cellStyle name="Normal 58 6 2 3 6" xfId="7631" xr:uid="{00000000-0005-0000-0000-00009AAA0000}"/>
    <cellStyle name="Normal 58 6 2 3 6 2" xfId="19861" xr:uid="{00000000-0005-0000-0000-00009BAA0000}"/>
    <cellStyle name="Normal 58 6 2 3 6 2 2" xfId="45414" xr:uid="{00000000-0005-0000-0000-00009CAA0000}"/>
    <cellStyle name="Normal 58 6 2 3 6 3" xfId="33188" xr:uid="{00000000-0005-0000-0000-00009DAA0000}"/>
    <cellStyle name="Normal 58 6 2 3 7" xfId="16372" xr:uid="{00000000-0005-0000-0000-00009EAA0000}"/>
    <cellStyle name="Normal 58 6 2 3 7 2" xfId="41925" xr:uid="{00000000-0005-0000-0000-00009FAA0000}"/>
    <cellStyle name="Normal 58 6 2 3 8" xfId="26344" xr:uid="{00000000-0005-0000-0000-0000A0AA0000}"/>
    <cellStyle name="Normal 58 6 2 4" xfId="916" xr:uid="{00000000-0005-0000-0000-0000A1AA0000}"/>
    <cellStyle name="Normal 58 6 2 4 2" xfId="3401" xr:uid="{00000000-0005-0000-0000-0000A2AA0000}"/>
    <cellStyle name="Normal 58 6 2 4 2 2" xfId="12543" xr:uid="{00000000-0005-0000-0000-0000A3AA0000}"/>
    <cellStyle name="Normal 58 6 2 4 2 2 2" xfId="22762" xr:uid="{00000000-0005-0000-0000-0000A4AA0000}"/>
    <cellStyle name="Normal 58 6 2 4 2 2 2 2" xfId="48315" xr:uid="{00000000-0005-0000-0000-0000A5AA0000}"/>
    <cellStyle name="Normal 58 6 2 4 2 2 3" xfId="38098" xr:uid="{00000000-0005-0000-0000-0000A6AA0000}"/>
    <cellStyle name="Normal 58 6 2 4 2 3" xfId="8965" xr:uid="{00000000-0005-0000-0000-0000A7AA0000}"/>
    <cellStyle name="Normal 58 6 2 4 2 3 2" xfId="34522" xr:uid="{00000000-0005-0000-0000-0000A8AA0000}"/>
    <cellStyle name="Normal 58 6 2 4 2 4" xfId="17755" xr:uid="{00000000-0005-0000-0000-0000A9AA0000}"/>
    <cellStyle name="Normal 58 6 2 4 2 4 2" xfId="43308" xr:uid="{00000000-0005-0000-0000-0000AAAA0000}"/>
    <cellStyle name="Normal 58 6 2 4 2 5" xfId="29245" xr:uid="{00000000-0005-0000-0000-0000ABAA0000}"/>
    <cellStyle name="Normal 58 6 2 4 3" xfId="5079" xr:uid="{00000000-0005-0000-0000-0000ACAA0000}"/>
    <cellStyle name="Normal 58 6 2 4 3 2" xfId="13916" xr:uid="{00000000-0005-0000-0000-0000ADAA0000}"/>
    <cellStyle name="Normal 58 6 2 4 3 2 2" xfId="24167" xr:uid="{00000000-0005-0000-0000-0000AEAA0000}"/>
    <cellStyle name="Normal 58 6 2 4 3 2 2 2" xfId="49720" xr:uid="{00000000-0005-0000-0000-0000AFAA0000}"/>
    <cellStyle name="Normal 58 6 2 4 3 2 3" xfId="39471" xr:uid="{00000000-0005-0000-0000-0000B0AA0000}"/>
    <cellStyle name="Normal 58 6 2 4 3 3" xfId="10337" xr:uid="{00000000-0005-0000-0000-0000B1AA0000}"/>
    <cellStyle name="Normal 58 6 2 4 3 3 2" xfId="35894" xr:uid="{00000000-0005-0000-0000-0000B2AA0000}"/>
    <cellStyle name="Normal 58 6 2 4 3 4" xfId="19160" xr:uid="{00000000-0005-0000-0000-0000B3AA0000}"/>
    <cellStyle name="Normal 58 6 2 4 3 4 2" xfId="44713" xr:uid="{00000000-0005-0000-0000-0000B4AA0000}"/>
    <cellStyle name="Normal 58 6 2 4 3 5" xfId="30650" xr:uid="{00000000-0005-0000-0000-0000B5AA0000}"/>
    <cellStyle name="Normal 58 6 2 4 4" xfId="2510" xr:uid="{00000000-0005-0000-0000-0000B6AA0000}"/>
    <cellStyle name="Normal 58 6 2 4 4 2" xfId="11875" xr:uid="{00000000-0005-0000-0000-0000B7AA0000}"/>
    <cellStyle name="Normal 58 6 2 4 4 2 2" xfId="37430" xr:uid="{00000000-0005-0000-0000-0000B8AA0000}"/>
    <cellStyle name="Normal 58 6 2 4 4 3" xfId="21879" xr:uid="{00000000-0005-0000-0000-0000B9AA0000}"/>
    <cellStyle name="Normal 58 6 2 4 4 3 2" xfId="47432" xr:uid="{00000000-0005-0000-0000-0000BAAA0000}"/>
    <cellStyle name="Normal 58 6 2 4 4 4" xfId="28362" xr:uid="{00000000-0005-0000-0000-0000BBAA0000}"/>
    <cellStyle name="Normal 58 6 2 4 5" xfId="6534" xr:uid="{00000000-0005-0000-0000-0000BCAA0000}"/>
    <cellStyle name="Normal 58 6 2 4 5 2" xfId="15361" xr:uid="{00000000-0005-0000-0000-0000BDAA0000}"/>
    <cellStyle name="Normal 58 6 2 4 5 2 2" xfId="40916" xr:uid="{00000000-0005-0000-0000-0000BEAA0000}"/>
    <cellStyle name="Normal 58 6 2 4 5 3" xfId="25612" xr:uid="{00000000-0005-0000-0000-0000BFAA0000}"/>
    <cellStyle name="Normal 58 6 2 4 5 3 2" xfId="51165" xr:uid="{00000000-0005-0000-0000-0000C0AA0000}"/>
    <cellStyle name="Normal 58 6 2 4 5 4" xfId="32095" xr:uid="{00000000-0005-0000-0000-0000C1AA0000}"/>
    <cellStyle name="Normal 58 6 2 4 6" xfId="7980" xr:uid="{00000000-0005-0000-0000-0000C2AA0000}"/>
    <cellStyle name="Normal 58 6 2 4 6 2" xfId="20361" xr:uid="{00000000-0005-0000-0000-0000C3AA0000}"/>
    <cellStyle name="Normal 58 6 2 4 6 2 2" xfId="45914" xr:uid="{00000000-0005-0000-0000-0000C4AA0000}"/>
    <cellStyle name="Normal 58 6 2 4 6 3" xfId="33537" xr:uid="{00000000-0005-0000-0000-0000C5AA0000}"/>
    <cellStyle name="Normal 58 6 2 4 7" xfId="16872" xr:uid="{00000000-0005-0000-0000-0000C6AA0000}"/>
    <cellStyle name="Normal 58 6 2 4 7 2" xfId="42425" xr:uid="{00000000-0005-0000-0000-0000C7AA0000}"/>
    <cellStyle name="Normal 58 6 2 4 8" xfId="26844" xr:uid="{00000000-0005-0000-0000-0000C8AA0000}"/>
    <cellStyle name="Normal 58 6 2 5" xfId="1187" xr:uid="{00000000-0005-0000-0000-0000C9AA0000}"/>
    <cellStyle name="Normal 58 6 2 5 2" xfId="3616" xr:uid="{00000000-0005-0000-0000-0000CAAA0000}"/>
    <cellStyle name="Normal 58 6 2 5 2 2" xfId="12752" xr:uid="{00000000-0005-0000-0000-0000CBAA0000}"/>
    <cellStyle name="Normal 58 6 2 5 2 2 2" xfId="22971" xr:uid="{00000000-0005-0000-0000-0000CCAA0000}"/>
    <cellStyle name="Normal 58 6 2 5 2 2 2 2" xfId="48524" xr:uid="{00000000-0005-0000-0000-0000CDAA0000}"/>
    <cellStyle name="Normal 58 6 2 5 2 2 3" xfId="38307" xr:uid="{00000000-0005-0000-0000-0000CEAA0000}"/>
    <cellStyle name="Normal 58 6 2 5 2 3" xfId="9173" xr:uid="{00000000-0005-0000-0000-0000CFAA0000}"/>
    <cellStyle name="Normal 58 6 2 5 2 3 2" xfId="34730" xr:uid="{00000000-0005-0000-0000-0000D0AA0000}"/>
    <cellStyle name="Normal 58 6 2 5 2 4" xfId="17964" xr:uid="{00000000-0005-0000-0000-0000D1AA0000}"/>
    <cellStyle name="Normal 58 6 2 5 2 4 2" xfId="43517" xr:uid="{00000000-0005-0000-0000-0000D2AA0000}"/>
    <cellStyle name="Normal 58 6 2 5 2 5" xfId="29454" xr:uid="{00000000-0005-0000-0000-0000D3AA0000}"/>
    <cellStyle name="Normal 58 6 2 5 3" xfId="5279" xr:uid="{00000000-0005-0000-0000-0000D4AA0000}"/>
    <cellStyle name="Normal 58 6 2 5 3 2" xfId="14116" xr:uid="{00000000-0005-0000-0000-0000D5AA0000}"/>
    <cellStyle name="Normal 58 6 2 5 3 2 2" xfId="24367" xr:uid="{00000000-0005-0000-0000-0000D6AA0000}"/>
    <cellStyle name="Normal 58 6 2 5 3 2 2 2" xfId="49920" xr:uid="{00000000-0005-0000-0000-0000D7AA0000}"/>
    <cellStyle name="Normal 58 6 2 5 3 2 3" xfId="39671" xr:uid="{00000000-0005-0000-0000-0000D8AA0000}"/>
    <cellStyle name="Normal 58 6 2 5 3 3" xfId="10537" xr:uid="{00000000-0005-0000-0000-0000D9AA0000}"/>
    <cellStyle name="Normal 58 6 2 5 3 3 2" xfId="36094" xr:uid="{00000000-0005-0000-0000-0000DAAA0000}"/>
    <cellStyle name="Normal 58 6 2 5 3 4" xfId="19360" xr:uid="{00000000-0005-0000-0000-0000DBAA0000}"/>
    <cellStyle name="Normal 58 6 2 5 3 4 2" xfId="44913" xr:uid="{00000000-0005-0000-0000-0000DCAA0000}"/>
    <cellStyle name="Normal 58 6 2 5 3 5" xfId="30850" xr:uid="{00000000-0005-0000-0000-0000DDAA0000}"/>
    <cellStyle name="Normal 58 6 2 5 4" xfId="1789" xr:uid="{00000000-0005-0000-0000-0000DEAA0000}"/>
    <cellStyle name="Normal 58 6 2 5 4 2" xfId="11158" xr:uid="{00000000-0005-0000-0000-0000DFAA0000}"/>
    <cellStyle name="Normal 58 6 2 5 4 2 2" xfId="36713" xr:uid="{00000000-0005-0000-0000-0000E0AA0000}"/>
    <cellStyle name="Normal 58 6 2 5 4 3" xfId="21162" xr:uid="{00000000-0005-0000-0000-0000E1AA0000}"/>
    <cellStyle name="Normal 58 6 2 5 4 3 2" xfId="46715" xr:uid="{00000000-0005-0000-0000-0000E2AA0000}"/>
    <cellStyle name="Normal 58 6 2 5 4 4" xfId="27645" xr:uid="{00000000-0005-0000-0000-0000E3AA0000}"/>
    <cellStyle name="Normal 58 6 2 5 5" xfId="6734" xr:uid="{00000000-0005-0000-0000-0000E4AA0000}"/>
    <cellStyle name="Normal 58 6 2 5 5 2" xfId="15561" xr:uid="{00000000-0005-0000-0000-0000E5AA0000}"/>
    <cellStyle name="Normal 58 6 2 5 5 2 2" xfId="41116" xr:uid="{00000000-0005-0000-0000-0000E6AA0000}"/>
    <cellStyle name="Normal 58 6 2 5 5 3" xfId="25812" xr:uid="{00000000-0005-0000-0000-0000E7AA0000}"/>
    <cellStyle name="Normal 58 6 2 5 5 3 2" xfId="51365" xr:uid="{00000000-0005-0000-0000-0000E8AA0000}"/>
    <cellStyle name="Normal 58 6 2 5 5 4" xfId="32295" xr:uid="{00000000-0005-0000-0000-0000E9AA0000}"/>
    <cellStyle name="Normal 58 6 2 5 6" xfId="8180" xr:uid="{00000000-0005-0000-0000-0000EAAA0000}"/>
    <cellStyle name="Normal 58 6 2 5 6 2" xfId="20570" xr:uid="{00000000-0005-0000-0000-0000EBAA0000}"/>
    <cellStyle name="Normal 58 6 2 5 6 2 2" xfId="46123" xr:uid="{00000000-0005-0000-0000-0000ECAA0000}"/>
    <cellStyle name="Normal 58 6 2 5 6 3" xfId="33737" xr:uid="{00000000-0005-0000-0000-0000EDAA0000}"/>
    <cellStyle name="Normal 58 6 2 5 7" xfId="16155" xr:uid="{00000000-0005-0000-0000-0000EEAA0000}"/>
    <cellStyle name="Normal 58 6 2 5 7 2" xfId="41708" xr:uid="{00000000-0005-0000-0000-0000EFAA0000}"/>
    <cellStyle name="Normal 58 6 2 5 8" xfId="27053" xr:uid="{00000000-0005-0000-0000-0000F0AA0000}"/>
    <cellStyle name="Normal 58 6 2 6" xfId="2684" xr:uid="{00000000-0005-0000-0000-0000F1AA0000}"/>
    <cellStyle name="Normal 58 6 2 6 2" xfId="12001" xr:uid="{00000000-0005-0000-0000-0000F2AA0000}"/>
    <cellStyle name="Normal 58 6 2 6 2 2" xfId="22045" xr:uid="{00000000-0005-0000-0000-0000F3AA0000}"/>
    <cellStyle name="Normal 58 6 2 6 2 2 2" xfId="47598" xr:uid="{00000000-0005-0000-0000-0000F4AA0000}"/>
    <cellStyle name="Normal 58 6 2 6 2 3" xfId="37556" xr:uid="{00000000-0005-0000-0000-0000F5AA0000}"/>
    <cellStyle name="Normal 58 6 2 6 3" xfId="8555" xr:uid="{00000000-0005-0000-0000-0000F6AA0000}"/>
    <cellStyle name="Normal 58 6 2 6 3 2" xfId="34112" xr:uid="{00000000-0005-0000-0000-0000F7AA0000}"/>
    <cellStyle name="Normal 58 6 2 6 4" xfId="17038" xr:uid="{00000000-0005-0000-0000-0000F8AA0000}"/>
    <cellStyle name="Normal 58 6 2 6 4 2" xfId="42591" xr:uid="{00000000-0005-0000-0000-0000F9AA0000}"/>
    <cellStyle name="Normal 58 6 2 6 5" xfId="28528" xr:uid="{00000000-0005-0000-0000-0000FAAA0000}"/>
    <cellStyle name="Normal 58 6 2 7" xfId="4235" xr:uid="{00000000-0005-0000-0000-0000FBAA0000}"/>
    <cellStyle name="Normal 58 6 2 7 2" xfId="13073" xr:uid="{00000000-0005-0000-0000-0000FCAA0000}"/>
    <cellStyle name="Normal 58 6 2 7 2 2" xfId="23324" xr:uid="{00000000-0005-0000-0000-0000FDAA0000}"/>
    <cellStyle name="Normal 58 6 2 7 2 2 2" xfId="48877" xr:uid="{00000000-0005-0000-0000-0000FEAA0000}"/>
    <cellStyle name="Normal 58 6 2 7 2 3" xfId="38628" xr:uid="{00000000-0005-0000-0000-0000FFAA0000}"/>
    <cellStyle name="Normal 58 6 2 7 3" xfId="9494" xr:uid="{00000000-0005-0000-0000-000000AB0000}"/>
    <cellStyle name="Normal 58 6 2 7 3 2" xfId="35051" xr:uid="{00000000-0005-0000-0000-000001AB0000}"/>
    <cellStyle name="Normal 58 6 2 7 4" xfId="18317" xr:uid="{00000000-0005-0000-0000-000002AB0000}"/>
    <cellStyle name="Normal 58 6 2 7 4 2" xfId="43870" xr:uid="{00000000-0005-0000-0000-000003AB0000}"/>
    <cellStyle name="Normal 58 6 2 7 5" xfId="29807" xr:uid="{00000000-0005-0000-0000-000004AB0000}"/>
    <cellStyle name="Normal 58 6 2 8" xfId="1507" xr:uid="{00000000-0005-0000-0000-000005AB0000}"/>
    <cellStyle name="Normal 58 6 2 8 2" xfId="10884" xr:uid="{00000000-0005-0000-0000-000006AB0000}"/>
    <cellStyle name="Normal 58 6 2 8 2 2" xfId="36439" xr:uid="{00000000-0005-0000-0000-000007AB0000}"/>
    <cellStyle name="Normal 58 6 2 8 3" xfId="20888" xr:uid="{00000000-0005-0000-0000-000008AB0000}"/>
    <cellStyle name="Normal 58 6 2 8 3 2" xfId="46441" xr:uid="{00000000-0005-0000-0000-000009AB0000}"/>
    <cellStyle name="Normal 58 6 2 8 4" xfId="27371" xr:uid="{00000000-0005-0000-0000-00000AAB0000}"/>
    <cellStyle name="Normal 58 6 2 9" xfId="5691" xr:uid="{00000000-0005-0000-0000-00000BAB0000}"/>
    <cellStyle name="Normal 58 6 2 9 2" xfId="14518" xr:uid="{00000000-0005-0000-0000-00000CAB0000}"/>
    <cellStyle name="Normal 58 6 2 9 2 2" xfId="40073" xr:uid="{00000000-0005-0000-0000-00000DAB0000}"/>
    <cellStyle name="Normal 58 6 2 9 3" xfId="24769" xr:uid="{00000000-0005-0000-0000-00000EAB0000}"/>
    <cellStyle name="Normal 58 6 2 9 3 2" xfId="50322" xr:uid="{00000000-0005-0000-0000-00000FAB0000}"/>
    <cellStyle name="Normal 58 6 2 9 4" xfId="31252" xr:uid="{00000000-0005-0000-0000-000010AB0000}"/>
    <cellStyle name="Normal 58 6 2_Degree data" xfId="4022" xr:uid="{00000000-0005-0000-0000-000011AB0000}"/>
    <cellStyle name="Normal 58 6 3" xfId="254" xr:uid="{00000000-0005-0000-0000-000012AB0000}"/>
    <cellStyle name="Normal 58 6 3 10" xfId="7092" xr:uid="{00000000-0005-0000-0000-000013AB0000}"/>
    <cellStyle name="Normal 58 6 3 10 2" xfId="19706" xr:uid="{00000000-0005-0000-0000-000014AB0000}"/>
    <cellStyle name="Normal 58 6 3 10 2 2" xfId="45259" xr:uid="{00000000-0005-0000-0000-000015AB0000}"/>
    <cellStyle name="Normal 58 6 3 10 3" xfId="32649" xr:uid="{00000000-0005-0000-0000-000016AB0000}"/>
    <cellStyle name="Normal 58 6 3 11" xfId="15838" xr:uid="{00000000-0005-0000-0000-000017AB0000}"/>
    <cellStyle name="Normal 58 6 3 11 2" xfId="41391" xr:uid="{00000000-0005-0000-0000-000018AB0000}"/>
    <cellStyle name="Normal 58 6 3 12" xfId="26189" xr:uid="{00000000-0005-0000-0000-000019AB0000}"/>
    <cellStyle name="Normal 58 6 3 2" xfId="577" xr:uid="{00000000-0005-0000-0000-00001AAB0000}"/>
    <cellStyle name="Normal 58 6 3 2 10" xfId="26506" xr:uid="{00000000-0005-0000-0000-00001BAB0000}"/>
    <cellStyle name="Normal 58 6 3 2 2" xfId="919" xr:uid="{00000000-0005-0000-0000-00001CAB0000}"/>
    <cellStyle name="Normal 58 6 3 2 2 2" xfId="3404" xr:uid="{00000000-0005-0000-0000-00001DAB0000}"/>
    <cellStyle name="Normal 58 6 3 2 2 2 2" xfId="12546" xr:uid="{00000000-0005-0000-0000-00001EAB0000}"/>
    <cellStyle name="Normal 58 6 3 2 2 2 2 2" xfId="22765" xr:uid="{00000000-0005-0000-0000-00001FAB0000}"/>
    <cellStyle name="Normal 58 6 3 2 2 2 2 2 2" xfId="48318" xr:uid="{00000000-0005-0000-0000-000020AB0000}"/>
    <cellStyle name="Normal 58 6 3 2 2 2 2 3" xfId="38101" xr:uid="{00000000-0005-0000-0000-000021AB0000}"/>
    <cellStyle name="Normal 58 6 3 2 2 2 3" xfId="8968" xr:uid="{00000000-0005-0000-0000-000022AB0000}"/>
    <cellStyle name="Normal 58 6 3 2 2 2 3 2" xfId="34525" xr:uid="{00000000-0005-0000-0000-000023AB0000}"/>
    <cellStyle name="Normal 58 6 3 2 2 2 4" xfId="17758" xr:uid="{00000000-0005-0000-0000-000024AB0000}"/>
    <cellStyle name="Normal 58 6 3 2 2 2 4 2" xfId="43311" xr:uid="{00000000-0005-0000-0000-000025AB0000}"/>
    <cellStyle name="Normal 58 6 3 2 2 2 5" xfId="29248" xr:uid="{00000000-0005-0000-0000-000026AB0000}"/>
    <cellStyle name="Normal 58 6 3 2 2 3" xfId="4733" xr:uid="{00000000-0005-0000-0000-000027AB0000}"/>
    <cellStyle name="Normal 58 6 3 2 2 3 2" xfId="13571" xr:uid="{00000000-0005-0000-0000-000028AB0000}"/>
    <cellStyle name="Normal 58 6 3 2 2 3 2 2" xfId="23822" xr:uid="{00000000-0005-0000-0000-000029AB0000}"/>
    <cellStyle name="Normal 58 6 3 2 2 3 2 2 2" xfId="49375" xr:uid="{00000000-0005-0000-0000-00002AAB0000}"/>
    <cellStyle name="Normal 58 6 3 2 2 3 2 3" xfId="39126" xr:uid="{00000000-0005-0000-0000-00002BAB0000}"/>
    <cellStyle name="Normal 58 6 3 2 2 3 3" xfId="9992" xr:uid="{00000000-0005-0000-0000-00002CAB0000}"/>
    <cellStyle name="Normal 58 6 3 2 2 3 3 2" xfId="35549" xr:uid="{00000000-0005-0000-0000-00002DAB0000}"/>
    <cellStyle name="Normal 58 6 3 2 2 3 4" xfId="18815" xr:uid="{00000000-0005-0000-0000-00002EAB0000}"/>
    <cellStyle name="Normal 58 6 3 2 2 3 4 2" xfId="44368" xr:uid="{00000000-0005-0000-0000-00002FAB0000}"/>
    <cellStyle name="Normal 58 6 3 2 2 3 5" xfId="30305" xr:uid="{00000000-0005-0000-0000-000030AB0000}"/>
    <cellStyle name="Normal 58 6 3 2 2 4" xfId="2513" xr:uid="{00000000-0005-0000-0000-000031AB0000}"/>
    <cellStyle name="Normal 58 6 3 2 2 4 2" xfId="11878" xr:uid="{00000000-0005-0000-0000-000032AB0000}"/>
    <cellStyle name="Normal 58 6 3 2 2 4 2 2" xfId="37433" xr:uid="{00000000-0005-0000-0000-000033AB0000}"/>
    <cellStyle name="Normal 58 6 3 2 2 4 3" xfId="21882" xr:uid="{00000000-0005-0000-0000-000034AB0000}"/>
    <cellStyle name="Normal 58 6 3 2 2 4 3 2" xfId="47435" xr:uid="{00000000-0005-0000-0000-000035AB0000}"/>
    <cellStyle name="Normal 58 6 3 2 2 4 4" xfId="28365" xr:uid="{00000000-0005-0000-0000-000036AB0000}"/>
    <cellStyle name="Normal 58 6 3 2 2 5" xfId="6189" xr:uid="{00000000-0005-0000-0000-000037AB0000}"/>
    <cellStyle name="Normal 58 6 3 2 2 5 2" xfId="15016" xr:uid="{00000000-0005-0000-0000-000038AB0000}"/>
    <cellStyle name="Normal 58 6 3 2 2 5 2 2" xfId="40571" xr:uid="{00000000-0005-0000-0000-000039AB0000}"/>
    <cellStyle name="Normal 58 6 3 2 2 5 3" xfId="25267" xr:uid="{00000000-0005-0000-0000-00003AAB0000}"/>
    <cellStyle name="Normal 58 6 3 2 2 5 3 2" xfId="50820" xr:uid="{00000000-0005-0000-0000-00003BAB0000}"/>
    <cellStyle name="Normal 58 6 3 2 2 5 4" xfId="31750" xr:uid="{00000000-0005-0000-0000-00003CAB0000}"/>
    <cellStyle name="Normal 58 6 3 2 2 6" xfId="7634" xr:uid="{00000000-0005-0000-0000-00003DAB0000}"/>
    <cellStyle name="Normal 58 6 3 2 2 6 2" xfId="20364" xr:uid="{00000000-0005-0000-0000-00003EAB0000}"/>
    <cellStyle name="Normal 58 6 3 2 2 6 2 2" xfId="45917" xr:uid="{00000000-0005-0000-0000-00003FAB0000}"/>
    <cellStyle name="Normal 58 6 3 2 2 6 3" xfId="33191" xr:uid="{00000000-0005-0000-0000-000040AB0000}"/>
    <cellStyle name="Normal 58 6 3 2 2 7" xfId="16875" xr:uid="{00000000-0005-0000-0000-000041AB0000}"/>
    <cellStyle name="Normal 58 6 3 2 2 7 2" xfId="42428" xr:uid="{00000000-0005-0000-0000-000042AB0000}"/>
    <cellStyle name="Normal 58 6 3 2 2 8" xfId="26847" xr:uid="{00000000-0005-0000-0000-000043AB0000}"/>
    <cellStyle name="Normal 58 6 3 2 3" xfId="1349" xr:uid="{00000000-0005-0000-0000-000044AB0000}"/>
    <cellStyle name="Normal 58 6 3 2 3 2" xfId="3778" xr:uid="{00000000-0005-0000-0000-000045AB0000}"/>
    <cellStyle name="Normal 58 6 3 2 3 2 2" xfId="12914" xr:uid="{00000000-0005-0000-0000-000046AB0000}"/>
    <cellStyle name="Normal 58 6 3 2 3 2 2 2" xfId="23133" xr:uid="{00000000-0005-0000-0000-000047AB0000}"/>
    <cellStyle name="Normal 58 6 3 2 3 2 2 2 2" xfId="48686" xr:uid="{00000000-0005-0000-0000-000048AB0000}"/>
    <cellStyle name="Normal 58 6 3 2 3 2 2 3" xfId="38469" xr:uid="{00000000-0005-0000-0000-000049AB0000}"/>
    <cellStyle name="Normal 58 6 3 2 3 2 3" xfId="9335" xr:uid="{00000000-0005-0000-0000-00004AAB0000}"/>
    <cellStyle name="Normal 58 6 3 2 3 2 3 2" xfId="34892" xr:uid="{00000000-0005-0000-0000-00004BAB0000}"/>
    <cellStyle name="Normal 58 6 3 2 3 2 4" xfId="18126" xr:uid="{00000000-0005-0000-0000-00004CAB0000}"/>
    <cellStyle name="Normal 58 6 3 2 3 2 4 2" xfId="43679" xr:uid="{00000000-0005-0000-0000-00004DAB0000}"/>
    <cellStyle name="Normal 58 6 3 2 3 2 5" xfId="29616" xr:uid="{00000000-0005-0000-0000-00004EAB0000}"/>
    <cellStyle name="Normal 58 6 3 2 3 3" xfId="5082" xr:uid="{00000000-0005-0000-0000-00004FAB0000}"/>
    <cellStyle name="Normal 58 6 3 2 3 3 2" xfId="13919" xr:uid="{00000000-0005-0000-0000-000050AB0000}"/>
    <cellStyle name="Normal 58 6 3 2 3 3 2 2" xfId="24170" xr:uid="{00000000-0005-0000-0000-000051AB0000}"/>
    <cellStyle name="Normal 58 6 3 2 3 3 2 2 2" xfId="49723" xr:uid="{00000000-0005-0000-0000-000052AB0000}"/>
    <cellStyle name="Normal 58 6 3 2 3 3 2 3" xfId="39474" xr:uid="{00000000-0005-0000-0000-000053AB0000}"/>
    <cellStyle name="Normal 58 6 3 2 3 3 3" xfId="10340" xr:uid="{00000000-0005-0000-0000-000054AB0000}"/>
    <cellStyle name="Normal 58 6 3 2 3 3 3 2" xfId="35897" xr:uid="{00000000-0005-0000-0000-000055AB0000}"/>
    <cellStyle name="Normal 58 6 3 2 3 3 4" xfId="19163" xr:uid="{00000000-0005-0000-0000-000056AB0000}"/>
    <cellStyle name="Normal 58 6 3 2 3 3 4 2" xfId="44716" xr:uid="{00000000-0005-0000-0000-000057AB0000}"/>
    <cellStyle name="Normal 58 6 3 2 3 3 5" xfId="30653" xr:uid="{00000000-0005-0000-0000-000058AB0000}"/>
    <cellStyle name="Normal 58 6 3 2 3 4" xfId="2172" xr:uid="{00000000-0005-0000-0000-000059AB0000}"/>
    <cellStyle name="Normal 58 6 3 2 3 4 2" xfId="11537" xr:uid="{00000000-0005-0000-0000-00005AAB0000}"/>
    <cellStyle name="Normal 58 6 3 2 3 4 2 2" xfId="37092" xr:uid="{00000000-0005-0000-0000-00005BAB0000}"/>
    <cellStyle name="Normal 58 6 3 2 3 4 3" xfId="21541" xr:uid="{00000000-0005-0000-0000-00005CAB0000}"/>
    <cellStyle name="Normal 58 6 3 2 3 4 3 2" xfId="47094" xr:uid="{00000000-0005-0000-0000-00005DAB0000}"/>
    <cellStyle name="Normal 58 6 3 2 3 4 4" xfId="28024" xr:uid="{00000000-0005-0000-0000-00005EAB0000}"/>
    <cellStyle name="Normal 58 6 3 2 3 5" xfId="6537" xr:uid="{00000000-0005-0000-0000-00005FAB0000}"/>
    <cellStyle name="Normal 58 6 3 2 3 5 2" xfId="15364" xr:uid="{00000000-0005-0000-0000-000060AB0000}"/>
    <cellStyle name="Normal 58 6 3 2 3 5 2 2" xfId="40919" xr:uid="{00000000-0005-0000-0000-000061AB0000}"/>
    <cellStyle name="Normal 58 6 3 2 3 5 3" xfId="25615" xr:uid="{00000000-0005-0000-0000-000062AB0000}"/>
    <cellStyle name="Normal 58 6 3 2 3 5 3 2" xfId="51168" xr:uid="{00000000-0005-0000-0000-000063AB0000}"/>
    <cellStyle name="Normal 58 6 3 2 3 5 4" xfId="32098" xr:uid="{00000000-0005-0000-0000-000064AB0000}"/>
    <cellStyle name="Normal 58 6 3 2 3 6" xfId="7983" xr:uid="{00000000-0005-0000-0000-000065AB0000}"/>
    <cellStyle name="Normal 58 6 3 2 3 6 2" xfId="20732" xr:uid="{00000000-0005-0000-0000-000066AB0000}"/>
    <cellStyle name="Normal 58 6 3 2 3 6 2 2" xfId="46285" xr:uid="{00000000-0005-0000-0000-000067AB0000}"/>
    <cellStyle name="Normal 58 6 3 2 3 6 3" xfId="33540" xr:uid="{00000000-0005-0000-0000-000068AB0000}"/>
    <cellStyle name="Normal 58 6 3 2 3 7" xfId="16534" xr:uid="{00000000-0005-0000-0000-000069AB0000}"/>
    <cellStyle name="Normal 58 6 3 2 3 7 2" xfId="42087" xr:uid="{00000000-0005-0000-0000-00006AAB0000}"/>
    <cellStyle name="Normal 58 6 3 2 3 8" xfId="27215" xr:uid="{00000000-0005-0000-0000-00006BAB0000}"/>
    <cellStyle name="Normal 58 6 3 2 4" xfId="3063" xr:uid="{00000000-0005-0000-0000-00006CAB0000}"/>
    <cellStyle name="Normal 58 6 3 2 4 2" xfId="5441" xr:uid="{00000000-0005-0000-0000-00006DAB0000}"/>
    <cellStyle name="Normal 58 6 3 2 4 2 2" xfId="14278" xr:uid="{00000000-0005-0000-0000-00006EAB0000}"/>
    <cellStyle name="Normal 58 6 3 2 4 2 2 2" xfId="24529" xr:uid="{00000000-0005-0000-0000-00006FAB0000}"/>
    <cellStyle name="Normal 58 6 3 2 4 2 2 2 2" xfId="50082" xr:uid="{00000000-0005-0000-0000-000070AB0000}"/>
    <cellStyle name="Normal 58 6 3 2 4 2 2 3" xfId="39833" xr:uid="{00000000-0005-0000-0000-000071AB0000}"/>
    <cellStyle name="Normal 58 6 3 2 4 2 3" xfId="10699" xr:uid="{00000000-0005-0000-0000-000072AB0000}"/>
    <cellStyle name="Normal 58 6 3 2 4 2 3 2" xfId="36256" xr:uid="{00000000-0005-0000-0000-000073AB0000}"/>
    <cellStyle name="Normal 58 6 3 2 4 2 4" xfId="19522" xr:uid="{00000000-0005-0000-0000-000074AB0000}"/>
    <cellStyle name="Normal 58 6 3 2 4 2 4 2" xfId="45075" xr:uid="{00000000-0005-0000-0000-000075AB0000}"/>
    <cellStyle name="Normal 58 6 3 2 4 2 5" xfId="31012" xr:uid="{00000000-0005-0000-0000-000076AB0000}"/>
    <cellStyle name="Normal 58 6 3 2 4 3" xfId="6896" xr:uid="{00000000-0005-0000-0000-000077AB0000}"/>
    <cellStyle name="Normal 58 6 3 2 4 3 2" xfId="15723" xr:uid="{00000000-0005-0000-0000-000078AB0000}"/>
    <cellStyle name="Normal 58 6 3 2 4 3 2 2" xfId="41278" xr:uid="{00000000-0005-0000-0000-000079AB0000}"/>
    <cellStyle name="Normal 58 6 3 2 4 3 3" xfId="25974" xr:uid="{00000000-0005-0000-0000-00007AAB0000}"/>
    <cellStyle name="Normal 58 6 3 2 4 3 3 2" xfId="51527" xr:uid="{00000000-0005-0000-0000-00007BAB0000}"/>
    <cellStyle name="Normal 58 6 3 2 4 3 4" xfId="32457" xr:uid="{00000000-0005-0000-0000-00007CAB0000}"/>
    <cellStyle name="Normal 58 6 3 2 4 4" xfId="8342" xr:uid="{00000000-0005-0000-0000-00007DAB0000}"/>
    <cellStyle name="Normal 58 6 3 2 4 4 2" xfId="22424" xr:uid="{00000000-0005-0000-0000-00007EAB0000}"/>
    <cellStyle name="Normal 58 6 3 2 4 4 2 2" xfId="47977" xr:uid="{00000000-0005-0000-0000-00007FAB0000}"/>
    <cellStyle name="Normal 58 6 3 2 4 4 3" xfId="33899" xr:uid="{00000000-0005-0000-0000-000080AB0000}"/>
    <cellStyle name="Normal 58 6 3 2 4 5" xfId="17417" xr:uid="{00000000-0005-0000-0000-000081AB0000}"/>
    <cellStyle name="Normal 58 6 3 2 4 5 2" xfId="42970" xr:uid="{00000000-0005-0000-0000-000082AB0000}"/>
    <cellStyle name="Normal 58 6 3 2 4 6" xfId="28907" xr:uid="{00000000-0005-0000-0000-000083AB0000}"/>
    <cellStyle name="Normal 58 6 3 2 5" xfId="4397" xr:uid="{00000000-0005-0000-0000-000084AB0000}"/>
    <cellStyle name="Normal 58 6 3 2 5 2" xfId="13235" xr:uid="{00000000-0005-0000-0000-000085AB0000}"/>
    <cellStyle name="Normal 58 6 3 2 5 2 2" xfId="23486" xr:uid="{00000000-0005-0000-0000-000086AB0000}"/>
    <cellStyle name="Normal 58 6 3 2 5 2 2 2" xfId="49039" xr:uid="{00000000-0005-0000-0000-000087AB0000}"/>
    <cellStyle name="Normal 58 6 3 2 5 2 3" xfId="38790" xr:uid="{00000000-0005-0000-0000-000088AB0000}"/>
    <cellStyle name="Normal 58 6 3 2 5 3" xfId="9656" xr:uid="{00000000-0005-0000-0000-000089AB0000}"/>
    <cellStyle name="Normal 58 6 3 2 5 3 2" xfId="35213" xr:uid="{00000000-0005-0000-0000-00008AAB0000}"/>
    <cellStyle name="Normal 58 6 3 2 5 4" xfId="18479" xr:uid="{00000000-0005-0000-0000-00008BAB0000}"/>
    <cellStyle name="Normal 58 6 3 2 5 4 2" xfId="44032" xr:uid="{00000000-0005-0000-0000-00008CAB0000}"/>
    <cellStyle name="Normal 58 6 3 2 5 5" xfId="29969" xr:uid="{00000000-0005-0000-0000-00008DAB0000}"/>
    <cellStyle name="Normal 58 6 3 2 6" xfId="1669" xr:uid="{00000000-0005-0000-0000-00008EAB0000}"/>
    <cellStyle name="Normal 58 6 3 2 6 2" xfId="11046" xr:uid="{00000000-0005-0000-0000-00008FAB0000}"/>
    <cellStyle name="Normal 58 6 3 2 6 2 2" xfId="36601" xr:uid="{00000000-0005-0000-0000-000090AB0000}"/>
    <cellStyle name="Normal 58 6 3 2 6 3" xfId="21050" xr:uid="{00000000-0005-0000-0000-000091AB0000}"/>
    <cellStyle name="Normal 58 6 3 2 6 3 2" xfId="46603" xr:uid="{00000000-0005-0000-0000-000092AB0000}"/>
    <cellStyle name="Normal 58 6 3 2 6 4" xfId="27533" xr:uid="{00000000-0005-0000-0000-000093AB0000}"/>
    <cellStyle name="Normal 58 6 3 2 7" xfId="5853" xr:uid="{00000000-0005-0000-0000-000094AB0000}"/>
    <cellStyle name="Normal 58 6 3 2 7 2" xfId="14680" xr:uid="{00000000-0005-0000-0000-000095AB0000}"/>
    <cellStyle name="Normal 58 6 3 2 7 2 2" xfId="40235" xr:uid="{00000000-0005-0000-0000-000096AB0000}"/>
    <cellStyle name="Normal 58 6 3 2 7 3" xfId="24931" xr:uid="{00000000-0005-0000-0000-000097AB0000}"/>
    <cellStyle name="Normal 58 6 3 2 7 3 2" xfId="50484" xr:uid="{00000000-0005-0000-0000-000098AB0000}"/>
    <cellStyle name="Normal 58 6 3 2 7 4" xfId="31414" xr:uid="{00000000-0005-0000-0000-000099AB0000}"/>
    <cellStyle name="Normal 58 6 3 2 8" xfId="7297" xr:uid="{00000000-0005-0000-0000-00009AAB0000}"/>
    <cellStyle name="Normal 58 6 3 2 8 2" xfId="20023" xr:uid="{00000000-0005-0000-0000-00009BAB0000}"/>
    <cellStyle name="Normal 58 6 3 2 8 2 2" xfId="45576" xr:uid="{00000000-0005-0000-0000-00009CAB0000}"/>
    <cellStyle name="Normal 58 6 3 2 8 3" xfId="32854" xr:uid="{00000000-0005-0000-0000-00009DAB0000}"/>
    <cellStyle name="Normal 58 6 3 2 9" xfId="16043" xr:uid="{00000000-0005-0000-0000-00009EAB0000}"/>
    <cellStyle name="Normal 58 6 3 2 9 2" xfId="41596" xr:uid="{00000000-0005-0000-0000-00009FAB0000}"/>
    <cellStyle name="Normal 58 6 3 2_Degree data" xfId="4025" xr:uid="{00000000-0005-0000-0000-0000A0AB0000}"/>
    <cellStyle name="Normal 58 6 3 3" xfId="372" xr:uid="{00000000-0005-0000-0000-0000A1AB0000}"/>
    <cellStyle name="Normal 58 6 3 3 2" xfId="2858" xr:uid="{00000000-0005-0000-0000-0000A2AB0000}"/>
    <cellStyle name="Normal 58 6 3 3 2 2" xfId="12146" xr:uid="{00000000-0005-0000-0000-0000A3AB0000}"/>
    <cellStyle name="Normal 58 6 3 3 2 2 2" xfId="22219" xr:uid="{00000000-0005-0000-0000-0000A4AB0000}"/>
    <cellStyle name="Normal 58 6 3 3 2 2 2 2" xfId="47772" xr:uid="{00000000-0005-0000-0000-0000A5AB0000}"/>
    <cellStyle name="Normal 58 6 3 3 2 2 3" xfId="37701" xr:uid="{00000000-0005-0000-0000-0000A6AB0000}"/>
    <cellStyle name="Normal 58 6 3 3 2 3" xfId="8522" xr:uid="{00000000-0005-0000-0000-0000A7AB0000}"/>
    <cellStyle name="Normal 58 6 3 3 2 3 2" xfId="34079" xr:uid="{00000000-0005-0000-0000-0000A8AB0000}"/>
    <cellStyle name="Normal 58 6 3 3 2 4" xfId="17212" xr:uid="{00000000-0005-0000-0000-0000A9AB0000}"/>
    <cellStyle name="Normal 58 6 3 3 2 4 2" xfId="42765" xr:uid="{00000000-0005-0000-0000-0000AAAB0000}"/>
    <cellStyle name="Normal 58 6 3 3 2 5" xfId="28702" xr:uid="{00000000-0005-0000-0000-0000ABAB0000}"/>
    <cellStyle name="Normal 58 6 3 3 3" xfId="4732" xr:uid="{00000000-0005-0000-0000-0000ACAB0000}"/>
    <cellStyle name="Normal 58 6 3 3 3 2" xfId="13570" xr:uid="{00000000-0005-0000-0000-0000ADAB0000}"/>
    <cellStyle name="Normal 58 6 3 3 3 2 2" xfId="23821" xr:uid="{00000000-0005-0000-0000-0000AEAB0000}"/>
    <cellStyle name="Normal 58 6 3 3 3 2 2 2" xfId="49374" xr:uid="{00000000-0005-0000-0000-0000AFAB0000}"/>
    <cellStyle name="Normal 58 6 3 3 3 2 3" xfId="39125" xr:uid="{00000000-0005-0000-0000-0000B0AB0000}"/>
    <cellStyle name="Normal 58 6 3 3 3 3" xfId="9991" xr:uid="{00000000-0005-0000-0000-0000B1AB0000}"/>
    <cellStyle name="Normal 58 6 3 3 3 3 2" xfId="35548" xr:uid="{00000000-0005-0000-0000-0000B2AB0000}"/>
    <cellStyle name="Normal 58 6 3 3 3 4" xfId="18814" xr:uid="{00000000-0005-0000-0000-0000B3AB0000}"/>
    <cellStyle name="Normal 58 6 3 3 3 4 2" xfId="44367" xr:uid="{00000000-0005-0000-0000-0000B4AB0000}"/>
    <cellStyle name="Normal 58 6 3 3 3 5" xfId="30304" xr:uid="{00000000-0005-0000-0000-0000B5AB0000}"/>
    <cellStyle name="Normal 58 6 3 3 4" xfId="1967" xr:uid="{00000000-0005-0000-0000-0000B6AB0000}"/>
    <cellStyle name="Normal 58 6 3 3 4 2" xfId="11332" xr:uid="{00000000-0005-0000-0000-0000B7AB0000}"/>
    <cellStyle name="Normal 58 6 3 3 4 2 2" xfId="36887" xr:uid="{00000000-0005-0000-0000-0000B8AB0000}"/>
    <cellStyle name="Normal 58 6 3 3 4 3" xfId="21336" xr:uid="{00000000-0005-0000-0000-0000B9AB0000}"/>
    <cellStyle name="Normal 58 6 3 3 4 3 2" xfId="46889" xr:uid="{00000000-0005-0000-0000-0000BAAB0000}"/>
    <cellStyle name="Normal 58 6 3 3 4 4" xfId="27819" xr:uid="{00000000-0005-0000-0000-0000BBAB0000}"/>
    <cellStyle name="Normal 58 6 3 3 5" xfId="6188" xr:uid="{00000000-0005-0000-0000-0000BCAB0000}"/>
    <cellStyle name="Normal 58 6 3 3 5 2" xfId="15015" xr:uid="{00000000-0005-0000-0000-0000BDAB0000}"/>
    <cellStyle name="Normal 58 6 3 3 5 2 2" xfId="40570" xr:uid="{00000000-0005-0000-0000-0000BEAB0000}"/>
    <cellStyle name="Normal 58 6 3 3 5 3" xfId="25266" xr:uid="{00000000-0005-0000-0000-0000BFAB0000}"/>
    <cellStyle name="Normal 58 6 3 3 5 3 2" xfId="50819" xr:uid="{00000000-0005-0000-0000-0000C0AB0000}"/>
    <cellStyle name="Normal 58 6 3 3 5 4" xfId="31749" xr:uid="{00000000-0005-0000-0000-0000C1AB0000}"/>
    <cellStyle name="Normal 58 6 3 3 6" xfId="7633" xr:uid="{00000000-0005-0000-0000-0000C2AB0000}"/>
    <cellStyle name="Normal 58 6 3 3 6 2" xfId="19818" xr:uid="{00000000-0005-0000-0000-0000C3AB0000}"/>
    <cellStyle name="Normal 58 6 3 3 6 2 2" xfId="45371" xr:uid="{00000000-0005-0000-0000-0000C4AB0000}"/>
    <cellStyle name="Normal 58 6 3 3 6 3" xfId="33190" xr:uid="{00000000-0005-0000-0000-0000C5AB0000}"/>
    <cellStyle name="Normal 58 6 3 3 7" xfId="16329" xr:uid="{00000000-0005-0000-0000-0000C6AB0000}"/>
    <cellStyle name="Normal 58 6 3 3 7 2" xfId="41882" xr:uid="{00000000-0005-0000-0000-0000C7AB0000}"/>
    <cellStyle name="Normal 58 6 3 3 8" xfId="26301" xr:uid="{00000000-0005-0000-0000-0000C8AB0000}"/>
    <cellStyle name="Normal 58 6 3 4" xfId="918" xr:uid="{00000000-0005-0000-0000-0000C9AB0000}"/>
    <cellStyle name="Normal 58 6 3 4 2" xfId="3403" xr:uid="{00000000-0005-0000-0000-0000CAAB0000}"/>
    <cellStyle name="Normal 58 6 3 4 2 2" xfId="12545" xr:uid="{00000000-0005-0000-0000-0000CBAB0000}"/>
    <cellStyle name="Normal 58 6 3 4 2 2 2" xfId="22764" xr:uid="{00000000-0005-0000-0000-0000CCAB0000}"/>
    <cellStyle name="Normal 58 6 3 4 2 2 2 2" xfId="48317" xr:uid="{00000000-0005-0000-0000-0000CDAB0000}"/>
    <cellStyle name="Normal 58 6 3 4 2 2 3" xfId="38100" xr:uid="{00000000-0005-0000-0000-0000CEAB0000}"/>
    <cellStyle name="Normal 58 6 3 4 2 3" xfId="8967" xr:uid="{00000000-0005-0000-0000-0000CFAB0000}"/>
    <cellStyle name="Normal 58 6 3 4 2 3 2" xfId="34524" xr:uid="{00000000-0005-0000-0000-0000D0AB0000}"/>
    <cellStyle name="Normal 58 6 3 4 2 4" xfId="17757" xr:uid="{00000000-0005-0000-0000-0000D1AB0000}"/>
    <cellStyle name="Normal 58 6 3 4 2 4 2" xfId="43310" xr:uid="{00000000-0005-0000-0000-0000D2AB0000}"/>
    <cellStyle name="Normal 58 6 3 4 2 5" xfId="29247" xr:uid="{00000000-0005-0000-0000-0000D3AB0000}"/>
    <cellStyle name="Normal 58 6 3 4 3" xfId="5081" xr:uid="{00000000-0005-0000-0000-0000D4AB0000}"/>
    <cellStyle name="Normal 58 6 3 4 3 2" xfId="13918" xr:uid="{00000000-0005-0000-0000-0000D5AB0000}"/>
    <cellStyle name="Normal 58 6 3 4 3 2 2" xfId="24169" xr:uid="{00000000-0005-0000-0000-0000D6AB0000}"/>
    <cellStyle name="Normal 58 6 3 4 3 2 2 2" xfId="49722" xr:uid="{00000000-0005-0000-0000-0000D7AB0000}"/>
    <cellStyle name="Normal 58 6 3 4 3 2 3" xfId="39473" xr:uid="{00000000-0005-0000-0000-0000D8AB0000}"/>
    <cellStyle name="Normal 58 6 3 4 3 3" xfId="10339" xr:uid="{00000000-0005-0000-0000-0000D9AB0000}"/>
    <cellStyle name="Normal 58 6 3 4 3 3 2" xfId="35896" xr:uid="{00000000-0005-0000-0000-0000DAAB0000}"/>
    <cellStyle name="Normal 58 6 3 4 3 4" xfId="19162" xr:uid="{00000000-0005-0000-0000-0000DBAB0000}"/>
    <cellStyle name="Normal 58 6 3 4 3 4 2" xfId="44715" xr:uid="{00000000-0005-0000-0000-0000DCAB0000}"/>
    <cellStyle name="Normal 58 6 3 4 3 5" xfId="30652" xr:uid="{00000000-0005-0000-0000-0000DDAB0000}"/>
    <cellStyle name="Normal 58 6 3 4 4" xfId="2512" xr:uid="{00000000-0005-0000-0000-0000DEAB0000}"/>
    <cellStyle name="Normal 58 6 3 4 4 2" xfId="11877" xr:uid="{00000000-0005-0000-0000-0000DFAB0000}"/>
    <cellStyle name="Normal 58 6 3 4 4 2 2" xfId="37432" xr:uid="{00000000-0005-0000-0000-0000E0AB0000}"/>
    <cellStyle name="Normal 58 6 3 4 4 3" xfId="21881" xr:uid="{00000000-0005-0000-0000-0000E1AB0000}"/>
    <cellStyle name="Normal 58 6 3 4 4 3 2" xfId="47434" xr:uid="{00000000-0005-0000-0000-0000E2AB0000}"/>
    <cellStyle name="Normal 58 6 3 4 4 4" xfId="28364" xr:uid="{00000000-0005-0000-0000-0000E3AB0000}"/>
    <cellStyle name="Normal 58 6 3 4 5" xfId="6536" xr:uid="{00000000-0005-0000-0000-0000E4AB0000}"/>
    <cellStyle name="Normal 58 6 3 4 5 2" xfId="15363" xr:uid="{00000000-0005-0000-0000-0000E5AB0000}"/>
    <cellStyle name="Normal 58 6 3 4 5 2 2" xfId="40918" xr:uid="{00000000-0005-0000-0000-0000E6AB0000}"/>
    <cellStyle name="Normal 58 6 3 4 5 3" xfId="25614" xr:uid="{00000000-0005-0000-0000-0000E7AB0000}"/>
    <cellStyle name="Normal 58 6 3 4 5 3 2" xfId="51167" xr:uid="{00000000-0005-0000-0000-0000E8AB0000}"/>
    <cellStyle name="Normal 58 6 3 4 5 4" xfId="32097" xr:uid="{00000000-0005-0000-0000-0000E9AB0000}"/>
    <cellStyle name="Normal 58 6 3 4 6" xfId="7982" xr:uid="{00000000-0005-0000-0000-0000EAAB0000}"/>
    <cellStyle name="Normal 58 6 3 4 6 2" xfId="20363" xr:uid="{00000000-0005-0000-0000-0000EBAB0000}"/>
    <cellStyle name="Normal 58 6 3 4 6 2 2" xfId="45916" xr:uid="{00000000-0005-0000-0000-0000ECAB0000}"/>
    <cellStyle name="Normal 58 6 3 4 6 3" xfId="33539" xr:uid="{00000000-0005-0000-0000-0000EDAB0000}"/>
    <cellStyle name="Normal 58 6 3 4 7" xfId="16874" xr:uid="{00000000-0005-0000-0000-0000EEAB0000}"/>
    <cellStyle name="Normal 58 6 3 4 7 2" xfId="42427" xr:uid="{00000000-0005-0000-0000-0000EFAB0000}"/>
    <cellStyle name="Normal 58 6 3 4 8" xfId="26846" xr:uid="{00000000-0005-0000-0000-0000F0AB0000}"/>
    <cellStyle name="Normal 58 6 3 5" xfId="1144" xr:uid="{00000000-0005-0000-0000-0000F1AB0000}"/>
    <cellStyle name="Normal 58 6 3 5 2" xfId="3573" xr:uid="{00000000-0005-0000-0000-0000F2AB0000}"/>
    <cellStyle name="Normal 58 6 3 5 2 2" xfId="12709" xr:uid="{00000000-0005-0000-0000-0000F3AB0000}"/>
    <cellStyle name="Normal 58 6 3 5 2 2 2" xfId="22928" xr:uid="{00000000-0005-0000-0000-0000F4AB0000}"/>
    <cellStyle name="Normal 58 6 3 5 2 2 2 2" xfId="48481" xr:uid="{00000000-0005-0000-0000-0000F5AB0000}"/>
    <cellStyle name="Normal 58 6 3 5 2 2 3" xfId="38264" xr:uid="{00000000-0005-0000-0000-0000F6AB0000}"/>
    <cellStyle name="Normal 58 6 3 5 2 3" xfId="9130" xr:uid="{00000000-0005-0000-0000-0000F7AB0000}"/>
    <cellStyle name="Normal 58 6 3 5 2 3 2" xfId="34687" xr:uid="{00000000-0005-0000-0000-0000F8AB0000}"/>
    <cellStyle name="Normal 58 6 3 5 2 4" xfId="17921" xr:uid="{00000000-0005-0000-0000-0000F9AB0000}"/>
    <cellStyle name="Normal 58 6 3 5 2 4 2" xfId="43474" xr:uid="{00000000-0005-0000-0000-0000FAAB0000}"/>
    <cellStyle name="Normal 58 6 3 5 2 5" xfId="29411" xr:uid="{00000000-0005-0000-0000-0000FBAB0000}"/>
    <cellStyle name="Normal 58 6 3 5 3" xfId="5236" xr:uid="{00000000-0005-0000-0000-0000FCAB0000}"/>
    <cellStyle name="Normal 58 6 3 5 3 2" xfId="14073" xr:uid="{00000000-0005-0000-0000-0000FDAB0000}"/>
    <cellStyle name="Normal 58 6 3 5 3 2 2" xfId="24324" xr:uid="{00000000-0005-0000-0000-0000FEAB0000}"/>
    <cellStyle name="Normal 58 6 3 5 3 2 2 2" xfId="49877" xr:uid="{00000000-0005-0000-0000-0000FFAB0000}"/>
    <cellStyle name="Normal 58 6 3 5 3 2 3" xfId="39628" xr:uid="{00000000-0005-0000-0000-000000AC0000}"/>
    <cellStyle name="Normal 58 6 3 5 3 3" xfId="10494" xr:uid="{00000000-0005-0000-0000-000001AC0000}"/>
    <cellStyle name="Normal 58 6 3 5 3 3 2" xfId="36051" xr:uid="{00000000-0005-0000-0000-000002AC0000}"/>
    <cellStyle name="Normal 58 6 3 5 3 4" xfId="19317" xr:uid="{00000000-0005-0000-0000-000003AC0000}"/>
    <cellStyle name="Normal 58 6 3 5 3 4 2" xfId="44870" xr:uid="{00000000-0005-0000-0000-000004AC0000}"/>
    <cellStyle name="Normal 58 6 3 5 3 5" xfId="30807" xr:uid="{00000000-0005-0000-0000-000005AC0000}"/>
    <cellStyle name="Normal 58 6 3 5 4" xfId="1852" xr:uid="{00000000-0005-0000-0000-000006AC0000}"/>
    <cellStyle name="Normal 58 6 3 5 4 2" xfId="11220" xr:uid="{00000000-0005-0000-0000-000007AC0000}"/>
    <cellStyle name="Normal 58 6 3 5 4 2 2" xfId="36775" xr:uid="{00000000-0005-0000-0000-000008AC0000}"/>
    <cellStyle name="Normal 58 6 3 5 4 3" xfId="21224" xr:uid="{00000000-0005-0000-0000-000009AC0000}"/>
    <cellStyle name="Normal 58 6 3 5 4 3 2" xfId="46777" xr:uid="{00000000-0005-0000-0000-00000AAC0000}"/>
    <cellStyle name="Normal 58 6 3 5 4 4" xfId="27707" xr:uid="{00000000-0005-0000-0000-00000BAC0000}"/>
    <cellStyle name="Normal 58 6 3 5 5" xfId="6691" xr:uid="{00000000-0005-0000-0000-00000CAC0000}"/>
    <cellStyle name="Normal 58 6 3 5 5 2" xfId="15518" xr:uid="{00000000-0005-0000-0000-00000DAC0000}"/>
    <cellStyle name="Normal 58 6 3 5 5 2 2" xfId="41073" xr:uid="{00000000-0005-0000-0000-00000EAC0000}"/>
    <cellStyle name="Normal 58 6 3 5 5 3" xfId="25769" xr:uid="{00000000-0005-0000-0000-00000FAC0000}"/>
    <cellStyle name="Normal 58 6 3 5 5 3 2" xfId="51322" xr:uid="{00000000-0005-0000-0000-000010AC0000}"/>
    <cellStyle name="Normal 58 6 3 5 5 4" xfId="32252" xr:uid="{00000000-0005-0000-0000-000011AC0000}"/>
    <cellStyle name="Normal 58 6 3 5 6" xfId="8137" xr:uid="{00000000-0005-0000-0000-000012AC0000}"/>
    <cellStyle name="Normal 58 6 3 5 6 2" xfId="20527" xr:uid="{00000000-0005-0000-0000-000013AC0000}"/>
    <cellStyle name="Normal 58 6 3 5 6 2 2" xfId="46080" xr:uid="{00000000-0005-0000-0000-000014AC0000}"/>
    <cellStyle name="Normal 58 6 3 5 6 3" xfId="33694" xr:uid="{00000000-0005-0000-0000-000015AC0000}"/>
    <cellStyle name="Normal 58 6 3 5 7" xfId="16217" xr:uid="{00000000-0005-0000-0000-000016AC0000}"/>
    <cellStyle name="Normal 58 6 3 5 7 2" xfId="41770" xr:uid="{00000000-0005-0000-0000-000017AC0000}"/>
    <cellStyle name="Normal 58 6 3 5 8" xfId="27010" xr:uid="{00000000-0005-0000-0000-000018AC0000}"/>
    <cellStyle name="Normal 58 6 3 6" xfId="2746" xr:uid="{00000000-0005-0000-0000-000019AC0000}"/>
    <cellStyle name="Normal 58 6 3 6 2" xfId="12063" xr:uid="{00000000-0005-0000-0000-00001AAC0000}"/>
    <cellStyle name="Normal 58 6 3 6 2 2" xfId="22107" xr:uid="{00000000-0005-0000-0000-00001BAC0000}"/>
    <cellStyle name="Normal 58 6 3 6 2 2 2" xfId="47660" xr:uid="{00000000-0005-0000-0000-00001CAC0000}"/>
    <cellStyle name="Normal 58 6 3 6 2 3" xfId="37618" xr:uid="{00000000-0005-0000-0000-00001DAC0000}"/>
    <cellStyle name="Normal 58 6 3 6 3" xfId="8542" xr:uid="{00000000-0005-0000-0000-00001EAC0000}"/>
    <cellStyle name="Normal 58 6 3 6 3 2" xfId="34099" xr:uid="{00000000-0005-0000-0000-00001FAC0000}"/>
    <cellStyle name="Normal 58 6 3 6 4" xfId="17100" xr:uid="{00000000-0005-0000-0000-000020AC0000}"/>
    <cellStyle name="Normal 58 6 3 6 4 2" xfId="42653" xr:uid="{00000000-0005-0000-0000-000021AC0000}"/>
    <cellStyle name="Normal 58 6 3 6 5" xfId="28590" xr:uid="{00000000-0005-0000-0000-000022AC0000}"/>
    <cellStyle name="Normal 58 6 3 7" xfId="4192" xr:uid="{00000000-0005-0000-0000-000023AC0000}"/>
    <cellStyle name="Normal 58 6 3 7 2" xfId="13030" xr:uid="{00000000-0005-0000-0000-000024AC0000}"/>
    <cellStyle name="Normal 58 6 3 7 2 2" xfId="23281" xr:uid="{00000000-0005-0000-0000-000025AC0000}"/>
    <cellStyle name="Normal 58 6 3 7 2 2 2" xfId="48834" xr:uid="{00000000-0005-0000-0000-000026AC0000}"/>
    <cellStyle name="Normal 58 6 3 7 2 3" xfId="38585" xr:uid="{00000000-0005-0000-0000-000027AC0000}"/>
    <cellStyle name="Normal 58 6 3 7 3" xfId="9451" xr:uid="{00000000-0005-0000-0000-000028AC0000}"/>
    <cellStyle name="Normal 58 6 3 7 3 2" xfId="35008" xr:uid="{00000000-0005-0000-0000-000029AC0000}"/>
    <cellStyle name="Normal 58 6 3 7 4" xfId="18274" xr:uid="{00000000-0005-0000-0000-00002AAC0000}"/>
    <cellStyle name="Normal 58 6 3 7 4 2" xfId="43827" xr:uid="{00000000-0005-0000-0000-00002BAC0000}"/>
    <cellStyle name="Normal 58 6 3 7 5" xfId="29764" xr:uid="{00000000-0005-0000-0000-00002CAC0000}"/>
    <cellStyle name="Normal 58 6 3 8" xfId="1464" xr:uid="{00000000-0005-0000-0000-00002DAC0000}"/>
    <cellStyle name="Normal 58 6 3 8 2" xfId="10841" xr:uid="{00000000-0005-0000-0000-00002EAC0000}"/>
    <cellStyle name="Normal 58 6 3 8 2 2" xfId="36396" xr:uid="{00000000-0005-0000-0000-00002FAC0000}"/>
    <cellStyle name="Normal 58 6 3 8 3" xfId="20845" xr:uid="{00000000-0005-0000-0000-000030AC0000}"/>
    <cellStyle name="Normal 58 6 3 8 3 2" xfId="46398" xr:uid="{00000000-0005-0000-0000-000031AC0000}"/>
    <cellStyle name="Normal 58 6 3 8 4" xfId="27328" xr:uid="{00000000-0005-0000-0000-000032AC0000}"/>
    <cellStyle name="Normal 58 6 3 9" xfId="5648" xr:uid="{00000000-0005-0000-0000-000033AC0000}"/>
    <cellStyle name="Normal 58 6 3 9 2" xfId="14475" xr:uid="{00000000-0005-0000-0000-000034AC0000}"/>
    <cellStyle name="Normal 58 6 3 9 2 2" xfId="40030" xr:uid="{00000000-0005-0000-0000-000035AC0000}"/>
    <cellStyle name="Normal 58 6 3 9 3" xfId="24726" xr:uid="{00000000-0005-0000-0000-000036AC0000}"/>
    <cellStyle name="Normal 58 6 3 9 3 2" xfId="50279" xr:uid="{00000000-0005-0000-0000-000037AC0000}"/>
    <cellStyle name="Normal 58 6 3 9 4" xfId="31209" xr:uid="{00000000-0005-0000-0000-000038AC0000}"/>
    <cellStyle name="Normal 58 6 3_Degree data" xfId="4024" xr:uid="{00000000-0005-0000-0000-000039AC0000}"/>
    <cellStyle name="Normal 58 6 4" xfId="472" xr:uid="{00000000-0005-0000-0000-00003AAC0000}"/>
    <cellStyle name="Normal 58 6 4 10" xfId="26401" xr:uid="{00000000-0005-0000-0000-00003BAC0000}"/>
    <cellStyle name="Normal 58 6 4 2" xfId="920" xr:uid="{00000000-0005-0000-0000-00003CAC0000}"/>
    <cellStyle name="Normal 58 6 4 2 2" xfId="3405" xr:uid="{00000000-0005-0000-0000-00003DAC0000}"/>
    <cellStyle name="Normal 58 6 4 2 2 2" xfId="12547" xr:uid="{00000000-0005-0000-0000-00003EAC0000}"/>
    <cellStyle name="Normal 58 6 4 2 2 2 2" xfId="22766" xr:uid="{00000000-0005-0000-0000-00003FAC0000}"/>
    <cellStyle name="Normal 58 6 4 2 2 2 2 2" xfId="48319" xr:uid="{00000000-0005-0000-0000-000040AC0000}"/>
    <cellStyle name="Normal 58 6 4 2 2 2 3" xfId="38102" xr:uid="{00000000-0005-0000-0000-000041AC0000}"/>
    <cellStyle name="Normal 58 6 4 2 2 3" xfId="8969" xr:uid="{00000000-0005-0000-0000-000042AC0000}"/>
    <cellStyle name="Normal 58 6 4 2 2 3 2" xfId="34526" xr:uid="{00000000-0005-0000-0000-000043AC0000}"/>
    <cellStyle name="Normal 58 6 4 2 2 4" xfId="17759" xr:uid="{00000000-0005-0000-0000-000044AC0000}"/>
    <cellStyle name="Normal 58 6 4 2 2 4 2" xfId="43312" xr:uid="{00000000-0005-0000-0000-000045AC0000}"/>
    <cellStyle name="Normal 58 6 4 2 2 5" xfId="29249" xr:uid="{00000000-0005-0000-0000-000046AC0000}"/>
    <cellStyle name="Normal 58 6 4 2 3" xfId="4734" xr:uid="{00000000-0005-0000-0000-000047AC0000}"/>
    <cellStyle name="Normal 58 6 4 2 3 2" xfId="13572" xr:uid="{00000000-0005-0000-0000-000048AC0000}"/>
    <cellStyle name="Normal 58 6 4 2 3 2 2" xfId="23823" xr:uid="{00000000-0005-0000-0000-000049AC0000}"/>
    <cellStyle name="Normal 58 6 4 2 3 2 2 2" xfId="49376" xr:uid="{00000000-0005-0000-0000-00004AAC0000}"/>
    <cellStyle name="Normal 58 6 4 2 3 2 3" xfId="39127" xr:uid="{00000000-0005-0000-0000-00004BAC0000}"/>
    <cellStyle name="Normal 58 6 4 2 3 3" xfId="9993" xr:uid="{00000000-0005-0000-0000-00004CAC0000}"/>
    <cellStyle name="Normal 58 6 4 2 3 3 2" xfId="35550" xr:uid="{00000000-0005-0000-0000-00004DAC0000}"/>
    <cellStyle name="Normal 58 6 4 2 3 4" xfId="18816" xr:uid="{00000000-0005-0000-0000-00004EAC0000}"/>
    <cellStyle name="Normal 58 6 4 2 3 4 2" xfId="44369" xr:uid="{00000000-0005-0000-0000-00004FAC0000}"/>
    <cellStyle name="Normal 58 6 4 2 3 5" xfId="30306" xr:uid="{00000000-0005-0000-0000-000050AC0000}"/>
    <cellStyle name="Normal 58 6 4 2 4" xfId="2514" xr:uid="{00000000-0005-0000-0000-000051AC0000}"/>
    <cellStyle name="Normal 58 6 4 2 4 2" xfId="11879" xr:uid="{00000000-0005-0000-0000-000052AC0000}"/>
    <cellStyle name="Normal 58 6 4 2 4 2 2" xfId="37434" xr:uid="{00000000-0005-0000-0000-000053AC0000}"/>
    <cellStyle name="Normal 58 6 4 2 4 3" xfId="21883" xr:uid="{00000000-0005-0000-0000-000054AC0000}"/>
    <cellStyle name="Normal 58 6 4 2 4 3 2" xfId="47436" xr:uid="{00000000-0005-0000-0000-000055AC0000}"/>
    <cellStyle name="Normal 58 6 4 2 4 4" xfId="28366" xr:uid="{00000000-0005-0000-0000-000056AC0000}"/>
    <cellStyle name="Normal 58 6 4 2 5" xfId="6190" xr:uid="{00000000-0005-0000-0000-000057AC0000}"/>
    <cellStyle name="Normal 58 6 4 2 5 2" xfId="15017" xr:uid="{00000000-0005-0000-0000-000058AC0000}"/>
    <cellStyle name="Normal 58 6 4 2 5 2 2" xfId="40572" xr:uid="{00000000-0005-0000-0000-000059AC0000}"/>
    <cellStyle name="Normal 58 6 4 2 5 3" xfId="25268" xr:uid="{00000000-0005-0000-0000-00005AAC0000}"/>
    <cellStyle name="Normal 58 6 4 2 5 3 2" xfId="50821" xr:uid="{00000000-0005-0000-0000-00005BAC0000}"/>
    <cellStyle name="Normal 58 6 4 2 5 4" xfId="31751" xr:uid="{00000000-0005-0000-0000-00005CAC0000}"/>
    <cellStyle name="Normal 58 6 4 2 6" xfId="7635" xr:uid="{00000000-0005-0000-0000-00005DAC0000}"/>
    <cellStyle name="Normal 58 6 4 2 6 2" xfId="20365" xr:uid="{00000000-0005-0000-0000-00005EAC0000}"/>
    <cellStyle name="Normal 58 6 4 2 6 2 2" xfId="45918" xr:uid="{00000000-0005-0000-0000-00005FAC0000}"/>
    <cellStyle name="Normal 58 6 4 2 6 3" xfId="33192" xr:uid="{00000000-0005-0000-0000-000060AC0000}"/>
    <cellStyle name="Normal 58 6 4 2 7" xfId="16876" xr:uid="{00000000-0005-0000-0000-000061AC0000}"/>
    <cellStyle name="Normal 58 6 4 2 7 2" xfId="42429" xr:uid="{00000000-0005-0000-0000-000062AC0000}"/>
    <cellStyle name="Normal 58 6 4 2 8" xfId="26848" xr:uid="{00000000-0005-0000-0000-000063AC0000}"/>
    <cellStyle name="Normal 58 6 4 3" xfId="1244" xr:uid="{00000000-0005-0000-0000-000064AC0000}"/>
    <cellStyle name="Normal 58 6 4 3 2" xfId="3673" xr:uid="{00000000-0005-0000-0000-000065AC0000}"/>
    <cellStyle name="Normal 58 6 4 3 2 2" xfId="12809" xr:uid="{00000000-0005-0000-0000-000066AC0000}"/>
    <cellStyle name="Normal 58 6 4 3 2 2 2" xfId="23028" xr:uid="{00000000-0005-0000-0000-000067AC0000}"/>
    <cellStyle name="Normal 58 6 4 3 2 2 2 2" xfId="48581" xr:uid="{00000000-0005-0000-0000-000068AC0000}"/>
    <cellStyle name="Normal 58 6 4 3 2 2 3" xfId="38364" xr:uid="{00000000-0005-0000-0000-000069AC0000}"/>
    <cellStyle name="Normal 58 6 4 3 2 3" xfId="9230" xr:uid="{00000000-0005-0000-0000-00006AAC0000}"/>
    <cellStyle name="Normal 58 6 4 3 2 3 2" xfId="34787" xr:uid="{00000000-0005-0000-0000-00006BAC0000}"/>
    <cellStyle name="Normal 58 6 4 3 2 4" xfId="18021" xr:uid="{00000000-0005-0000-0000-00006CAC0000}"/>
    <cellStyle name="Normal 58 6 4 3 2 4 2" xfId="43574" xr:uid="{00000000-0005-0000-0000-00006DAC0000}"/>
    <cellStyle name="Normal 58 6 4 3 2 5" xfId="29511" xr:uid="{00000000-0005-0000-0000-00006EAC0000}"/>
    <cellStyle name="Normal 58 6 4 3 3" xfId="5083" xr:uid="{00000000-0005-0000-0000-00006FAC0000}"/>
    <cellStyle name="Normal 58 6 4 3 3 2" xfId="13920" xr:uid="{00000000-0005-0000-0000-000070AC0000}"/>
    <cellStyle name="Normal 58 6 4 3 3 2 2" xfId="24171" xr:uid="{00000000-0005-0000-0000-000071AC0000}"/>
    <cellStyle name="Normal 58 6 4 3 3 2 2 2" xfId="49724" xr:uid="{00000000-0005-0000-0000-000072AC0000}"/>
    <cellStyle name="Normal 58 6 4 3 3 2 3" xfId="39475" xr:uid="{00000000-0005-0000-0000-000073AC0000}"/>
    <cellStyle name="Normal 58 6 4 3 3 3" xfId="10341" xr:uid="{00000000-0005-0000-0000-000074AC0000}"/>
    <cellStyle name="Normal 58 6 4 3 3 3 2" xfId="35898" xr:uid="{00000000-0005-0000-0000-000075AC0000}"/>
    <cellStyle name="Normal 58 6 4 3 3 4" xfId="19164" xr:uid="{00000000-0005-0000-0000-000076AC0000}"/>
    <cellStyle name="Normal 58 6 4 3 3 4 2" xfId="44717" xr:uid="{00000000-0005-0000-0000-000077AC0000}"/>
    <cellStyle name="Normal 58 6 4 3 3 5" xfId="30654" xr:uid="{00000000-0005-0000-0000-000078AC0000}"/>
    <cellStyle name="Normal 58 6 4 3 4" xfId="2067" xr:uid="{00000000-0005-0000-0000-000079AC0000}"/>
    <cellStyle name="Normal 58 6 4 3 4 2" xfId="11432" xr:uid="{00000000-0005-0000-0000-00007AAC0000}"/>
    <cellStyle name="Normal 58 6 4 3 4 2 2" xfId="36987" xr:uid="{00000000-0005-0000-0000-00007BAC0000}"/>
    <cellStyle name="Normal 58 6 4 3 4 3" xfId="21436" xr:uid="{00000000-0005-0000-0000-00007CAC0000}"/>
    <cellStyle name="Normal 58 6 4 3 4 3 2" xfId="46989" xr:uid="{00000000-0005-0000-0000-00007DAC0000}"/>
    <cellStyle name="Normal 58 6 4 3 4 4" xfId="27919" xr:uid="{00000000-0005-0000-0000-00007EAC0000}"/>
    <cellStyle name="Normal 58 6 4 3 5" xfId="6538" xr:uid="{00000000-0005-0000-0000-00007FAC0000}"/>
    <cellStyle name="Normal 58 6 4 3 5 2" xfId="15365" xr:uid="{00000000-0005-0000-0000-000080AC0000}"/>
    <cellStyle name="Normal 58 6 4 3 5 2 2" xfId="40920" xr:uid="{00000000-0005-0000-0000-000081AC0000}"/>
    <cellStyle name="Normal 58 6 4 3 5 3" xfId="25616" xr:uid="{00000000-0005-0000-0000-000082AC0000}"/>
    <cellStyle name="Normal 58 6 4 3 5 3 2" xfId="51169" xr:uid="{00000000-0005-0000-0000-000083AC0000}"/>
    <cellStyle name="Normal 58 6 4 3 5 4" xfId="32099" xr:uid="{00000000-0005-0000-0000-000084AC0000}"/>
    <cellStyle name="Normal 58 6 4 3 6" xfId="7984" xr:uid="{00000000-0005-0000-0000-000085AC0000}"/>
    <cellStyle name="Normal 58 6 4 3 6 2" xfId="20627" xr:uid="{00000000-0005-0000-0000-000086AC0000}"/>
    <cellStyle name="Normal 58 6 4 3 6 2 2" xfId="46180" xr:uid="{00000000-0005-0000-0000-000087AC0000}"/>
    <cellStyle name="Normal 58 6 4 3 6 3" xfId="33541" xr:uid="{00000000-0005-0000-0000-000088AC0000}"/>
    <cellStyle name="Normal 58 6 4 3 7" xfId="16429" xr:uid="{00000000-0005-0000-0000-000089AC0000}"/>
    <cellStyle name="Normal 58 6 4 3 7 2" xfId="41982" xr:uid="{00000000-0005-0000-0000-00008AAC0000}"/>
    <cellStyle name="Normal 58 6 4 3 8" xfId="27110" xr:uid="{00000000-0005-0000-0000-00008BAC0000}"/>
    <cellStyle name="Normal 58 6 4 4" xfId="2958" xr:uid="{00000000-0005-0000-0000-00008CAC0000}"/>
    <cellStyle name="Normal 58 6 4 4 2" xfId="5336" xr:uid="{00000000-0005-0000-0000-00008DAC0000}"/>
    <cellStyle name="Normal 58 6 4 4 2 2" xfId="14173" xr:uid="{00000000-0005-0000-0000-00008EAC0000}"/>
    <cellStyle name="Normal 58 6 4 4 2 2 2" xfId="24424" xr:uid="{00000000-0005-0000-0000-00008FAC0000}"/>
    <cellStyle name="Normal 58 6 4 4 2 2 2 2" xfId="49977" xr:uid="{00000000-0005-0000-0000-000090AC0000}"/>
    <cellStyle name="Normal 58 6 4 4 2 2 3" xfId="39728" xr:uid="{00000000-0005-0000-0000-000091AC0000}"/>
    <cellStyle name="Normal 58 6 4 4 2 3" xfId="10594" xr:uid="{00000000-0005-0000-0000-000092AC0000}"/>
    <cellStyle name="Normal 58 6 4 4 2 3 2" xfId="36151" xr:uid="{00000000-0005-0000-0000-000093AC0000}"/>
    <cellStyle name="Normal 58 6 4 4 2 4" xfId="19417" xr:uid="{00000000-0005-0000-0000-000094AC0000}"/>
    <cellStyle name="Normal 58 6 4 4 2 4 2" xfId="44970" xr:uid="{00000000-0005-0000-0000-000095AC0000}"/>
    <cellStyle name="Normal 58 6 4 4 2 5" xfId="30907" xr:uid="{00000000-0005-0000-0000-000096AC0000}"/>
    <cellStyle name="Normal 58 6 4 4 3" xfId="6791" xr:uid="{00000000-0005-0000-0000-000097AC0000}"/>
    <cellStyle name="Normal 58 6 4 4 3 2" xfId="15618" xr:uid="{00000000-0005-0000-0000-000098AC0000}"/>
    <cellStyle name="Normal 58 6 4 4 3 2 2" xfId="41173" xr:uid="{00000000-0005-0000-0000-000099AC0000}"/>
    <cellStyle name="Normal 58 6 4 4 3 3" xfId="25869" xr:uid="{00000000-0005-0000-0000-00009AAC0000}"/>
    <cellStyle name="Normal 58 6 4 4 3 3 2" xfId="51422" xr:uid="{00000000-0005-0000-0000-00009BAC0000}"/>
    <cellStyle name="Normal 58 6 4 4 3 4" xfId="32352" xr:uid="{00000000-0005-0000-0000-00009CAC0000}"/>
    <cellStyle name="Normal 58 6 4 4 4" xfId="8237" xr:uid="{00000000-0005-0000-0000-00009DAC0000}"/>
    <cellStyle name="Normal 58 6 4 4 4 2" xfId="22319" xr:uid="{00000000-0005-0000-0000-00009EAC0000}"/>
    <cellStyle name="Normal 58 6 4 4 4 2 2" xfId="47872" xr:uid="{00000000-0005-0000-0000-00009FAC0000}"/>
    <cellStyle name="Normal 58 6 4 4 4 3" xfId="33794" xr:uid="{00000000-0005-0000-0000-0000A0AC0000}"/>
    <cellStyle name="Normal 58 6 4 4 5" xfId="17312" xr:uid="{00000000-0005-0000-0000-0000A1AC0000}"/>
    <cellStyle name="Normal 58 6 4 4 5 2" xfId="42865" xr:uid="{00000000-0005-0000-0000-0000A2AC0000}"/>
    <cellStyle name="Normal 58 6 4 4 6" xfId="28802" xr:uid="{00000000-0005-0000-0000-0000A3AC0000}"/>
    <cellStyle name="Normal 58 6 4 5" xfId="4292" xr:uid="{00000000-0005-0000-0000-0000A4AC0000}"/>
    <cellStyle name="Normal 58 6 4 5 2" xfId="13130" xr:uid="{00000000-0005-0000-0000-0000A5AC0000}"/>
    <cellStyle name="Normal 58 6 4 5 2 2" xfId="23381" xr:uid="{00000000-0005-0000-0000-0000A6AC0000}"/>
    <cellStyle name="Normal 58 6 4 5 2 2 2" xfId="48934" xr:uid="{00000000-0005-0000-0000-0000A7AC0000}"/>
    <cellStyle name="Normal 58 6 4 5 2 3" xfId="38685" xr:uid="{00000000-0005-0000-0000-0000A8AC0000}"/>
    <cellStyle name="Normal 58 6 4 5 3" xfId="9551" xr:uid="{00000000-0005-0000-0000-0000A9AC0000}"/>
    <cellStyle name="Normal 58 6 4 5 3 2" xfId="35108" xr:uid="{00000000-0005-0000-0000-0000AAAC0000}"/>
    <cellStyle name="Normal 58 6 4 5 4" xfId="18374" xr:uid="{00000000-0005-0000-0000-0000ABAC0000}"/>
    <cellStyle name="Normal 58 6 4 5 4 2" xfId="43927" xr:uid="{00000000-0005-0000-0000-0000ACAC0000}"/>
    <cellStyle name="Normal 58 6 4 5 5" xfId="29864" xr:uid="{00000000-0005-0000-0000-0000ADAC0000}"/>
    <cellStyle name="Normal 58 6 4 6" xfId="1564" xr:uid="{00000000-0005-0000-0000-0000AEAC0000}"/>
    <cellStyle name="Normal 58 6 4 6 2" xfId="10941" xr:uid="{00000000-0005-0000-0000-0000AFAC0000}"/>
    <cellStyle name="Normal 58 6 4 6 2 2" xfId="36496" xr:uid="{00000000-0005-0000-0000-0000B0AC0000}"/>
    <cellStyle name="Normal 58 6 4 6 3" xfId="20945" xr:uid="{00000000-0005-0000-0000-0000B1AC0000}"/>
    <cellStyle name="Normal 58 6 4 6 3 2" xfId="46498" xr:uid="{00000000-0005-0000-0000-0000B2AC0000}"/>
    <cellStyle name="Normal 58 6 4 6 4" xfId="27428" xr:uid="{00000000-0005-0000-0000-0000B3AC0000}"/>
    <cellStyle name="Normal 58 6 4 7" xfId="5748" xr:uid="{00000000-0005-0000-0000-0000B4AC0000}"/>
    <cellStyle name="Normal 58 6 4 7 2" xfId="14575" xr:uid="{00000000-0005-0000-0000-0000B5AC0000}"/>
    <cellStyle name="Normal 58 6 4 7 2 2" xfId="40130" xr:uid="{00000000-0005-0000-0000-0000B6AC0000}"/>
    <cellStyle name="Normal 58 6 4 7 3" xfId="24826" xr:uid="{00000000-0005-0000-0000-0000B7AC0000}"/>
    <cellStyle name="Normal 58 6 4 7 3 2" xfId="50379" xr:uid="{00000000-0005-0000-0000-0000B8AC0000}"/>
    <cellStyle name="Normal 58 6 4 7 4" xfId="31309" xr:uid="{00000000-0005-0000-0000-0000B9AC0000}"/>
    <cellStyle name="Normal 58 6 4 8" xfId="7192" xr:uid="{00000000-0005-0000-0000-0000BAAC0000}"/>
    <cellStyle name="Normal 58 6 4 8 2" xfId="19918" xr:uid="{00000000-0005-0000-0000-0000BBAC0000}"/>
    <cellStyle name="Normal 58 6 4 8 2 2" xfId="45471" xr:uid="{00000000-0005-0000-0000-0000BCAC0000}"/>
    <cellStyle name="Normal 58 6 4 8 3" xfId="32749" xr:uid="{00000000-0005-0000-0000-0000BDAC0000}"/>
    <cellStyle name="Normal 58 6 4 9" xfId="15938" xr:uid="{00000000-0005-0000-0000-0000BEAC0000}"/>
    <cellStyle name="Normal 58 6 4 9 2" xfId="41491" xr:uid="{00000000-0005-0000-0000-0000BFAC0000}"/>
    <cellStyle name="Normal 58 6 4_Degree data" xfId="4026" xr:uid="{00000000-0005-0000-0000-0000C0AC0000}"/>
    <cellStyle name="Normal 58 6 5" xfId="313" xr:uid="{00000000-0005-0000-0000-0000C1AC0000}"/>
    <cellStyle name="Normal 58 6 5 2" xfId="2799" xr:uid="{00000000-0005-0000-0000-0000C2AC0000}"/>
    <cellStyle name="Normal 58 6 5 2 2" xfId="12103" xr:uid="{00000000-0005-0000-0000-0000C3AC0000}"/>
    <cellStyle name="Normal 58 6 5 2 2 2" xfId="22160" xr:uid="{00000000-0005-0000-0000-0000C4AC0000}"/>
    <cellStyle name="Normal 58 6 5 2 2 2 2" xfId="47713" xr:uid="{00000000-0005-0000-0000-0000C5AC0000}"/>
    <cellStyle name="Normal 58 6 5 2 2 3" xfId="37658" xr:uid="{00000000-0005-0000-0000-0000C6AC0000}"/>
    <cellStyle name="Normal 58 6 5 2 3" xfId="8622" xr:uid="{00000000-0005-0000-0000-0000C7AC0000}"/>
    <cellStyle name="Normal 58 6 5 2 3 2" xfId="34179" xr:uid="{00000000-0005-0000-0000-0000C8AC0000}"/>
    <cellStyle name="Normal 58 6 5 2 4" xfId="17153" xr:uid="{00000000-0005-0000-0000-0000C9AC0000}"/>
    <cellStyle name="Normal 58 6 5 2 4 2" xfId="42706" xr:uid="{00000000-0005-0000-0000-0000CAAC0000}"/>
    <cellStyle name="Normal 58 6 5 2 5" xfId="28643" xr:uid="{00000000-0005-0000-0000-0000CBAC0000}"/>
    <cellStyle name="Normal 58 6 5 3" xfId="4729" xr:uid="{00000000-0005-0000-0000-0000CCAC0000}"/>
    <cellStyle name="Normal 58 6 5 3 2" xfId="13567" xr:uid="{00000000-0005-0000-0000-0000CDAC0000}"/>
    <cellStyle name="Normal 58 6 5 3 2 2" xfId="23818" xr:uid="{00000000-0005-0000-0000-0000CEAC0000}"/>
    <cellStyle name="Normal 58 6 5 3 2 2 2" xfId="49371" xr:uid="{00000000-0005-0000-0000-0000CFAC0000}"/>
    <cellStyle name="Normal 58 6 5 3 2 3" xfId="39122" xr:uid="{00000000-0005-0000-0000-0000D0AC0000}"/>
    <cellStyle name="Normal 58 6 5 3 3" xfId="9988" xr:uid="{00000000-0005-0000-0000-0000D1AC0000}"/>
    <cellStyle name="Normal 58 6 5 3 3 2" xfId="35545" xr:uid="{00000000-0005-0000-0000-0000D2AC0000}"/>
    <cellStyle name="Normal 58 6 5 3 4" xfId="18811" xr:uid="{00000000-0005-0000-0000-0000D3AC0000}"/>
    <cellStyle name="Normal 58 6 5 3 4 2" xfId="44364" xr:uid="{00000000-0005-0000-0000-0000D4AC0000}"/>
    <cellStyle name="Normal 58 6 5 3 5" xfId="30301" xr:uid="{00000000-0005-0000-0000-0000D5AC0000}"/>
    <cellStyle name="Normal 58 6 5 4" xfId="1908" xr:uid="{00000000-0005-0000-0000-0000D6AC0000}"/>
    <cellStyle name="Normal 58 6 5 4 2" xfId="11273" xr:uid="{00000000-0005-0000-0000-0000D7AC0000}"/>
    <cellStyle name="Normal 58 6 5 4 2 2" xfId="36828" xr:uid="{00000000-0005-0000-0000-0000D8AC0000}"/>
    <cellStyle name="Normal 58 6 5 4 3" xfId="21277" xr:uid="{00000000-0005-0000-0000-0000D9AC0000}"/>
    <cellStyle name="Normal 58 6 5 4 3 2" xfId="46830" xr:uid="{00000000-0005-0000-0000-0000DAAC0000}"/>
    <cellStyle name="Normal 58 6 5 4 4" xfId="27760" xr:uid="{00000000-0005-0000-0000-0000DBAC0000}"/>
    <cellStyle name="Normal 58 6 5 5" xfId="6185" xr:uid="{00000000-0005-0000-0000-0000DCAC0000}"/>
    <cellStyle name="Normal 58 6 5 5 2" xfId="15012" xr:uid="{00000000-0005-0000-0000-0000DDAC0000}"/>
    <cellStyle name="Normal 58 6 5 5 2 2" xfId="40567" xr:uid="{00000000-0005-0000-0000-0000DEAC0000}"/>
    <cellStyle name="Normal 58 6 5 5 3" xfId="25263" xr:uid="{00000000-0005-0000-0000-0000DFAC0000}"/>
    <cellStyle name="Normal 58 6 5 5 3 2" xfId="50816" xr:uid="{00000000-0005-0000-0000-0000E0AC0000}"/>
    <cellStyle name="Normal 58 6 5 5 4" xfId="31746" xr:uid="{00000000-0005-0000-0000-0000E1AC0000}"/>
    <cellStyle name="Normal 58 6 5 6" xfId="7630" xr:uid="{00000000-0005-0000-0000-0000E2AC0000}"/>
    <cellStyle name="Normal 58 6 5 6 2" xfId="19759" xr:uid="{00000000-0005-0000-0000-0000E3AC0000}"/>
    <cellStyle name="Normal 58 6 5 6 2 2" xfId="45312" xr:uid="{00000000-0005-0000-0000-0000E4AC0000}"/>
    <cellStyle name="Normal 58 6 5 6 3" xfId="33187" xr:uid="{00000000-0005-0000-0000-0000E5AC0000}"/>
    <cellStyle name="Normal 58 6 5 7" xfId="16270" xr:uid="{00000000-0005-0000-0000-0000E6AC0000}"/>
    <cellStyle name="Normal 58 6 5 7 2" xfId="41823" xr:uid="{00000000-0005-0000-0000-0000E7AC0000}"/>
    <cellStyle name="Normal 58 6 5 8" xfId="26242" xr:uid="{00000000-0005-0000-0000-0000E8AC0000}"/>
    <cellStyle name="Normal 58 6 6" xfId="915" xr:uid="{00000000-0005-0000-0000-0000E9AC0000}"/>
    <cellStyle name="Normal 58 6 6 2" xfId="3400" xr:uid="{00000000-0005-0000-0000-0000EAAC0000}"/>
    <cellStyle name="Normal 58 6 6 2 2" xfId="12542" xr:uid="{00000000-0005-0000-0000-0000EBAC0000}"/>
    <cellStyle name="Normal 58 6 6 2 2 2" xfId="22761" xr:uid="{00000000-0005-0000-0000-0000ECAC0000}"/>
    <cellStyle name="Normal 58 6 6 2 2 2 2" xfId="48314" xr:uid="{00000000-0005-0000-0000-0000EDAC0000}"/>
    <cellStyle name="Normal 58 6 6 2 2 3" xfId="38097" xr:uid="{00000000-0005-0000-0000-0000EEAC0000}"/>
    <cellStyle name="Normal 58 6 6 2 3" xfId="8964" xr:uid="{00000000-0005-0000-0000-0000EFAC0000}"/>
    <cellStyle name="Normal 58 6 6 2 3 2" xfId="34521" xr:uid="{00000000-0005-0000-0000-0000F0AC0000}"/>
    <cellStyle name="Normal 58 6 6 2 4" xfId="17754" xr:uid="{00000000-0005-0000-0000-0000F1AC0000}"/>
    <cellStyle name="Normal 58 6 6 2 4 2" xfId="43307" xr:uid="{00000000-0005-0000-0000-0000F2AC0000}"/>
    <cellStyle name="Normal 58 6 6 2 5" xfId="29244" xr:uid="{00000000-0005-0000-0000-0000F3AC0000}"/>
    <cellStyle name="Normal 58 6 6 3" xfId="5078" xr:uid="{00000000-0005-0000-0000-0000F4AC0000}"/>
    <cellStyle name="Normal 58 6 6 3 2" xfId="13915" xr:uid="{00000000-0005-0000-0000-0000F5AC0000}"/>
    <cellStyle name="Normal 58 6 6 3 2 2" xfId="24166" xr:uid="{00000000-0005-0000-0000-0000F6AC0000}"/>
    <cellStyle name="Normal 58 6 6 3 2 2 2" xfId="49719" xr:uid="{00000000-0005-0000-0000-0000F7AC0000}"/>
    <cellStyle name="Normal 58 6 6 3 2 3" xfId="39470" xr:uid="{00000000-0005-0000-0000-0000F8AC0000}"/>
    <cellStyle name="Normal 58 6 6 3 3" xfId="10336" xr:uid="{00000000-0005-0000-0000-0000F9AC0000}"/>
    <cellStyle name="Normal 58 6 6 3 3 2" xfId="35893" xr:uid="{00000000-0005-0000-0000-0000FAAC0000}"/>
    <cellStyle name="Normal 58 6 6 3 4" xfId="19159" xr:uid="{00000000-0005-0000-0000-0000FBAC0000}"/>
    <cellStyle name="Normal 58 6 6 3 4 2" xfId="44712" xr:uid="{00000000-0005-0000-0000-0000FCAC0000}"/>
    <cellStyle name="Normal 58 6 6 3 5" xfId="30649" xr:uid="{00000000-0005-0000-0000-0000FDAC0000}"/>
    <cellStyle name="Normal 58 6 6 4" xfId="2509" xr:uid="{00000000-0005-0000-0000-0000FEAC0000}"/>
    <cellStyle name="Normal 58 6 6 4 2" xfId="11874" xr:uid="{00000000-0005-0000-0000-0000FFAC0000}"/>
    <cellStyle name="Normal 58 6 6 4 2 2" xfId="37429" xr:uid="{00000000-0005-0000-0000-000000AD0000}"/>
    <cellStyle name="Normal 58 6 6 4 3" xfId="21878" xr:uid="{00000000-0005-0000-0000-000001AD0000}"/>
    <cellStyle name="Normal 58 6 6 4 3 2" xfId="47431" xr:uid="{00000000-0005-0000-0000-000002AD0000}"/>
    <cellStyle name="Normal 58 6 6 4 4" xfId="28361" xr:uid="{00000000-0005-0000-0000-000003AD0000}"/>
    <cellStyle name="Normal 58 6 6 5" xfId="6533" xr:uid="{00000000-0005-0000-0000-000004AD0000}"/>
    <cellStyle name="Normal 58 6 6 5 2" xfId="15360" xr:uid="{00000000-0005-0000-0000-000005AD0000}"/>
    <cellStyle name="Normal 58 6 6 5 2 2" xfId="40915" xr:uid="{00000000-0005-0000-0000-000006AD0000}"/>
    <cellStyle name="Normal 58 6 6 5 3" xfId="25611" xr:uid="{00000000-0005-0000-0000-000007AD0000}"/>
    <cellStyle name="Normal 58 6 6 5 3 2" xfId="51164" xr:uid="{00000000-0005-0000-0000-000008AD0000}"/>
    <cellStyle name="Normal 58 6 6 5 4" xfId="32094" xr:uid="{00000000-0005-0000-0000-000009AD0000}"/>
    <cellStyle name="Normal 58 6 6 6" xfId="7979" xr:uid="{00000000-0005-0000-0000-00000AAD0000}"/>
    <cellStyle name="Normal 58 6 6 6 2" xfId="20360" xr:uid="{00000000-0005-0000-0000-00000BAD0000}"/>
    <cellStyle name="Normal 58 6 6 6 2 2" xfId="45913" xr:uid="{00000000-0005-0000-0000-00000CAD0000}"/>
    <cellStyle name="Normal 58 6 6 6 3" xfId="33536" xr:uid="{00000000-0005-0000-0000-00000DAD0000}"/>
    <cellStyle name="Normal 58 6 6 7" xfId="16871" xr:uid="{00000000-0005-0000-0000-00000EAD0000}"/>
    <cellStyle name="Normal 58 6 6 7 2" xfId="42424" xr:uid="{00000000-0005-0000-0000-00000FAD0000}"/>
    <cellStyle name="Normal 58 6 6 8" xfId="26843" xr:uid="{00000000-0005-0000-0000-000010AD0000}"/>
    <cellStyle name="Normal 58 6 7" xfId="1085" xr:uid="{00000000-0005-0000-0000-000011AD0000}"/>
    <cellStyle name="Normal 58 6 7 2" xfId="3514" xr:uid="{00000000-0005-0000-0000-000012AD0000}"/>
    <cellStyle name="Normal 58 6 7 2 2" xfId="12650" xr:uid="{00000000-0005-0000-0000-000013AD0000}"/>
    <cellStyle name="Normal 58 6 7 2 2 2" xfId="22869" xr:uid="{00000000-0005-0000-0000-000014AD0000}"/>
    <cellStyle name="Normal 58 6 7 2 2 2 2" xfId="48422" xr:uid="{00000000-0005-0000-0000-000015AD0000}"/>
    <cellStyle name="Normal 58 6 7 2 2 3" xfId="38205" xr:uid="{00000000-0005-0000-0000-000016AD0000}"/>
    <cellStyle name="Normal 58 6 7 2 3" xfId="9072" xr:uid="{00000000-0005-0000-0000-000017AD0000}"/>
    <cellStyle name="Normal 58 6 7 2 3 2" xfId="34629" xr:uid="{00000000-0005-0000-0000-000018AD0000}"/>
    <cellStyle name="Normal 58 6 7 2 4" xfId="17862" xr:uid="{00000000-0005-0000-0000-000019AD0000}"/>
    <cellStyle name="Normal 58 6 7 2 4 2" xfId="43415" xr:uid="{00000000-0005-0000-0000-00001AAD0000}"/>
    <cellStyle name="Normal 58 6 7 2 5" xfId="29352" xr:uid="{00000000-0005-0000-0000-00001BAD0000}"/>
    <cellStyle name="Normal 58 6 7 3" xfId="5177" xr:uid="{00000000-0005-0000-0000-00001CAD0000}"/>
    <cellStyle name="Normal 58 6 7 3 2" xfId="14014" xr:uid="{00000000-0005-0000-0000-00001DAD0000}"/>
    <cellStyle name="Normal 58 6 7 3 2 2" xfId="24265" xr:uid="{00000000-0005-0000-0000-00001EAD0000}"/>
    <cellStyle name="Normal 58 6 7 3 2 2 2" xfId="49818" xr:uid="{00000000-0005-0000-0000-00001FAD0000}"/>
    <cellStyle name="Normal 58 6 7 3 2 3" xfId="39569" xr:uid="{00000000-0005-0000-0000-000020AD0000}"/>
    <cellStyle name="Normal 58 6 7 3 3" xfId="10435" xr:uid="{00000000-0005-0000-0000-000021AD0000}"/>
    <cellStyle name="Normal 58 6 7 3 3 2" xfId="35992" xr:uid="{00000000-0005-0000-0000-000022AD0000}"/>
    <cellStyle name="Normal 58 6 7 3 4" xfId="19258" xr:uid="{00000000-0005-0000-0000-000023AD0000}"/>
    <cellStyle name="Normal 58 6 7 3 4 2" xfId="44811" xr:uid="{00000000-0005-0000-0000-000024AD0000}"/>
    <cellStyle name="Normal 58 6 7 3 5" xfId="30748" xr:uid="{00000000-0005-0000-0000-000025AD0000}"/>
    <cellStyle name="Normal 58 6 7 4" xfId="1743" xr:uid="{00000000-0005-0000-0000-000026AD0000}"/>
    <cellStyle name="Normal 58 6 7 4 2" xfId="11114" xr:uid="{00000000-0005-0000-0000-000027AD0000}"/>
    <cellStyle name="Normal 58 6 7 4 2 2" xfId="36669" xr:uid="{00000000-0005-0000-0000-000028AD0000}"/>
    <cellStyle name="Normal 58 6 7 4 3" xfId="21118" xr:uid="{00000000-0005-0000-0000-000029AD0000}"/>
    <cellStyle name="Normal 58 6 7 4 3 2" xfId="46671" xr:uid="{00000000-0005-0000-0000-00002AAD0000}"/>
    <cellStyle name="Normal 58 6 7 4 4" xfId="27601" xr:uid="{00000000-0005-0000-0000-00002BAD0000}"/>
    <cellStyle name="Normal 58 6 7 5" xfId="6632" xr:uid="{00000000-0005-0000-0000-00002CAD0000}"/>
    <cellStyle name="Normal 58 6 7 5 2" xfId="15459" xr:uid="{00000000-0005-0000-0000-00002DAD0000}"/>
    <cellStyle name="Normal 58 6 7 5 2 2" xfId="41014" xr:uid="{00000000-0005-0000-0000-00002EAD0000}"/>
    <cellStyle name="Normal 58 6 7 5 3" xfId="25710" xr:uid="{00000000-0005-0000-0000-00002FAD0000}"/>
    <cellStyle name="Normal 58 6 7 5 3 2" xfId="51263" xr:uid="{00000000-0005-0000-0000-000030AD0000}"/>
    <cellStyle name="Normal 58 6 7 5 4" xfId="32193" xr:uid="{00000000-0005-0000-0000-000031AD0000}"/>
    <cellStyle name="Normal 58 6 7 6" xfId="8078" xr:uid="{00000000-0005-0000-0000-000032AD0000}"/>
    <cellStyle name="Normal 58 6 7 6 2" xfId="20468" xr:uid="{00000000-0005-0000-0000-000033AD0000}"/>
    <cellStyle name="Normal 58 6 7 6 2 2" xfId="46021" xr:uid="{00000000-0005-0000-0000-000034AD0000}"/>
    <cellStyle name="Normal 58 6 7 6 3" xfId="33635" xr:uid="{00000000-0005-0000-0000-000035AD0000}"/>
    <cellStyle name="Normal 58 6 7 7" xfId="16111" xr:uid="{00000000-0005-0000-0000-000036AD0000}"/>
    <cellStyle name="Normal 58 6 7 7 2" xfId="41664" xr:uid="{00000000-0005-0000-0000-000037AD0000}"/>
    <cellStyle name="Normal 58 6 7 8" xfId="26951" xr:uid="{00000000-0005-0000-0000-000038AD0000}"/>
    <cellStyle name="Normal 58 6 8" xfId="2641" xr:uid="{00000000-0005-0000-0000-000039AD0000}"/>
    <cellStyle name="Normal 58 6 8 2" xfId="5589" xr:uid="{00000000-0005-0000-0000-00003AAD0000}"/>
    <cellStyle name="Normal 58 6 8 2 2" xfId="14416" xr:uid="{00000000-0005-0000-0000-00003BAD0000}"/>
    <cellStyle name="Normal 58 6 8 2 2 2" xfId="39971" xr:uid="{00000000-0005-0000-0000-00003CAD0000}"/>
    <cellStyle name="Normal 58 6 8 2 3" xfId="24667" xr:uid="{00000000-0005-0000-0000-00003DAD0000}"/>
    <cellStyle name="Normal 58 6 8 2 3 2" xfId="50220" xr:uid="{00000000-0005-0000-0000-00003EAD0000}"/>
    <cellStyle name="Normal 58 6 8 2 4" xfId="31150" xr:uid="{00000000-0005-0000-0000-00003FAD0000}"/>
    <cellStyle name="Normal 58 6 8 3" xfId="7033" xr:uid="{00000000-0005-0000-0000-000040AD0000}"/>
    <cellStyle name="Normal 58 6 8 3 2" xfId="22002" xr:uid="{00000000-0005-0000-0000-000041AD0000}"/>
    <cellStyle name="Normal 58 6 8 3 2 2" xfId="47555" xr:uid="{00000000-0005-0000-0000-000042AD0000}"/>
    <cellStyle name="Normal 58 6 8 3 3" xfId="32590" xr:uid="{00000000-0005-0000-0000-000043AD0000}"/>
    <cellStyle name="Normal 58 6 8 4" xfId="16995" xr:uid="{00000000-0005-0000-0000-000044AD0000}"/>
    <cellStyle name="Normal 58 6 8 4 2" xfId="42548" xr:uid="{00000000-0005-0000-0000-000045AD0000}"/>
    <cellStyle name="Normal 58 6 8 5" xfId="28485" xr:uid="{00000000-0005-0000-0000-000046AD0000}"/>
    <cellStyle name="Normal 58 6 9" xfId="4131" xr:uid="{00000000-0005-0000-0000-000047AD0000}"/>
    <cellStyle name="Normal 58 6 9 2" xfId="12969" xr:uid="{00000000-0005-0000-0000-000048AD0000}"/>
    <cellStyle name="Normal 58 6 9 2 2" xfId="23220" xr:uid="{00000000-0005-0000-0000-000049AD0000}"/>
    <cellStyle name="Normal 58 6 9 2 2 2" xfId="48773" xr:uid="{00000000-0005-0000-0000-00004AAD0000}"/>
    <cellStyle name="Normal 58 6 9 2 3" xfId="38524" xr:uid="{00000000-0005-0000-0000-00004BAD0000}"/>
    <cellStyle name="Normal 58 6 9 3" xfId="9390" xr:uid="{00000000-0005-0000-0000-00004CAD0000}"/>
    <cellStyle name="Normal 58 6 9 3 2" xfId="34947" xr:uid="{00000000-0005-0000-0000-00004DAD0000}"/>
    <cellStyle name="Normal 58 6 9 4" xfId="18213" xr:uid="{00000000-0005-0000-0000-00004EAD0000}"/>
    <cellStyle name="Normal 58 6 9 4 2" xfId="43766" xr:uid="{00000000-0005-0000-0000-00004FAD0000}"/>
    <cellStyle name="Normal 58 6 9 5" xfId="29703" xr:uid="{00000000-0005-0000-0000-000050AD0000}"/>
    <cellStyle name="Normal 58 6_Degree data" xfId="4021" xr:uid="{00000000-0005-0000-0000-000051AD0000}"/>
    <cellStyle name="Normal 58 7" xfId="170" xr:uid="{00000000-0005-0000-0000-000052AD0000}"/>
    <cellStyle name="Normal 58 7 10" xfId="7118" xr:uid="{00000000-0005-0000-0000-000053AD0000}"/>
    <cellStyle name="Normal 58 7 10 2" xfId="19627" xr:uid="{00000000-0005-0000-0000-000054AD0000}"/>
    <cellStyle name="Normal 58 7 10 2 2" xfId="45180" xr:uid="{00000000-0005-0000-0000-000055AD0000}"/>
    <cellStyle name="Normal 58 7 10 3" xfId="32675" xr:uid="{00000000-0005-0000-0000-000056AD0000}"/>
    <cellStyle name="Normal 58 7 11" xfId="15864" xr:uid="{00000000-0005-0000-0000-000057AD0000}"/>
    <cellStyle name="Normal 58 7 11 2" xfId="41417" xr:uid="{00000000-0005-0000-0000-000058AD0000}"/>
    <cellStyle name="Normal 58 7 12" xfId="26110" xr:uid="{00000000-0005-0000-0000-000059AD0000}"/>
    <cellStyle name="Normal 58 7 2" xfId="498" xr:uid="{00000000-0005-0000-0000-00005AAD0000}"/>
    <cellStyle name="Normal 58 7 2 10" xfId="26427" xr:uid="{00000000-0005-0000-0000-00005BAD0000}"/>
    <cellStyle name="Normal 58 7 2 2" xfId="922" xr:uid="{00000000-0005-0000-0000-00005CAD0000}"/>
    <cellStyle name="Normal 58 7 2 2 2" xfId="3407" xr:uid="{00000000-0005-0000-0000-00005DAD0000}"/>
    <cellStyle name="Normal 58 7 2 2 2 2" xfId="12549" xr:uid="{00000000-0005-0000-0000-00005EAD0000}"/>
    <cellStyle name="Normal 58 7 2 2 2 2 2" xfId="22768" xr:uid="{00000000-0005-0000-0000-00005FAD0000}"/>
    <cellStyle name="Normal 58 7 2 2 2 2 2 2" xfId="48321" xr:uid="{00000000-0005-0000-0000-000060AD0000}"/>
    <cellStyle name="Normal 58 7 2 2 2 2 3" xfId="38104" xr:uid="{00000000-0005-0000-0000-000061AD0000}"/>
    <cellStyle name="Normal 58 7 2 2 2 3" xfId="8971" xr:uid="{00000000-0005-0000-0000-000062AD0000}"/>
    <cellStyle name="Normal 58 7 2 2 2 3 2" xfId="34528" xr:uid="{00000000-0005-0000-0000-000063AD0000}"/>
    <cellStyle name="Normal 58 7 2 2 2 4" xfId="17761" xr:uid="{00000000-0005-0000-0000-000064AD0000}"/>
    <cellStyle name="Normal 58 7 2 2 2 4 2" xfId="43314" xr:uid="{00000000-0005-0000-0000-000065AD0000}"/>
    <cellStyle name="Normal 58 7 2 2 2 5" xfId="29251" xr:uid="{00000000-0005-0000-0000-000066AD0000}"/>
    <cellStyle name="Normal 58 7 2 2 3" xfId="4736" xr:uid="{00000000-0005-0000-0000-000067AD0000}"/>
    <cellStyle name="Normal 58 7 2 2 3 2" xfId="13574" xr:uid="{00000000-0005-0000-0000-000068AD0000}"/>
    <cellStyle name="Normal 58 7 2 2 3 2 2" xfId="23825" xr:uid="{00000000-0005-0000-0000-000069AD0000}"/>
    <cellStyle name="Normal 58 7 2 2 3 2 2 2" xfId="49378" xr:uid="{00000000-0005-0000-0000-00006AAD0000}"/>
    <cellStyle name="Normal 58 7 2 2 3 2 3" xfId="39129" xr:uid="{00000000-0005-0000-0000-00006BAD0000}"/>
    <cellStyle name="Normal 58 7 2 2 3 3" xfId="9995" xr:uid="{00000000-0005-0000-0000-00006CAD0000}"/>
    <cellStyle name="Normal 58 7 2 2 3 3 2" xfId="35552" xr:uid="{00000000-0005-0000-0000-00006DAD0000}"/>
    <cellStyle name="Normal 58 7 2 2 3 4" xfId="18818" xr:uid="{00000000-0005-0000-0000-00006EAD0000}"/>
    <cellStyle name="Normal 58 7 2 2 3 4 2" xfId="44371" xr:uid="{00000000-0005-0000-0000-00006FAD0000}"/>
    <cellStyle name="Normal 58 7 2 2 3 5" xfId="30308" xr:uid="{00000000-0005-0000-0000-000070AD0000}"/>
    <cellStyle name="Normal 58 7 2 2 4" xfId="2516" xr:uid="{00000000-0005-0000-0000-000071AD0000}"/>
    <cellStyle name="Normal 58 7 2 2 4 2" xfId="11881" xr:uid="{00000000-0005-0000-0000-000072AD0000}"/>
    <cellStyle name="Normal 58 7 2 2 4 2 2" xfId="37436" xr:uid="{00000000-0005-0000-0000-000073AD0000}"/>
    <cellStyle name="Normal 58 7 2 2 4 3" xfId="21885" xr:uid="{00000000-0005-0000-0000-000074AD0000}"/>
    <cellStyle name="Normal 58 7 2 2 4 3 2" xfId="47438" xr:uid="{00000000-0005-0000-0000-000075AD0000}"/>
    <cellStyle name="Normal 58 7 2 2 4 4" xfId="28368" xr:uid="{00000000-0005-0000-0000-000076AD0000}"/>
    <cellStyle name="Normal 58 7 2 2 5" xfId="6192" xr:uid="{00000000-0005-0000-0000-000077AD0000}"/>
    <cellStyle name="Normal 58 7 2 2 5 2" xfId="15019" xr:uid="{00000000-0005-0000-0000-000078AD0000}"/>
    <cellStyle name="Normal 58 7 2 2 5 2 2" xfId="40574" xr:uid="{00000000-0005-0000-0000-000079AD0000}"/>
    <cellStyle name="Normal 58 7 2 2 5 3" xfId="25270" xr:uid="{00000000-0005-0000-0000-00007AAD0000}"/>
    <cellStyle name="Normal 58 7 2 2 5 3 2" xfId="50823" xr:uid="{00000000-0005-0000-0000-00007BAD0000}"/>
    <cellStyle name="Normal 58 7 2 2 5 4" xfId="31753" xr:uid="{00000000-0005-0000-0000-00007CAD0000}"/>
    <cellStyle name="Normal 58 7 2 2 6" xfId="7637" xr:uid="{00000000-0005-0000-0000-00007DAD0000}"/>
    <cellStyle name="Normal 58 7 2 2 6 2" xfId="20367" xr:uid="{00000000-0005-0000-0000-00007EAD0000}"/>
    <cellStyle name="Normal 58 7 2 2 6 2 2" xfId="45920" xr:uid="{00000000-0005-0000-0000-00007FAD0000}"/>
    <cellStyle name="Normal 58 7 2 2 6 3" xfId="33194" xr:uid="{00000000-0005-0000-0000-000080AD0000}"/>
    <cellStyle name="Normal 58 7 2 2 7" xfId="16878" xr:uid="{00000000-0005-0000-0000-000081AD0000}"/>
    <cellStyle name="Normal 58 7 2 2 7 2" xfId="42431" xr:uid="{00000000-0005-0000-0000-000082AD0000}"/>
    <cellStyle name="Normal 58 7 2 2 8" xfId="26850" xr:uid="{00000000-0005-0000-0000-000083AD0000}"/>
    <cellStyle name="Normal 58 7 2 3" xfId="1270" xr:uid="{00000000-0005-0000-0000-000084AD0000}"/>
    <cellStyle name="Normal 58 7 2 3 2" xfId="3699" xr:uid="{00000000-0005-0000-0000-000085AD0000}"/>
    <cellStyle name="Normal 58 7 2 3 2 2" xfId="12835" xr:uid="{00000000-0005-0000-0000-000086AD0000}"/>
    <cellStyle name="Normal 58 7 2 3 2 2 2" xfId="23054" xr:uid="{00000000-0005-0000-0000-000087AD0000}"/>
    <cellStyle name="Normal 58 7 2 3 2 2 2 2" xfId="48607" xr:uid="{00000000-0005-0000-0000-000088AD0000}"/>
    <cellStyle name="Normal 58 7 2 3 2 2 3" xfId="38390" xr:uid="{00000000-0005-0000-0000-000089AD0000}"/>
    <cellStyle name="Normal 58 7 2 3 2 3" xfId="9256" xr:uid="{00000000-0005-0000-0000-00008AAD0000}"/>
    <cellStyle name="Normal 58 7 2 3 2 3 2" xfId="34813" xr:uid="{00000000-0005-0000-0000-00008BAD0000}"/>
    <cellStyle name="Normal 58 7 2 3 2 4" xfId="18047" xr:uid="{00000000-0005-0000-0000-00008CAD0000}"/>
    <cellStyle name="Normal 58 7 2 3 2 4 2" xfId="43600" xr:uid="{00000000-0005-0000-0000-00008DAD0000}"/>
    <cellStyle name="Normal 58 7 2 3 2 5" xfId="29537" xr:uid="{00000000-0005-0000-0000-00008EAD0000}"/>
    <cellStyle name="Normal 58 7 2 3 3" xfId="5085" xr:uid="{00000000-0005-0000-0000-00008FAD0000}"/>
    <cellStyle name="Normal 58 7 2 3 3 2" xfId="13922" xr:uid="{00000000-0005-0000-0000-000090AD0000}"/>
    <cellStyle name="Normal 58 7 2 3 3 2 2" xfId="24173" xr:uid="{00000000-0005-0000-0000-000091AD0000}"/>
    <cellStyle name="Normal 58 7 2 3 3 2 2 2" xfId="49726" xr:uid="{00000000-0005-0000-0000-000092AD0000}"/>
    <cellStyle name="Normal 58 7 2 3 3 2 3" xfId="39477" xr:uid="{00000000-0005-0000-0000-000093AD0000}"/>
    <cellStyle name="Normal 58 7 2 3 3 3" xfId="10343" xr:uid="{00000000-0005-0000-0000-000094AD0000}"/>
    <cellStyle name="Normal 58 7 2 3 3 3 2" xfId="35900" xr:uid="{00000000-0005-0000-0000-000095AD0000}"/>
    <cellStyle name="Normal 58 7 2 3 3 4" xfId="19166" xr:uid="{00000000-0005-0000-0000-000096AD0000}"/>
    <cellStyle name="Normal 58 7 2 3 3 4 2" xfId="44719" xr:uid="{00000000-0005-0000-0000-000097AD0000}"/>
    <cellStyle name="Normal 58 7 2 3 3 5" xfId="30656" xr:uid="{00000000-0005-0000-0000-000098AD0000}"/>
    <cellStyle name="Normal 58 7 2 3 4" xfId="2093" xr:uid="{00000000-0005-0000-0000-000099AD0000}"/>
    <cellStyle name="Normal 58 7 2 3 4 2" xfId="11458" xr:uid="{00000000-0005-0000-0000-00009AAD0000}"/>
    <cellStyle name="Normal 58 7 2 3 4 2 2" xfId="37013" xr:uid="{00000000-0005-0000-0000-00009BAD0000}"/>
    <cellStyle name="Normal 58 7 2 3 4 3" xfId="21462" xr:uid="{00000000-0005-0000-0000-00009CAD0000}"/>
    <cellStyle name="Normal 58 7 2 3 4 3 2" xfId="47015" xr:uid="{00000000-0005-0000-0000-00009DAD0000}"/>
    <cellStyle name="Normal 58 7 2 3 4 4" xfId="27945" xr:uid="{00000000-0005-0000-0000-00009EAD0000}"/>
    <cellStyle name="Normal 58 7 2 3 5" xfId="6540" xr:uid="{00000000-0005-0000-0000-00009FAD0000}"/>
    <cellStyle name="Normal 58 7 2 3 5 2" xfId="15367" xr:uid="{00000000-0005-0000-0000-0000A0AD0000}"/>
    <cellStyle name="Normal 58 7 2 3 5 2 2" xfId="40922" xr:uid="{00000000-0005-0000-0000-0000A1AD0000}"/>
    <cellStyle name="Normal 58 7 2 3 5 3" xfId="25618" xr:uid="{00000000-0005-0000-0000-0000A2AD0000}"/>
    <cellStyle name="Normal 58 7 2 3 5 3 2" xfId="51171" xr:uid="{00000000-0005-0000-0000-0000A3AD0000}"/>
    <cellStyle name="Normal 58 7 2 3 5 4" xfId="32101" xr:uid="{00000000-0005-0000-0000-0000A4AD0000}"/>
    <cellStyle name="Normal 58 7 2 3 6" xfId="7986" xr:uid="{00000000-0005-0000-0000-0000A5AD0000}"/>
    <cellStyle name="Normal 58 7 2 3 6 2" xfId="20653" xr:uid="{00000000-0005-0000-0000-0000A6AD0000}"/>
    <cellStyle name="Normal 58 7 2 3 6 2 2" xfId="46206" xr:uid="{00000000-0005-0000-0000-0000A7AD0000}"/>
    <cellStyle name="Normal 58 7 2 3 6 3" xfId="33543" xr:uid="{00000000-0005-0000-0000-0000A8AD0000}"/>
    <cellStyle name="Normal 58 7 2 3 7" xfId="16455" xr:uid="{00000000-0005-0000-0000-0000A9AD0000}"/>
    <cellStyle name="Normal 58 7 2 3 7 2" xfId="42008" xr:uid="{00000000-0005-0000-0000-0000AAAD0000}"/>
    <cellStyle name="Normal 58 7 2 3 8" xfId="27136" xr:uid="{00000000-0005-0000-0000-0000ABAD0000}"/>
    <cellStyle name="Normal 58 7 2 4" xfId="2984" xr:uid="{00000000-0005-0000-0000-0000ACAD0000}"/>
    <cellStyle name="Normal 58 7 2 4 2" xfId="5362" xr:uid="{00000000-0005-0000-0000-0000ADAD0000}"/>
    <cellStyle name="Normal 58 7 2 4 2 2" xfId="14199" xr:uid="{00000000-0005-0000-0000-0000AEAD0000}"/>
    <cellStyle name="Normal 58 7 2 4 2 2 2" xfId="24450" xr:uid="{00000000-0005-0000-0000-0000AFAD0000}"/>
    <cellStyle name="Normal 58 7 2 4 2 2 2 2" xfId="50003" xr:uid="{00000000-0005-0000-0000-0000B0AD0000}"/>
    <cellStyle name="Normal 58 7 2 4 2 2 3" xfId="39754" xr:uid="{00000000-0005-0000-0000-0000B1AD0000}"/>
    <cellStyle name="Normal 58 7 2 4 2 3" xfId="10620" xr:uid="{00000000-0005-0000-0000-0000B2AD0000}"/>
    <cellStyle name="Normal 58 7 2 4 2 3 2" xfId="36177" xr:uid="{00000000-0005-0000-0000-0000B3AD0000}"/>
    <cellStyle name="Normal 58 7 2 4 2 4" xfId="19443" xr:uid="{00000000-0005-0000-0000-0000B4AD0000}"/>
    <cellStyle name="Normal 58 7 2 4 2 4 2" xfId="44996" xr:uid="{00000000-0005-0000-0000-0000B5AD0000}"/>
    <cellStyle name="Normal 58 7 2 4 2 5" xfId="30933" xr:uid="{00000000-0005-0000-0000-0000B6AD0000}"/>
    <cellStyle name="Normal 58 7 2 4 3" xfId="6817" xr:uid="{00000000-0005-0000-0000-0000B7AD0000}"/>
    <cellStyle name="Normal 58 7 2 4 3 2" xfId="15644" xr:uid="{00000000-0005-0000-0000-0000B8AD0000}"/>
    <cellStyle name="Normal 58 7 2 4 3 2 2" xfId="41199" xr:uid="{00000000-0005-0000-0000-0000B9AD0000}"/>
    <cellStyle name="Normal 58 7 2 4 3 3" xfId="25895" xr:uid="{00000000-0005-0000-0000-0000BAAD0000}"/>
    <cellStyle name="Normal 58 7 2 4 3 3 2" xfId="51448" xr:uid="{00000000-0005-0000-0000-0000BBAD0000}"/>
    <cellStyle name="Normal 58 7 2 4 3 4" xfId="32378" xr:uid="{00000000-0005-0000-0000-0000BCAD0000}"/>
    <cellStyle name="Normal 58 7 2 4 4" xfId="8263" xr:uid="{00000000-0005-0000-0000-0000BDAD0000}"/>
    <cellStyle name="Normal 58 7 2 4 4 2" xfId="22345" xr:uid="{00000000-0005-0000-0000-0000BEAD0000}"/>
    <cellStyle name="Normal 58 7 2 4 4 2 2" xfId="47898" xr:uid="{00000000-0005-0000-0000-0000BFAD0000}"/>
    <cellStyle name="Normal 58 7 2 4 4 3" xfId="33820" xr:uid="{00000000-0005-0000-0000-0000C0AD0000}"/>
    <cellStyle name="Normal 58 7 2 4 5" xfId="17338" xr:uid="{00000000-0005-0000-0000-0000C1AD0000}"/>
    <cellStyle name="Normal 58 7 2 4 5 2" xfId="42891" xr:uid="{00000000-0005-0000-0000-0000C2AD0000}"/>
    <cellStyle name="Normal 58 7 2 4 6" xfId="28828" xr:uid="{00000000-0005-0000-0000-0000C3AD0000}"/>
    <cellStyle name="Normal 58 7 2 5" xfId="4318" xr:uid="{00000000-0005-0000-0000-0000C4AD0000}"/>
    <cellStyle name="Normal 58 7 2 5 2" xfId="13156" xr:uid="{00000000-0005-0000-0000-0000C5AD0000}"/>
    <cellStyle name="Normal 58 7 2 5 2 2" xfId="23407" xr:uid="{00000000-0005-0000-0000-0000C6AD0000}"/>
    <cellStyle name="Normal 58 7 2 5 2 2 2" xfId="48960" xr:uid="{00000000-0005-0000-0000-0000C7AD0000}"/>
    <cellStyle name="Normal 58 7 2 5 2 3" xfId="38711" xr:uid="{00000000-0005-0000-0000-0000C8AD0000}"/>
    <cellStyle name="Normal 58 7 2 5 3" xfId="9577" xr:uid="{00000000-0005-0000-0000-0000C9AD0000}"/>
    <cellStyle name="Normal 58 7 2 5 3 2" xfId="35134" xr:uid="{00000000-0005-0000-0000-0000CAAD0000}"/>
    <cellStyle name="Normal 58 7 2 5 4" xfId="18400" xr:uid="{00000000-0005-0000-0000-0000CBAD0000}"/>
    <cellStyle name="Normal 58 7 2 5 4 2" xfId="43953" xr:uid="{00000000-0005-0000-0000-0000CCAD0000}"/>
    <cellStyle name="Normal 58 7 2 5 5" xfId="29890" xr:uid="{00000000-0005-0000-0000-0000CDAD0000}"/>
    <cellStyle name="Normal 58 7 2 6" xfId="1590" xr:uid="{00000000-0005-0000-0000-0000CEAD0000}"/>
    <cellStyle name="Normal 58 7 2 6 2" xfId="10967" xr:uid="{00000000-0005-0000-0000-0000CFAD0000}"/>
    <cellStyle name="Normal 58 7 2 6 2 2" xfId="36522" xr:uid="{00000000-0005-0000-0000-0000D0AD0000}"/>
    <cellStyle name="Normal 58 7 2 6 3" xfId="20971" xr:uid="{00000000-0005-0000-0000-0000D1AD0000}"/>
    <cellStyle name="Normal 58 7 2 6 3 2" xfId="46524" xr:uid="{00000000-0005-0000-0000-0000D2AD0000}"/>
    <cellStyle name="Normal 58 7 2 6 4" xfId="27454" xr:uid="{00000000-0005-0000-0000-0000D3AD0000}"/>
    <cellStyle name="Normal 58 7 2 7" xfId="5774" xr:uid="{00000000-0005-0000-0000-0000D4AD0000}"/>
    <cellStyle name="Normal 58 7 2 7 2" xfId="14601" xr:uid="{00000000-0005-0000-0000-0000D5AD0000}"/>
    <cellStyle name="Normal 58 7 2 7 2 2" xfId="40156" xr:uid="{00000000-0005-0000-0000-0000D6AD0000}"/>
    <cellStyle name="Normal 58 7 2 7 3" xfId="24852" xr:uid="{00000000-0005-0000-0000-0000D7AD0000}"/>
    <cellStyle name="Normal 58 7 2 7 3 2" xfId="50405" xr:uid="{00000000-0005-0000-0000-0000D8AD0000}"/>
    <cellStyle name="Normal 58 7 2 7 4" xfId="31335" xr:uid="{00000000-0005-0000-0000-0000D9AD0000}"/>
    <cellStyle name="Normal 58 7 2 8" xfId="7218" xr:uid="{00000000-0005-0000-0000-0000DAAD0000}"/>
    <cellStyle name="Normal 58 7 2 8 2" xfId="19944" xr:uid="{00000000-0005-0000-0000-0000DBAD0000}"/>
    <cellStyle name="Normal 58 7 2 8 2 2" xfId="45497" xr:uid="{00000000-0005-0000-0000-0000DCAD0000}"/>
    <cellStyle name="Normal 58 7 2 8 3" xfId="32775" xr:uid="{00000000-0005-0000-0000-0000DDAD0000}"/>
    <cellStyle name="Normal 58 7 2 9" xfId="15964" xr:uid="{00000000-0005-0000-0000-0000DEAD0000}"/>
    <cellStyle name="Normal 58 7 2 9 2" xfId="41517" xr:uid="{00000000-0005-0000-0000-0000DFAD0000}"/>
    <cellStyle name="Normal 58 7 2_Degree data" xfId="4028" xr:uid="{00000000-0005-0000-0000-0000E0AD0000}"/>
    <cellStyle name="Normal 58 7 3" xfId="398" xr:uid="{00000000-0005-0000-0000-0000E1AD0000}"/>
    <cellStyle name="Normal 58 7 3 2" xfId="2884" xr:uid="{00000000-0005-0000-0000-0000E2AD0000}"/>
    <cellStyle name="Normal 58 7 3 2 2" xfId="12172" xr:uid="{00000000-0005-0000-0000-0000E3AD0000}"/>
    <cellStyle name="Normal 58 7 3 2 2 2" xfId="22245" xr:uid="{00000000-0005-0000-0000-0000E4AD0000}"/>
    <cellStyle name="Normal 58 7 3 2 2 2 2" xfId="47798" xr:uid="{00000000-0005-0000-0000-0000E5AD0000}"/>
    <cellStyle name="Normal 58 7 3 2 2 3" xfId="37727" xr:uid="{00000000-0005-0000-0000-0000E6AD0000}"/>
    <cellStyle name="Normal 58 7 3 2 3" xfId="8398" xr:uid="{00000000-0005-0000-0000-0000E7AD0000}"/>
    <cellStyle name="Normal 58 7 3 2 3 2" xfId="33955" xr:uid="{00000000-0005-0000-0000-0000E8AD0000}"/>
    <cellStyle name="Normal 58 7 3 2 4" xfId="17238" xr:uid="{00000000-0005-0000-0000-0000E9AD0000}"/>
    <cellStyle name="Normal 58 7 3 2 4 2" xfId="42791" xr:uid="{00000000-0005-0000-0000-0000EAAD0000}"/>
    <cellStyle name="Normal 58 7 3 2 5" xfId="28728" xr:uid="{00000000-0005-0000-0000-0000EBAD0000}"/>
    <cellStyle name="Normal 58 7 3 3" xfId="4735" xr:uid="{00000000-0005-0000-0000-0000ECAD0000}"/>
    <cellStyle name="Normal 58 7 3 3 2" xfId="13573" xr:uid="{00000000-0005-0000-0000-0000EDAD0000}"/>
    <cellStyle name="Normal 58 7 3 3 2 2" xfId="23824" xr:uid="{00000000-0005-0000-0000-0000EEAD0000}"/>
    <cellStyle name="Normal 58 7 3 3 2 2 2" xfId="49377" xr:uid="{00000000-0005-0000-0000-0000EFAD0000}"/>
    <cellStyle name="Normal 58 7 3 3 2 3" xfId="39128" xr:uid="{00000000-0005-0000-0000-0000F0AD0000}"/>
    <cellStyle name="Normal 58 7 3 3 3" xfId="9994" xr:uid="{00000000-0005-0000-0000-0000F1AD0000}"/>
    <cellStyle name="Normal 58 7 3 3 3 2" xfId="35551" xr:uid="{00000000-0005-0000-0000-0000F2AD0000}"/>
    <cellStyle name="Normal 58 7 3 3 4" xfId="18817" xr:uid="{00000000-0005-0000-0000-0000F3AD0000}"/>
    <cellStyle name="Normal 58 7 3 3 4 2" xfId="44370" xr:uid="{00000000-0005-0000-0000-0000F4AD0000}"/>
    <cellStyle name="Normal 58 7 3 3 5" xfId="30307" xr:uid="{00000000-0005-0000-0000-0000F5AD0000}"/>
    <cellStyle name="Normal 58 7 3 4" xfId="1993" xr:uid="{00000000-0005-0000-0000-0000F6AD0000}"/>
    <cellStyle name="Normal 58 7 3 4 2" xfId="11358" xr:uid="{00000000-0005-0000-0000-0000F7AD0000}"/>
    <cellStyle name="Normal 58 7 3 4 2 2" xfId="36913" xr:uid="{00000000-0005-0000-0000-0000F8AD0000}"/>
    <cellStyle name="Normal 58 7 3 4 3" xfId="21362" xr:uid="{00000000-0005-0000-0000-0000F9AD0000}"/>
    <cellStyle name="Normal 58 7 3 4 3 2" xfId="46915" xr:uid="{00000000-0005-0000-0000-0000FAAD0000}"/>
    <cellStyle name="Normal 58 7 3 4 4" xfId="27845" xr:uid="{00000000-0005-0000-0000-0000FBAD0000}"/>
    <cellStyle name="Normal 58 7 3 5" xfId="6191" xr:uid="{00000000-0005-0000-0000-0000FCAD0000}"/>
    <cellStyle name="Normal 58 7 3 5 2" xfId="15018" xr:uid="{00000000-0005-0000-0000-0000FDAD0000}"/>
    <cellStyle name="Normal 58 7 3 5 2 2" xfId="40573" xr:uid="{00000000-0005-0000-0000-0000FEAD0000}"/>
    <cellStyle name="Normal 58 7 3 5 3" xfId="25269" xr:uid="{00000000-0005-0000-0000-0000FFAD0000}"/>
    <cellStyle name="Normal 58 7 3 5 3 2" xfId="50822" xr:uid="{00000000-0005-0000-0000-000000AE0000}"/>
    <cellStyle name="Normal 58 7 3 5 4" xfId="31752" xr:uid="{00000000-0005-0000-0000-000001AE0000}"/>
    <cellStyle name="Normal 58 7 3 6" xfId="7636" xr:uid="{00000000-0005-0000-0000-000002AE0000}"/>
    <cellStyle name="Normal 58 7 3 6 2" xfId="19844" xr:uid="{00000000-0005-0000-0000-000003AE0000}"/>
    <cellStyle name="Normal 58 7 3 6 2 2" xfId="45397" xr:uid="{00000000-0005-0000-0000-000004AE0000}"/>
    <cellStyle name="Normal 58 7 3 6 3" xfId="33193" xr:uid="{00000000-0005-0000-0000-000005AE0000}"/>
    <cellStyle name="Normal 58 7 3 7" xfId="16355" xr:uid="{00000000-0005-0000-0000-000006AE0000}"/>
    <cellStyle name="Normal 58 7 3 7 2" xfId="41908" xr:uid="{00000000-0005-0000-0000-000007AE0000}"/>
    <cellStyle name="Normal 58 7 3 8" xfId="26327" xr:uid="{00000000-0005-0000-0000-000008AE0000}"/>
    <cellStyle name="Normal 58 7 4" xfId="921" xr:uid="{00000000-0005-0000-0000-000009AE0000}"/>
    <cellStyle name="Normal 58 7 4 2" xfId="3406" xr:uid="{00000000-0005-0000-0000-00000AAE0000}"/>
    <cellStyle name="Normal 58 7 4 2 2" xfId="12548" xr:uid="{00000000-0005-0000-0000-00000BAE0000}"/>
    <cellStyle name="Normal 58 7 4 2 2 2" xfId="22767" xr:uid="{00000000-0005-0000-0000-00000CAE0000}"/>
    <cellStyle name="Normal 58 7 4 2 2 2 2" xfId="48320" xr:uid="{00000000-0005-0000-0000-00000DAE0000}"/>
    <cellStyle name="Normal 58 7 4 2 2 3" xfId="38103" xr:uid="{00000000-0005-0000-0000-00000EAE0000}"/>
    <cellStyle name="Normal 58 7 4 2 3" xfId="8970" xr:uid="{00000000-0005-0000-0000-00000FAE0000}"/>
    <cellStyle name="Normal 58 7 4 2 3 2" xfId="34527" xr:uid="{00000000-0005-0000-0000-000010AE0000}"/>
    <cellStyle name="Normal 58 7 4 2 4" xfId="17760" xr:uid="{00000000-0005-0000-0000-000011AE0000}"/>
    <cellStyle name="Normal 58 7 4 2 4 2" xfId="43313" xr:uid="{00000000-0005-0000-0000-000012AE0000}"/>
    <cellStyle name="Normal 58 7 4 2 5" xfId="29250" xr:uid="{00000000-0005-0000-0000-000013AE0000}"/>
    <cellStyle name="Normal 58 7 4 3" xfId="5084" xr:uid="{00000000-0005-0000-0000-000014AE0000}"/>
    <cellStyle name="Normal 58 7 4 3 2" xfId="13921" xr:uid="{00000000-0005-0000-0000-000015AE0000}"/>
    <cellStyle name="Normal 58 7 4 3 2 2" xfId="24172" xr:uid="{00000000-0005-0000-0000-000016AE0000}"/>
    <cellStyle name="Normal 58 7 4 3 2 2 2" xfId="49725" xr:uid="{00000000-0005-0000-0000-000017AE0000}"/>
    <cellStyle name="Normal 58 7 4 3 2 3" xfId="39476" xr:uid="{00000000-0005-0000-0000-000018AE0000}"/>
    <cellStyle name="Normal 58 7 4 3 3" xfId="10342" xr:uid="{00000000-0005-0000-0000-000019AE0000}"/>
    <cellStyle name="Normal 58 7 4 3 3 2" xfId="35899" xr:uid="{00000000-0005-0000-0000-00001AAE0000}"/>
    <cellStyle name="Normal 58 7 4 3 4" xfId="19165" xr:uid="{00000000-0005-0000-0000-00001BAE0000}"/>
    <cellStyle name="Normal 58 7 4 3 4 2" xfId="44718" xr:uid="{00000000-0005-0000-0000-00001CAE0000}"/>
    <cellStyle name="Normal 58 7 4 3 5" xfId="30655" xr:uid="{00000000-0005-0000-0000-00001DAE0000}"/>
    <cellStyle name="Normal 58 7 4 4" xfId="2515" xr:uid="{00000000-0005-0000-0000-00001EAE0000}"/>
    <cellStyle name="Normal 58 7 4 4 2" xfId="11880" xr:uid="{00000000-0005-0000-0000-00001FAE0000}"/>
    <cellStyle name="Normal 58 7 4 4 2 2" xfId="37435" xr:uid="{00000000-0005-0000-0000-000020AE0000}"/>
    <cellStyle name="Normal 58 7 4 4 3" xfId="21884" xr:uid="{00000000-0005-0000-0000-000021AE0000}"/>
    <cellStyle name="Normal 58 7 4 4 3 2" xfId="47437" xr:uid="{00000000-0005-0000-0000-000022AE0000}"/>
    <cellStyle name="Normal 58 7 4 4 4" xfId="28367" xr:uid="{00000000-0005-0000-0000-000023AE0000}"/>
    <cellStyle name="Normal 58 7 4 5" xfId="6539" xr:uid="{00000000-0005-0000-0000-000024AE0000}"/>
    <cellStyle name="Normal 58 7 4 5 2" xfId="15366" xr:uid="{00000000-0005-0000-0000-000025AE0000}"/>
    <cellStyle name="Normal 58 7 4 5 2 2" xfId="40921" xr:uid="{00000000-0005-0000-0000-000026AE0000}"/>
    <cellStyle name="Normal 58 7 4 5 3" xfId="25617" xr:uid="{00000000-0005-0000-0000-000027AE0000}"/>
    <cellStyle name="Normal 58 7 4 5 3 2" xfId="51170" xr:uid="{00000000-0005-0000-0000-000028AE0000}"/>
    <cellStyle name="Normal 58 7 4 5 4" xfId="32100" xr:uid="{00000000-0005-0000-0000-000029AE0000}"/>
    <cellStyle name="Normal 58 7 4 6" xfId="7985" xr:uid="{00000000-0005-0000-0000-00002AAE0000}"/>
    <cellStyle name="Normal 58 7 4 6 2" xfId="20366" xr:uid="{00000000-0005-0000-0000-00002BAE0000}"/>
    <cellStyle name="Normal 58 7 4 6 2 2" xfId="45919" xr:uid="{00000000-0005-0000-0000-00002CAE0000}"/>
    <cellStyle name="Normal 58 7 4 6 3" xfId="33542" xr:uid="{00000000-0005-0000-0000-00002DAE0000}"/>
    <cellStyle name="Normal 58 7 4 7" xfId="16877" xr:uid="{00000000-0005-0000-0000-00002EAE0000}"/>
    <cellStyle name="Normal 58 7 4 7 2" xfId="42430" xr:uid="{00000000-0005-0000-0000-00002FAE0000}"/>
    <cellStyle name="Normal 58 7 4 8" xfId="26849" xr:uid="{00000000-0005-0000-0000-000030AE0000}"/>
    <cellStyle name="Normal 58 7 5" xfId="1170" xr:uid="{00000000-0005-0000-0000-000031AE0000}"/>
    <cellStyle name="Normal 58 7 5 2" xfId="3599" xr:uid="{00000000-0005-0000-0000-000032AE0000}"/>
    <cellStyle name="Normal 58 7 5 2 2" xfId="12735" xr:uid="{00000000-0005-0000-0000-000033AE0000}"/>
    <cellStyle name="Normal 58 7 5 2 2 2" xfId="22954" xr:uid="{00000000-0005-0000-0000-000034AE0000}"/>
    <cellStyle name="Normal 58 7 5 2 2 2 2" xfId="48507" xr:uid="{00000000-0005-0000-0000-000035AE0000}"/>
    <cellStyle name="Normal 58 7 5 2 2 3" xfId="38290" xr:uid="{00000000-0005-0000-0000-000036AE0000}"/>
    <cellStyle name="Normal 58 7 5 2 3" xfId="9156" xr:uid="{00000000-0005-0000-0000-000037AE0000}"/>
    <cellStyle name="Normal 58 7 5 2 3 2" xfId="34713" xr:uid="{00000000-0005-0000-0000-000038AE0000}"/>
    <cellStyle name="Normal 58 7 5 2 4" xfId="17947" xr:uid="{00000000-0005-0000-0000-000039AE0000}"/>
    <cellStyle name="Normal 58 7 5 2 4 2" xfId="43500" xr:uid="{00000000-0005-0000-0000-00003AAE0000}"/>
    <cellStyle name="Normal 58 7 5 2 5" xfId="29437" xr:uid="{00000000-0005-0000-0000-00003BAE0000}"/>
    <cellStyle name="Normal 58 7 5 3" xfId="5262" xr:uid="{00000000-0005-0000-0000-00003CAE0000}"/>
    <cellStyle name="Normal 58 7 5 3 2" xfId="14099" xr:uid="{00000000-0005-0000-0000-00003DAE0000}"/>
    <cellStyle name="Normal 58 7 5 3 2 2" xfId="24350" xr:uid="{00000000-0005-0000-0000-00003EAE0000}"/>
    <cellStyle name="Normal 58 7 5 3 2 2 2" xfId="49903" xr:uid="{00000000-0005-0000-0000-00003FAE0000}"/>
    <cellStyle name="Normal 58 7 5 3 2 3" xfId="39654" xr:uid="{00000000-0005-0000-0000-000040AE0000}"/>
    <cellStyle name="Normal 58 7 5 3 3" xfId="10520" xr:uid="{00000000-0005-0000-0000-000041AE0000}"/>
    <cellStyle name="Normal 58 7 5 3 3 2" xfId="36077" xr:uid="{00000000-0005-0000-0000-000042AE0000}"/>
    <cellStyle name="Normal 58 7 5 3 4" xfId="19343" xr:uid="{00000000-0005-0000-0000-000043AE0000}"/>
    <cellStyle name="Normal 58 7 5 3 4 2" xfId="44896" xr:uid="{00000000-0005-0000-0000-000044AE0000}"/>
    <cellStyle name="Normal 58 7 5 3 5" xfId="30833" xr:uid="{00000000-0005-0000-0000-000045AE0000}"/>
    <cellStyle name="Normal 58 7 5 4" xfId="1772" xr:uid="{00000000-0005-0000-0000-000046AE0000}"/>
    <cellStyle name="Normal 58 7 5 4 2" xfId="11141" xr:uid="{00000000-0005-0000-0000-000047AE0000}"/>
    <cellStyle name="Normal 58 7 5 4 2 2" xfId="36696" xr:uid="{00000000-0005-0000-0000-000048AE0000}"/>
    <cellStyle name="Normal 58 7 5 4 3" xfId="21145" xr:uid="{00000000-0005-0000-0000-000049AE0000}"/>
    <cellStyle name="Normal 58 7 5 4 3 2" xfId="46698" xr:uid="{00000000-0005-0000-0000-00004AAE0000}"/>
    <cellStyle name="Normal 58 7 5 4 4" xfId="27628" xr:uid="{00000000-0005-0000-0000-00004BAE0000}"/>
    <cellStyle name="Normal 58 7 5 5" xfId="6717" xr:uid="{00000000-0005-0000-0000-00004CAE0000}"/>
    <cellStyle name="Normal 58 7 5 5 2" xfId="15544" xr:uid="{00000000-0005-0000-0000-00004DAE0000}"/>
    <cellStyle name="Normal 58 7 5 5 2 2" xfId="41099" xr:uid="{00000000-0005-0000-0000-00004EAE0000}"/>
    <cellStyle name="Normal 58 7 5 5 3" xfId="25795" xr:uid="{00000000-0005-0000-0000-00004FAE0000}"/>
    <cellStyle name="Normal 58 7 5 5 3 2" xfId="51348" xr:uid="{00000000-0005-0000-0000-000050AE0000}"/>
    <cellStyle name="Normal 58 7 5 5 4" xfId="32278" xr:uid="{00000000-0005-0000-0000-000051AE0000}"/>
    <cellStyle name="Normal 58 7 5 6" xfId="8163" xr:uid="{00000000-0005-0000-0000-000052AE0000}"/>
    <cellStyle name="Normal 58 7 5 6 2" xfId="20553" xr:uid="{00000000-0005-0000-0000-000053AE0000}"/>
    <cellStyle name="Normal 58 7 5 6 2 2" xfId="46106" xr:uid="{00000000-0005-0000-0000-000054AE0000}"/>
    <cellStyle name="Normal 58 7 5 6 3" xfId="33720" xr:uid="{00000000-0005-0000-0000-000055AE0000}"/>
    <cellStyle name="Normal 58 7 5 7" xfId="16138" xr:uid="{00000000-0005-0000-0000-000056AE0000}"/>
    <cellStyle name="Normal 58 7 5 7 2" xfId="41691" xr:uid="{00000000-0005-0000-0000-000057AE0000}"/>
    <cellStyle name="Normal 58 7 5 8" xfId="27036" xr:uid="{00000000-0005-0000-0000-000058AE0000}"/>
    <cellStyle name="Normal 58 7 6" xfId="2667" xr:uid="{00000000-0005-0000-0000-000059AE0000}"/>
    <cellStyle name="Normal 58 7 6 2" xfId="11984" xr:uid="{00000000-0005-0000-0000-00005AAE0000}"/>
    <cellStyle name="Normal 58 7 6 2 2" xfId="22028" xr:uid="{00000000-0005-0000-0000-00005BAE0000}"/>
    <cellStyle name="Normal 58 7 6 2 2 2" xfId="47581" xr:uid="{00000000-0005-0000-0000-00005CAE0000}"/>
    <cellStyle name="Normal 58 7 6 2 3" xfId="37539" xr:uid="{00000000-0005-0000-0000-00005DAE0000}"/>
    <cellStyle name="Normal 58 7 6 3" xfId="8621" xr:uid="{00000000-0005-0000-0000-00005EAE0000}"/>
    <cellStyle name="Normal 58 7 6 3 2" xfId="34178" xr:uid="{00000000-0005-0000-0000-00005FAE0000}"/>
    <cellStyle name="Normal 58 7 6 4" xfId="17021" xr:uid="{00000000-0005-0000-0000-000060AE0000}"/>
    <cellStyle name="Normal 58 7 6 4 2" xfId="42574" xr:uid="{00000000-0005-0000-0000-000061AE0000}"/>
    <cellStyle name="Normal 58 7 6 5" xfId="28511" xr:uid="{00000000-0005-0000-0000-000062AE0000}"/>
    <cellStyle name="Normal 58 7 7" xfId="4218" xr:uid="{00000000-0005-0000-0000-000063AE0000}"/>
    <cellStyle name="Normal 58 7 7 2" xfId="13056" xr:uid="{00000000-0005-0000-0000-000064AE0000}"/>
    <cellStyle name="Normal 58 7 7 2 2" xfId="23307" xr:uid="{00000000-0005-0000-0000-000065AE0000}"/>
    <cellStyle name="Normal 58 7 7 2 2 2" xfId="48860" xr:uid="{00000000-0005-0000-0000-000066AE0000}"/>
    <cellStyle name="Normal 58 7 7 2 3" xfId="38611" xr:uid="{00000000-0005-0000-0000-000067AE0000}"/>
    <cellStyle name="Normal 58 7 7 3" xfId="9477" xr:uid="{00000000-0005-0000-0000-000068AE0000}"/>
    <cellStyle name="Normal 58 7 7 3 2" xfId="35034" xr:uid="{00000000-0005-0000-0000-000069AE0000}"/>
    <cellStyle name="Normal 58 7 7 4" xfId="18300" xr:uid="{00000000-0005-0000-0000-00006AAE0000}"/>
    <cellStyle name="Normal 58 7 7 4 2" xfId="43853" xr:uid="{00000000-0005-0000-0000-00006BAE0000}"/>
    <cellStyle name="Normal 58 7 7 5" xfId="29790" xr:uid="{00000000-0005-0000-0000-00006CAE0000}"/>
    <cellStyle name="Normal 58 7 8" xfId="1490" xr:uid="{00000000-0005-0000-0000-00006DAE0000}"/>
    <cellStyle name="Normal 58 7 8 2" xfId="10867" xr:uid="{00000000-0005-0000-0000-00006EAE0000}"/>
    <cellStyle name="Normal 58 7 8 2 2" xfId="36422" xr:uid="{00000000-0005-0000-0000-00006FAE0000}"/>
    <cellStyle name="Normal 58 7 8 3" xfId="20871" xr:uid="{00000000-0005-0000-0000-000070AE0000}"/>
    <cellStyle name="Normal 58 7 8 3 2" xfId="46424" xr:uid="{00000000-0005-0000-0000-000071AE0000}"/>
    <cellStyle name="Normal 58 7 8 4" xfId="27354" xr:uid="{00000000-0005-0000-0000-000072AE0000}"/>
    <cellStyle name="Normal 58 7 9" xfId="5674" xr:uid="{00000000-0005-0000-0000-000073AE0000}"/>
    <cellStyle name="Normal 58 7 9 2" xfId="14501" xr:uid="{00000000-0005-0000-0000-000074AE0000}"/>
    <cellStyle name="Normal 58 7 9 2 2" xfId="40056" xr:uid="{00000000-0005-0000-0000-000075AE0000}"/>
    <cellStyle name="Normal 58 7 9 3" xfId="24752" xr:uid="{00000000-0005-0000-0000-000076AE0000}"/>
    <cellStyle name="Normal 58 7 9 3 2" xfId="50305" xr:uid="{00000000-0005-0000-0000-000077AE0000}"/>
    <cellStyle name="Normal 58 7 9 4" xfId="31235" xr:uid="{00000000-0005-0000-0000-000078AE0000}"/>
    <cellStyle name="Normal 58 7_Degree data" xfId="4027" xr:uid="{00000000-0005-0000-0000-000079AE0000}"/>
    <cellStyle name="Normal 58 8" xfId="223" xr:uid="{00000000-0005-0000-0000-00007AAE0000}"/>
    <cellStyle name="Normal 58 8 10" xfId="7061" xr:uid="{00000000-0005-0000-0000-00007BAE0000}"/>
    <cellStyle name="Normal 58 8 10 2" xfId="19675" xr:uid="{00000000-0005-0000-0000-00007CAE0000}"/>
    <cellStyle name="Normal 58 8 10 2 2" xfId="45228" xr:uid="{00000000-0005-0000-0000-00007DAE0000}"/>
    <cellStyle name="Normal 58 8 10 3" xfId="32618" xr:uid="{00000000-0005-0000-0000-00007EAE0000}"/>
    <cellStyle name="Normal 58 8 11" xfId="15807" xr:uid="{00000000-0005-0000-0000-00007FAE0000}"/>
    <cellStyle name="Normal 58 8 11 2" xfId="41360" xr:uid="{00000000-0005-0000-0000-000080AE0000}"/>
    <cellStyle name="Normal 58 8 12" xfId="26158" xr:uid="{00000000-0005-0000-0000-000081AE0000}"/>
    <cellStyle name="Normal 58 8 2" xfId="546" xr:uid="{00000000-0005-0000-0000-000082AE0000}"/>
    <cellStyle name="Normal 58 8 2 10" xfId="26475" xr:uid="{00000000-0005-0000-0000-000083AE0000}"/>
    <cellStyle name="Normal 58 8 2 2" xfId="924" xr:uid="{00000000-0005-0000-0000-000084AE0000}"/>
    <cellStyle name="Normal 58 8 2 2 2" xfId="3409" xr:uid="{00000000-0005-0000-0000-000085AE0000}"/>
    <cellStyle name="Normal 58 8 2 2 2 2" xfId="12551" xr:uid="{00000000-0005-0000-0000-000086AE0000}"/>
    <cellStyle name="Normal 58 8 2 2 2 2 2" xfId="22770" xr:uid="{00000000-0005-0000-0000-000087AE0000}"/>
    <cellStyle name="Normal 58 8 2 2 2 2 2 2" xfId="48323" xr:uid="{00000000-0005-0000-0000-000088AE0000}"/>
    <cellStyle name="Normal 58 8 2 2 2 2 3" xfId="38106" xr:uid="{00000000-0005-0000-0000-000089AE0000}"/>
    <cellStyle name="Normal 58 8 2 2 2 3" xfId="8973" xr:uid="{00000000-0005-0000-0000-00008AAE0000}"/>
    <cellStyle name="Normal 58 8 2 2 2 3 2" xfId="34530" xr:uid="{00000000-0005-0000-0000-00008BAE0000}"/>
    <cellStyle name="Normal 58 8 2 2 2 4" xfId="17763" xr:uid="{00000000-0005-0000-0000-00008CAE0000}"/>
    <cellStyle name="Normal 58 8 2 2 2 4 2" xfId="43316" xr:uid="{00000000-0005-0000-0000-00008DAE0000}"/>
    <cellStyle name="Normal 58 8 2 2 2 5" xfId="29253" xr:uid="{00000000-0005-0000-0000-00008EAE0000}"/>
    <cellStyle name="Normal 58 8 2 2 3" xfId="4738" xr:uid="{00000000-0005-0000-0000-00008FAE0000}"/>
    <cellStyle name="Normal 58 8 2 2 3 2" xfId="13576" xr:uid="{00000000-0005-0000-0000-000090AE0000}"/>
    <cellStyle name="Normal 58 8 2 2 3 2 2" xfId="23827" xr:uid="{00000000-0005-0000-0000-000091AE0000}"/>
    <cellStyle name="Normal 58 8 2 2 3 2 2 2" xfId="49380" xr:uid="{00000000-0005-0000-0000-000092AE0000}"/>
    <cellStyle name="Normal 58 8 2 2 3 2 3" xfId="39131" xr:uid="{00000000-0005-0000-0000-000093AE0000}"/>
    <cellStyle name="Normal 58 8 2 2 3 3" xfId="9997" xr:uid="{00000000-0005-0000-0000-000094AE0000}"/>
    <cellStyle name="Normal 58 8 2 2 3 3 2" xfId="35554" xr:uid="{00000000-0005-0000-0000-000095AE0000}"/>
    <cellStyle name="Normal 58 8 2 2 3 4" xfId="18820" xr:uid="{00000000-0005-0000-0000-000096AE0000}"/>
    <cellStyle name="Normal 58 8 2 2 3 4 2" xfId="44373" xr:uid="{00000000-0005-0000-0000-000097AE0000}"/>
    <cellStyle name="Normal 58 8 2 2 3 5" xfId="30310" xr:uid="{00000000-0005-0000-0000-000098AE0000}"/>
    <cellStyle name="Normal 58 8 2 2 4" xfId="2518" xr:uid="{00000000-0005-0000-0000-000099AE0000}"/>
    <cellStyle name="Normal 58 8 2 2 4 2" xfId="11883" xr:uid="{00000000-0005-0000-0000-00009AAE0000}"/>
    <cellStyle name="Normal 58 8 2 2 4 2 2" xfId="37438" xr:uid="{00000000-0005-0000-0000-00009BAE0000}"/>
    <cellStyle name="Normal 58 8 2 2 4 3" xfId="21887" xr:uid="{00000000-0005-0000-0000-00009CAE0000}"/>
    <cellStyle name="Normal 58 8 2 2 4 3 2" xfId="47440" xr:uid="{00000000-0005-0000-0000-00009DAE0000}"/>
    <cellStyle name="Normal 58 8 2 2 4 4" xfId="28370" xr:uid="{00000000-0005-0000-0000-00009EAE0000}"/>
    <cellStyle name="Normal 58 8 2 2 5" xfId="6194" xr:uid="{00000000-0005-0000-0000-00009FAE0000}"/>
    <cellStyle name="Normal 58 8 2 2 5 2" xfId="15021" xr:uid="{00000000-0005-0000-0000-0000A0AE0000}"/>
    <cellStyle name="Normal 58 8 2 2 5 2 2" xfId="40576" xr:uid="{00000000-0005-0000-0000-0000A1AE0000}"/>
    <cellStyle name="Normal 58 8 2 2 5 3" xfId="25272" xr:uid="{00000000-0005-0000-0000-0000A2AE0000}"/>
    <cellStyle name="Normal 58 8 2 2 5 3 2" xfId="50825" xr:uid="{00000000-0005-0000-0000-0000A3AE0000}"/>
    <cellStyle name="Normal 58 8 2 2 5 4" xfId="31755" xr:uid="{00000000-0005-0000-0000-0000A4AE0000}"/>
    <cellStyle name="Normal 58 8 2 2 6" xfId="7639" xr:uid="{00000000-0005-0000-0000-0000A5AE0000}"/>
    <cellStyle name="Normal 58 8 2 2 6 2" xfId="20369" xr:uid="{00000000-0005-0000-0000-0000A6AE0000}"/>
    <cellStyle name="Normal 58 8 2 2 6 2 2" xfId="45922" xr:uid="{00000000-0005-0000-0000-0000A7AE0000}"/>
    <cellStyle name="Normal 58 8 2 2 6 3" xfId="33196" xr:uid="{00000000-0005-0000-0000-0000A8AE0000}"/>
    <cellStyle name="Normal 58 8 2 2 7" xfId="16880" xr:uid="{00000000-0005-0000-0000-0000A9AE0000}"/>
    <cellStyle name="Normal 58 8 2 2 7 2" xfId="42433" xr:uid="{00000000-0005-0000-0000-0000AAAE0000}"/>
    <cellStyle name="Normal 58 8 2 2 8" xfId="26852" xr:uid="{00000000-0005-0000-0000-0000ABAE0000}"/>
    <cellStyle name="Normal 58 8 2 3" xfId="1318" xr:uid="{00000000-0005-0000-0000-0000ACAE0000}"/>
    <cellStyle name="Normal 58 8 2 3 2" xfId="3747" xr:uid="{00000000-0005-0000-0000-0000ADAE0000}"/>
    <cellStyle name="Normal 58 8 2 3 2 2" xfId="12883" xr:uid="{00000000-0005-0000-0000-0000AEAE0000}"/>
    <cellStyle name="Normal 58 8 2 3 2 2 2" xfId="23102" xr:uid="{00000000-0005-0000-0000-0000AFAE0000}"/>
    <cellStyle name="Normal 58 8 2 3 2 2 2 2" xfId="48655" xr:uid="{00000000-0005-0000-0000-0000B0AE0000}"/>
    <cellStyle name="Normal 58 8 2 3 2 2 3" xfId="38438" xr:uid="{00000000-0005-0000-0000-0000B1AE0000}"/>
    <cellStyle name="Normal 58 8 2 3 2 3" xfId="9304" xr:uid="{00000000-0005-0000-0000-0000B2AE0000}"/>
    <cellStyle name="Normal 58 8 2 3 2 3 2" xfId="34861" xr:uid="{00000000-0005-0000-0000-0000B3AE0000}"/>
    <cellStyle name="Normal 58 8 2 3 2 4" xfId="18095" xr:uid="{00000000-0005-0000-0000-0000B4AE0000}"/>
    <cellStyle name="Normal 58 8 2 3 2 4 2" xfId="43648" xr:uid="{00000000-0005-0000-0000-0000B5AE0000}"/>
    <cellStyle name="Normal 58 8 2 3 2 5" xfId="29585" xr:uid="{00000000-0005-0000-0000-0000B6AE0000}"/>
    <cellStyle name="Normal 58 8 2 3 3" xfId="5087" xr:uid="{00000000-0005-0000-0000-0000B7AE0000}"/>
    <cellStyle name="Normal 58 8 2 3 3 2" xfId="13924" xr:uid="{00000000-0005-0000-0000-0000B8AE0000}"/>
    <cellStyle name="Normal 58 8 2 3 3 2 2" xfId="24175" xr:uid="{00000000-0005-0000-0000-0000B9AE0000}"/>
    <cellStyle name="Normal 58 8 2 3 3 2 2 2" xfId="49728" xr:uid="{00000000-0005-0000-0000-0000BAAE0000}"/>
    <cellStyle name="Normal 58 8 2 3 3 2 3" xfId="39479" xr:uid="{00000000-0005-0000-0000-0000BBAE0000}"/>
    <cellStyle name="Normal 58 8 2 3 3 3" xfId="10345" xr:uid="{00000000-0005-0000-0000-0000BCAE0000}"/>
    <cellStyle name="Normal 58 8 2 3 3 3 2" xfId="35902" xr:uid="{00000000-0005-0000-0000-0000BDAE0000}"/>
    <cellStyle name="Normal 58 8 2 3 3 4" xfId="19168" xr:uid="{00000000-0005-0000-0000-0000BEAE0000}"/>
    <cellStyle name="Normal 58 8 2 3 3 4 2" xfId="44721" xr:uid="{00000000-0005-0000-0000-0000BFAE0000}"/>
    <cellStyle name="Normal 58 8 2 3 3 5" xfId="30658" xr:uid="{00000000-0005-0000-0000-0000C0AE0000}"/>
    <cellStyle name="Normal 58 8 2 3 4" xfId="2141" xr:uid="{00000000-0005-0000-0000-0000C1AE0000}"/>
    <cellStyle name="Normal 58 8 2 3 4 2" xfId="11506" xr:uid="{00000000-0005-0000-0000-0000C2AE0000}"/>
    <cellStyle name="Normal 58 8 2 3 4 2 2" xfId="37061" xr:uid="{00000000-0005-0000-0000-0000C3AE0000}"/>
    <cellStyle name="Normal 58 8 2 3 4 3" xfId="21510" xr:uid="{00000000-0005-0000-0000-0000C4AE0000}"/>
    <cellStyle name="Normal 58 8 2 3 4 3 2" xfId="47063" xr:uid="{00000000-0005-0000-0000-0000C5AE0000}"/>
    <cellStyle name="Normal 58 8 2 3 4 4" xfId="27993" xr:uid="{00000000-0005-0000-0000-0000C6AE0000}"/>
    <cellStyle name="Normal 58 8 2 3 5" xfId="6542" xr:uid="{00000000-0005-0000-0000-0000C7AE0000}"/>
    <cellStyle name="Normal 58 8 2 3 5 2" xfId="15369" xr:uid="{00000000-0005-0000-0000-0000C8AE0000}"/>
    <cellStyle name="Normal 58 8 2 3 5 2 2" xfId="40924" xr:uid="{00000000-0005-0000-0000-0000C9AE0000}"/>
    <cellStyle name="Normal 58 8 2 3 5 3" xfId="25620" xr:uid="{00000000-0005-0000-0000-0000CAAE0000}"/>
    <cellStyle name="Normal 58 8 2 3 5 3 2" xfId="51173" xr:uid="{00000000-0005-0000-0000-0000CBAE0000}"/>
    <cellStyle name="Normal 58 8 2 3 5 4" xfId="32103" xr:uid="{00000000-0005-0000-0000-0000CCAE0000}"/>
    <cellStyle name="Normal 58 8 2 3 6" xfId="7988" xr:uid="{00000000-0005-0000-0000-0000CDAE0000}"/>
    <cellStyle name="Normal 58 8 2 3 6 2" xfId="20701" xr:uid="{00000000-0005-0000-0000-0000CEAE0000}"/>
    <cellStyle name="Normal 58 8 2 3 6 2 2" xfId="46254" xr:uid="{00000000-0005-0000-0000-0000CFAE0000}"/>
    <cellStyle name="Normal 58 8 2 3 6 3" xfId="33545" xr:uid="{00000000-0005-0000-0000-0000D0AE0000}"/>
    <cellStyle name="Normal 58 8 2 3 7" xfId="16503" xr:uid="{00000000-0005-0000-0000-0000D1AE0000}"/>
    <cellStyle name="Normal 58 8 2 3 7 2" xfId="42056" xr:uid="{00000000-0005-0000-0000-0000D2AE0000}"/>
    <cellStyle name="Normal 58 8 2 3 8" xfId="27184" xr:uid="{00000000-0005-0000-0000-0000D3AE0000}"/>
    <cellStyle name="Normal 58 8 2 4" xfId="3032" xr:uid="{00000000-0005-0000-0000-0000D4AE0000}"/>
    <cellStyle name="Normal 58 8 2 4 2" xfId="5410" xr:uid="{00000000-0005-0000-0000-0000D5AE0000}"/>
    <cellStyle name="Normal 58 8 2 4 2 2" xfId="14247" xr:uid="{00000000-0005-0000-0000-0000D6AE0000}"/>
    <cellStyle name="Normal 58 8 2 4 2 2 2" xfId="24498" xr:uid="{00000000-0005-0000-0000-0000D7AE0000}"/>
    <cellStyle name="Normal 58 8 2 4 2 2 2 2" xfId="50051" xr:uid="{00000000-0005-0000-0000-0000D8AE0000}"/>
    <cellStyle name="Normal 58 8 2 4 2 2 3" xfId="39802" xr:uid="{00000000-0005-0000-0000-0000D9AE0000}"/>
    <cellStyle name="Normal 58 8 2 4 2 3" xfId="10668" xr:uid="{00000000-0005-0000-0000-0000DAAE0000}"/>
    <cellStyle name="Normal 58 8 2 4 2 3 2" xfId="36225" xr:uid="{00000000-0005-0000-0000-0000DBAE0000}"/>
    <cellStyle name="Normal 58 8 2 4 2 4" xfId="19491" xr:uid="{00000000-0005-0000-0000-0000DCAE0000}"/>
    <cellStyle name="Normal 58 8 2 4 2 4 2" xfId="45044" xr:uid="{00000000-0005-0000-0000-0000DDAE0000}"/>
    <cellStyle name="Normal 58 8 2 4 2 5" xfId="30981" xr:uid="{00000000-0005-0000-0000-0000DEAE0000}"/>
    <cellStyle name="Normal 58 8 2 4 3" xfId="6865" xr:uid="{00000000-0005-0000-0000-0000DFAE0000}"/>
    <cellStyle name="Normal 58 8 2 4 3 2" xfId="15692" xr:uid="{00000000-0005-0000-0000-0000E0AE0000}"/>
    <cellStyle name="Normal 58 8 2 4 3 2 2" xfId="41247" xr:uid="{00000000-0005-0000-0000-0000E1AE0000}"/>
    <cellStyle name="Normal 58 8 2 4 3 3" xfId="25943" xr:uid="{00000000-0005-0000-0000-0000E2AE0000}"/>
    <cellStyle name="Normal 58 8 2 4 3 3 2" xfId="51496" xr:uid="{00000000-0005-0000-0000-0000E3AE0000}"/>
    <cellStyle name="Normal 58 8 2 4 3 4" xfId="32426" xr:uid="{00000000-0005-0000-0000-0000E4AE0000}"/>
    <cellStyle name="Normal 58 8 2 4 4" xfId="8311" xr:uid="{00000000-0005-0000-0000-0000E5AE0000}"/>
    <cellStyle name="Normal 58 8 2 4 4 2" xfId="22393" xr:uid="{00000000-0005-0000-0000-0000E6AE0000}"/>
    <cellStyle name="Normal 58 8 2 4 4 2 2" xfId="47946" xr:uid="{00000000-0005-0000-0000-0000E7AE0000}"/>
    <cellStyle name="Normal 58 8 2 4 4 3" xfId="33868" xr:uid="{00000000-0005-0000-0000-0000E8AE0000}"/>
    <cellStyle name="Normal 58 8 2 4 5" xfId="17386" xr:uid="{00000000-0005-0000-0000-0000E9AE0000}"/>
    <cellStyle name="Normal 58 8 2 4 5 2" xfId="42939" xr:uid="{00000000-0005-0000-0000-0000EAAE0000}"/>
    <cellStyle name="Normal 58 8 2 4 6" xfId="28876" xr:uid="{00000000-0005-0000-0000-0000EBAE0000}"/>
    <cellStyle name="Normal 58 8 2 5" xfId="4366" xr:uid="{00000000-0005-0000-0000-0000ECAE0000}"/>
    <cellStyle name="Normal 58 8 2 5 2" xfId="13204" xr:uid="{00000000-0005-0000-0000-0000EDAE0000}"/>
    <cellStyle name="Normal 58 8 2 5 2 2" xfId="23455" xr:uid="{00000000-0005-0000-0000-0000EEAE0000}"/>
    <cellStyle name="Normal 58 8 2 5 2 2 2" xfId="49008" xr:uid="{00000000-0005-0000-0000-0000EFAE0000}"/>
    <cellStyle name="Normal 58 8 2 5 2 3" xfId="38759" xr:uid="{00000000-0005-0000-0000-0000F0AE0000}"/>
    <cellStyle name="Normal 58 8 2 5 3" xfId="9625" xr:uid="{00000000-0005-0000-0000-0000F1AE0000}"/>
    <cellStyle name="Normal 58 8 2 5 3 2" xfId="35182" xr:uid="{00000000-0005-0000-0000-0000F2AE0000}"/>
    <cellStyle name="Normal 58 8 2 5 4" xfId="18448" xr:uid="{00000000-0005-0000-0000-0000F3AE0000}"/>
    <cellStyle name="Normal 58 8 2 5 4 2" xfId="44001" xr:uid="{00000000-0005-0000-0000-0000F4AE0000}"/>
    <cellStyle name="Normal 58 8 2 5 5" xfId="29938" xr:uid="{00000000-0005-0000-0000-0000F5AE0000}"/>
    <cellStyle name="Normal 58 8 2 6" xfId="1638" xr:uid="{00000000-0005-0000-0000-0000F6AE0000}"/>
    <cellStyle name="Normal 58 8 2 6 2" xfId="11015" xr:uid="{00000000-0005-0000-0000-0000F7AE0000}"/>
    <cellStyle name="Normal 58 8 2 6 2 2" xfId="36570" xr:uid="{00000000-0005-0000-0000-0000F8AE0000}"/>
    <cellStyle name="Normal 58 8 2 6 3" xfId="21019" xr:uid="{00000000-0005-0000-0000-0000F9AE0000}"/>
    <cellStyle name="Normal 58 8 2 6 3 2" xfId="46572" xr:uid="{00000000-0005-0000-0000-0000FAAE0000}"/>
    <cellStyle name="Normal 58 8 2 6 4" xfId="27502" xr:uid="{00000000-0005-0000-0000-0000FBAE0000}"/>
    <cellStyle name="Normal 58 8 2 7" xfId="5822" xr:uid="{00000000-0005-0000-0000-0000FCAE0000}"/>
    <cellStyle name="Normal 58 8 2 7 2" xfId="14649" xr:uid="{00000000-0005-0000-0000-0000FDAE0000}"/>
    <cellStyle name="Normal 58 8 2 7 2 2" xfId="40204" xr:uid="{00000000-0005-0000-0000-0000FEAE0000}"/>
    <cellStyle name="Normal 58 8 2 7 3" xfId="24900" xr:uid="{00000000-0005-0000-0000-0000FFAE0000}"/>
    <cellStyle name="Normal 58 8 2 7 3 2" xfId="50453" xr:uid="{00000000-0005-0000-0000-000000AF0000}"/>
    <cellStyle name="Normal 58 8 2 7 4" xfId="31383" xr:uid="{00000000-0005-0000-0000-000001AF0000}"/>
    <cellStyle name="Normal 58 8 2 8" xfId="7266" xr:uid="{00000000-0005-0000-0000-000002AF0000}"/>
    <cellStyle name="Normal 58 8 2 8 2" xfId="19992" xr:uid="{00000000-0005-0000-0000-000003AF0000}"/>
    <cellStyle name="Normal 58 8 2 8 2 2" xfId="45545" xr:uid="{00000000-0005-0000-0000-000004AF0000}"/>
    <cellStyle name="Normal 58 8 2 8 3" xfId="32823" xr:uid="{00000000-0005-0000-0000-000005AF0000}"/>
    <cellStyle name="Normal 58 8 2 9" xfId="16012" xr:uid="{00000000-0005-0000-0000-000006AF0000}"/>
    <cellStyle name="Normal 58 8 2 9 2" xfId="41565" xr:uid="{00000000-0005-0000-0000-000007AF0000}"/>
    <cellStyle name="Normal 58 8 2_Degree data" xfId="4030" xr:uid="{00000000-0005-0000-0000-000008AF0000}"/>
    <cellStyle name="Normal 58 8 3" xfId="341" xr:uid="{00000000-0005-0000-0000-000009AF0000}"/>
    <cellStyle name="Normal 58 8 3 2" xfId="2827" xr:uid="{00000000-0005-0000-0000-00000AAF0000}"/>
    <cellStyle name="Normal 58 8 3 2 2" xfId="12115" xr:uid="{00000000-0005-0000-0000-00000BAF0000}"/>
    <cellStyle name="Normal 58 8 3 2 2 2" xfId="22188" xr:uid="{00000000-0005-0000-0000-00000CAF0000}"/>
    <cellStyle name="Normal 58 8 3 2 2 2 2" xfId="47741" xr:uid="{00000000-0005-0000-0000-00000DAF0000}"/>
    <cellStyle name="Normal 58 8 3 2 2 3" xfId="37670" xr:uid="{00000000-0005-0000-0000-00000EAF0000}"/>
    <cellStyle name="Normal 58 8 3 2 3" xfId="8627" xr:uid="{00000000-0005-0000-0000-00000FAF0000}"/>
    <cellStyle name="Normal 58 8 3 2 3 2" xfId="34184" xr:uid="{00000000-0005-0000-0000-000010AF0000}"/>
    <cellStyle name="Normal 58 8 3 2 4" xfId="17181" xr:uid="{00000000-0005-0000-0000-000011AF0000}"/>
    <cellStyle name="Normal 58 8 3 2 4 2" xfId="42734" xr:uid="{00000000-0005-0000-0000-000012AF0000}"/>
    <cellStyle name="Normal 58 8 3 2 5" xfId="28671" xr:uid="{00000000-0005-0000-0000-000013AF0000}"/>
    <cellStyle name="Normal 58 8 3 3" xfId="4737" xr:uid="{00000000-0005-0000-0000-000014AF0000}"/>
    <cellStyle name="Normal 58 8 3 3 2" xfId="13575" xr:uid="{00000000-0005-0000-0000-000015AF0000}"/>
    <cellStyle name="Normal 58 8 3 3 2 2" xfId="23826" xr:uid="{00000000-0005-0000-0000-000016AF0000}"/>
    <cellStyle name="Normal 58 8 3 3 2 2 2" xfId="49379" xr:uid="{00000000-0005-0000-0000-000017AF0000}"/>
    <cellStyle name="Normal 58 8 3 3 2 3" xfId="39130" xr:uid="{00000000-0005-0000-0000-000018AF0000}"/>
    <cellStyle name="Normal 58 8 3 3 3" xfId="9996" xr:uid="{00000000-0005-0000-0000-000019AF0000}"/>
    <cellStyle name="Normal 58 8 3 3 3 2" xfId="35553" xr:uid="{00000000-0005-0000-0000-00001AAF0000}"/>
    <cellStyle name="Normal 58 8 3 3 4" xfId="18819" xr:uid="{00000000-0005-0000-0000-00001BAF0000}"/>
    <cellStyle name="Normal 58 8 3 3 4 2" xfId="44372" xr:uid="{00000000-0005-0000-0000-00001CAF0000}"/>
    <cellStyle name="Normal 58 8 3 3 5" xfId="30309" xr:uid="{00000000-0005-0000-0000-00001DAF0000}"/>
    <cellStyle name="Normal 58 8 3 4" xfId="1936" xr:uid="{00000000-0005-0000-0000-00001EAF0000}"/>
    <cellStyle name="Normal 58 8 3 4 2" xfId="11301" xr:uid="{00000000-0005-0000-0000-00001FAF0000}"/>
    <cellStyle name="Normal 58 8 3 4 2 2" xfId="36856" xr:uid="{00000000-0005-0000-0000-000020AF0000}"/>
    <cellStyle name="Normal 58 8 3 4 3" xfId="21305" xr:uid="{00000000-0005-0000-0000-000021AF0000}"/>
    <cellStyle name="Normal 58 8 3 4 3 2" xfId="46858" xr:uid="{00000000-0005-0000-0000-000022AF0000}"/>
    <cellStyle name="Normal 58 8 3 4 4" xfId="27788" xr:uid="{00000000-0005-0000-0000-000023AF0000}"/>
    <cellStyle name="Normal 58 8 3 5" xfId="6193" xr:uid="{00000000-0005-0000-0000-000024AF0000}"/>
    <cellStyle name="Normal 58 8 3 5 2" xfId="15020" xr:uid="{00000000-0005-0000-0000-000025AF0000}"/>
    <cellStyle name="Normal 58 8 3 5 2 2" xfId="40575" xr:uid="{00000000-0005-0000-0000-000026AF0000}"/>
    <cellStyle name="Normal 58 8 3 5 3" xfId="25271" xr:uid="{00000000-0005-0000-0000-000027AF0000}"/>
    <cellStyle name="Normal 58 8 3 5 3 2" xfId="50824" xr:uid="{00000000-0005-0000-0000-000028AF0000}"/>
    <cellStyle name="Normal 58 8 3 5 4" xfId="31754" xr:uid="{00000000-0005-0000-0000-000029AF0000}"/>
    <cellStyle name="Normal 58 8 3 6" xfId="7638" xr:uid="{00000000-0005-0000-0000-00002AAF0000}"/>
    <cellStyle name="Normal 58 8 3 6 2" xfId="19787" xr:uid="{00000000-0005-0000-0000-00002BAF0000}"/>
    <cellStyle name="Normal 58 8 3 6 2 2" xfId="45340" xr:uid="{00000000-0005-0000-0000-00002CAF0000}"/>
    <cellStyle name="Normal 58 8 3 6 3" xfId="33195" xr:uid="{00000000-0005-0000-0000-00002DAF0000}"/>
    <cellStyle name="Normal 58 8 3 7" xfId="16298" xr:uid="{00000000-0005-0000-0000-00002EAF0000}"/>
    <cellStyle name="Normal 58 8 3 7 2" xfId="41851" xr:uid="{00000000-0005-0000-0000-00002FAF0000}"/>
    <cellStyle name="Normal 58 8 3 8" xfId="26270" xr:uid="{00000000-0005-0000-0000-000030AF0000}"/>
    <cellStyle name="Normal 58 8 4" xfId="923" xr:uid="{00000000-0005-0000-0000-000031AF0000}"/>
    <cellStyle name="Normal 58 8 4 2" xfId="3408" xr:uid="{00000000-0005-0000-0000-000032AF0000}"/>
    <cellStyle name="Normal 58 8 4 2 2" xfId="12550" xr:uid="{00000000-0005-0000-0000-000033AF0000}"/>
    <cellStyle name="Normal 58 8 4 2 2 2" xfId="22769" xr:uid="{00000000-0005-0000-0000-000034AF0000}"/>
    <cellStyle name="Normal 58 8 4 2 2 2 2" xfId="48322" xr:uid="{00000000-0005-0000-0000-000035AF0000}"/>
    <cellStyle name="Normal 58 8 4 2 2 3" xfId="38105" xr:uid="{00000000-0005-0000-0000-000036AF0000}"/>
    <cellStyle name="Normal 58 8 4 2 3" xfId="8972" xr:uid="{00000000-0005-0000-0000-000037AF0000}"/>
    <cellStyle name="Normal 58 8 4 2 3 2" xfId="34529" xr:uid="{00000000-0005-0000-0000-000038AF0000}"/>
    <cellStyle name="Normal 58 8 4 2 4" xfId="17762" xr:uid="{00000000-0005-0000-0000-000039AF0000}"/>
    <cellStyle name="Normal 58 8 4 2 4 2" xfId="43315" xr:uid="{00000000-0005-0000-0000-00003AAF0000}"/>
    <cellStyle name="Normal 58 8 4 2 5" xfId="29252" xr:uid="{00000000-0005-0000-0000-00003BAF0000}"/>
    <cellStyle name="Normal 58 8 4 3" xfId="5086" xr:uid="{00000000-0005-0000-0000-00003CAF0000}"/>
    <cellStyle name="Normal 58 8 4 3 2" xfId="13923" xr:uid="{00000000-0005-0000-0000-00003DAF0000}"/>
    <cellStyle name="Normal 58 8 4 3 2 2" xfId="24174" xr:uid="{00000000-0005-0000-0000-00003EAF0000}"/>
    <cellStyle name="Normal 58 8 4 3 2 2 2" xfId="49727" xr:uid="{00000000-0005-0000-0000-00003FAF0000}"/>
    <cellStyle name="Normal 58 8 4 3 2 3" xfId="39478" xr:uid="{00000000-0005-0000-0000-000040AF0000}"/>
    <cellStyle name="Normal 58 8 4 3 3" xfId="10344" xr:uid="{00000000-0005-0000-0000-000041AF0000}"/>
    <cellStyle name="Normal 58 8 4 3 3 2" xfId="35901" xr:uid="{00000000-0005-0000-0000-000042AF0000}"/>
    <cellStyle name="Normal 58 8 4 3 4" xfId="19167" xr:uid="{00000000-0005-0000-0000-000043AF0000}"/>
    <cellStyle name="Normal 58 8 4 3 4 2" xfId="44720" xr:uid="{00000000-0005-0000-0000-000044AF0000}"/>
    <cellStyle name="Normal 58 8 4 3 5" xfId="30657" xr:uid="{00000000-0005-0000-0000-000045AF0000}"/>
    <cellStyle name="Normal 58 8 4 4" xfId="2517" xr:uid="{00000000-0005-0000-0000-000046AF0000}"/>
    <cellStyle name="Normal 58 8 4 4 2" xfId="11882" xr:uid="{00000000-0005-0000-0000-000047AF0000}"/>
    <cellStyle name="Normal 58 8 4 4 2 2" xfId="37437" xr:uid="{00000000-0005-0000-0000-000048AF0000}"/>
    <cellStyle name="Normal 58 8 4 4 3" xfId="21886" xr:uid="{00000000-0005-0000-0000-000049AF0000}"/>
    <cellStyle name="Normal 58 8 4 4 3 2" xfId="47439" xr:uid="{00000000-0005-0000-0000-00004AAF0000}"/>
    <cellStyle name="Normal 58 8 4 4 4" xfId="28369" xr:uid="{00000000-0005-0000-0000-00004BAF0000}"/>
    <cellStyle name="Normal 58 8 4 5" xfId="6541" xr:uid="{00000000-0005-0000-0000-00004CAF0000}"/>
    <cellStyle name="Normal 58 8 4 5 2" xfId="15368" xr:uid="{00000000-0005-0000-0000-00004DAF0000}"/>
    <cellStyle name="Normal 58 8 4 5 2 2" xfId="40923" xr:uid="{00000000-0005-0000-0000-00004EAF0000}"/>
    <cellStyle name="Normal 58 8 4 5 3" xfId="25619" xr:uid="{00000000-0005-0000-0000-00004FAF0000}"/>
    <cellStyle name="Normal 58 8 4 5 3 2" xfId="51172" xr:uid="{00000000-0005-0000-0000-000050AF0000}"/>
    <cellStyle name="Normal 58 8 4 5 4" xfId="32102" xr:uid="{00000000-0005-0000-0000-000051AF0000}"/>
    <cellStyle name="Normal 58 8 4 6" xfId="7987" xr:uid="{00000000-0005-0000-0000-000052AF0000}"/>
    <cellStyle name="Normal 58 8 4 6 2" xfId="20368" xr:uid="{00000000-0005-0000-0000-000053AF0000}"/>
    <cellStyle name="Normal 58 8 4 6 2 2" xfId="45921" xr:uid="{00000000-0005-0000-0000-000054AF0000}"/>
    <cellStyle name="Normal 58 8 4 6 3" xfId="33544" xr:uid="{00000000-0005-0000-0000-000055AF0000}"/>
    <cellStyle name="Normal 58 8 4 7" xfId="16879" xr:uid="{00000000-0005-0000-0000-000056AF0000}"/>
    <cellStyle name="Normal 58 8 4 7 2" xfId="42432" xr:uid="{00000000-0005-0000-0000-000057AF0000}"/>
    <cellStyle name="Normal 58 8 4 8" xfId="26851" xr:uid="{00000000-0005-0000-0000-000058AF0000}"/>
    <cellStyle name="Normal 58 8 5" xfId="1113" xr:uid="{00000000-0005-0000-0000-000059AF0000}"/>
    <cellStyle name="Normal 58 8 5 2" xfId="3542" xr:uid="{00000000-0005-0000-0000-00005AAF0000}"/>
    <cellStyle name="Normal 58 8 5 2 2" xfId="12678" xr:uid="{00000000-0005-0000-0000-00005BAF0000}"/>
    <cellStyle name="Normal 58 8 5 2 2 2" xfId="22897" xr:uid="{00000000-0005-0000-0000-00005CAF0000}"/>
    <cellStyle name="Normal 58 8 5 2 2 2 2" xfId="48450" xr:uid="{00000000-0005-0000-0000-00005DAF0000}"/>
    <cellStyle name="Normal 58 8 5 2 2 3" xfId="38233" xr:uid="{00000000-0005-0000-0000-00005EAF0000}"/>
    <cellStyle name="Normal 58 8 5 2 3" xfId="9099" xr:uid="{00000000-0005-0000-0000-00005FAF0000}"/>
    <cellStyle name="Normal 58 8 5 2 3 2" xfId="34656" xr:uid="{00000000-0005-0000-0000-000060AF0000}"/>
    <cellStyle name="Normal 58 8 5 2 4" xfId="17890" xr:uid="{00000000-0005-0000-0000-000061AF0000}"/>
    <cellStyle name="Normal 58 8 5 2 4 2" xfId="43443" xr:uid="{00000000-0005-0000-0000-000062AF0000}"/>
    <cellStyle name="Normal 58 8 5 2 5" xfId="29380" xr:uid="{00000000-0005-0000-0000-000063AF0000}"/>
    <cellStyle name="Normal 58 8 5 3" xfId="5205" xr:uid="{00000000-0005-0000-0000-000064AF0000}"/>
    <cellStyle name="Normal 58 8 5 3 2" xfId="14042" xr:uid="{00000000-0005-0000-0000-000065AF0000}"/>
    <cellStyle name="Normal 58 8 5 3 2 2" xfId="24293" xr:uid="{00000000-0005-0000-0000-000066AF0000}"/>
    <cellStyle name="Normal 58 8 5 3 2 2 2" xfId="49846" xr:uid="{00000000-0005-0000-0000-000067AF0000}"/>
    <cellStyle name="Normal 58 8 5 3 2 3" xfId="39597" xr:uid="{00000000-0005-0000-0000-000068AF0000}"/>
    <cellStyle name="Normal 58 8 5 3 3" xfId="10463" xr:uid="{00000000-0005-0000-0000-000069AF0000}"/>
    <cellStyle name="Normal 58 8 5 3 3 2" xfId="36020" xr:uid="{00000000-0005-0000-0000-00006AAF0000}"/>
    <cellStyle name="Normal 58 8 5 3 4" xfId="19286" xr:uid="{00000000-0005-0000-0000-00006BAF0000}"/>
    <cellStyle name="Normal 58 8 5 3 4 2" xfId="44839" xr:uid="{00000000-0005-0000-0000-00006CAF0000}"/>
    <cellStyle name="Normal 58 8 5 3 5" xfId="30776" xr:uid="{00000000-0005-0000-0000-00006DAF0000}"/>
    <cellStyle name="Normal 58 8 5 4" xfId="1821" xr:uid="{00000000-0005-0000-0000-00006EAF0000}"/>
    <cellStyle name="Normal 58 8 5 4 2" xfId="11189" xr:uid="{00000000-0005-0000-0000-00006FAF0000}"/>
    <cellStyle name="Normal 58 8 5 4 2 2" xfId="36744" xr:uid="{00000000-0005-0000-0000-000070AF0000}"/>
    <cellStyle name="Normal 58 8 5 4 3" xfId="21193" xr:uid="{00000000-0005-0000-0000-000071AF0000}"/>
    <cellStyle name="Normal 58 8 5 4 3 2" xfId="46746" xr:uid="{00000000-0005-0000-0000-000072AF0000}"/>
    <cellStyle name="Normal 58 8 5 4 4" xfId="27676" xr:uid="{00000000-0005-0000-0000-000073AF0000}"/>
    <cellStyle name="Normal 58 8 5 5" xfId="6660" xr:uid="{00000000-0005-0000-0000-000074AF0000}"/>
    <cellStyle name="Normal 58 8 5 5 2" xfId="15487" xr:uid="{00000000-0005-0000-0000-000075AF0000}"/>
    <cellStyle name="Normal 58 8 5 5 2 2" xfId="41042" xr:uid="{00000000-0005-0000-0000-000076AF0000}"/>
    <cellStyle name="Normal 58 8 5 5 3" xfId="25738" xr:uid="{00000000-0005-0000-0000-000077AF0000}"/>
    <cellStyle name="Normal 58 8 5 5 3 2" xfId="51291" xr:uid="{00000000-0005-0000-0000-000078AF0000}"/>
    <cellStyle name="Normal 58 8 5 5 4" xfId="32221" xr:uid="{00000000-0005-0000-0000-000079AF0000}"/>
    <cellStyle name="Normal 58 8 5 6" xfId="8106" xr:uid="{00000000-0005-0000-0000-00007AAF0000}"/>
    <cellStyle name="Normal 58 8 5 6 2" xfId="20496" xr:uid="{00000000-0005-0000-0000-00007BAF0000}"/>
    <cellStyle name="Normal 58 8 5 6 2 2" xfId="46049" xr:uid="{00000000-0005-0000-0000-00007CAF0000}"/>
    <cellStyle name="Normal 58 8 5 6 3" xfId="33663" xr:uid="{00000000-0005-0000-0000-00007DAF0000}"/>
    <cellStyle name="Normal 58 8 5 7" xfId="16186" xr:uid="{00000000-0005-0000-0000-00007EAF0000}"/>
    <cellStyle name="Normal 58 8 5 7 2" xfId="41739" xr:uid="{00000000-0005-0000-0000-00007FAF0000}"/>
    <cellStyle name="Normal 58 8 5 8" xfId="26979" xr:uid="{00000000-0005-0000-0000-000080AF0000}"/>
    <cellStyle name="Normal 58 8 6" xfId="2715" xr:uid="{00000000-0005-0000-0000-000081AF0000}"/>
    <cellStyle name="Normal 58 8 6 2" xfId="12032" xr:uid="{00000000-0005-0000-0000-000082AF0000}"/>
    <cellStyle name="Normal 58 8 6 2 2" xfId="22076" xr:uid="{00000000-0005-0000-0000-000083AF0000}"/>
    <cellStyle name="Normal 58 8 6 2 2 2" xfId="47629" xr:uid="{00000000-0005-0000-0000-000084AF0000}"/>
    <cellStyle name="Normal 58 8 6 2 3" xfId="37587" xr:uid="{00000000-0005-0000-0000-000085AF0000}"/>
    <cellStyle name="Normal 58 8 6 3" xfId="8550" xr:uid="{00000000-0005-0000-0000-000086AF0000}"/>
    <cellStyle name="Normal 58 8 6 3 2" xfId="34107" xr:uid="{00000000-0005-0000-0000-000087AF0000}"/>
    <cellStyle name="Normal 58 8 6 4" xfId="17069" xr:uid="{00000000-0005-0000-0000-000088AF0000}"/>
    <cellStyle name="Normal 58 8 6 4 2" xfId="42622" xr:uid="{00000000-0005-0000-0000-000089AF0000}"/>
    <cellStyle name="Normal 58 8 6 5" xfId="28559" xr:uid="{00000000-0005-0000-0000-00008AAF0000}"/>
    <cellStyle name="Normal 58 8 7" xfId="4161" xr:uid="{00000000-0005-0000-0000-00008BAF0000}"/>
    <cellStyle name="Normal 58 8 7 2" xfId="12999" xr:uid="{00000000-0005-0000-0000-00008CAF0000}"/>
    <cellStyle name="Normal 58 8 7 2 2" xfId="23250" xr:uid="{00000000-0005-0000-0000-00008DAF0000}"/>
    <cellStyle name="Normal 58 8 7 2 2 2" xfId="48803" xr:uid="{00000000-0005-0000-0000-00008EAF0000}"/>
    <cellStyle name="Normal 58 8 7 2 3" xfId="38554" xr:uid="{00000000-0005-0000-0000-00008FAF0000}"/>
    <cellStyle name="Normal 58 8 7 3" xfId="9420" xr:uid="{00000000-0005-0000-0000-000090AF0000}"/>
    <cellStyle name="Normal 58 8 7 3 2" xfId="34977" xr:uid="{00000000-0005-0000-0000-000091AF0000}"/>
    <cellStyle name="Normal 58 8 7 4" xfId="18243" xr:uid="{00000000-0005-0000-0000-000092AF0000}"/>
    <cellStyle name="Normal 58 8 7 4 2" xfId="43796" xr:uid="{00000000-0005-0000-0000-000093AF0000}"/>
    <cellStyle name="Normal 58 8 7 5" xfId="29733" xr:uid="{00000000-0005-0000-0000-000094AF0000}"/>
    <cellStyle name="Normal 58 8 8" xfId="1433" xr:uid="{00000000-0005-0000-0000-000095AF0000}"/>
    <cellStyle name="Normal 58 8 8 2" xfId="10810" xr:uid="{00000000-0005-0000-0000-000096AF0000}"/>
    <cellStyle name="Normal 58 8 8 2 2" xfId="36365" xr:uid="{00000000-0005-0000-0000-000097AF0000}"/>
    <cellStyle name="Normal 58 8 8 3" xfId="20814" xr:uid="{00000000-0005-0000-0000-000098AF0000}"/>
    <cellStyle name="Normal 58 8 8 3 2" xfId="46367" xr:uid="{00000000-0005-0000-0000-000099AF0000}"/>
    <cellStyle name="Normal 58 8 8 4" xfId="27297" xr:uid="{00000000-0005-0000-0000-00009AAF0000}"/>
    <cellStyle name="Normal 58 8 9" xfId="5617" xr:uid="{00000000-0005-0000-0000-00009BAF0000}"/>
    <cellStyle name="Normal 58 8 9 2" xfId="14444" xr:uid="{00000000-0005-0000-0000-00009CAF0000}"/>
    <cellStyle name="Normal 58 8 9 2 2" xfId="39999" xr:uid="{00000000-0005-0000-0000-00009DAF0000}"/>
    <cellStyle name="Normal 58 8 9 3" xfId="24695" xr:uid="{00000000-0005-0000-0000-00009EAF0000}"/>
    <cellStyle name="Normal 58 8 9 3 2" xfId="50248" xr:uid="{00000000-0005-0000-0000-00009FAF0000}"/>
    <cellStyle name="Normal 58 8 9 4" xfId="31178" xr:uid="{00000000-0005-0000-0000-0000A0AF0000}"/>
    <cellStyle name="Normal 58 8_Degree data" xfId="4029" xr:uid="{00000000-0005-0000-0000-0000A1AF0000}"/>
    <cellStyle name="Normal 58 9" xfId="280" xr:uid="{00000000-0005-0000-0000-0000A2AF0000}"/>
    <cellStyle name="Normal 58 9 10" xfId="16068" xr:uid="{00000000-0005-0000-0000-0000A3AF0000}"/>
    <cellStyle name="Normal 58 9 10 2" xfId="41621" xr:uid="{00000000-0005-0000-0000-0000A4AF0000}"/>
    <cellStyle name="Normal 58 9 11" xfId="26214" xr:uid="{00000000-0005-0000-0000-0000A5AF0000}"/>
    <cellStyle name="Normal 58 9 2" xfId="602" xr:uid="{00000000-0005-0000-0000-0000A6AF0000}"/>
    <cellStyle name="Normal 58 9 2 2" xfId="3088" xr:uid="{00000000-0005-0000-0000-0000A7AF0000}"/>
    <cellStyle name="Normal 58 9 2 2 2" xfId="12231" xr:uid="{00000000-0005-0000-0000-0000A8AF0000}"/>
    <cellStyle name="Normal 58 9 2 2 2 2" xfId="22449" xr:uid="{00000000-0005-0000-0000-0000A9AF0000}"/>
    <cellStyle name="Normal 58 9 2 2 2 2 2" xfId="48002" xr:uid="{00000000-0005-0000-0000-0000AAAF0000}"/>
    <cellStyle name="Normal 58 9 2 2 2 3" xfId="37786" xr:uid="{00000000-0005-0000-0000-0000ABAF0000}"/>
    <cellStyle name="Normal 58 9 2 2 3" xfId="8653" xr:uid="{00000000-0005-0000-0000-0000ACAF0000}"/>
    <cellStyle name="Normal 58 9 2 2 3 2" xfId="34210" xr:uid="{00000000-0005-0000-0000-0000ADAF0000}"/>
    <cellStyle name="Normal 58 9 2 2 4" xfId="17442" xr:uid="{00000000-0005-0000-0000-0000AEAF0000}"/>
    <cellStyle name="Normal 58 9 2 2 4 2" xfId="42995" xr:uid="{00000000-0005-0000-0000-0000AFAF0000}"/>
    <cellStyle name="Normal 58 9 2 2 5" xfId="28932" xr:uid="{00000000-0005-0000-0000-0000B0AF0000}"/>
    <cellStyle name="Normal 58 9 2 3" xfId="4739" xr:uid="{00000000-0005-0000-0000-0000B1AF0000}"/>
    <cellStyle name="Normal 58 9 2 3 2" xfId="13577" xr:uid="{00000000-0005-0000-0000-0000B2AF0000}"/>
    <cellStyle name="Normal 58 9 2 3 2 2" xfId="23828" xr:uid="{00000000-0005-0000-0000-0000B3AF0000}"/>
    <cellStyle name="Normal 58 9 2 3 2 2 2" xfId="49381" xr:uid="{00000000-0005-0000-0000-0000B4AF0000}"/>
    <cellStyle name="Normal 58 9 2 3 2 3" xfId="39132" xr:uid="{00000000-0005-0000-0000-0000B5AF0000}"/>
    <cellStyle name="Normal 58 9 2 3 3" xfId="9998" xr:uid="{00000000-0005-0000-0000-0000B6AF0000}"/>
    <cellStyle name="Normal 58 9 2 3 3 2" xfId="35555" xr:uid="{00000000-0005-0000-0000-0000B7AF0000}"/>
    <cellStyle name="Normal 58 9 2 3 4" xfId="18821" xr:uid="{00000000-0005-0000-0000-0000B8AF0000}"/>
    <cellStyle name="Normal 58 9 2 3 4 2" xfId="44374" xr:uid="{00000000-0005-0000-0000-0000B9AF0000}"/>
    <cellStyle name="Normal 58 9 2 3 5" xfId="30311" xr:uid="{00000000-0005-0000-0000-0000BAAF0000}"/>
    <cellStyle name="Normal 58 9 2 4" xfId="2197" xr:uid="{00000000-0005-0000-0000-0000BBAF0000}"/>
    <cellStyle name="Normal 58 9 2 4 2" xfId="11562" xr:uid="{00000000-0005-0000-0000-0000BCAF0000}"/>
    <cellStyle name="Normal 58 9 2 4 2 2" xfId="37117" xr:uid="{00000000-0005-0000-0000-0000BDAF0000}"/>
    <cellStyle name="Normal 58 9 2 4 3" xfId="21566" xr:uid="{00000000-0005-0000-0000-0000BEAF0000}"/>
    <cellStyle name="Normal 58 9 2 4 3 2" xfId="47119" xr:uid="{00000000-0005-0000-0000-0000BFAF0000}"/>
    <cellStyle name="Normal 58 9 2 4 4" xfId="28049" xr:uid="{00000000-0005-0000-0000-0000C0AF0000}"/>
    <cellStyle name="Normal 58 9 2 5" xfId="6195" xr:uid="{00000000-0005-0000-0000-0000C1AF0000}"/>
    <cellStyle name="Normal 58 9 2 5 2" xfId="15022" xr:uid="{00000000-0005-0000-0000-0000C2AF0000}"/>
    <cellStyle name="Normal 58 9 2 5 2 2" xfId="40577" xr:uid="{00000000-0005-0000-0000-0000C3AF0000}"/>
    <cellStyle name="Normal 58 9 2 5 3" xfId="25273" xr:uid="{00000000-0005-0000-0000-0000C4AF0000}"/>
    <cellStyle name="Normal 58 9 2 5 3 2" xfId="50826" xr:uid="{00000000-0005-0000-0000-0000C5AF0000}"/>
    <cellStyle name="Normal 58 9 2 5 4" xfId="31756" xr:uid="{00000000-0005-0000-0000-0000C6AF0000}"/>
    <cellStyle name="Normal 58 9 2 6" xfId="7640" xr:uid="{00000000-0005-0000-0000-0000C7AF0000}"/>
    <cellStyle name="Normal 58 9 2 6 2" xfId="20048" xr:uid="{00000000-0005-0000-0000-0000C8AF0000}"/>
    <cellStyle name="Normal 58 9 2 6 2 2" xfId="45601" xr:uid="{00000000-0005-0000-0000-0000C9AF0000}"/>
    <cellStyle name="Normal 58 9 2 6 3" xfId="33197" xr:uid="{00000000-0005-0000-0000-0000CAAF0000}"/>
    <cellStyle name="Normal 58 9 2 7" xfId="16559" xr:uid="{00000000-0005-0000-0000-0000CBAF0000}"/>
    <cellStyle name="Normal 58 9 2 7 2" xfId="42112" xr:uid="{00000000-0005-0000-0000-0000CCAF0000}"/>
    <cellStyle name="Normal 58 9 2 8" xfId="26531" xr:uid="{00000000-0005-0000-0000-0000CDAF0000}"/>
    <cellStyle name="Normal 58 9 3" xfId="925" xr:uid="{00000000-0005-0000-0000-0000CEAF0000}"/>
    <cellStyle name="Normal 58 9 3 2" xfId="3410" xr:uid="{00000000-0005-0000-0000-0000CFAF0000}"/>
    <cellStyle name="Normal 58 9 3 2 2" xfId="12552" xr:uid="{00000000-0005-0000-0000-0000D0AF0000}"/>
    <cellStyle name="Normal 58 9 3 2 2 2" xfId="22771" xr:uid="{00000000-0005-0000-0000-0000D1AF0000}"/>
    <cellStyle name="Normal 58 9 3 2 2 2 2" xfId="48324" xr:uid="{00000000-0005-0000-0000-0000D2AF0000}"/>
    <cellStyle name="Normal 58 9 3 2 2 3" xfId="38107" xr:uid="{00000000-0005-0000-0000-0000D3AF0000}"/>
    <cellStyle name="Normal 58 9 3 2 3" xfId="8974" xr:uid="{00000000-0005-0000-0000-0000D4AF0000}"/>
    <cellStyle name="Normal 58 9 3 2 3 2" xfId="34531" xr:uid="{00000000-0005-0000-0000-0000D5AF0000}"/>
    <cellStyle name="Normal 58 9 3 2 4" xfId="17764" xr:uid="{00000000-0005-0000-0000-0000D6AF0000}"/>
    <cellStyle name="Normal 58 9 3 2 4 2" xfId="43317" xr:uid="{00000000-0005-0000-0000-0000D7AF0000}"/>
    <cellStyle name="Normal 58 9 3 2 5" xfId="29254" xr:uid="{00000000-0005-0000-0000-0000D8AF0000}"/>
    <cellStyle name="Normal 58 9 3 3" xfId="5088" xr:uid="{00000000-0005-0000-0000-0000D9AF0000}"/>
    <cellStyle name="Normal 58 9 3 3 2" xfId="13925" xr:uid="{00000000-0005-0000-0000-0000DAAF0000}"/>
    <cellStyle name="Normal 58 9 3 3 2 2" xfId="24176" xr:uid="{00000000-0005-0000-0000-0000DBAF0000}"/>
    <cellStyle name="Normal 58 9 3 3 2 2 2" xfId="49729" xr:uid="{00000000-0005-0000-0000-0000DCAF0000}"/>
    <cellStyle name="Normal 58 9 3 3 2 3" xfId="39480" xr:uid="{00000000-0005-0000-0000-0000DDAF0000}"/>
    <cellStyle name="Normal 58 9 3 3 3" xfId="10346" xr:uid="{00000000-0005-0000-0000-0000DEAF0000}"/>
    <cellStyle name="Normal 58 9 3 3 3 2" xfId="35903" xr:uid="{00000000-0005-0000-0000-0000DFAF0000}"/>
    <cellStyle name="Normal 58 9 3 3 4" xfId="19169" xr:uid="{00000000-0005-0000-0000-0000E0AF0000}"/>
    <cellStyle name="Normal 58 9 3 3 4 2" xfId="44722" xr:uid="{00000000-0005-0000-0000-0000E1AF0000}"/>
    <cellStyle name="Normal 58 9 3 3 5" xfId="30659" xr:uid="{00000000-0005-0000-0000-0000E2AF0000}"/>
    <cellStyle name="Normal 58 9 3 4" xfId="2519" xr:uid="{00000000-0005-0000-0000-0000E3AF0000}"/>
    <cellStyle name="Normal 58 9 3 4 2" xfId="11884" xr:uid="{00000000-0005-0000-0000-0000E4AF0000}"/>
    <cellStyle name="Normal 58 9 3 4 2 2" xfId="37439" xr:uid="{00000000-0005-0000-0000-0000E5AF0000}"/>
    <cellStyle name="Normal 58 9 3 4 3" xfId="21888" xr:uid="{00000000-0005-0000-0000-0000E6AF0000}"/>
    <cellStyle name="Normal 58 9 3 4 3 2" xfId="47441" xr:uid="{00000000-0005-0000-0000-0000E7AF0000}"/>
    <cellStyle name="Normal 58 9 3 4 4" xfId="28371" xr:uid="{00000000-0005-0000-0000-0000E8AF0000}"/>
    <cellStyle name="Normal 58 9 3 5" xfId="6543" xr:uid="{00000000-0005-0000-0000-0000E9AF0000}"/>
    <cellStyle name="Normal 58 9 3 5 2" xfId="15370" xr:uid="{00000000-0005-0000-0000-0000EAAF0000}"/>
    <cellStyle name="Normal 58 9 3 5 2 2" xfId="40925" xr:uid="{00000000-0005-0000-0000-0000EBAF0000}"/>
    <cellStyle name="Normal 58 9 3 5 3" xfId="25621" xr:uid="{00000000-0005-0000-0000-0000ECAF0000}"/>
    <cellStyle name="Normal 58 9 3 5 3 2" xfId="51174" xr:uid="{00000000-0005-0000-0000-0000EDAF0000}"/>
    <cellStyle name="Normal 58 9 3 5 4" xfId="32104" xr:uid="{00000000-0005-0000-0000-0000EEAF0000}"/>
    <cellStyle name="Normal 58 9 3 6" xfId="7989" xr:uid="{00000000-0005-0000-0000-0000EFAF0000}"/>
    <cellStyle name="Normal 58 9 3 6 2" xfId="20370" xr:uid="{00000000-0005-0000-0000-0000F0AF0000}"/>
    <cellStyle name="Normal 58 9 3 6 2 2" xfId="45923" xr:uid="{00000000-0005-0000-0000-0000F1AF0000}"/>
    <cellStyle name="Normal 58 9 3 6 3" xfId="33546" xr:uid="{00000000-0005-0000-0000-0000F2AF0000}"/>
    <cellStyle name="Normal 58 9 3 7" xfId="16881" xr:uid="{00000000-0005-0000-0000-0000F3AF0000}"/>
    <cellStyle name="Normal 58 9 3 7 2" xfId="42434" xr:uid="{00000000-0005-0000-0000-0000F4AF0000}"/>
    <cellStyle name="Normal 58 9 3 8" xfId="26853" xr:uid="{00000000-0005-0000-0000-0000F5AF0000}"/>
    <cellStyle name="Normal 58 9 4" xfId="1374" xr:uid="{00000000-0005-0000-0000-0000F6AF0000}"/>
    <cellStyle name="Normal 58 9 4 2" xfId="3803" xr:uid="{00000000-0005-0000-0000-0000F7AF0000}"/>
    <cellStyle name="Normal 58 9 4 2 2" xfId="12939" xr:uid="{00000000-0005-0000-0000-0000F8AF0000}"/>
    <cellStyle name="Normal 58 9 4 2 2 2" xfId="23158" xr:uid="{00000000-0005-0000-0000-0000F9AF0000}"/>
    <cellStyle name="Normal 58 9 4 2 2 2 2" xfId="48711" xr:uid="{00000000-0005-0000-0000-0000FAAF0000}"/>
    <cellStyle name="Normal 58 9 4 2 2 3" xfId="38494" xr:uid="{00000000-0005-0000-0000-0000FBAF0000}"/>
    <cellStyle name="Normal 58 9 4 2 3" xfId="9360" xr:uid="{00000000-0005-0000-0000-0000FCAF0000}"/>
    <cellStyle name="Normal 58 9 4 2 3 2" xfId="34917" xr:uid="{00000000-0005-0000-0000-0000FDAF0000}"/>
    <cellStyle name="Normal 58 9 4 2 4" xfId="18151" xr:uid="{00000000-0005-0000-0000-0000FEAF0000}"/>
    <cellStyle name="Normal 58 9 4 2 4 2" xfId="43704" xr:uid="{00000000-0005-0000-0000-0000FFAF0000}"/>
    <cellStyle name="Normal 58 9 4 2 5" xfId="29641" xr:uid="{00000000-0005-0000-0000-000000B00000}"/>
    <cellStyle name="Normal 58 9 4 3" xfId="5466" xr:uid="{00000000-0005-0000-0000-000001B00000}"/>
    <cellStyle name="Normal 58 9 4 3 2" xfId="14303" xr:uid="{00000000-0005-0000-0000-000002B00000}"/>
    <cellStyle name="Normal 58 9 4 3 2 2" xfId="24554" xr:uid="{00000000-0005-0000-0000-000003B00000}"/>
    <cellStyle name="Normal 58 9 4 3 2 2 2" xfId="50107" xr:uid="{00000000-0005-0000-0000-000004B00000}"/>
    <cellStyle name="Normal 58 9 4 3 2 3" xfId="39858" xr:uid="{00000000-0005-0000-0000-000005B00000}"/>
    <cellStyle name="Normal 58 9 4 3 3" xfId="10724" xr:uid="{00000000-0005-0000-0000-000006B00000}"/>
    <cellStyle name="Normal 58 9 4 3 3 2" xfId="36281" xr:uid="{00000000-0005-0000-0000-000007B00000}"/>
    <cellStyle name="Normal 58 9 4 3 4" xfId="19547" xr:uid="{00000000-0005-0000-0000-000008B00000}"/>
    <cellStyle name="Normal 58 9 4 3 4 2" xfId="45100" xr:uid="{00000000-0005-0000-0000-000009B00000}"/>
    <cellStyle name="Normal 58 9 4 3 5" xfId="31037" xr:uid="{00000000-0005-0000-0000-00000AB00000}"/>
    <cellStyle name="Normal 58 9 4 4" xfId="1877" xr:uid="{00000000-0005-0000-0000-00000BB00000}"/>
    <cellStyle name="Normal 58 9 4 4 2" xfId="11245" xr:uid="{00000000-0005-0000-0000-00000CB00000}"/>
    <cellStyle name="Normal 58 9 4 4 2 2" xfId="36800" xr:uid="{00000000-0005-0000-0000-00000DB00000}"/>
    <cellStyle name="Normal 58 9 4 4 3" xfId="21249" xr:uid="{00000000-0005-0000-0000-00000EB00000}"/>
    <cellStyle name="Normal 58 9 4 4 3 2" xfId="46802" xr:uid="{00000000-0005-0000-0000-00000FB00000}"/>
    <cellStyle name="Normal 58 9 4 4 4" xfId="27732" xr:uid="{00000000-0005-0000-0000-000010B00000}"/>
    <cellStyle name="Normal 58 9 4 5" xfId="6921" xr:uid="{00000000-0005-0000-0000-000011B00000}"/>
    <cellStyle name="Normal 58 9 4 5 2" xfId="15748" xr:uid="{00000000-0005-0000-0000-000012B00000}"/>
    <cellStyle name="Normal 58 9 4 5 2 2" xfId="41303" xr:uid="{00000000-0005-0000-0000-000013B00000}"/>
    <cellStyle name="Normal 58 9 4 5 3" xfId="25999" xr:uid="{00000000-0005-0000-0000-000014B00000}"/>
    <cellStyle name="Normal 58 9 4 5 3 2" xfId="51552" xr:uid="{00000000-0005-0000-0000-000015B00000}"/>
    <cellStyle name="Normal 58 9 4 5 4" xfId="32482" xr:uid="{00000000-0005-0000-0000-000016B00000}"/>
    <cellStyle name="Normal 58 9 4 6" xfId="8367" xr:uid="{00000000-0005-0000-0000-000017B00000}"/>
    <cellStyle name="Normal 58 9 4 6 2" xfId="20757" xr:uid="{00000000-0005-0000-0000-000018B00000}"/>
    <cellStyle name="Normal 58 9 4 6 2 2" xfId="46310" xr:uid="{00000000-0005-0000-0000-000019B00000}"/>
    <cellStyle name="Normal 58 9 4 6 3" xfId="33924" xr:uid="{00000000-0005-0000-0000-00001AB00000}"/>
    <cellStyle name="Normal 58 9 4 7" xfId="16242" xr:uid="{00000000-0005-0000-0000-00001BB00000}"/>
    <cellStyle name="Normal 58 9 4 7 2" xfId="41795" xr:uid="{00000000-0005-0000-0000-00001CB00000}"/>
    <cellStyle name="Normal 58 9 4 8" xfId="27240" xr:uid="{00000000-0005-0000-0000-00001DB00000}"/>
    <cellStyle name="Normal 58 9 5" xfId="2771" xr:uid="{00000000-0005-0000-0000-00001EB00000}"/>
    <cellStyle name="Normal 58 9 5 2" xfId="12088" xr:uid="{00000000-0005-0000-0000-00001FB00000}"/>
    <cellStyle name="Normal 58 9 5 2 2" xfId="22132" xr:uid="{00000000-0005-0000-0000-000020B00000}"/>
    <cellStyle name="Normal 58 9 5 2 2 2" xfId="47685" xr:uid="{00000000-0005-0000-0000-000021B00000}"/>
    <cellStyle name="Normal 58 9 5 2 3" xfId="37643" xr:uid="{00000000-0005-0000-0000-000022B00000}"/>
    <cellStyle name="Normal 58 9 5 3" xfId="8392" xr:uid="{00000000-0005-0000-0000-000023B00000}"/>
    <cellStyle name="Normal 58 9 5 3 2" xfId="33949" xr:uid="{00000000-0005-0000-0000-000024B00000}"/>
    <cellStyle name="Normal 58 9 5 4" xfId="17125" xr:uid="{00000000-0005-0000-0000-000025B00000}"/>
    <cellStyle name="Normal 58 9 5 4 2" xfId="42678" xr:uid="{00000000-0005-0000-0000-000026B00000}"/>
    <cellStyle name="Normal 58 9 5 5" xfId="28615" xr:uid="{00000000-0005-0000-0000-000027B00000}"/>
    <cellStyle name="Normal 58 9 6" xfId="4422" xr:uid="{00000000-0005-0000-0000-000028B00000}"/>
    <cellStyle name="Normal 58 9 6 2" xfId="13260" xr:uid="{00000000-0005-0000-0000-000029B00000}"/>
    <cellStyle name="Normal 58 9 6 2 2" xfId="23511" xr:uid="{00000000-0005-0000-0000-00002AB00000}"/>
    <cellStyle name="Normal 58 9 6 2 2 2" xfId="49064" xr:uid="{00000000-0005-0000-0000-00002BB00000}"/>
    <cellStyle name="Normal 58 9 6 2 3" xfId="38815" xr:uid="{00000000-0005-0000-0000-00002CB00000}"/>
    <cellStyle name="Normal 58 9 6 3" xfId="9681" xr:uid="{00000000-0005-0000-0000-00002DB00000}"/>
    <cellStyle name="Normal 58 9 6 3 2" xfId="35238" xr:uid="{00000000-0005-0000-0000-00002EB00000}"/>
    <cellStyle name="Normal 58 9 6 4" xfId="18504" xr:uid="{00000000-0005-0000-0000-00002FB00000}"/>
    <cellStyle name="Normal 58 9 6 4 2" xfId="44057" xr:uid="{00000000-0005-0000-0000-000030B00000}"/>
    <cellStyle name="Normal 58 9 6 5" xfId="29994" xr:uid="{00000000-0005-0000-0000-000031B00000}"/>
    <cellStyle name="Normal 58 9 7" xfId="1694" xr:uid="{00000000-0005-0000-0000-000032B00000}"/>
    <cellStyle name="Normal 58 9 7 2" xfId="11071" xr:uid="{00000000-0005-0000-0000-000033B00000}"/>
    <cellStyle name="Normal 58 9 7 2 2" xfId="36626" xr:uid="{00000000-0005-0000-0000-000034B00000}"/>
    <cellStyle name="Normal 58 9 7 3" xfId="21075" xr:uid="{00000000-0005-0000-0000-000035B00000}"/>
    <cellStyle name="Normal 58 9 7 3 2" xfId="46628" xr:uid="{00000000-0005-0000-0000-000036B00000}"/>
    <cellStyle name="Normal 58 9 7 4" xfId="27558" xr:uid="{00000000-0005-0000-0000-000037B00000}"/>
    <cellStyle name="Normal 58 9 8" xfId="5878" xr:uid="{00000000-0005-0000-0000-000038B00000}"/>
    <cellStyle name="Normal 58 9 8 2" xfId="14705" xr:uid="{00000000-0005-0000-0000-000039B00000}"/>
    <cellStyle name="Normal 58 9 8 2 2" xfId="40260" xr:uid="{00000000-0005-0000-0000-00003AB00000}"/>
    <cellStyle name="Normal 58 9 8 3" xfId="24956" xr:uid="{00000000-0005-0000-0000-00003BB00000}"/>
    <cellStyle name="Normal 58 9 8 3 2" xfId="50509" xr:uid="{00000000-0005-0000-0000-00003CB00000}"/>
    <cellStyle name="Normal 58 9 8 4" xfId="31439" xr:uid="{00000000-0005-0000-0000-00003DB00000}"/>
    <cellStyle name="Normal 58 9 9" xfId="7322" xr:uid="{00000000-0005-0000-0000-00003EB00000}"/>
    <cellStyle name="Normal 58 9 9 2" xfId="19731" xr:uid="{00000000-0005-0000-0000-00003FB00000}"/>
    <cellStyle name="Normal 58 9 9 2 2" xfId="45284" xr:uid="{00000000-0005-0000-0000-000040B00000}"/>
    <cellStyle name="Normal 58 9 9 3" xfId="32879" xr:uid="{00000000-0005-0000-0000-000041B00000}"/>
    <cellStyle name="Normal 58 9_Degree data" xfId="4031" xr:uid="{00000000-0005-0000-0000-000042B00000}"/>
    <cellStyle name="Normal 58_Degree data" xfId="3989" xr:uid="{00000000-0005-0000-0000-000043B00000}"/>
    <cellStyle name="Normal 59" xfId="45" xr:uid="{00000000-0005-0000-0000-000044B00000}"/>
    <cellStyle name="Normal 6" xfId="27" xr:uid="{00000000-0005-0000-0000-000045B00000}"/>
    <cellStyle name="Normal 6 2 2" xfId="44" xr:uid="{00000000-0005-0000-0000-000046B00000}"/>
    <cellStyle name="Normal 6_sreb progression tab 2 redo" xfId="34" xr:uid="{00000000-0005-0000-0000-000047B00000}"/>
    <cellStyle name="Normal 60" xfId="56" xr:uid="{00000000-0005-0000-0000-000048B00000}"/>
    <cellStyle name="Normal 60 2" xfId="926" xr:uid="{00000000-0005-0000-0000-000049B00000}"/>
    <cellStyle name="Normal 60 3" xfId="1711" xr:uid="{00000000-0005-0000-0000-00004AB00000}"/>
    <cellStyle name="Normal 60_Degree data" xfId="4032" xr:uid="{00000000-0005-0000-0000-00004BB00000}"/>
    <cellStyle name="Normal 61" xfId="57" xr:uid="{00000000-0005-0000-0000-00004CB00000}"/>
    <cellStyle name="Normal 61 2" xfId="927" xr:uid="{00000000-0005-0000-0000-00004DB00000}"/>
    <cellStyle name="Normal 61 3" xfId="1712" xr:uid="{00000000-0005-0000-0000-00004EB00000}"/>
    <cellStyle name="Normal 61_Degree data" xfId="4033" xr:uid="{00000000-0005-0000-0000-00004FB00000}"/>
    <cellStyle name="Normal 62" xfId="92" xr:uid="{00000000-0005-0000-0000-000050B00000}"/>
    <cellStyle name="Normal 62 2" xfId="928" xr:uid="{00000000-0005-0000-0000-000051B00000}"/>
    <cellStyle name="Normal 62 3" xfId="1713" xr:uid="{00000000-0005-0000-0000-000052B00000}"/>
    <cellStyle name="Normal 62_Degree data" xfId="4034" xr:uid="{00000000-0005-0000-0000-000053B00000}"/>
    <cellStyle name="Normal 63" xfId="122" xr:uid="{00000000-0005-0000-0000-000054B00000}"/>
    <cellStyle name="Normal 63 10" xfId="1416" xr:uid="{00000000-0005-0000-0000-000055B00000}"/>
    <cellStyle name="Normal 63 10 2" xfId="10793" xr:uid="{00000000-0005-0000-0000-000056B00000}"/>
    <cellStyle name="Normal 63 10 2 2" xfId="36348" xr:uid="{00000000-0005-0000-0000-000057B00000}"/>
    <cellStyle name="Normal 63 10 3" xfId="20797" xr:uid="{00000000-0005-0000-0000-000058B00000}"/>
    <cellStyle name="Normal 63 10 3 2" xfId="46350" xr:uid="{00000000-0005-0000-0000-000059B00000}"/>
    <cellStyle name="Normal 63 10 4" xfId="27280" xr:uid="{00000000-0005-0000-0000-00005AB00000}"/>
    <cellStyle name="Normal 63 11" xfId="5600" xr:uid="{00000000-0005-0000-0000-00005BB00000}"/>
    <cellStyle name="Normal 63 11 2" xfId="14427" xr:uid="{00000000-0005-0000-0000-00005CB00000}"/>
    <cellStyle name="Normal 63 11 2 2" xfId="39982" xr:uid="{00000000-0005-0000-0000-00005DB00000}"/>
    <cellStyle name="Normal 63 11 3" xfId="24678" xr:uid="{00000000-0005-0000-0000-00005EB00000}"/>
    <cellStyle name="Normal 63 11 3 2" xfId="50231" xr:uid="{00000000-0005-0000-0000-00005FB00000}"/>
    <cellStyle name="Normal 63 11 4" xfId="31161" xr:uid="{00000000-0005-0000-0000-000060B00000}"/>
    <cellStyle name="Normal 63 12" xfId="7044" xr:uid="{00000000-0005-0000-0000-000061B00000}"/>
    <cellStyle name="Normal 63 12 2" xfId="19589" xr:uid="{00000000-0005-0000-0000-000062B00000}"/>
    <cellStyle name="Normal 63 12 2 2" xfId="45142" xr:uid="{00000000-0005-0000-0000-000063B00000}"/>
    <cellStyle name="Normal 63 12 3" xfId="32601" xr:uid="{00000000-0005-0000-0000-000064B00000}"/>
    <cellStyle name="Normal 63 13" xfId="15790" xr:uid="{00000000-0005-0000-0000-000065B00000}"/>
    <cellStyle name="Normal 63 13 2" xfId="41343" xr:uid="{00000000-0005-0000-0000-000066B00000}"/>
    <cellStyle name="Normal 63 14" xfId="26072" xr:uid="{00000000-0005-0000-0000-000067B00000}"/>
    <cellStyle name="Normal 63 2" xfId="242" xr:uid="{00000000-0005-0000-0000-000068B00000}"/>
    <cellStyle name="Normal 63 2 10" xfId="7080" xr:uid="{00000000-0005-0000-0000-000069B00000}"/>
    <cellStyle name="Normal 63 2 10 2" xfId="19694" xr:uid="{00000000-0005-0000-0000-00006AB00000}"/>
    <cellStyle name="Normal 63 2 10 2 2" xfId="45247" xr:uid="{00000000-0005-0000-0000-00006BB00000}"/>
    <cellStyle name="Normal 63 2 10 3" xfId="32637" xr:uid="{00000000-0005-0000-0000-00006CB00000}"/>
    <cellStyle name="Normal 63 2 11" xfId="15826" xr:uid="{00000000-0005-0000-0000-00006DB00000}"/>
    <cellStyle name="Normal 63 2 11 2" xfId="41379" xr:uid="{00000000-0005-0000-0000-00006EB00000}"/>
    <cellStyle name="Normal 63 2 12" xfId="26177" xr:uid="{00000000-0005-0000-0000-00006FB00000}"/>
    <cellStyle name="Normal 63 2 2" xfId="565" xr:uid="{00000000-0005-0000-0000-000070B00000}"/>
    <cellStyle name="Normal 63 2 2 10" xfId="26494" xr:uid="{00000000-0005-0000-0000-000071B00000}"/>
    <cellStyle name="Normal 63 2 2 2" xfId="931" xr:uid="{00000000-0005-0000-0000-000072B00000}"/>
    <cellStyle name="Normal 63 2 2 2 2" xfId="3413" xr:uid="{00000000-0005-0000-0000-000073B00000}"/>
    <cellStyle name="Normal 63 2 2 2 2 2" xfId="12555" xr:uid="{00000000-0005-0000-0000-000074B00000}"/>
    <cellStyle name="Normal 63 2 2 2 2 2 2" xfId="22774" xr:uid="{00000000-0005-0000-0000-000075B00000}"/>
    <cellStyle name="Normal 63 2 2 2 2 2 2 2" xfId="48327" xr:uid="{00000000-0005-0000-0000-000076B00000}"/>
    <cellStyle name="Normal 63 2 2 2 2 2 3" xfId="38110" xr:uid="{00000000-0005-0000-0000-000077B00000}"/>
    <cellStyle name="Normal 63 2 2 2 2 3" xfId="8977" xr:uid="{00000000-0005-0000-0000-000078B00000}"/>
    <cellStyle name="Normal 63 2 2 2 2 3 2" xfId="34534" xr:uid="{00000000-0005-0000-0000-000079B00000}"/>
    <cellStyle name="Normal 63 2 2 2 2 4" xfId="17767" xr:uid="{00000000-0005-0000-0000-00007AB00000}"/>
    <cellStyle name="Normal 63 2 2 2 2 4 2" xfId="43320" xr:uid="{00000000-0005-0000-0000-00007BB00000}"/>
    <cellStyle name="Normal 63 2 2 2 2 5" xfId="29257" xr:uid="{00000000-0005-0000-0000-00007CB00000}"/>
    <cellStyle name="Normal 63 2 2 2 3" xfId="4742" xr:uid="{00000000-0005-0000-0000-00007DB00000}"/>
    <cellStyle name="Normal 63 2 2 2 3 2" xfId="13580" xr:uid="{00000000-0005-0000-0000-00007EB00000}"/>
    <cellStyle name="Normal 63 2 2 2 3 2 2" xfId="23831" xr:uid="{00000000-0005-0000-0000-00007FB00000}"/>
    <cellStyle name="Normal 63 2 2 2 3 2 2 2" xfId="49384" xr:uid="{00000000-0005-0000-0000-000080B00000}"/>
    <cellStyle name="Normal 63 2 2 2 3 2 3" xfId="39135" xr:uid="{00000000-0005-0000-0000-000081B00000}"/>
    <cellStyle name="Normal 63 2 2 2 3 3" xfId="10001" xr:uid="{00000000-0005-0000-0000-000082B00000}"/>
    <cellStyle name="Normal 63 2 2 2 3 3 2" xfId="35558" xr:uid="{00000000-0005-0000-0000-000083B00000}"/>
    <cellStyle name="Normal 63 2 2 2 3 4" xfId="18824" xr:uid="{00000000-0005-0000-0000-000084B00000}"/>
    <cellStyle name="Normal 63 2 2 2 3 4 2" xfId="44377" xr:uid="{00000000-0005-0000-0000-000085B00000}"/>
    <cellStyle name="Normal 63 2 2 2 3 5" xfId="30314" xr:uid="{00000000-0005-0000-0000-000086B00000}"/>
    <cellStyle name="Normal 63 2 2 2 4" xfId="2522" xr:uid="{00000000-0005-0000-0000-000087B00000}"/>
    <cellStyle name="Normal 63 2 2 2 4 2" xfId="11887" xr:uid="{00000000-0005-0000-0000-000088B00000}"/>
    <cellStyle name="Normal 63 2 2 2 4 2 2" xfId="37442" xr:uid="{00000000-0005-0000-0000-000089B00000}"/>
    <cellStyle name="Normal 63 2 2 2 4 3" xfId="21891" xr:uid="{00000000-0005-0000-0000-00008AB00000}"/>
    <cellStyle name="Normal 63 2 2 2 4 3 2" xfId="47444" xr:uid="{00000000-0005-0000-0000-00008BB00000}"/>
    <cellStyle name="Normal 63 2 2 2 4 4" xfId="28374" xr:uid="{00000000-0005-0000-0000-00008CB00000}"/>
    <cellStyle name="Normal 63 2 2 2 5" xfId="6198" xr:uid="{00000000-0005-0000-0000-00008DB00000}"/>
    <cellStyle name="Normal 63 2 2 2 5 2" xfId="15025" xr:uid="{00000000-0005-0000-0000-00008EB00000}"/>
    <cellStyle name="Normal 63 2 2 2 5 2 2" xfId="40580" xr:uid="{00000000-0005-0000-0000-00008FB00000}"/>
    <cellStyle name="Normal 63 2 2 2 5 3" xfId="25276" xr:uid="{00000000-0005-0000-0000-000090B00000}"/>
    <cellStyle name="Normal 63 2 2 2 5 3 2" xfId="50829" xr:uid="{00000000-0005-0000-0000-000091B00000}"/>
    <cellStyle name="Normal 63 2 2 2 5 4" xfId="31759" xr:uid="{00000000-0005-0000-0000-000092B00000}"/>
    <cellStyle name="Normal 63 2 2 2 6" xfId="7644" xr:uid="{00000000-0005-0000-0000-000093B00000}"/>
    <cellStyle name="Normal 63 2 2 2 6 2" xfId="20373" xr:uid="{00000000-0005-0000-0000-000094B00000}"/>
    <cellStyle name="Normal 63 2 2 2 6 2 2" xfId="45926" xr:uid="{00000000-0005-0000-0000-000095B00000}"/>
    <cellStyle name="Normal 63 2 2 2 6 3" xfId="33201" xr:uid="{00000000-0005-0000-0000-000096B00000}"/>
    <cellStyle name="Normal 63 2 2 2 7" xfId="16884" xr:uid="{00000000-0005-0000-0000-000097B00000}"/>
    <cellStyle name="Normal 63 2 2 2 7 2" xfId="42437" xr:uid="{00000000-0005-0000-0000-000098B00000}"/>
    <cellStyle name="Normal 63 2 2 2 8" xfId="26856" xr:uid="{00000000-0005-0000-0000-000099B00000}"/>
    <cellStyle name="Normal 63 2 2 3" xfId="1337" xr:uid="{00000000-0005-0000-0000-00009AB00000}"/>
    <cellStyle name="Normal 63 2 2 3 2" xfId="3766" xr:uid="{00000000-0005-0000-0000-00009BB00000}"/>
    <cellStyle name="Normal 63 2 2 3 2 2" xfId="12902" xr:uid="{00000000-0005-0000-0000-00009CB00000}"/>
    <cellStyle name="Normal 63 2 2 3 2 2 2" xfId="23121" xr:uid="{00000000-0005-0000-0000-00009DB00000}"/>
    <cellStyle name="Normal 63 2 2 3 2 2 2 2" xfId="48674" xr:uid="{00000000-0005-0000-0000-00009EB00000}"/>
    <cellStyle name="Normal 63 2 2 3 2 2 3" xfId="38457" xr:uid="{00000000-0005-0000-0000-00009FB00000}"/>
    <cellStyle name="Normal 63 2 2 3 2 3" xfId="9323" xr:uid="{00000000-0005-0000-0000-0000A0B00000}"/>
    <cellStyle name="Normal 63 2 2 3 2 3 2" xfId="34880" xr:uid="{00000000-0005-0000-0000-0000A1B00000}"/>
    <cellStyle name="Normal 63 2 2 3 2 4" xfId="18114" xr:uid="{00000000-0005-0000-0000-0000A2B00000}"/>
    <cellStyle name="Normal 63 2 2 3 2 4 2" xfId="43667" xr:uid="{00000000-0005-0000-0000-0000A3B00000}"/>
    <cellStyle name="Normal 63 2 2 3 2 5" xfId="29604" xr:uid="{00000000-0005-0000-0000-0000A4B00000}"/>
    <cellStyle name="Normal 63 2 2 3 3" xfId="5091" xr:uid="{00000000-0005-0000-0000-0000A5B00000}"/>
    <cellStyle name="Normal 63 2 2 3 3 2" xfId="13928" xr:uid="{00000000-0005-0000-0000-0000A6B00000}"/>
    <cellStyle name="Normal 63 2 2 3 3 2 2" xfId="24179" xr:uid="{00000000-0005-0000-0000-0000A7B00000}"/>
    <cellStyle name="Normal 63 2 2 3 3 2 2 2" xfId="49732" xr:uid="{00000000-0005-0000-0000-0000A8B00000}"/>
    <cellStyle name="Normal 63 2 2 3 3 2 3" xfId="39483" xr:uid="{00000000-0005-0000-0000-0000A9B00000}"/>
    <cellStyle name="Normal 63 2 2 3 3 3" xfId="10349" xr:uid="{00000000-0005-0000-0000-0000AAB00000}"/>
    <cellStyle name="Normal 63 2 2 3 3 3 2" xfId="35906" xr:uid="{00000000-0005-0000-0000-0000ABB00000}"/>
    <cellStyle name="Normal 63 2 2 3 3 4" xfId="19172" xr:uid="{00000000-0005-0000-0000-0000ACB00000}"/>
    <cellStyle name="Normal 63 2 2 3 3 4 2" xfId="44725" xr:uid="{00000000-0005-0000-0000-0000ADB00000}"/>
    <cellStyle name="Normal 63 2 2 3 3 5" xfId="30662" xr:uid="{00000000-0005-0000-0000-0000AEB00000}"/>
    <cellStyle name="Normal 63 2 2 3 4" xfId="2160" xr:uid="{00000000-0005-0000-0000-0000AFB00000}"/>
    <cellStyle name="Normal 63 2 2 3 4 2" xfId="11525" xr:uid="{00000000-0005-0000-0000-0000B0B00000}"/>
    <cellStyle name="Normal 63 2 2 3 4 2 2" xfId="37080" xr:uid="{00000000-0005-0000-0000-0000B1B00000}"/>
    <cellStyle name="Normal 63 2 2 3 4 3" xfId="21529" xr:uid="{00000000-0005-0000-0000-0000B2B00000}"/>
    <cellStyle name="Normal 63 2 2 3 4 3 2" xfId="47082" xr:uid="{00000000-0005-0000-0000-0000B3B00000}"/>
    <cellStyle name="Normal 63 2 2 3 4 4" xfId="28012" xr:uid="{00000000-0005-0000-0000-0000B4B00000}"/>
    <cellStyle name="Normal 63 2 2 3 5" xfId="6546" xr:uid="{00000000-0005-0000-0000-0000B5B00000}"/>
    <cellStyle name="Normal 63 2 2 3 5 2" xfId="15373" xr:uid="{00000000-0005-0000-0000-0000B6B00000}"/>
    <cellStyle name="Normal 63 2 2 3 5 2 2" xfId="40928" xr:uid="{00000000-0005-0000-0000-0000B7B00000}"/>
    <cellStyle name="Normal 63 2 2 3 5 3" xfId="25624" xr:uid="{00000000-0005-0000-0000-0000B8B00000}"/>
    <cellStyle name="Normal 63 2 2 3 5 3 2" xfId="51177" xr:uid="{00000000-0005-0000-0000-0000B9B00000}"/>
    <cellStyle name="Normal 63 2 2 3 5 4" xfId="32107" xr:uid="{00000000-0005-0000-0000-0000BAB00000}"/>
    <cellStyle name="Normal 63 2 2 3 6" xfId="7992" xr:uid="{00000000-0005-0000-0000-0000BBB00000}"/>
    <cellStyle name="Normal 63 2 2 3 6 2" xfId="20720" xr:uid="{00000000-0005-0000-0000-0000BCB00000}"/>
    <cellStyle name="Normal 63 2 2 3 6 2 2" xfId="46273" xr:uid="{00000000-0005-0000-0000-0000BDB00000}"/>
    <cellStyle name="Normal 63 2 2 3 6 3" xfId="33549" xr:uid="{00000000-0005-0000-0000-0000BEB00000}"/>
    <cellStyle name="Normal 63 2 2 3 7" xfId="16522" xr:uid="{00000000-0005-0000-0000-0000BFB00000}"/>
    <cellStyle name="Normal 63 2 2 3 7 2" xfId="42075" xr:uid="{00000000-0005-0000-0000-0000C0B00000}"/>
    <cellStyle name="Normal 63 2 2 3 8" xfId="27203" xr:uid="{00000000-0005-0000-0000-0000C1B00000}"/>
    <cellStyle name="Normal 63 2 2 4" xfId="3051" xr:uid="{00000000-0005-0000-0000-0000C2B00000}"/>
    <cellStyle name="Normal 63 2 2 4 2" xfId="5429" xr:uid="{00000000-0005-0000-0000-0000C3B00000}"/>
    <cellStyle name="Normal 63 2 2 4 2 2" xfId="14266" xr:uid="{00000000-0005-0000-0000-0000C4B00000}"/>
    <cellStyle name="Normal 63 2 2 4 2 2 2" xfId="24517" xr:uid="{00000000-0005-0000-0000-0000C5B00000}"/>
    <cellStyle name="Normal 63 2 2 4 2 2 2 2" xfId="50070" xr:uid="{00000000-0005-0000-0000-0000C6B00000}"/>
    <cellStyle name="Normal 63 2 2 4 2 2 3" xfId="39821" xr:uid="{00000000-0005-0000-0000-0000C7B00000}"/>
    <cellStyle name="Normal 63 2 2 4 2 3" xfId="10687" xr:uid="{00000000-0005-0000-0000-0000C8B00000}"/>
    <cellStyle name="Normal 63 2 2 4 2 3 2" xfId="36244" xr:uid="{00000000-0005-0000-0000-0000C9B00000}"/>
    <cellStyle name="Normal 63 2 2 4 2 4" xfId="19510" xr:uid="{00000000-0005-0000-0000-0000CAB00000}"/>
    <cellStyle name="Normal 63 2 2 4 2 4 2" xfId="45063" xr:uid="{00000000-0005-0000-0000-0000CBB00000}"/>
    <cellStyle name="Normal 63 2 2 4 2 5" xfId="31000" xr:uid="{00000000-0005-0000-0000-0000CCB00000}"/>
    <cellStyle name="Normal 63 2 2 4 3" xfId="6884" xr:uid="{00000000-0005-0000-0000-0000CDB00000}"/>
    <cellStyle name="Normal 63 2 2 4 3 2" xfId="15711" xr:uid="{00000000-0005-0000-0000-0000CEB00000}"/>
    <cellStyle name="Normal 63 2 2 4 3 2 2" xfId="41266" xr:uid="{00000000-0005-0000-0000-0000CFB00000}"/>
    <cellStyle name="Normal 63 2 2 4 3 3" xfId="25962" xr:uid="{00000000-0005-0000-0000-0000D0B00000}"/>
    <cellStyle name="Normal 63 2 2 4 3 3 2" xfId="51515" xr:uid="{00000000-0005-0000-0000-0000D1B00000}"/>
    <cellStyle name="Normal 63 2 2 4 3 4" xfId="32445" xr:uid="{00000000-0005-0000-0000-0000D2B00000}"/>
    <cellStyle name="Normal 63 2 2 4 4" xfId="8330" xr:uid="{00000000-0005-0000-0000-0000D3B00000}"/>
    <cellStyle name="Normal 63 2 2 4 4 2" xfId="22412" xr:uid="{00000000-0005-0000-0000-0000D4B00000}"/>
    <cellStyle name="Normal 63 2 2 4 4 2 2" xfId="47965" xr:uid="{00000000-0005-0000-0000-0000D5B00000}"/>
    <cellStyle name="Normal 63 2 2 4 4 3" xfId="33887" xr:uid="{00000000-0005-0000-0000-0000D6B00000}"/>
    <cellStyle name="Normal 63 2 2 4 5" xfId="17405" xr:uid="{00000000-0005-0000-0000-0000D7B00000}"/>
    <cellStyle name="Normal 63 2 2 4 5 2" xfId="42958" xr:uid="{00000000-0005-0000-0000-0000D8B00000}"/>
    <cellStyle name="Normal 63 2 2 4 6" xfId="28895" xr:uid="{00000000-0005-0000-0000-0000D9B00000}"/>
    <cellStyle name="Normal 63 2 2 5" xfId="4385" xr:uid="{00000000-0005-0000-0000-0000DAB00000}"/>
    <cellStyle name="Normal 63 2 2 5 2" xfId="13223" xr:uid="{00000000-0005-0000-0000-0000DBB00000}"/>
    <cellStyle name="Normal 63 2 2 5 2 2" xfId="23474" xr:uid="{00000000-0005-0000-0000-0000DCB00000}"/>
    <cellStyle name="Normal 63 2 2 5 2 2 2" xfId="49027" xr:uid="{00000000-0005-0000-0000-0000DDB00000}"/>
    <cellStyle name="Normal 63 2 2 5 2 3" xfId="38778" xr:uid="{00000000-0005-0000-0000-0000DEB00000}"/>
    <cellStyle name="Normal 63 2 2 5 3" xfId="9644" xr:uid="{00000000-0005-0000-0000-0000DFB00000}"/>
    <cellStyle name="Normal 63 2 2 5 3 2" xfId="35201" xr:uid="{00000000-0005-0000-0000-0000E0B00000}"/>
    <cellStyle name="Normal 63 2 2 5 4" xfId="18467" xr:uid="{00000000-0005-0000-0000-0000E1B00000}"/>
    <cellStyle name="Normal 63 2 2 5 4 2" xfId="44020" xr:uid="{00000000-0005-0000-0000-0000E2B00000}"/>
    <cellStyle name="Normal 63 2 2 5 5" xfId="29957" xr:uid="{00000000-0005-0000-0000-0000E3B00000}"/>
    <cellStyle name="Normal 63 2 2 6" xfId="1657" xr:uid="{00000000-0005-0000-0000-0000E4B00000}"/>
    <cellStyle name="Normal 63 2 2 6 2" xfId="11034" xr:uid="{00000000-0005-0000-0000-0000E5B00000}"/>
    <cellStyle name="Normal 63 2 2 6 2 2" xfId="36589" xr:uid="{00000000-0005-0000-0000-0000E6B00000}"/>
    <cellStyle name="Normal 63 2 2 6 3" xfId="21038" xr:uid="{00000000-0005-0000-0000-0000E7B00000}"/>
    <cellStyle name="Normal 63 2 2 6 3 2" xfId="46591" xr:uid="{00000000-0005-0000-0000-0000E8B00000}"/>
    <cellStyle name="Normal 63 2 2 6 4" xfId="27521" xr:uid="{00000000-0005-0000-0000-0000E9B00000}"/>
    <cellStyle name="Normal 63 2 2 7" xfId="5841" xr:uid="{00000000-0005-0000-0000-0000EAB00000}"/>
    <cellStyle name="Normal 63 2 2 7 2" xfId="14668" xr:uid="{00000000-0005-0000-0000-0000EBB00000}"/>
    <cellStyle name="Normal 63 2 2 7 2 2" xfId="40223" xr:uid="{00000000-0005-0000-0000-0000ECB00000}"/>
    <cellStyle name="Normal 63 2 2 7 3" xfId="24919" xr:uid="{00000000-0005-0000-0000-0000EDB00000}"/>
    <cellStyle name="Normal 63 2 2 7 3 2" xfId="50472" xr:uid="{00000000-0005-0000-0000-0000EEB00000}"/>
    <cellStyle name="Normal 63 2 2 7 4" xfId="31402" xr:uid="{00000000-0005-0000-0000-0000EFB00000}"/>
    <cellStyle name="Normal 63 2 2 8" xfId="7285" xr:uid="{00000000-0005-0000-0000-0000F0B00000}"/>
    <cellStyle name="Normal 63 2 2 8 2" xfId="20011" xr:uid="{00000000-0005-0000-0000-0000F1B00000}"/>
    <cellStyle name="Normal 63 2 2 8 2 2" xfId="45564" xr:uid="{00000000-0005-0000-0000-0000F2B00000}"/>
    <cellStyle name="Normal 63 2 2 8 3" xfId="32842" xr:uid="{00000000-0005-0000-0000-0000F3B00000}"/>
    <cellStyle name="Normal 63 2 2 9" xfId="16031" xr:uid="{00000000-0005-0000-0000-0000F4B00000}"/>
    <cellStyle name="Normal 63 2 2 9 2" xfId="41584" xr:uid="{00000000-0005-0000-0000-0000F5B00000}"/>
    <cellStyle name="Normal 63 2 2_Degree data" xfId="4037" xr:uid="{00000000-0005-0000-0000-0000F6B00000}"/>
    <cellStyle name="Normal 63 2 3" xfId="360" xr:uid="{00000000-0005-0000-0000-0000F7B00000}"/>
    <cellStyle name="Normal 63 2 3 2" xfId="2846" xr:uid="{00000000-0005-0000-0000-0000F8B00000}"/>
    <cellStyle name="Normal 63 2 3 2 2" xfId="12134" xr:uid="{00000000-0005-0000-0000-0000F9B00000}"/>
    <cellStyle name="Normal 63 2 3 2 2 2" xfId="22207" xr:uid="{00000000-0005-0000-0000-0000FAB00000}"/>
    <cellStyle name="Normal 63 2 3 2 2 2 2" xfId="47760" xr:uid="{00000000-0005-0000-0000-0000FBB00000}"/>
    <cellStyle name="Normal 63 2 3 2 2 3" xfId="37689" xr:uid="{00000000-0005-0000-0000-0000FCB00000}"/>
    <cellStyle name="Normal 63 2 3 2 3" xfId="8577" xr:uid="{00000000-0005-0000-0000-0000FDB00000}"/>
    <cellStyle name="Normal 63 2 3 2 3 2" xfId="34134" xr:uid="{00000000-0005-0000-0000-0000FEB00000}"/>
    <cellStyle name="Normal 63 2 3 2 4" xfId="17200" xr:uid="{00000000-0005-0000-0000-0000FFB00000}"/>
    <cellStyle name="Normal 63 2 3 2 4 2" xfId="42753" xr:uid="{00000000-0005-0000-0000-000000B10000}"/>
    <cellStyle name="Normal 63 2 3 2 5" xfId="28690" xr:uid="{00000000-0005-0000-0000-000001B10000}"/>
    <cellStyle name="Normal 63 2 3 3" xfId="4741" xr:uid="{00000000-0005-0000-0000-000002B10000}"/>
    <cellStyle name="Normal 63 2 3 3 2" xfId="13579" xr:uid="{00000000-0005-0000-0000-000003B10000}"/>
    <cellStyle name="Normal 63 2 3 3 2 2" xfId="23830" xr:uid="{00000000-0005-0000-0000-000004B10000}"/>
    <cellStyle name="Normal 63 2 3 3 2 2 2" xfId="49383" xr:uid="{00000000-0005-0000-0000-000005B10000}"/>
    <cellStyle name="Normal 63 2 3 3 2 3" xfId="39134" xr:uid="{00000000-0005-0000-0000-000006B10000}"/>
    <cellStyle name="Normal 63 2 3 3 3" xfId="10000" xr:uid="{00000000-0005-0000-0000-000007B10000}"/>
    <cellStyle name="Normal 63 2 3 3 3 2" xfId="35557" xr:uid="{00000000-0005-0000-0000-000008B10000}"/>
    <cellStyle name="Normal 63 2 3 3 4" xfId="18823" xr:uid="{00000000-0005-0000-0000-000009B10000}"/>
    <cellStyle name="Normal 63 2 3 3 4 2" xfId="44376" xr:uid="{00000000-0005-0000-0000-00000AB10000}"/>
    <cellStyle name="Normal 63 2 3 3 5" xfId="30313" xr:uid="{00000000-0005-0000-0000-00000BB10000}"/>
    <cellStyle name="Normal 63 2 3 4" xfId="1955" xr:uid="{00000000-0005-0000-0000-00000CB10000}"/>
    <cellStyle name="Normal 63 2 3 4 2" xfId="11320" xr:uid="{00000000-0005-0000-0000-00000DB10000}"/>
    <cellStyle name="Normal 63 2 3 4 2 2" xfId="36875" xr:uid="{00000000-0005-0000-0000-00000EB10000}"/>
    <cellStyle name="Normal 63 2 3 4 3" xfId="21324" xr:uid="{00000000-0005-0000-0000-00000FB10000}"/>
    <cellStyle name="Normal 63 2 3 4 3 2" xfId="46877" xr:uid="{00000000-0005-0000-0000-000010B10000}"/>
    <cellStyle name="Normal 63 2 3 4 4" xfId="27807" xr:uid="{00000000-0005-0000-0000-000011B10000}"/>
    <cellStyle name="Normal 63 2 3 5" xfId="6197" xr:uid="{00000000-0005-0000-0000-000012B10000}"/>
    <cellStyle name="Normal 63 2 3 5 2" xfId="15024" xr:uid="{00000000-0005-0000-0000-000013B10000}"/>
    <cellStyle name="Normal 63 2 3 5 2 2" xfId="40579" xr:uid="{00000000-0005-0000-0000-000014B10000}"/>
    <cellStyle name="Normal 63 2 3 5 3" xfId="25275" xr:uid="{00000000-0005-0000-0000-000015B10000}"/>
    <cellStyle name="Normal 63 2 3 5 3 2" xfId="50828" xr:uid="{00000000-0005-0000-0000-000016B10000}"/>
    <cellStyle name="Normal 63 2 3 5 4" xfId="31758" xr:uid="{00000000-0005-0000-0000-000017B10000}"/>
    <cellStyle name="Normal 63 2 3 6" xfId="7643" xr:uid="{00000000-0005-0000-0000-000018B10000}"/>
    <cellStyle name="Normal 63 2 3 6 2" xfId="19806" xr:uid="{00000000-0005-0000-0000-000019B10000}"/>
    <cellStyle name="Normal 63 2 3 6 2 2" xfId="45359" xr:uid="{00000000-0005-0000-0000-00001AB10000}"/>
    <cellStyle name="Normal 63 2 3 6 3" xfId="33200" xr:uid="{00000000-0005-0000-0000-00001BB10000}"/>
    <cellStyle name="Normal 63 2 3 7" xfId="16317" xr:uid="{00000000-0005-0000-0000-00001CB10000}"/>
    <cellStyle name="Normal 63 2 3 7 2" xfId="41870" xr:uid="{00000000-0005-0000-0000-00001DB10000}"/>
    <cellStyle name="Normal 63 2 3 8" xfId="26289" xr:uid="{00000000-0005-0000-0000-00001EB10000}"/>
    <cellStyle name="Normal 63 2 4" xfId="930" xr:uid="{00000000-0005-0000-0000-00001FB10000}"/>
    <cellStyle name="Normal 63 2 4 2" xfId="3412" xr:uid="{00000000-0005-0000-0000-000020B10000}"/>
    <cellStyle name="Normal 63 2 4 2 2" xfId="12554" xr:uid="{00000000-0005-0000-0000-000021B10000}"/>
    <cellStyle name="Normal 63 2 4 2 2 2" xfId="22773" xr:uid="{00000000-0005-0000-0000-000022B10000}"/>
    <cellStyle name="Normal 63 2 4 2 2 2 2" xfId="48326" xr:uid="{00000000-0005-0000-0000-000023B10000}"/>
    <cellStyle name="Normal 63 2 4 2 2 3" xfId="38109" xr:uid="{00000000-0005-0000-0000-000024B10000}"/>
    <cellStyle name="Normal 63 2 4 2 3" xfId="8976" xr:uid="{00000000-0005-0000-0000-000025B10000}"/>
    <cellStyle name="Normal 63 2 4 2 3 2" xfId="34533" xr:uid="{00000000-0005-0000-0000-000026B10000}"/>
    <cellStyle name="Normal 63 2 4 2 4" xfId="17766" xr:uid="{00000000-0005-0000-0000-000027B10000}"/>
    <cellStyle name="Normal 63 2 4 2 4 2" xfId="43319" xr:uid="{00000000-0005-0000-0000-000028B10000}"/>
    <cellStyle name="Normal 63 2 4 2 5" xfId="29256" xr:uid="{00000000-0005-0000-0000-000029B10000}"/>
    <cellStyle name="Normal 63 2 4 3" xfId="5090" xr:uid="{00000000-0005-0000-0000-00002AB10000}"/>
    <cellStyle name="Normal 63 2 4 3 2" xfId="13927" xr:uid="{00000000-0005-0000-0000-00002BB10000}"/>
    <cellStyle name="Normal 63 2 4 3 2 2" xfId="24178" xr:uid="{00000000-0005-0000-0000-00002CB10000}"/>
    <cellStyle name="Normal 63 2 4 3 2 2 2" xfId="49731" xr:uid="{00000000-0005-0000-0000-00002DB10000}"/>
    <cellStyle name="Normal 63 2 4 3 2 3" xfId="39482" xr:uid="{00000000-0005-0000-0000-00002EB10000}"/>
    <cellStyle name="Normal 63 2 4 3 3" xfId="10348" xr:uid="{00000000-0005-0000-0000-00002FB10000}"/>
    <cellStyle name="Normal 63 2 4 3 3 2" xfId="35905" xr:uid="{00000000-0005-0000-0000-000030B10000}"/>
    <cellStyle name="Normal 63 2 4 3 4" xfId="19171" xr:uid="{00000000-0005-0000-0000-000031B10000}"/>
    <cellStyle name="Normal 63 2 4 3 4 2" xfId="44724" xr:uid="{00000000-0005-0000-0000-000032B10000}"/>
    <cellStyle name="Normal 63 2 4 3 5" xfId="30661" xr:uid="{00000000-0005-0000-0000-000033B10000}"/>
    <cellStyle name="Normal 63 2 4 4" xfId="2521" xr:uid="{00000000-0005-0000-0000-000034B10000}"/>
    <cellStyle name="Normal 63 2 4 4 2" xfId="11886" xr:uid="{00000000-0005-0000-0000-000035B10000}"/>
    <cellStyle name="Normal 63 2 4 4 2 2" xfId="37441" xr:uid="{00000000-0005-0000-0000-000036B10000}"/>
    <cellStyle name="Normal 63 2 4 4 3" xfId="21890" xr:uid="{00000000-0005-0000-0000-000037B10000}"/>
    <cellStyle name="Normal 63 2 4 4 3 2" xfId="47443" xr:uid="{00000000-0005-0000-0000-000038B10000}"/>
    <cellStyle name="Normal 63 2 4 4 4" xfId="28373" xr:uid="{00000000-0005-0000-0000-000039B10000}"/>
    <cellStyle name="Normal 63 2 4 5" xfId="6545" xr:uid="{00000000-0005-0000-0000-00003AB10000}"/>
    <cellStyle name="Normal 63 2 4 5 2" xfId="15372" xr:uid="{00000000-0005-0000-0000-00003BB10000}"/>
    <cellStyle name="Normal 63 2 4 5 2 2" xfId="40927" xr:uid="{00000000-0005-0000-0000-00003CB10000}"/>
    <cellStyle name="Normal 63 2 4 5 3" xfId="25623" xr:uid="{00000000-0005-0000-0000-00003DB10000}"/>
    <cellStyle name="Normal 63 2 4 5 3 2" xfId="51176" xr:uid="{00000000-0005-0000-0000-00003EB10000}"/>
    <cellStyle name="Normal 63 2 4 5 4" xfId="32106" xr:uid="{00000000-0005-0000-0000-00003FB10000}"/>
    <cellStyle name="Normal 63 2 4 6" xfId="7991" xr:uid="{00000000-0005-0000-0000-000040B10000}"/>
    <cellStyle name="Normal 63 2 4 6 2" xfId="20372" xr:uid="{00000000-0005-0000-0000-000041B10000}"/>
    <cellStyle name="Normal 63 2 4 6 2 2" xfId="45925" xr:uid="{00000000-0005-0000-0000-000042B10000}"/>
    <cellStyle name="Normal 63 2 4 6 3" xfId="33548" xr:uid="{00000000-0005-0000-0000-000043B10000}"/>
    <cellStyle name="Normal 63 2 4 7" xfId="16883" xr:uid="{00000000-0005-0000-0000-000044B10000}"/>
    <cellStyle name="Normal 63 2 4 7 2" xfId="42436" xr:uid="{00000000-0005-0000-0000-000045B10000}"/>
    <cellStyle name="Normal 63 2 4 8" xfId="26855" xr:uid="{00000000-0005-0000-0000-000046B10000}"/>
    <cellStyle name="Normal 63 2 5" xfId="1132" xr:uid="{00000000-0005-0000-0000-000047B10000}"/>
    <cellStyle name="Normal 63 2 5 2" xfId="3561" xr:uid="{00000000-0005-0000-0000-000048B10000}"/>
    <cellStyle name="Normal 63 2 5 2 2" xfId="12697" xr:uid="{00000000-0005-0000-0000-000049B10000}"/>
    <cellStyle name="Normal 63 2 5 2 2 2" xfId="22916" xr:uid="{00000000-0005-0000-0000-00004AB10000}"/>
    <cellStyle name="Normal 63 2 5 2 2 2 2" xfId="48469" xr:uid="{00000000-0005-0000-0000-00004BB10000}"/>
    <cellStyle name="Normal 63 2 5 2 2 3" xfId="38252" xr:uid="{00000000-0005-0000-0000-00004CB10000}"/>
    <cellStyle name="Normal 63 2 5 2 3" xfId="9118" xr:uid="{00000000-0005-0000-0000-00004DB10000}"/>
    <cellStyle name="Normal 63 2 5 2 3 2" xfId="34675" xr:uid="{00000000-0005-0000-0000-00004EB10000}"/>
    <cellStyle name="Normal 63 2 5 2 4" xfId="17909" xr:uid="{00000000-0005-0000-0000-00004FB10000}"/>
    <cellStyle name="Normal 63 2 5 2 4 2" xfId="43462" xr:uid="{00000000-0005-0000-0000-000050B10000}"/>
    <cellStyle name="Normal 63 2 5 2 5" xfId="29399" xr:uid="{00000000-0005-0000-0000-000051B10000}"/>
    <cellStyle name="Normal 63 2 5 3" xfId="5224" xr:uid="{00000000-0005-0000-0000-000052B10000}"/>
    <cellStyle name="Normal 63 2 5 3 2" xfId="14061" xr:uid="{00000000-0005-0000-0000-000053B10000}"/>
    <cellStyle name="Normal 63 2 5 3 2 2" xfId="24312" xr:uid="{00000000-0005-0000-0000-000054B10000}"/>
    <cellStyle name="Normal 63 2 5 3 2 2 2" xfId="49865" xr:uid="{00000000-0005-0000-0000-000055B10000}"/>
    <cellStyle name="Normal 63 2 5 3 2 3" xfId="39616" xr:uid="{00000000-0005-0000-0000-000056B10000}"/>
    <cellStyle name="Normal 63 2 5 3 3" xfId="10482" xr:uid="{00000000-0005-0000-0000-000057B10000}"/>
    <cellStyle name="Normal 63 2 5 3 3 2" xfId="36039" xr:uid="{00000000-0005-0000-0000-000058B10000}"/>
    <cellStyle name="Normal 63 2 5 3 4" xfId="19305" xr:uid="{00000000-0005-0000-0000-000059B10000}"/>
    <cellStyle name="Normal 63 2 5 3 4 2" xfId="44858" xr:uid="{00000000-0005-0000-0000-00005AB10000}"/>
    <cellStyle name="Normal 63 2 5 3 5" xfId="30795" xr:uid="{00000000-0005-0000-0000-00005BB10000}"/>
    <cellStyle name="Normal 63 2 5 4" xfId="1840" xr:uid="{00000000-0005-0000-0000-00005CB10000}"/>
    <cellStyle name="Normal 63 2 5 4 2" xfId="11208" xr:uid="{00000000-0005-0000-0000-00005DB10000}"/>
    <cellStyle name="Normal 63 2 5 4 2 2" xfId="36763" xr:uid="{00000000-0005-0000-0000-00005EB10000}"/>
    <cellStyle name="Normal 63 2 5 4 3" xfId="21212" xr:uid="{00000000-0005-0000-0000-00005FB10000}"/>
    <cellStyle name="Normal 63 2 5 4 3 2" xfId="46765" xr:uid="{00000000-0005-0000-0000-000060B10000}"/>
    <cellStyle name="Normal 63 2 5 4 4" xfId="27695" xr:uid="{00000000-0005-0000-0000-000061B10000}"/>
    <cellStyle name="Normal 63 2 5 5" xfId="6679" xr:uid="{00000000-0005-0000-0000-000062B10000}"/>
    <cellStyle name="Normal 63 2 5 5 2" xfId="15506" xr:uid="{00000000-0005-0000-0000-000063B10000}"/>
    <cellStyle name="Normal 63 2 5 5 2 2" xfId="41061" xr:uid="{00000000-0005-0000-0000-000064B10000}"/>
    <cellStyle name="Normal 63 2 5 5 3" xfId="25757" xr:uid="{00000000-0005-0000-0000-000065B10000}"/>
    <cellStyle name="Normal 63 2 5 5 3 2" xfId="51310" xr:uid="{00000000-0005-0000-0000-000066B10000}"/>
    <cellStyle name="Normal 63 2 5 5 4" xfId="32240" xr:uid="{00000000-0005-0000-0000-000067B10000}"/>
    <cellStyle name="Normal 63 2 5 6" xfId="8125" xr:uid="{00000000-0005-0000-0000-000068B10000}"/>
    <cellStyle name="Normal 63 2 5 6 2" xfId="20515" xr:uid="{00000000-0005-0000-0000-000069B10000}"/>
    <cellStyle name="Normal 63 2 5 6 2 2" xfId="46068" xr:uid="{00000000-0005-0000-0000-00006AB10000}"/>
    <cellStyle name="Normal 63 2 5 6 3" xfId="33682" xr:uid="{00000000-0005-0000-0000-00006BB10000}"/>
    <cellStyle name="Normal 63 2 5 7" xfId="16205" xr:uid="{00000000-0005-0000-0000-00006CB10000}"/>
    <cellStyle name="Normal 63 2 5 7 2" xfId="41758" xr:uid="{00000000-0005-0000-0000-00006DB10000}"/>
    <cellStyle name="Normal 63 2 5 8" xfId="26998" xr:uid="{00000000-0005-0000-0000-00006EB10000}"/>
    <cellStyle name="Normal 63 2 6" xfId="2734" xr:uid="{00000000-0005-0000-0000-00006FB10000}"/>
    <cellStyle name="Normal 63 2 6 2" xfId="12051" xr:uid="{00000000-0005-0000-0000-000070B10000}"/>
    <cellStyle name="Normal 63 2 6 2 2" xfId="22095" xr:uid="{00000000-0005-0000-0000-000071B10000}"/>
    <cellStyle name="Normal 63 2 6 2 2 2" xfId="47648" xr:uid="{00000000-0005-0000-0000-000072B10000}"/>
    <cellStyle name="Normal 63 2 6 2 3" xfId="37606" xr:uid="{00000000-0005-0000-0000-000073B10000}"/>
    <cellStyle name="Normal 63 2 6 3" xfId="8582" xr:uid="{00000000-0005-0000-0000-000074B10000}"/>
    <cellStyle name="Normal 63 2 6 3 2" xfId="34139" xr:uid="{00000000-0005-0000-0000-000075B10000}"/>
    <cellStyle name="Normal 63 2 6 4" xfId="17088" xr:uid="{00000000-0005-0000-0000-000076B10000}"/>
    <cellStyle name="Normal 63 2 6 4 2" xfId="42641" xr:uid="{00000000-0005-0000-0000-000077B10000}"/>
    <cellStyle name="Normal 63 2 6 5" xfId="28578" xr:uid="{00000000-0005-0000-0000-000078B10000}"/>
    <cellStyle name="Normal 63 2 7" xfId="4180" xr:uid="{00000000-0005-0000-0000-000079B10000}"/>
    <cellStyle name="Normal 63 2 7 2" xfId="13018" xr:uid="{00000000-0005-0000-0000-00007AB10000}"/>
    <cellStyle name="Normal 63 2 7 2 2" xfId="23269" xr:uid="{00000000-0005-0000-0000-00007BB10000}"/>
    <cellStyle name="Normal 63 2 7 2 2 2" xfId="48822" xr:uid="{00000000-0005-0000-0000-00007CB10000}"/>
    <cellStyle name="Normal 63 2 7 2 3" xfId="38573" xr:uid="{00000000-0005-0000-0000-00007DB10000}"/>
    <cellStyle name="Normal 63 2 7 3" xfId="9439" xr:uid="{00000000-0005-0000-0000-00007EB10000}"/>
    <cellStyle name="Normal 63 2 7 3 2" xfId="34996" xr:uid="{00000000-0005-0000-0000-00007FB10000}"/>
    <cellStyle name="Normal 63 2 7 4" xfId="18262" xr:uid="{00000000-0005-0000-0000-000080B10000}"/>
    <cellStyle name="Normal 63 2 7 4 2" xfId="43815" xr:uid="{00000000-0005-0000-0000-000081B10000}"/>
    <cellStyle name="Normal 63 2 7 5" xfId="29752" xr:uid="{00000000-0005-0000-0000-000082B10000}"/>
    <cellStyle name="Normal 63 2 8" xfId="1452" xr:uid="{00000000-0005-0000-0000-000083B10000}"/>
    <cellStyle name="Normal 63 2 8 2" xfId="10829" xr:uid="{00000000-0005-0000-0000-000084B10000}"/>
    <cellStyle name="Normal 63 2 8 2 2" xfId="36384" xr:uid="{00000000-0005-0000-0000-000085B10000}"/>
    <cellStyle name="Normal 63 2 8 3" xfId="20833" xr:uid="{00000000-0005-0000-0000-000086B10000}"/>
    <cellStyle name="Normal 63 2 8 3 2" xfId="46386" xr:uid="{00000000-0005-0000-0000-000087B10000}"/>
    <cellStyle name="Normal 63 2 8 4" xfId="27316" xr:uid="{00000000-0005-0000-0000-000088B10000}"/>
    <cellStyle name="Normal 63 2 9" xfId="5636" xr:uid="{00000000-0005-0000-0000-000089B10000}"/>
    <cellStyle name="Normal 63 2 9 2" xfId="14463" xr:uid="{00000000-0005-0000-0000-00008AB10000}"/>
    <cellStyle name="Normal 63 2 9 2 2" xfId="40018" xr:uid="{00000000-0005-0000-0000-00008BB10000}"/>
    <cellStyle name="Normal 63 2 9 3" xfId="24714" xr:uid="{00000000-0005-0000-0000-00008CB10000}"/>
    <cellStyle name="Normal 63 2 9 3 2" xfId="50267" xr:uid="{00000000-0005-0000-0000-00008DB10000}"/>
    <cellStyle name="Normal 63 2 9 4" xfId="31197" xr:uid="{00000000-0005-0000-0000-00008EB10000}"/>
    <cellStyle name="Normal 63 2_Degree data" xfId="4036" xr:uid="{00000000-0005-0000-0000-00008FB10000}"/>
    <cellStyle name="Normal 63 3" xfId="217" xr:uid="{00000000-0005-0000-0000-000090B10000}"/>
    <cellStyle name="Normal 63 3 10" xfId="16008" xr:uid="{00000000-0005-0000-0000-000091B10000}"/>
    <cellStyle name="Normal 63 3 10 2" xfId="41561" xr:uid="{00000000-0005-0000-0000-000092B10000}"/>
    <cellStyle name="Normal 63 3 11" xfId="26154" xr:uid="{00000000-0005-0000-0000-000093B10000}"/>
    <cellStyle name="Normal 63 3 2" xfId="542" xr:uid="{00000000-0005-0000-0000-000094B10000}"/>
    <cellStyle name="Normal 63 3 2 2" xfId="3028" xr:uid="{00000000-0005-0000-0000-000095B10000}"/>
    <cellStyle name="Normal 63 3 2 2 2" xfId="12216" xr:uid="{00000000-0005-0000-0000-000096B10000}"/>
    <cellStyle name="Normal 63 3 2 2 2 2" xfId="22389" xr:uid="{00000000-0005-0000-0000-000097B10000}"/>
    <cellStyle name="Normal 63 3 2 2 2 2 2" xfId="47942" xr:uid="{00000000-0005-0000-0000-000098B10000}"/>
    <cellStyle name="Normal 63 3 2 2 2 3" xfId="37771" xr:uid="{00000000-0005-0000-0000-000099B10000}"/>
    <cellStyle name="Normal 63 3 2 2 3" xfId="8574" xr:uid="{00000000-0005-0000-0000-00009AB10000}"/>
    <cellStyle name="Normal 63 3 2 2 3 2" xfId="34131" xr:uid="{00000000-0005-0000-0000-00009BB10000}"/>
    <cellStyle name="Normal 63 3 2 2 4" xfId="17382" xr:uid="{00000000-0005-0000-0000-00009CB10000}"/>
    <cellStyle name="Normal 63 3 2 2 4 2" xfId="42935" xr:uid="{00000000-0005-0000-0000-00009DB10000}"/>
    <cellStyle name="Normal 63 3 2 2 5" xfId="28872" xr:uid="{00000000-0005-0000-0000-00009EB10000}"/>
    <cellStyle name="Normal 63 3 2 3" xfId="4743" xr:uid="{00000000-0005-0000-0000-00009FB10000}"/>
    <cellStyle name="Normal 63 3 2 3 2" xfId="13581" xr:uid="{00000000-0005-0000-0000-0000A0B10000}"/>
    <cellStyle name="Normal 63 3 2 3 2 2" xfId="23832" xr:uid="{00000000-0005-0000-0000-0000A1B10000}"/>
    <cellStyle name="Normal 63 3 2 3 2 2 2" xfId="49385" xr:uid="{00000000-0005-0000-0000-0000A2B10000}"/>
    <cellStyle name="Normal 63 3 2 3 2 3" xfId="39136" xr:uid="{00000000-0005-0000-0000-0000A3B10000}"/>
    <cellStyle name="Normal 63 3 2 3 3" xfId="10002" xr:uid="{00000000-0005-0000-0000-0000A4B10000}"/>
    <cellStyle name="Normal 63 3 2 3 3 2" xfId="35559" xr:uid="{00000000-0005-0000-0000-0000A5B10000}"/>
    <cellStyle name="Normal 63 3 2 3 4" xfId="18825" xr:uid="{00000000-0005-0000-0000-0000A6B10000}"/>
    <cellStyle name="Normal 63 3 2 3 4 2" xfId="44378" xr:uid="{00000000-0005-0000-0000-0000A7B10000}"/>
    <cellStyle name="Normal 63 3 2 3 5" xfId="30315" xr:uid="{00000000-0005-0000-0000-0000A8B10000}"/>
    <cellStyle name="Normal 63 3 2 4" xfId="2137" xr:uid="{00000000-0005-0000-0000-0000A9B10000}"/>
    <cellStyle name="Normal 63 3 2 4 2" xfId="11502" xr:uid="{00000000-0005-0000-0000-0000AAB10000}"/>
    <cellStyle name="Normal 63 3 2 4 2 2" xfId="37057" xr:uid="{00000000-0005-0000-0000-0000ABB10000}"/>
    <cellStyle name="Normal 63 3 2 4 3" xfId="21506" xr:uid="{00000000-0005-0000-0000-0000ACB10000}"/>
    <cellStyle name="Normal 63 3 2 4 3 2" xfId="47059" xr:uid="{00000000-0005-0000-0000-0000ADB10000}"/>
    <cellStyle name="Normal 63 3 2 4 4" xfId="27989" xr:uid="{00000000-0005-0000-0000-0000AEB10000}"/>
    <cellStyle name="Normal 63 3 2 5" xfId="6199" xr:uid="{00000000-0005-0000-0000-0000AFB10000}"/>
    <cellStyle name="Normal 63 3 2 5 2" xfId="15026" xr:uid="{00000000-0005-0000-0000-0000B0B10000}"/>
    <cellStyle name="Normal 63 3 2 5 2 2" xfId="40581" xr:uid="{00000000-0005-0000-0000-0000B1B10000}"/>
    <cellStyle name="Normal 63 3 2 5 3" xfId="25277" xr:uid="{00000000-0005-0000-0000-0000B2B10000}"/>
    <cellStyle name="Normal 63 3 2 5 3 2" xfId="50830" xr:uid="{00000000-0005-0000-0000-0000B3B10000}"/>
    <cellStyle name="Normal 63 3 2 5 4" xfId="31760" xr:uid="{00000000-0005-0000-0000-0000B4B10000}"/>
    <cellStyle name="Normal 63 3 2 6" xfId="7645" xr:uid="{00000000-0005-0000-0000-0000B5B10000}"/>
    <cellStyle name="Normal 63 3 2 6 2" xfId="19988" xr:uid="{00000000-0005-0000-0000-0000B6B10000}"/>
    <cellStyle name="Normal 63 3 2 6 2 2" xfId="45541" xr:uid="{00000000-0005-0000-0000-0000B7B10000}"/>
    <cellStyle name="Normal 63 3 2 6 3" xfId="33202" xr:uid="{00000000-0005-0000-0000-0000B8B10000}"/>
    <cellStyle name="Normal 63 3 2 7" xfId="16499" xr:uid="{00000000-0005-0000-0000-0000B9B10000}"/>
    <cellStyle name="Normal 63 3 2 7 2" xfId="42052" xr:uid="{00000000-0005-0000-0000-0000BAB10000}"/>
    <cellStyle name="Normal 63 3 2 8" xfId="26471" xr:uid="{00000000-0005-0000-0000-0000BBB10000}"/>
    <cellStyle name="Normal 63 3 3" xfId="932" xr:uid="{00000000-0005-0000-0000-0000BCB10000}"/>
    <cellStyle name="Normal 63 3 3 2" xfId="3414" xr:uid="{00000000-0005-0000-0000-0000BDB10000}"/>
    <cellStyle name="Normal 63 3 3 2 2" xfId="12556" xr:uid="{00000000-0005-0000-0000-0000BEB10000}"/>
    <cellStyle name="Normal 63 3 3 2 2 2" xfId="22775" xr:uid="{00000000-0005-0000-0000-0000BFB10000}"/>
    <cellStyle name="Normal 63 3 3 2 2 2 2" xfId="48328" xr:uid="{00000000-0005-0000-0000-0000C0B10000}"/>
    <cellStyle name="Normal 63 3 3 2 2 3" xfId="38111" xr:uid="{00000000-0005-0000-0000-0000C1B10000}"/>
    <cellStyle name="Normal 63 3 3 2 3" xfId="8978" xr:uid="{00000000-0005-0000-0000-0000C2B10000}"/>
    <cellStyle name="Normal 63 3 3 2 3 2" xfId="34535" xr:uid="{00000000-0005-0000-0000-0000C3B10000}"/>
    <cellStyle name="Normal 63 3 3 2 4" xfId="17768" xr:uid="{00000000-0005-0000-0000-0000C4B10000}"/>
    <cellStyle name="Normal 63 3 3 2 4 2" xfId="43321" xr:uid="{00000000-0005-0000-0000-0000C5B10000}"/>
    <cellStyle name="Normal 63 3 3 2 5" xfId="29258" xr:uid="{00000000-0005-0000-0000-0000C6B10000}"/>
    <cellStyle name="Normal 63 3 3 3" xfId="5092" xr:uid="{00000000-0005-0000-0000-0000C7B10000}"/>
    <cellStyle name="Normal 63 3 3 3 2" xfId="13929" xr:uid="{00000000-0005-0000-0000-0000C8B10000}"/>
    <cellStyle name="Normal 63 3 3 3 2 2" xfId="24180" xr:uid="{00000000-0005-0000-0000-0000C9B10000}"/>
    <cellStyle name="Normal 63 3 3 3 2 2 2" xfId="49733" xr:uid="{00000000-0005-0000-0000-0000CAB10000}"/>
    <cellStyle name="Normal 63 3 3 3 2 3" xfId="39484" xr:uid="{00000000-0005-0000-0000-0000CBB10000}"/>
    <cellStyle name="Normal 63 3 3 3 3" xfId="10350" xr:uid="{00000000-0005-0000-0000-0000CCB10000}"/>
    <cellStyle name="Normal 63 3 3 3 3 2" xfId="35907" xr:uid="{00000000-0005-0000-0000-0000CDB10000}"/>
    <cellStyle name="Normal 63 3 3 3 4" xfId="19173" xr:uid="{00000000-0005-0000-0000-0000CEB10000}"/>
    <cellStyle name="Normal 63 3 3 3 4 2" xfId="44726" xr:uid="{00000000-0005-0000-0000-0000CFB10000}"/>
    <cellStyle name="Normal 63 3 3 3 5" xfId="30663" xr:uid="{00000000-0005-0000-0000-0000D0B10000}"/>
    <cellStyle name="Normal 63 3 3 4" xfId="2523" xr:uid="{00000000-0005-0000-0000-0000D1B10000}"/>
    <cellStyle name="Normal 63 3 3 4 2" xfId="11888" xr:uid="{00000000-0005-0000-0000-0000D2B10000}"/>
    <cellStyle name="Normal 63 3 3 4 2 2" xfId="37443" xr:uid="{00000000-0005-0000-0000-0000D3B10000}"/>
    <cellStyle name="Normal 63 3 3 4 3" xfId="21892" xr:uid="{00000000-0005-0000-0000-0000D4B10000}"/>
    <cellStyle name="Normal 63 3 3 4 3 2" xfId="47445" xr:uid="{00000000-0005-0000-0000-0000D5B10000}"/>
    <cellStyle name="Normal 63 3 3 4 4" xfId="28375" xr:uid="{00000000-0005-0000-0000-0000D6B10000}"/>
    <cellStyle name="Normal 63 3 3 5" xfId="6547" xr:uid="{00000000-0005-0000-0000-0000D7B10000}"/>
    <cellStyle name="Normal 63 3 3 5 2" xfId="15374" xr:uid="{00000000-0005-0000-0000-0000D8B10000}"/>
    <cellStyle name="Normal 63 3 3 5 2 2" xfId="40929" xr:uid="{00000000-0005-0000-0000-0000D9B10000}"/>
    <cellStyle name="Normal 63 3 3 5 3" xfId="25625" xr:uid="{00000000-0005-0000-0000-0000DAB10000}"/>
    <cellStyle name="Normal 63 3 3 5 3 2" xfId="51178" xr:uid="{00000000-0005-0000-0000-0000DBB10000}"/>
    <cellStyle name="Normal 63 3 3 5 4" xfId="32108" xr:uid="{00000000-0005-0000-0000-0000DCB10000}"/>
    <cellStyle name="Normal 63 3 3 6" xfId="7993" xr:uid="{00000000-0005-0000-0000-0000DDB10000}"/>
    <cellStyle name="Normal 63 3 3 6 2" xfId="20374" xr:uid="{00000000-0005-0000-0000-0000DEB10000}"/>
    <cellStyle name="Normal 63 3 3 6 2 2" xfId="45927" xr:uid="{00000000-0005-0000-0000-0000DFB10000}"/>
    <cellStyle name="Normal 63 3 3 6 3" xfId="33550" xr:uid="{00000000-0005-0000-0000-0000E0B10000}"/>
    <cellStyle name="Normal 63 3 3 7" xfId="16885" xr:uid="{00000000-0005-0000-0000-0000E1B10000}"/>
    <cellStyle name="Normal 63 3 3 7 2" xfId="42438" xr:uid="{00000000-0005-0000-0000-0000E2B10000}"/>
    <cellStyle name="Normal 63 3 3 8" xfId="26857" xr:uid="{00000000-0005-0000-0000-0000E3B10000}"/>
    <cellStyle name="Normal 63 3 4" xfId="1314" xr:uid="{00000000-0005-0000-0000-0000E4B10000}"/>
    <cellStyle name="Normal 63 3 4 2" xfId="3743" xr:uid="{00000000-0005-0000-0000-0000E5B10000}"/>
    <cellStyle name="Normal 63 3 4 2 2" xfId="12879" xr:uid="{00000000-0005-0000-0000-0000E6B10000}"/>
    <cellStyle name="Normal 63 3 4 2 2 2" xfId="23098" xr:uid="{00000000-0005-0000-0000-0000E7B10000}"/>
    <cellStyle name="Normal 63 3 4 2 2 2 2" xfId="48651" xr:uid="{00000000-0005-0000-0000-0000E8B10000}"/>
    <cellStyle name="Normal 63 3 4 2 2 3" xfId="38434" xr:uid="{00000000-0005-0000-0000-0000E9B10000}"/>
    <cellStyle name="Normal 63 3 4 2 3" xfId="9300" xr:uid="{00000000-0005-0000-0000-0000EAB10000}"/>
    <cellStyle name="Normal 63 3 4 2 3 2" xfId="34857" xr:uid="{00000000-0005-0000-0000-0000EBB10000}"/>
    <cellStyle name="Normal 63 3 4 2 4" xfId="18091" xr:uid="{00000000-0005-0000-0000-0000ECB10000}"/>
    <cellStyle name="Normal 63 3 4 2 4 2" xfId="43644" xr:uid="{00000000-0005-0000-0000-0000EDB10000}"/>
    <cellStyle name="Normal 63 3 4 2 5" xfId="29581" xr:uid="{00000000-0005-0000-0000-0000EEB10000}"/>
    <cellStyle name="Normal 63 3 4 3" xfId="5406" xr:uid="{00000000-0005-0000-0000-0000EFB10000}"/>
    <cellStyle name="Normal 63 3 4 3 2" xfId="14243" xr:uid="{00000000-0005-0000-0000-0000F0B10000}"/>
    <cellStyle name="Normal 63 3 4 3 2 2" xfId="24494" xr:uid="{00000000-0005-0000-0000-0000F1B10000}"/>
    <cellStyle name="Normal 63 3 4 3 2 2 2" xfId="50047" xr:uid="{00000000-0005-0000-0000-0000F2B10000}"/>
    <cellStyle name="Normal 63 3 4 3 2 3" xfId="39798" xr:uid="{00000000-0005-0000-0000-0000F3B10000}"/>
    <cellStyle name="Normal 63 3 4 3 3" xfId="10664" xr:uid="{00000000-0005-0000-0000-0000F4B10000}"/>
    <cellStyle name="Normal 63 3 4 3 3 2" xfId="36221" xr:uid="{00000000-0005-0000-0000-0000F5B10000}"/>
    <cellStyle name="Normal 63 3 4 3 4" xfId="19487" xr:uid="{00000000-0005-0000-0000-0000F6B10000}"/>
    <cellStyle name="Normal 63 3 4 3 4 2" xfId="45040" xr:uid="{00000000-0005-0000-0000-0000F7B10000}"/>
    <cellStyle name="Normal 63 3 4 3 5" xfId="30977" xr:uid="{00000000-0005-0000-0000-0000F8B10000}"/>
    <cellStyle name="Normal 63 3 4 4" xfId="1817" xr:uid="{00000000-0005-0000-0000-0000F9B10000}"/>
    <cellStyle name="Normal 63 3 4 4 2" xfId="11185" xr:uid="{00000000-0005-0000-0000-0000FAB10000}"/>
    <cellStyle name="Normal 63 3 4 4 2 2" xfId="36740" xr:uid="{00000000-0005-0000-0000-0000FBB10000}"/>
    <cellStyle name="Normal 63 3 4 4 3" xfId="21189" xr:uid="{00000000-0005-0000-0000-0000FCB10000}"/>
    <cellStyle name="Normal 63 3 4 4 3 2" xfId="46742" xr:uid="{00000000-0005-0000-0000-0000FDB10000}"/>
    <cellStyle name="Normal 63 3 4 4 4" xfId="27672" xr:uid="{00000000-0005-0000-0000-0000FEB10000}"/>
    <cellStyle name="Normal 63 3 4 5" xfId="6861" xr:uid="{00000000-0005-0000-0000-0000FFB10000}"/>
    <cellStyle name="Normal 63 3 4 5 2" xfId="15688" xr:uid="{00000000-0005-0000-0000-000000B20000}"/>
    <cellStyle name="Normal 63 3 4 5 2 2" xfId="41243" xr:uid="{00000000-0005-0000-0000-000001B20000}"/>
    <cellStyle name="Normal 63 3 4 5 3" xfId="25939" xr:uid="{00000000-0005-0000-0000-000002B20000}"/>
    <cellStyle name="Normal 63 3 4 5 3 2" xfId="51492" xr:uid="{00000000-0005-0000-0000-000003B20000}"/>
    <cellStyle name="Normal 63 3 4 5 4" xfId="32422" xr:uid="{00000000-0005-0000-0000-000004B20000}"/>
    <cellStyle name="Normal 63 3 4 6" xfId="8307" xr:uid="{00000000-0005-0000-0000-000005B20000}"/>
    <cellStyle name="Normal 63 3 4 6 2" xfId="20697" xr:uid="{00000000-0005-0000-0000-000006B20000}"/>
    <cellStyle name="Normal 63 3 4 6 2 2" xfId="46250" xr:uid="{00000000-0005-0000-0000-000007B20000}"/>
    <cellStyle name="Normal 63 3 4 6 3" xfId="33864" xr:uid="{00000000-0005-0000-0000-000008B20000}"/>
    <cellStyle name="Normal 63 3 4 7" xfId="16182" xr:uid="{00000000-0005-0000-0000-000009B20000}"/>
    <cellStyle name="Normal 63 3 4 7 2" xfId="41735" xr:uid="{00000000-0005-0000-0000-00000AB20000}"/>
    <cellStyle name="Normal 63 3 4 8" xfId="27180" xr:uid="{00000000-0005-0000-0000-00000BB20000}"/>
    <cellStyle name="Normal 63 3 5" xfId="2711" xr:uid="{00000000-0005-0000-0000-00000CB20000}"/>
    <cellStyle name="Normal 63 3 5 2" xfId="12028" xr:uid="{00000000-0005-0000-0000-00000DB20000}"/>
    <cellStyle name="Normal 63 3 5 2 2" xfId="22072" xr:uid="{00000000-0005-0000-0000-00000EB20000}"/>
    <cellStyle name="Normal 63 3 5 2 2 2" xfId="47625" xr:uid="{00000000-0005-0000-0000-00000FB20000}"/>
    <cellStyle name="Normal 63 3 5 2 3" xfId="37583" xr:uid="{00000000-0005-0000-0000-000010B20000}"/>
    <cellStyle name="Normal 63 3 5 3" xfId="8551" xr:uid="{00000000-0005-0000-0000-000011B20000}"/>
    <cellStyle name="Normal 63 3 5 3 2" xfId="34108" xr:uid="{00000000-0005-0000-0000-000012B20000}"/>
    <cellStyle name="Normal 63 3 5 4" xfId="17065" xr:uid="{00000000-0005-0000-0000-000013B20000}"/>
    <cellStyle name="Normal 63 3 5 4 2" xfId="42618" xr:uid="{00000000-0005-0000-0000-000014B20000}"/>
    <cellStyle name="Normal 63 3 5 5" xfId="28555" xr:uid="{00000000-0005-0000-0000-000015B20000}"/>
    <cellStyle name="Normal 63 3 6" xfId="4362" xr:uid="{00000000-0005-0000-0000-000016B20000}"/>
    <cellStyle name="Normal 63 3 6 2" xfId="13200" xr:uid="{00000000-0005-0000-0000-000017B20000}"/>
    <cellStyle name="Normal 63 3 6 2 2" xfId="23451" xr:uid="{00000000-0005-0000-0000-000018B20000}"/>
    <cellStyle name="Normal 63 3 6 2 2 2" xfId="49004" xr:uid="{00000000-0005-0000-0000-000019B20000}"/>
    <cellStyle name="Normal 63 3 6 2 3" xfId="38755" xr:uid="{00000000-0005-0000-0000-00001AB20000}"/>
    <cellStyle name="Normal 63 3 6 3" xfId="9621" xr:uid="{00000000-0005-0000-0000-00001BB20000}"/>
    <cellStyle name="Normal 63 3 6 3 2" xfId="35178" xr:uid="{00000000-0005-0000-0000-00001CB20000}"/>
    <cellStyle name="Normal 63 3 6 4" xfId="18444" xr:uid="{00000000-0005-0000-0000-00001DB20000}"/>
    <cellStyle name="Normal 63 3 6 4 2" xfId="43997" xr:uid="{00000000-0005-0000-0000-00001EB20000}"/>
    <cellStyle name="Normal 63 3 6 5" xfId="29934" xr:uid="{00000000-0005-0000-0000-00001FB20000}"/>
    <cellStyle name="Normal 63 3 7" xfId="1634" xr:uid="{00000000-0005-0000-0000-000020B20000}"/>
    <cellStyle name="Normal 63 3 7 2" xfId="11011" xr:uid="{00000000-0005-0000-0000-000021B20000}"/>
    <cellStyle name="Normal 63 3 7 2 2" xfId="36566" xr:uid="{00000000-0005-0000-0000-000022B20000}"/>
    <cellStyle name="Normal 63 3 7 3" xfId="21015" xr:uid="{00000000-0005-0000-0000-000023B20000}"/>
    <cellStyle name="Normal 63 3 7 3 2" xfId="46568" xr:uid="{00000000-0005-0000-0000-000024B20000}"/>
    <cellStyle name="Normal 63 3 7 4" xfId="27498" xr:uid="{00000000-0005-0000-0000-000025B20000}"/>
    <cellStyle name="Normal 63 3 8" xfId="5818" xr:uid="{00000000-0005-0000-0000-000026B20000}"/>
    <cellStyle name="Normal 63 3 8 2" xfId="14645" xr:uid="{00000000-0005-0000-0000-000027B20000}"/>
    <cellStyle name="Normal 63 3 8 2 2" xfId="40200" xr:uid="{00000000-0005-0000-0000-000028B20000}"/>
    <cellStyle name="Normal 63 3 8 3" xfId="24896" xr:uid="{00000000-0005-0000-0000-000029B20000}"/>
    <cellStyle name="Normal 63 3 8 3 2" xfId="50449" xr:uid="{00000000-0005-0000-0000-00002AB20000}"/>
    <cellStyle name="Normal 63 3 8 4" xfId="31379" xr:uid="{00000000-0005-0000-0000-00002BB20000}"/>
    <cellStyle name="Normal 63 3 9" xfId="7262" xr:uid="{00000000-0005-0000-0000-00002CB20000}"/>
    <cellStyle name="Normal 63 3 9 2" xfId="19671" xr:uid="{00000000-0005-0000-0000-00002DB20000}"/>
    <cellStyle name="Normal 63 3 9 2 2" xfId="45224" xr:uid="{00000000-0005-0000-0000-00002EB20000}"/>
    <cellStyle name="Normal 63 3 9 3" xfId="32819" xr:uid="{00000000-0005-0000-0000-00002FB20000}"/>
    <cellStyle name="Normal 63 3_Degree data" xfId="4038" xr:uid="{00000000-0005-0000-0000-000030B20000}"/>
    <cellStyle name="Normal 63 4" xfId="460" xr:uid="{00000000-0005-0000-0000-000031B20000}"/>
    <cellStyle name="Normal 63 4 10" xfId="26389" xr:uid="{00000000-0005-0000-0000-000032B20000}"/>
    <cellStyle name="Normal 63 4 2" xfId="933" xr:uid="{00000000-0005-0000-0000-000033B20000}"/>
    <cellStyle name="Normal 63 4 2 2" xfId="3415" xr:uid="{00000000-0005-0000-0000-000034B20000}"/>
    <cellStyle name="Normal 63 4 2 2 2" xfId="12557" xr:uid="{00000000-0005-0000-0000-000035B20000}"/>
    <cellStyle name="Normal 63 4 2 2 2 2" xfId="22776" xr:uid="{00000000-0005-0000-0000-000036B20000}"/>
    <cellStyle name="Normal 63 4 2 2 2 2 2" xfId="48329" xr:uid="{00000000-0005-0000-0000-000037B20000}"/>
    <cellStyle name="Normal 63 4 2 2 2 3" xfId="38112" xr:uid="{00000000-0005-0000-0000-000038B20000}"/>
    <cellStyle name="Normal 63 4 2 2 3" xfId="8979" xr:uid="{00000000-0005-0000-0000-000039B20000}"/>
    <cellStyle name="Normal 63 4 2 2 3 2" xfId="34536" xr:uid="{00000000-0005-0000-0000-00003AB20000}"/>
    <cellStyle name="Normal 63 4 2 2 4" xfId="17769" xr:uid="{00000000-0005-0000-0000-00003BB20000}"/>
    <cellStyle name="Normal 63 4 2 2 4 2" xfId="43322" xr:uid="{00000000-0005-0000-0000-00003CB20000}"/>
    <cellStyle name="Normal 63 4 2 2 5" xfId="29259" xr:uid="{00000000-0005-0000-0000-00003DB20000}"/>
    <cellStyle name="Normal 63 4 2 3" xfId="4744" xr:uid="{00000000-0005-0000-0000-00003EB20000}"/>
    <cellStyle name="Normal 63 4 2 3 2" xfId="13582" xr:uid="{00000000-0005-0000-0000-00003FB20000}"/>
    <cellStyle name="Normal 63 4 2 3 2 2" xfId="23833" xr:uid="{00000000-0005-0000-0000-000040B20000}"/>
    <cellStyle name="Normal 63 4 2 3 2 2 2" xfId="49386" xr:uid="{00000000-0005-0000-0000-000041B20000}"/>
    <cellStyle name="Normal 63 4 2 3 2 3" xfId="39137" xr:uid="{00000000-0005-0000-0000-000042B20000}"/>
    <cellStyle name="Normal 63 4 2 3 3" xfId="10003" xr:uid="{00000000-0005-0000-0000-000043B20000}"/>
    <cellStyle name="Normal 63 4 2 3 3 2" xfId="35560" xr:uid="{00000000-0005-0000-0000-000044B20000}"/>
    <cellStyle name="Normal 63 4 2 3 4" xfId="18826" xr:uid="{00000000-0005-0000-0000-000045B20000}"/>
    <cellStyle name="Normal 63 4 2 3 4 2" xfId="44379" xr:uid="{00000000-0005-0000-0000-000046B20000}"/>
    <cellStyle name="Normal 63 4 2 3 5" xfId="30316" xr:uid="{00000000-0005-0000-0000-000047B20000}"/>
    <cellStyle name="Normal 63 4 2 4" xfId="2524" xr:uid="{00000000-0005-0000-0000-000048B20000}"/>
    <cellStyle name="Normal 63 4 2 4 2" xfId="11889" xr:uid="{00000000-0005-0000-0000-000049B20000}"/>
    <cellStyle name="Normal 63 4 2 4 2 2" xfId="37444" xr:uid="{00000000-0005-0000-0000-00004AB20000}"/>
    <cellStyle name="Normal 63 4 2 4 3" xfId="21893" xr:uid="{00000000-0005-0000-0000-00004BB20000}"/>
    <cellStyle name="Normal 63 4 2 4 3 2" xfId="47446" xr:uid="{00000000-0005-0000-0000-00004CB20000}"/>
    <cellStyle name="Normal 63 4 2 4 4" xfId="28376" xr:uid="{00000000-0005-0000-0000-00004DB20000}"/>
    <cellStyle name="Normal 63 4 2 5" xfId="6200" xr:uid="{00000000-0005-0000-0000-00004EB20000}"/>
    <cellStyle name="Normal 63 4 2 5 2" xfId="15027" xr:uid="{00000000-0005-0000-0000-00004FB20000}"/>
    <cellStyle name="Normal 63 4 2 5 2 2" xfId="40582" xr:uid="{00000000-0005-0000-0000-000050B20000}"/>
    <cellStyle name="Normal 63 4 2 5 3" xfId="25278" xr:uid="{00000000-0005-0000-0000-000051B20000}"/>
    <cellStyle name="Normal 63 4 2 5 3 2" xfId="50831" xr:uid="{00000000-0005-0000-0000-000052B20000}"/>
    <cellStyle name="Normal 63 4 2 5 4" xfId="31761" xr:uid="{00000000-0005-0000-0000-000053B20000}"/>
    <cellStyle name="Normal 63 4 2 6" xfId="7646" xr:uid="{00000000-0005-0000-0000-000054B20000}"/>
    <cellStyle name="Normal 63 4 2 6 2" xfId="20375" xr:uid="{00000000-0005-0000-0000-000055B20000}"/>
    <cellStyle name="Normal 63 4 2 6 2 2" xfId="45928" xr:uid="{00000000-0005-0000-0000-000056B20000}"/>
    <cellStyle name="Normal 63 4 2 6 3" xfId="33203" xr:uid="{00000000-0005-0000-0000-000057B20000}"/>
    <cellStyle name="Normal 63 4 2 7" xfId="16886" xr:uid="{00000000-0005-0000-0000-000058B20000}"/>
    <cellStyle name="Normal 63 4 2 7 2" xfId="42439" xr:uid="{00000000-0005-0000-0000-000059B20000}"/>
    <cellStyle name="Normal 63 4 2 8" xfId="26858" xr:uid="{00000000-0005-0000-0000-00005AB20000}"/>
    <cellStyle name="Normal 63 4 3" xfId="1232" xr:uid="{00000000-0005-0000-0000-00005BB20000}"/>
    <cellStyle name="Normal 63 4 3 2" xfId="3661" xr:uid="{00000000-0005-0000-0000-00005CB20000}"/>
    <cellStyle name="Normal 63 4 3 2 2" xfId="12797" xr:uid="{00000000-0005-0000-0000-00005DB20000}"/>
    <cellStyle name="Normal 63 4 3 2 2 2" xfId="23016" xr:uid="{00000000-0005-0000-0000-00005EB20000}"/>
    <cellStyle name="Normal 63 4 3 2 2 2 2" xfId="48569" xr:uid="{00000000-0005-0000-0000-00005FB20000}"/>
    <cellStyle name="Normal 63 4 3 2 2 3" xfId="38352" xr:uid="{00000000-0005-0000-0000-000060B20000}"/>
    <cellStyle name="Normal 63 4 3 2 3" xfId="9218" xr:uid="{00000000-0005-0000-0000-000061B20000}"/>
    <cellStyle name="Normal 63 4 3 2 3 2" xfId="34775" xr:uid="{00000000-0005-0000-0000-000062B20000}"/>
    <cellStyle name="Normal 63 4 3 2 4" xfId="18009" xr:uid="{00000000-0005-0000-0000-000063B20000}"/>
    <cellStyle name="Normal 63 4 3 2 4 2" xfId="43562" xr:uid="{00000000-0005-0000-0000-000064B20000}"/>
    <cellStyle name="Normal 63 4 3 2 5" xfId="29499" xr:uid="{00000000-0005-0000-0000-000065B20000}"/>
    <cellStyle name="Normal 63 4 3 3" xfId="5093" xr:uid="{00000000-0005-0000-0000-000066B20000}"/>
    <cellStyle name="Normal 63 4 3 3 2" xfId="13930" xr:uid="{00000000-0005-0000-0000-000067B20000}"/>
    <cellStyle name="Normal 63 4 3 3 2 2" xfId="24181" xr:uid="{00000000-0005-0000-0000-000068B20000}"/>
    <cellStyle name="Normal 63 4 3 3 2 2 2" xfId="49734" xr:uid="{00000000-0005-0000-0000-000069B20000}"/>
    <cellStyle name="Normal 63 4 3 3 2 3" xfId="39485" xr:uid="{00000000-0005-0000-0000-00006AB20000}"/>
    <cellStyle name="Normal 63 4 3 3 3" xfId="10351" xr:uid="{00000000-0005-0000-0000-00006BB20000}"/>
    <cellStyle name="Normal 63 4 3 3 3 2" xfId="35908" xr:uid="{00000000-0005-0000-0000-00006CB20000}"/>
    <cellStyle name="Normal 63 4 3 3 4" xfId="19174" xr:uid="{00000000-0005-0000-0000-00006DB20000}"/>
    <cellStyle name="Normal 63 4 3 3 4 2" xfId="44727" xr:uid="{00000000-0005-0000-0000-00006EB20000}"/>
    <cellStyle name="Normal 63 4 3 3 5" xfId="30664" xr:uid="{00000000-0005-0000-0000-00006FB20000}"/>
    <cellStyle name="Normal 63 4 3 4" xfId="2055" xr:uid="{00000000-0005-0000-0000-000070B20000}"/>
    <cellStyle name="Normal 63 4 3 4 2" xfId="11420" xr:uid="{00000000-0005-0000-0000-000071B20000}"/>
    <cellStyle name="Normal 63 4 3 4 2 2" xfId="36975" xr:uid="{00000000-0005-0000-0000-000072B20000}"/>
    <cellStyle name="Normal 63 4 3 4 3" xfId="21424" xr:uid="{00000000-0005-0000-0000-000073B20000}"/>
    <cellStyle name="Normal 63 4 3 4 3 2" xfId="46977" xr:uid="{00000000-0005-0000-0000-000074B20000}"/>
    <cellStyle name="Normal 63 4 3 4 4" xfId="27907" xr:uid="{00000000-0005-0000-0000-000075B20000}"/>
    <cellStyle name="Normal 63 4 3 5" xfId="6548" xr:uid="{00000000-0005-0000-0000-000076B20000}"/>
    <cellStyle name="Normal 63 4 3 5 2" xfId="15375" xr:uid="{00000000-0005-0000-0000-000077B20000}"/>
    <cellStyle name="Normal 63 4 3 5 2 2" xfId="40930" xr:uid="{00000000-0005-0000-0000-000078B20000}"/>
    <cellStyle name="Normal 63 4 3 5 3" xfId="25626" xr:uid="{00000000-0005-0000-0000-000079B20000}"/>
    <cellStyle name="Normal 63 4 3 5 3 2" xfId="51179" xr:uid="{00000000-0005-0000-0000-00007AB20000}"/>
    <cellStyle name="Normal 63 4 3 5 4" xfId="32109" xr:uid="{00000000-0005-0000-0000-00007BB20000}"/>
    <cellStyle name="Normal 63 4 3 6" xfId="7994" xr:uid="{00000000-0005-0000-0000-00007CB20000}"/>
    <cellStyle name="Normal 63 4 3 6 2" xfId="20615" xr:uid="{00000000-0005-0000-0000-00007DB20000}"/>
    <cellStyle name="Normal 63 4 3 6 2 2" xfId="46168" xr:uid="{00000000-0005-0000-0000-00007EB20000}"/>
    <cellStyle name="Normal 63 4 3 6 3" xfId="33551" xr:uid="{00000000-0005-0000-0000-00007FB20000}"/>
    <cellStyle name="Normal 63 4 3 7" xfId="16417" xr:uid="{00000000-0005-0000-0000-000080B20000}"/>
    <cellStyle name="Normal 63 4 3 7 2" xfId="41970" xr:uid="{00000000-0005-0000-0000-000081B20000}"/>
    <cellStyle name="Normal 63 4 3 8" xfId="27098" xr:uid="{00000000-0005-0000-0000-000082B20000}"/>
    <cellStyle name="Normal 63 4 4" xfId="2946" xr:uid="{00000000-0005-0000-0000-000083B20000}"/>
    <cellStyle name="Normal 63 4 4 2" xfId="5324" xr:uid="{00000000-0005-0000-0000-000084B20000}"/>
    <cellStyle name="Normal 63 4 4 2 2" xfId="14161" xr:uid="{00000000-0005-0000-0000-000085B20000}"/>
    <cellStyle name="Normal 63 4 4 2 2 2" xfId="24412" xr:uid="{00000000-0005-0000-0000-000086B20000}"/>
    <cellStyle name="Normal 63 4 4 2 2 2 2" xfId="49965" xr:uid="{00000000-0005-0000-0000-000087B20000}"/>
    <cellStyle name="Normal 63 4 4 2 2 3" xfId="39716" xr:uid="{00000000-0005-0000-0000-000088B20000}"/>
    <cellStyle name="Normal 63 4 4 2 3" xfId="10582" xr:uid="{00000000-0005-0000-0000-000089B20000}"/>
    <cellStyle name="Normal 63 4 4 2 3 2" xfId="36139" xr:uid="{00000000-0005-0000-0000-00008AB20000}"/>
    <cellStyle name="Normal 63 4 4 2 4" xfId="19405" xr:uid="{00000000-0005-0000-0000-00008BB20000}"/>
    <cellStyle name="Normal 63 4 4 2 4 2" xfId="44958" xr:uid="{00000000-0005-0000-0000-00008CB20000}"/>
    <cellStyle name="Normal 63 4 4 2 5" xfId="30895" xr:uid="{00000000-0005-0000-0000-00008DB20000}"/>
    <cellStyle name="Normal 63 4 4 3" xfId="6779" xr:uid="{00000000-0005-0000-0000-00008EB20000}"/>
    <cellStyle name="Normal 63 4 4 3 2" xfId="15606" xr:uid="{00000000-0005-0000-0000-00008FB20000}"/>
    <cellStyle name="Normal 63 4 4 3 2 2" xfId="41161" xr:uid="{00000000-0005-0000-0000-000090B20000}"/>
    <cellStyle name="Normal 63 4 4 3 3" xfId="25857" xr:uid="{00000000-0005-0000-0000-000091B20000}"/>
    <cellStyle name="Normal 63 4 4 3 3 2" xfId="51410" xr:uid="{00000000-0005-0000-0000-000092B20000}"/>
    <cellStyle name="Normal 63 4 4 3 4" xfId="32340" xr:uid="{00000000-0005-0000-0000-000093B20000}"/>
    <cellStyle name="Normal 63 4 4 4" xfId="8225" xr:uid="{00000000-0005-0000-0000-000094B20000}"/>
    <cellStyle name="Normal 63 4 4 4 2" xfId="22307" xr:uid="{00000000-0005-0000-0000-000095B20000}"/>
    <cellStyle name="Normal 63 4 4 4 2 2" xfId="47860" xr:uid="{00000000-0005-0000-0000-000096B20000}"/>
    <cellStyle name="Normal 63 4 4 4 3" xfId="33782" xr:uid="{00000000-0005-0000-0000-000097B20000}"/>
    <cellStyle name="Normal 63 4 4 5" xfId="17300" xr:uid="{00000000-0005-0000-0000-000098B20000}"/>
    <cellStyle name="Normal 63 4 4 5 2" xfId="42853" xr:uid="{00000000-0005-0000-0000-000099B20000}"/>
    <cellStyle name="Normal 63 4 4 6" xfId="28790" xr:uid="{00000000-0005-0000-0000-00009AB20000}"/>
    <cellStyle name="Normal 63 4 5" xfId="4280" xr:uid="{00000000-0005-0000-0000-00009BB20000}"/>
    <cellStyle name="Normal 63 4 5 2" xfId="13118" xr:uid="{00000000-0005-0000-0000-00009CB20000}"/>
    <cellStyle name="Normal 63 4 5 2 2" xfId="23369" xr:uid="{00000000-0005-0000-0000-00009DB20000}"/>
    <cellStyle name="Normal 63 4 5 2 2 2" xfId="48922" xr:uid="{00000000-0005-0000-0000-00009EB20000}"/>
    <cellStyle name="Normal 63 4 5 2 3" xfId="38673" xr:uid="{00000000-0005-0000-0000-00009FB20000}"/>
    <cellStyle name="Normal 63 4 5 3" xfId="9539" xr:uid="{00000000-0005-0000-0000-0000A0B20000}"/>
    <cellStyle name="Normal 63 4 5 3 2" xfId="35096" xr:uid="{00000000-0005-0000-0000-0000A1B20000}"/>
    <cellStyle name="Normal 63 4 5 4" xfId="18362" xr:uid="{00000000-0005-0000-0000-0000A2B20000}"/>
    <cellStyle name="Normal 63 4 5 4 2" xfId="43915" xr:uid="{00000000-0005-0000-0000-0000A3B20000}"/>
    <cellStyle name="Normal 63 4 5 5" xfId="29852" xr:uid="{00000000-0005-0000-0000-0000A4B20000}"/>
    <cellStyle name="Normal 63 4 6" xfId="1552" xr:uid="{00000000-0005-0000-0000-0000A5B20000}"/>
    <cellStyle name="Normal 63 4 6 2" xfId="10929" xr:uid="{00000000-0005-0000-0000-0000A6B20000}"/>
    <cellStyle name="Normal 63 4 6 2 2" xfId="36484" xr:uid="{00000000-0005-0000-0000-0000A7B20000}"/>
    <cellStyle name="Normal 63 4 6 3" xfId="20933" xr:uid="{00000000-0005-0000-0000-0000A8B20000}"/>
    <cellStyle name="Normal 63 4 6 3 2" xfId="46486" xr:uid="{00000000-0005-0000-0000-0000A9B20000}"/>
    <cellStyle name="Normal 63 4 6 4" xfId="27416" xr:uid="{00000000-0005-0000-0000-0000AAB20000}"/>
    <cellStyle name="Normal 63 4 7" xfId="5736" xr:uid="{00000000-0005-0000-0000-0000ABB20000}"/>
    <cellStyle name="Normal 63 4 7 2" xfId="14563" xr:uid="{00000000-0005-0000-0000-0000ACB20000}"/>
    <cellStyle name="Normal 63 4 7 2 2" xfId="40118" xr:uid="{00000000-0005-0000-0000-0000ADB20000}"/>
    <cellStyle name="Normal 63 4 7 3" xfId="24814" xr:uid="{00000000-0005-0000-0000-0000AEB20000}"/>
    <cellStyle name="Normal 63 4 7 3 2" xfId="50367" xr:uid="{00000000-0005-0000-0000-0000AFB20000}"/>
    <cellStyle name="Normal 63 4 7 4" xfId="31297" xr:uid="{00000000-0005-0000-0000-0000B0B20000}"/>
    <cellStyle name="Normal 63 4 8" xfId="7180" xr:uid="{00000000-0005-0000-0000-0000B1B20000}"/>
    <cellStyle name="Normal 63 4 8 2" xfId="19906" xr:uid="{00000000-0005-0000-0000-0000B2B20000}"/>
    <cellStyle name="Normal 63 4 8 2 2" xfId="45459" xr:uid="{00000000-0005-0000-0000-0000B3B20000}"/>
    <cellStyle name="Normal 63 4 8 3" xfId="32737" xr:uid="{00000000-0005-0000-0000-0000B4B20000}"/>
    <cellStyle name="Normal 63 4 9" xfId="15926" xr:uid="{00000000-0005-0000-0000-0000B5B20000}"/>
    <cellStyle name="Normal 63 4 9 2" xfId="41479" xr:uid="{00000000-0005-0000-0000-0000B6B20000}"/>
    <cellStyle name="Normal 63 4_Degree data" xfId="4039" xr:uid="{00000000-0005-0000-0000-0000B7B20000}"/>
    <cellStyle name="Normal 63 5" xfId="324" xr:uid="{00000000-0005-0000-0000-0000B8B20000}"/>
    <cellStyle name="Normal 63 5 2" xfId="2810" xr:uid="{00000000-0005-0000-0000-0000B9B20000}"/>
    <cellStyle name="Normal 63 5 2 2" xfId="12110" xr:uid="{00000000-0005-0000-0000-0000BAB20000}"/>
    <cellStyle name="Normal 63 5 2 2 2" xfId="22171" xr:uid="{00000000-0005-0000-0000-0000BBB20000}"/>
    <cellStyle name="Normal 63 5 2 2 2 2" xfId="47724" xr:uid="{00000000-0005-0000-0000-0000BCB20000}"/>
    <cellStyle name="Normal 63 5 2 2 3" xfId="37665" xr:uid="{00000000-0005-0000-0000-0000BDB20000}"/>
    <cellStyle name="Normal 63 5 2 3" xfId="8470" xr:uid="{00000000-0005-0000-0000-0000BEB20000}"/>
    <cellStyle name="Normal 63 5 2 3 2" xfId="34027" xr:uid="{00000000-0005-0000-0000-0000BFB20000}"/>
    <cellStyle name="Normal 63 5 2 4" xfId="17164" xr:uid="{00000000-0005-0000-0000-0000C0B20000}"/>
    <cellStyle name="Normal 63 5 2 4 2" xfId="42717" xr:uid="{00000000-0005-0000-0000-0000C1B20000}"/>
    <cellStyle name="Normal 63 5 2 5" xfId="28654" xr:uid="{00000000-0005-0000-0000-0000C2B20000}"/>
    <cellStyle name="Normal 63 5 3" xfId="4740" xr:uid="{00000000-0005-0000-0000-0000C3B20000}"/>
    <cellStyle name="Normal 63 5 3 2" xfId="13578" xr:uid="{00000000-0005-0000-0000-0000C4B20000}"/>
    <cellStyle name="Normal 63 5 3 2 2" xfId="23829" xr:uid="{00000000-0005-0000-0000-0000C5B20000}"/>
    <cellStyle name="Normal 63 5 3 2 2 2" xfId="49382" xr:uid="{00000000-0005-0000-0000-0000C6B20000}"/>
    <cellStyle name="Normal 63 5 3 2 3" xfId="39133" xr:uid="{00000000-0005-0000-0000-0000C7B20000}"/>
    <cellStyle name="Normal 63 5 3 3" xfId="9999" xr:uid="{00000000-0005-0000-0000-0000C8B20000}"/>
    <cellStyle name="Normal 63 5 3 3 2" xfId="35556" xr:uid="{00000000-0005-0000-0000-0000C9B20000}"/>
    <cellStyle name="Normal 63 5 3 4" xfId="18822" xr:uid="{00000000-0005-0000-0000-0000CAB20000}"/>
    <cellStyle name="Normal 63 5 3 4 2" xfId="44375" xr:uid="{00000000-0005-0000-0000-0000CBB20000}"/>
    <cellStyle name="Normal 63 5 3 5" xfId="30312" xr:uid="{00000000-0005-0000-0000-0000CCB20000}"/>
    <cellStyle name="Normal 63 5 4" xfId="1919" xr:uid="{00000000-0005-0000-0000-0000CDB20000}"/>
    <cellStyle name="Normal 63 5 4 2" xfId="11284" xr:uid="{00000000-0005-0000-0000-0000CEB20000}"/>
    <cellStyle name="Normal 63 5 4 2 2" xfId="36839" xr:uid="{00000000-0005-0000-0000-0000CFB20000}"/>
    <cellStyle name="Normal 63 5 4 3" xfId="21288" xr:uid="{00000000-0005-0000-0000-0000D0B20000}"/>
    <cellStyle name="Normal 63 5 4 3 2" xfId="46841" xr:uid="{00000000-0005-0000-0000-0000D1B20000}"/>
    <cellStyle name="Normal 63 5 4 4" xfId="27771" xr:uid="{00000000-0005-0000-0000-0000D2B20000}"/>
    <cellStyle name="Normal 63 5 5" xfId="6196" xr:uid="{00000000-0005-0000-0000-0000D3B20000}"/>
    <cellStyle name="Normal 63 5 5 2" xfId="15023" xr:uid="{00000000-0005-0000-0000-0000D4B20000}"/>
    <cellStyle name="Normal 63 5 5 2 2" xfId="40578" xr:uid="{00000000-0005-0000-0000-0000D5B20000}"/>
    <cellStyle name="Normal 63 5 5 3" xfId="25274" xr:uid="{00000000-0005-0000-0000-0000D6B20000}"/>
    <cellStyle name="Normal 63 5 5 3 2" xfId="50827" xr:uid="{00000000-0005-0000-0000-0000D7B20000}"/>
    <cellStyle name="Normal 63 5 5 4" xfId="31757" xr:uid="{00000000-0005-0000-0000-0000D8B20000}"/>
    <cellStyle name="Normal 63 5 6" xfId="7642" xr:uid="{00000000-0005-0000-0000-0000D9B20000}"/>
    <cellStyle name="Normal 63 5 6 2" xfId="19770" xr:uid="{00000000-0005-0000-0000-0000DAB20000}"/>
    <cellStyle name="Normal 63 5 6 2 2" xfId="45323" xr:uid="{00000000-0005-0000-0000-0000DBB20000}"/>
    <cellStyle name="Normal 63 5 6 3" xfId="33199" xr:uid="{00000000-0005-0000-0000-0000DCB20000}"/>
    <cellStyle name="Normal 63 5 7" xfId="16281" xr:uid="{00000000-0005-0000-0000-0000DDB20000}"/>
    <cellStyle name="Normal 63 5 7 2" xfId="41834" xr:uid="{00000000-0005-0000-0000-0000DEB20000}"/>
    <cellStyle name="Normal 63 5 8" xfId="26253" xr:uid="{00000000-0005-0000-0000-0000DFB20000}"/>
    <cellStyle name="Normal 63 6" xfId="929" xr:uid="{00000000-0005-0000-0000-0000E0B20000}"/>
    <cellStyle name="Normal 63 6 2" xfId="3411" xr:uid="{00000000-0005-0000-0000-0000E1B20000}"/>
    <cellStyle name="Normal 63 6 2 2" xfId="12553" xr:uid="{00000000-0005-0000-0000-0000E2B20000}"/>
    <cellStyle name="Normal 63 6 2 2 2" xfId="22772" xr:uid="{00000000-0005-0000-0000-0000E3B20000}"/>
    <cellStyle name="Normal 63 6 2 2 2 2" xfId="48325" xr:uid="{00000000-0005-0000-0000-0000E4B20000}"/>
    <cellStyle name="Normal 63 6 2 2 3" xfId="38108" xr:uid="{00000000-0005-0000-0000-0000E5B20000}"/>
    <cellStyle name="Normal 63 6 2 3" xfId="8975" xr:uid="{00000000-0005-0000-0000-0000E6B20000}"/>
    <cellStyle name="Normal 63 6 2 3 2" xfId="34532" xr:uid="{00000000-0005-0000-0000-0000E7B20000}"/>
    <cellStyle name="Normal 63 6 2 4" xfId="17765" xr:uid="{00000000-0005-0000-0000-0000E8B20000}"/>
    <cellStyle name="Normal 63 6 2 4 2" xfId="43318" xr:uid="{00000000-0005-0000-0000-0000E9B20000}"/>
    <cellStyle name="Normal 63 6 2 5" xfId="29255" xr:uid="{00000000-0005-0000-0000-0000EAB20000}"/>
    <cellStyle name="Normal 63 6 3" xfId="5089" xr:uid="{00000000-0005-0000-0000-0000EBB20000}"/>
    <cellStyle name="Normal 63 6 3 2" xfId="13926" xr:uid="{00000000-0005-0000-0000-0000ECB20000}"/>
    <cellStyle name="Normal 63 6 3 2 2" xfId="24177" xr:uid="{00000000-0005-0000-0000-0000EDB20000}"/>
    <cellStyle name="Normal 63 6 3 2 2 2" xfId="49730" xr:uid="{00000000-0005-0000-0000-0000EEB20000}"/>
    <cellStyle name="Normal 63 6 3 2 3" xfId="39481" xr:uid="{00000000-0005-0000-0000-0000EFB20000}"/>
    <cellStyle name="Normal 63 6 3 3" xfId="10347" xr:uid="{00000000-0005-0000-0000-0000F0B20000}"/>
    <cellStyle name="Normal 63 6 3 3 2" xfId="35904" xr:uid="{00000000-0005-0000-0000-0000F1B20000}"/>
    <cellStyle name="Normal 63 6 3 4" xfId="19170" xr:uid="{00000000-0005-0000-0000-0000F2B20000}"/>
    <cellStyle name="Normal 63 6 3 4 2" xfId="44723" xr:uid="{00000000-0005-0000-0000-0000F3B20000}"/>
    <cellStyle name="Normal 63 6 3 5" xfId="30660" xr:uid="{00000000-0005-0000-0000-0000F4B20000}"/>
    <cellStyle name="Normal 63 6 4" xfId="2520" xr:uid="{00000000-0005-0000-0000-0000F5B20000}"/>
    <cellStyle name="Normal 63 6 4 2" xfId="11885" xr:uid="{00000000-0005-0000-0000-0000F6B20000}"/>
    <cellStyle name="Normal 63 6 4 2 2" xfId="37440" xr:uid="{00000000-0005-0000-0000-0000F7B20000}"/>
    <cellStyle name="Normal 63 6 4 3" xfId="21889" xr:uid="{00000000-0005-0000-0000-0000F8B20000}"/>
    <cellStyle name="Normal 63 6 4 3 2" xfId="47442" xr:uid="{00000000-0005-0000-0000-0000F9B20000}"/>
    <cellStyle name="Normal 63 6 4 4" xfId="28372" xr:uid="{00000000-0005-0000-0000-0000FAB20000}"/>
    <cellStyle name="Normal 63 6 5" xfId="6544" xr:uid="{00000000-0005-0000-0000-0000FBB20000}"/>
    <cellStyle name="Normal 63 6 5 2" xfId="15371" xr:uid="{00000000-0005-0000-0000-0000FCB20000}"/>
    <cellStyle name="Normal 63 6 5 2 2" xfId="40926" xr:uid="{00000000-0005-0000-0000-0000FDB20000}"/>
    <cellStyle name="Normal 63 6 5 3" xfId="25622" xr:uid="{00000000-0005-0000-0000-0000FEB20000}"/>
    <cellStyle name="Normal 63 6 5 3 2" xfId="51175" xr:uid="{00000000-0005-0000-0000-0000FFB20000}"/>
    <cellStyle name="Normal 63 6 5 4" xfId="32105" xr:uid="{00000000-0005-0000-0000-000000B30000}"/>
    <cellStyle name="Normal 63 6 6" xfId="7990" xr:uid="{00000000-0005-0000-0000-000001B30000}"/>
    <cellStyle name="Normal 63 6 6 2" xfId="20371" xr:uid="{00000000-0005-0000-0000-000002B30000}"/>
    <cellStyle name="Normal 63 6 6 2 2" xfId="45924" xr:uid="{00000000-0005-0000-0000-000003B30000}"/>
    <cellStyle name="Normal 63 6 6 3" xfId="33547" xr:uid="{00000000-0005-0000-0000-000004B30000}"/>
    <cellStyle name="Normal 63 6 7" xfId="16882" xr:uid="{00000000-0005-0000-0000-000005B30000}"/>
    <cellStyle name="Normal 63 6 7 2" xfId="42435" xr:uid="{00000000-0005-0000-0000-000006B30000}"/>
    <cellStyle name="Normal 63 6 8" xfId="26854" xr:uid="{00000000-0005-0000-0000-000007B30000}"/>
    <cellStyle name="Normal 63 7" xfId="1096" xr:uid="{00000000-0005-0000-0000-000008B30000}"/>
    <cellStyle name="Normal 63 7 2" xfId="3525" xr:uid="{00000000-0005-0000-0000-000009B30000}"/>
    <cellStyle name="Normal 63 7 2 2" xfId="12661" xr:uid="{00000000-0005-0000-0000-00000AB30000}"/>
    <cellStyle name="Normal 63 7 2 2 2" xfId="22880" xr:uid="{00000000-0005-0000-0000-00000BB30000}"/>
    <cellStyle name="Normal 63 7 2 2 2 2" xfId="48433" xr:uid="{00000000-0005-0000-0000-00000CB30000}"/>
    <cellStyle name="Normal 63 7 2 2 3" xfId="38216" xr:uid="{00000000-0005-0000-0000-00000DB30000}"/>
    <cellStyle name="Normal 63 7 2 3" xfId="9082" xr:uid="{00000000-0005-0000-0000-00000EB30000}"/>
    <cellStyle name="Normal 63 7 2 3 2" xfId="34639" xr:uid="{00000000-0005-0000-0000-00000FB30000}"/>
    <cellStyle name="Normal 63 7 2 4" xfId="17873" xr:uid="{00000000-0005-0000-0000-000010B30000}"/>
    <cellStyle name="Normal 63 7 2 4 2" xfId="43426" xr:uid="{00000000-0005-0000-0000-000011B30000}"/>
    <cellStyle name="Normal 63 7 2 5" xfId="29363" xr:uid="{00000000-0005-0000-0000-000012B30000}"/>
    <cellStyle name="Normal 63 7 3" xfId="5188" xr:uid="{00000000-0005-0000-0000-000013B30000}"/>
    <cellStyle name="Normal 63 7 3 2" xfId="14025" xr:uid="{00000000-0005-0000-0000-000014B30000}"/>
    <cellStyle name="Normal 63 7 3 2 2" xfId="24276" xr:uid="{00000000-0005-0000-0000-000015B30000}"/>
    <cellStyle name="Normal 63 7 3 2 2 2" xfId="49829" xr:uid="{00000000-0005-0000-0000-000016B30000}"/>
    <cellStyle name="Normal 63 7 3 2 3" xfId="39580" xr:uid="{00000000-0005-0000-0000-000017B30000}"/>
    <cellStyle name="Normal 63 7 3 3" xfId="10446" xr:uid="{00000000-0005-0000-0000-000018B30000}"/>
    <cellStyle name="Normal 63 7 3 3 2" xfId="36003" xr:uid="{00000000-0005-0000-0000-000019B30000}"/>
    <cellStyle name="Normal 63 7 3 4" xfId="19269" xr:uid="{00000000-0005-0000-0000-00001AB30000}"/>
    <cellStyle name="Normal 63 7 3 4 2" xfId="44822" xr:uid="{00000000-0005-0000-0000-00001BB30000}"/>
    <cellStyle name="Normal 63 7 3 5" xfId="30759" xr:uid="{00000000-0005-0000-0000-00001CB30000}"/>
    <cellStyle name="Normal 63 7 4" xfId="1728" xr:uid="{00000000-0005-0000-0000-00001DB30000}"/>
    <cellStyle name="Normal 63 7 4 2" xfId="11102" xr:uid="{00000000-0005-0000-0000-00001EB30000}"/>
    <cellStyle name="Normal 63 7 4 2 2" xfId="36657" xr:uid="{00000000-0005-0000-0000-00001FB30000}"/>
    <cellStyle name="Normal 63 7 4 3" xfId="21106" xr:uid="{00000000-0005-0000-0000-000020B30000}"/>
    <cellStyle name="Normal 63 7 4 3 2" xfId="46659" xr:uid="{00000000-0005-0000-0000-000021B30000}"/>
    <cellStyle name="Normal 63 7 4 4" xfId="27589" xr:uid="{00000000-0005-0000-0000-000022B30000}"/>
    <cellStyle name="Normal 63 7 5" xfId="6643" xr:uid="{00000000-0005-0000-0000-000023B30000}"/>
    <cellStyle name="Normal 63 7 5 2" xfId="15470" xr:uid="{00000000-0005-0000-0000-000024B30000}"/>
    <cellStyle name="Normal 63 7 5 2 2" xfId="41025" xr:uid="{00000000-0005-0000-0000-000025B30000}"/>
    <cellStyle name="Normal 63 7 5 3" xfId="25721" xr:uid="{00000000-0005-0000-0000-000026B30000}"/>
    <cellStyle name="Normal 63 7 5 3 2" xfId="51274" xr:uid="{00000000-0005-0000-0000-000027B30000}"/>
    <cellStyle name="Normal 63 7 5 4" xfId="32204" xr:uid="{00000000-0005-0000-0000-000028B30000}"/>
    <cellStyle name="Normal 63 7 6" xfId="8089" xr:uid="{00000000-0005-0000-0000-000029B30000}"/>
    <cellStyle name="Normal 63 7 6 2" xfId="20479" xr:uid="{00000000-0005-0000-0000-00002AB30000}"/>
    <cellStyle name="Normal 63 7 6 2 2" xfId="46032" xr:uid="{00000000-0005-0000-0000-00002BB30000}"/>
    <cellStyle name="Normal 63 7 6 3" xfId="33646" xr:uid="{00000000-0005-0000-0000-00002CB30000}"/>
    <cellStyle name="Normal 63 7 7" xfId="16099" xr:uid="{00000000-0005-0000-0000-00002DB30000}"/>
    <cellStyle name="Normal 63 7 7 2" xfId="41652" xr:uid="{00000000-0005-0000-0000-00002EB30000}"/>
    <cellStyle name="Normal 63 7 8" xfId="26962" xr:uid="{00000000-0005-0000-0000-00002FB30000}"/>
    <cellStyle name="Normal 63 8" xfId="2628" xr:uid="{00000000-0005-0000-0000-000030B30000}"/>
    <cellStyle name="Normal 63 8 2" xfId="11967" xr:uid="{00000000-0005-0000-0000-000031B30000}"/>
    <cellStyle name="Normal 63 8 2 2" xfId="21990" xr:uid="{00000000-0005-0000-0000-000032B30000}"/>
    <cellStyle name="Normal 63 8 2 2 2" xfId="47543" xr:uid="{00000000-0005-0000-0000-000033B30000}"/>
    <cellStyle name="Normal 63 8 2 3" xfId="37522" xr:uid="{00000000-0005-0000-0000-000034B30000}"/>
    <cellStyle name="Normal 63 8 3" xfId="8562" xr:uid="{00000000-0005-0000-0000-000035B30000}"/>
    <cellStyle name="Normal 63 8 3 2" xfId="34119" xr:uid="{00000000-0005-0000-0000-000036B30000}"/>
    <cellStyle name="Normal 63 8 4" xfId="16983" xr:uid="{00000000-0005-0000-0000-000037B30000}"/>
    <cellStyle name="Normal 63 8 4 2" xfId="42536" xr:uid="{00000000-0005-0000-0000-000038B30000}"/>
    <cellStyle name="Normal 63 8 5" xfId="28473" xr:uid="{00000000-0005-0000-0000-000039B30000}"/>
    <cellStyle name="Normal 63 9" xfId="4142" xr:uid="{00000000-0005-0000-0000-00003AB30000}"/>
    <cellStyle name="Normal 63 9 2" xfId="12980" xr:uid="{00000000-0005-0000-0000-00003BB30000}"/>
    <cellStyle name="Normal 63 9 2 2" xfId="23231" xr:uid="{00000000-0005-0000-0000-00003CB30000}"/>
    <cellStyle name="Normal 63 9 2 2 2" xfId="48784" xr:uid="{00000000-0005-0000-0000-00003DB30000}"/>
    <cellStyle name="Normal 63 9 2 3" xfId="38535" xr:uid="{00000000-0005-0000-0000-00003EB30000}"/>
    <cellStyle name="Normal 63 9 3" xfId="9401" xr:uid="{00000000-0005-0000-0000-00003FB30000}"/>
    <cellStyle name="Normal 63 9 3 2" xfId="34958" xr:uid="{00000000-0005-0000-0000-000040B30000}"/>
    <cellStyle name="Normal 63 9 4" xfId="18224" xr:uid="{00000000-0005-0000-0000-000041B30000}"/>
    <cellStyle name="Normal 63 9 4 2" xfId="43777" xr:uid="{00000000-0005-0000-0000-000042B30000}"/>
    <cellStyle name="Normal 63 9 5" xfId="29714" xr:uid="{00000000-0005-0000-0000-000043B30000}"/>
    <cellStyle name="Normal 63_Degree data" xfId="4035" xr:uid="{00000000-0005-0000-0000-000044B30000}"/>
    <cellStyle name="Normal 64" xfId="129" xr:uid="{00000000-0005-0000-0000-000045B30000}"/>
    <cellStyle name="Normal 64 2" xfId="934" xr:uid="{00000000-0005-0000-0000-000046B30000}"/>
    <cellStyle name="Normal 64 3" xfId="1735" xr:uid="{00000000-0005-0000-0000-000047B30000}"/>
    <cellStyle name="Normal 64_Degree data" xfId="4040" xr:uid="{00000000-0005-0000-0000-000048B30000}"/>
    <cellStyle name="Normal 65" xfId="131" xr:uid="{00000000-0005-0000-0000-000049B30000}"/>
    <cellStyle name="Normal 65 2" xfId="935" xr:uid="{00000000-0005-0000-0000-00004AB30000}"/>
    <cellStyle name="Normal 65 3" xfId="1737" xr:uid="{00000000-0005-0000-0000-00004BB30000}"/>
    <cellStyle name="Normal 65_Degree data" xfId="4041" xr:uid="{00000000-0005-0000-0000-00004CB30000}"/>
    <cellStyle name="Normal 66" xfId="130" xr:uid="{00000000-0005-0000-0000-00004DB30000}"/>
    <cellStyle name="Normal 66 2" xfId="936" xr:uid="{00000000-0005-0000-0000-00004EB30000}"/>
    <cellStyle name="Normal 66 3" xfId="1736" xr:uid="{00000000-0005-0000-0000-00004FB30000}"/>
    <cellStyle name="Normal 66_Degree data" xfId="4042" xr:uid="{00000000-0005-0000-0000-000050B30000}"/>
    <cellStyle name="Normal 67" xfId="167" xr:uid="{00000000-0005-0000-0000-000051B30000}"/>
    <cellStyle name="Normal 67 2" xfId="937" xr:uid="{00000000-0005-0000-0000-000052B30000}"/>
    <cellStyle name="Normal 67 3" xfId="1769" xr:uid="{00000000-0005-0000-0000-000053B30000}"/>
    <cellStyle name="Normal 67_Degree data" xfId="4043" xr:uid="{00000000-0005-0000-0000-000054B30000}"/>
    <cellStyle name="Normal 68" xfId="168" xr:uid="{00000000-0005-0000-0000-000055B30000}"/>
    <cellStyle name="Normal 68 2" xfId="938" xr:uid="{00000000-0005-0000-0000-000056B30000}"/>
    <cellStyle name="Normal 68 3" xfId="1770" xr:uid="{00000000-0005-0000-0000-000057B30000}"/>
    <cellStyle name="Normal 68_Degree data" xfId="4044" xr:uid="{00000000-0005-0000-0000-000058B30000}"/>
    <cellStyle name="Normal 69" xfId="198" xr:uid="{00000000-0005-0000-0000-000059B30000}"/>
    <cellStyle name="Normal 69 2" xfId="939" xr:uid="{00000000-0005-0000-0000-00005AB30000}"/>
    <cellStyle name="Normal 69 3" xfId="1799" xr:uid="{00000000-0005-0000-0000-00005BB30000}"/>
    <cellStyle name="Normal 69_Degree data" xfId="4045" xr:uid="{00000000-0005-0000-0000-00005CB30000}"/>
    <cellStyle name="Normal 7" xfId="42" xr:uid="{00000000-0005-0000-0000-00005DB30000}"/>
    <cellStyle name="Normal 7 10" xfId="940" xr:uid="{00000000-0005-0000-0000-00005EB30000}"/>
    <cellStyle name="Normal 7 10 2" xfId="3416" xr:uid="{00000000-0005-0000-0000-00005FB30000}"/>
    <cellStyle name="Normal 7 10 2 2" xfId="12558" xr:uid="{00000000-0005-0000-0000-000060B30000}"/>
    <cellStyle name="Normal 7 10 2 2 2" xfId="22777" xr:uid="{00000000-0005-0000-0000-000061B30000}"/>
    <cellStyle name="Normal 7 10 2 2 2 2" xfId="48330" xr:uid="{00000000-0005-0000-0000-000062B30000}"/>
    <cellStyle name="Normal 7 10 2 2 3" xfId="38113" xr:uid="{00000000-0005-0000-0000-000063B30000}"/>
    <cellStyle name="Normal 7 10 2 3" xfId="8980" xr:uid="{00000000-0005-0000-0000-000064B30000}"/>
    <cellStyle name="Normal 7 10 2 3 2" xfId="34537" xr:uid="{00000000-0005-0000-0000-000065B30000}"/>
    <cellStyle name="Normal 7 10 2 4" xfId="17770" xr:uid="{00000000-0005-0000-0000-000066B30000}"/>
    <cellStyle name="Normal 7 10 2 4 2" xfId="43323" xr:uid="{00000000-0005-0000-0000-000067B30000}"/>
    <cellStyle name="Normal 7 10 2 5" xfId="29260" xr:uid="{00000000-0005-0000-0000-000068B30000}"/>
    <cellStyle name="Normal 7 10 3" xfId="4746" xr:uid="{00000000-0005-0000-0000-000069B30000}"/>
    <cellStyle name="Normal 7 10 3 2" xfId="13583" xr:uid="{00000000-0005-0000-0000-00006AB30000}"/>
    <cellStyle name="Normal 7 10 3 2 2" xfId="23834" xr:uid="{00000000-0005-0000-0000-00006BB30000}"/>
    <cellStyle name="Normal 7 10 3 2 2 2" xfId="49387" xr:uid="{00000000-0005-0000-0000-00006CB30000}"/>
    <cellStyle name="Normal 7 10 3 2 3" xfId="39138" xr:uid="{00000000-0005-0000-0000-00006DB30000}"/>
    <cellStyle name="Normal 7 10 3 3" xfId="10004" xr:uid="{00000000-0005-0000-0000-00006EB30000}"/>
    <cellStyle name="Normal 7 10 3 3 2" xfId="35561" xr:uid="{00000000-0005-0000-0000-00006FB30000}"/>
    <cellStyle name="Normal 7 10 3 4" xfId="18827" xr:uid="{00000000-0005-0000-0000-000070B30000}"/>
    <cellStyle name="Normal 7 10 3 4 2" xfId="44380" xr:uid="{00000000-0005-0000-0000-000071B30000}"/>
    <cellStyle name="Normal 7 10 3 5" xfId="30317" xr:uid="{00000000-0005-0000-0000-000072B30000}"/>
    <cellStyle name="Normal 7 10 4" xfId="2525" xr:uid="{00000000-0005-0000-0000-000073B30000}"/>
    <cellStyle name="Normal 7 10 4 2" xfId="11890" xr:uid="{00000000-0005-0000-0000-000074B30000}"/>
    <cellStyle name="Normal 7 10 4 2 2" xfId="37445" xr:uid="{00000000-0005-0000-0000-000075B30000}"/>
    <cellStyle name="Normal 7 10 4 3" xfId="21894" xr:uid="{00000000-0005-0000-0000-000076B30000}"/>
    <cellStyle name="Normal 7 10 4 3 2" xfId="47447" xr:uid="{00000000-0005-0000-0000-000077B30000}"/>
    <cellStyle name="Normal 7 10 4 4" xfId="28377" xr:uid="{00000000-0005-0000-0000-000078B30000}"/>
    <cellStyle name="Normal 7 10 5" xfId="6201" xr:uid="{00000000-0005-0000-0000-000079B30000}"/>
    <cellStyle name="Normal 7 10 5 2" xfId="15028" xr:uid="{00000000-0005-0000-0000-00007AB30000}"/>
    <cellStyle name="Normal 7 10 5 2 2" xfId="40583" xr:uid="{00000000-0005-0000-0000-00007BB30000}"/>
    <cellStyle name="Normal 7 10 5 3" xfId="25279" xr:uid="{00000000-0005-0000-0000-00007CB30000}"/>
    <cellStyle name="Normal 7 10 5 3 2" xfId="50832" xr:uid="{00000000-0005-0000-0000-00007DB30000}"/>
    <cellStyle name="Normal 7 10 5 4" xfId="31762" xr:uid="{00000000-0005-0000-0000-00007EB30000}"/>
    <cellStyle name="Normal 7 10 6" xfId="7647" xr:uid="{00000000-0005-0000-0000-00007FB30000}"/>
    <cellStyle name="Normal 7 10 6 2" xfId="20376" xr:uid="{00000000-0005-0000-0000-000080B30000}"/>
    <cellStyle name="Normal 7 10 6 2 2" xfId="45929" xr:uid="{00000000-0005-0000-0000-000081B30000}"/>
    <cellStyle name="Normal 7 10 6 3" xfId="33204" xr:uid="{00000000-0005-0000-0000-000082B30000}"/>
    <cellStyle name="Normal 7 10 7" xfId="16887" xr:uid="{00000000-0005-0000-0000-000083B30000}"/>
    <cellStyle name="Normal 7 10 7 2" xfId="42440" xr:uid="{00000000-0005-0000-0000-000084B30000}"/>
    <cellStyle name="Normal 7 10 8" xfId="26859" xr:uid="{00000000-0005-0000-0000-000085B30000}"/>
    <cellStyle name="Normal 7 11" xfId="1045" xr:uid="{00000000-0005-0000-0000-000086B30000}"/>
    <cellStyle name="Normal 7 11 2" xfId="3474" xr:uid="{00000000-0005-0000-0000-000087B30000}"/>
    <cellStyle name="Normal 7 11 2 2" xfId="12610" xr:uid="{00000000-0005-0000-0000-000088B30000}"/>
    <cellStyle name="Normal 7 11 2 2 2" xfId="22829" xr:uid="{00000000-0005-0000-0000-000089B30000}"/>
    <cellStyle name="Normal 7 11 2 2 2 2" xfId="48382" xr:uid="{00000000-0005-0000-0000-00008AB30000}"/>
    <cellStyle name="Normal 7 11 2 2 3" xfId="38165" xr:uid="{00000000-0005-0000-0000-00008BB30000}"/>
    <cellStyle name="Normal 7 11 2 3" xfId="9032" xr:uid="{00000000-0005-0000-0000-00008CB30000}"/>
    <cellStyle name="Normal 7 11 2 3 2" xfId="34589" xr:uid="{00000000-0005-0000-0000-00008DB30000}"/>
    <cellStyle name="Normal 7 11 2 4" xfId="17822" xr:uid="{00000000-0005-0000-0000-00008EB30000}"/>
    <cellStyle name="Normal 7 11 2 4 2" xfId="43375" xr:uid="{00000000-0005-0000-0000-00008FB30000}"/>
    <cellStyle name="Normal 7 11 2 5" xfId="29312" xr:uid="{00000000-0005-0000-0000-000090B30000}"/>
    <cellStyle name="Normal 7 11 3" xfId="5094" xr:uid="{00000000-0005-0000-0000-000091B30000}"/>
    <cellStyle name="Normal 7 11 3 2" xfId="13931" xr:uid="{00000000-0005-0000-0000-000092B30000}"/>
    <cellStyle name="Normal 7 11 3 2 2" xfId="24182" xr:uid="{00000000-0005-0000-0000-000093B30000}"/>
    <cellStyle name="Normal 7 11 3 2 2 2" xfId="49735" xr:uid="{00000000-0005-0000-0000-000094B30000}"/>
    <cellStyle name="Normal 7 11 3 2 3" xfId="39486" xr:uid="{00000000-0005-0000-0000-000095B30000}"/>
    <cellStyle name="Normal 7 11 3 3" xfId="10352" xr:uid="{00000000-0005-0000-0000-000096B30000}"/>
    <cellStyle name="Normal 7 11 3 3 2" xfId="35909" xr:uid="{00000000-0005-0000-0000-000097B30000}"/>
    <cellStyle name="Normal 7 11 3 4" xfId="19175" xr:uid="{00000000-0005-0000-0000-000098B30000}"/>
    <cellStyle name="Normal 7 11 3 4 2" xfId="44728" xr:uid="{00000000-0005-0000-0000-000099B30000}"/>
    <cellStyle name="Normal 7 11 3 5" xfId="30665" xr:uid="{00000000-0005-0000-0000-00009AB30000}"/>
    <cellStyle name="Normal 7 11 4" xfId="1709" xr:uid="{00000000-0005-0000-0000-00009BB30000}"/>
    <cellStyle name="Normal 7 11 4 2" xfId="11086" xr:uid="{00000000-0005-0000-0000-00009CB30000}"/>
    <cellStyle name="Normal 7 11 4 2 2" xfId="36641" xr:uid="{00000000-0005-0000-0000-00009DB30000}"/>
    <cellStyle name="Normal 7 11 4 3" xfId="21090" xr:uid="{00000000-0005-0000-0000-00009EB30000}"/>
    <cellStyle name="Normal 7 11 4 3 2" xfId="46643" xr:uid="{00000000-0005-0000-0000-00009FB30000}"/>
    <cellStyle name="Normal 7 11 4 4" xfId="27573" xr:uid="{00000000-0005-0000-0000-0000A0B30000}"/>
    <cellStyle name="Normal 7 11 5" xfId="6549" xr:uid="{00000000-0005-0000-0000-0000A1B30000}"/>
    <cellStyle name="Normal 7 11 5 2" xfId="15376" xr:uid="{00000000-0005-0000-0000-0000A2B30000}"/>
    <cellStyle name="Normal 7 11 5 2 2" xfId="40931" xr:uid="{00000000-0005-0000-0000-0000A3B30000}"/>
    <cellStyle name="Normal 7 11 5 3" xfId="25627" xr:uid="{00000000-0005-0000-0000-0000A4B30000}"/>
    <cellStyle name="Normal 7 11 5 3 2" xfId="51180" xr:uid="{00000000-0005-0000-0000-0000A5B30000}"/>
    <cellStyle name="Normal 7 11 5 4" xfId="32110" xr:uid="{00000000-0005-0000-0000-0000A6B30000}"/>
    <cellStyle name="Normal 7 11 6" xfId="7995" xr:uid="{00000000-0005-0000-0000-0000A7B30000}"/>
    <cellStyle name="Normal 7 11 6 2" xfId="20428" xr:uid="{00000000-0005-0000-0000-0000A8B30000}"/>
    <cellStyle name="Normal 7 11 6 2 2" xfId="45981" xr:uid="{00000000-0005-0000-0000-0000A9B30000}"/>
    <cellStyle name="Normal 7 11 6 3" xfId="33552" xr:uid="{00000000-0005-0000-0000-0000AAB30000}"/>
    <cellStyle name="Normal 7 11 7" xfId="16083" xr:uid="{00000000-0005-0000-0000-0000ABB30000}"/>
    <cellStyle name="Normal 7 11 7 2" xfId="41636" xr:uid="{00000000-0005-0000-0000-0000ACB30000}"/>
    <cellStyle name="Normal 7 11 8" xfId="26911" xr:uid="{00000000-0005-0000-0000-0000ADB30000}"/>
    <cellStyle name="Normal 7 12" xfId="2609" xr:uid="{00000000-0005-0000-0000-0000AEB30000}"/>
    <cellStyle name="Normal 7 12 2" xfId="5137" xr:uid="{00000000-0005-0000-0000-0000AFB30000}"/>
    <cellStyle name="Normal 7 12 2 2" xfId="13974" xr:uid="{00000000-0005-0000-0000-0000B0B30000}"/>
    <cellStyle name="Normal 7 12 2 2 2" xfId="24225" xr:uid="{00000000-0005-0000-0000-0000B1B30000}"/>
    <cellStyle name="Normal 7 12 2 2 2 2" xfId="49778" xr:uid="{00000000-0005-0000-0000-0000B2B30000}"/>
    <cellStyle name="Normal 7 12 2 2 3" xfId="39529" xr:uid="{00000000-0005-0000-0000-0000B3B30000}"/>
    <cellStyle name="Normal 7 12 2 3" xfId="10395" xr:uid="{00000000-0005-0000-0000-0000B4B30000}"/>
    <cellStyle name="Normal 7 12 2 3 2" xfId="35952" xr:uid="{00000000-0005-0000-0000-0000B5B30000}"/>
    <cellStyle name="Normal 7 12 2 4" xfId="19218" xr:uid="{00000000-0005-0000-0000-0000B6B30000}"/>
    <cellStyle name="Normal 7 12 2 4 2" xfId="44771" xr:uid="{00000000-0005-0000-0000-0000B7B30000}"/>
    <cellStyle name="Normal 7 12 2 5" xfId="30708" xr:uid="{00000000-0005-0000-0000-0000B8B30000}"/>
    <cellStyle name="Normal 7 12 3" xfId="6592" xr:uid="{00000000-0005-0000-0000-0000B9B30000}"/>
    <cellStyle name="Normal 7 12 3 2" xfId="15419" xr:uid="{00000000-0005-0000-0000-0000BAB30000}"/>
    <cellStyle name="Normal 7 12 3 2 2" xfId="40974" xr:uid="{00000000-0005-0000-0000-0000BBB30000}"/>
    <cellStyle name="Normal 7 12 3 3" xfId="25670" xr:uid="{00000000-0005-0000-0000-0000BCB30000}"/>
    <cellStyle name="Normal 7 12 3 3 2" xfId="51223" xr:uid="{00000000-0005-0000-0000-0000BDB30000}"/>
    <cellStyle name="Normal 7 12 3 4" xfId="32153" xr:uid="{00000000-0005-0000-0000-0000BEB30000}"/>
    <cellStyle name="Normal 7 12 4" xfId="8038" xr:uid="{00000000-0005-0000-0000-0000BFB30000}"/>
    <cellStyle name="Normal 7 12 4 2" xfId="21973" xr:uid="{00000000-0005-0000-0000-0000C0B30000}"/>
    <cellStyle name="Normal 7 12 4 2 2" xfId="47526" xr:uid="{00000000-0005-0000-0000-0000C1B30000}"/>
    <cellStyle name="Normal 7 12 4 3" xfId="33595" xr:uid="{00000000-0005-0000-0000-0000C2B30000}"/>
    <cellStyle name="Normal 7 12 5" xfId="16966" xr:uid="{00000000-0005-0000-0000-0000C3B30000}"/>
    <cellStyle name="Normal 7 12 5 2" xfId="42519" xr:uid="{00000000-0005-0000-0000-0000C4B30000}"/>
    <cellStyle name="Normal 7 12 6" xfId="28456" xr:uid="{00000000-0005-0000-0000-0000C5B30000}"/>
    <cellStyle name="Normal 7 13" xfId="4091" xr:uid="{00000000-0005-0000-0000-0000C6B30000}"/>
    <cellStyle name="Normal 7 13 2" xfId="5549" xr:uid="{00000000-0005-0000-0000-0000C7B30000}"/>
    <cellStyle name="Normal 7 13 2 2" xfId="14376" xr:uid="{00000000-0005-0000-0000-0000C8B30000}"/>
    <cellStyle name="Normal 7 13 2 2 2" xfId="39931" xr:uid="{00000000-0005-0000-0000-0000C9B30000}"/>
    <cellStyle name="Normal 7 13 2 3" xfId="24627" xr:uid="{00000000-0005-0000-0000-0000CAB30000}"/>
    <cellStyle name="Normal 7 13 2 3 2" xfId="50180" xr:uid="{00000000-0005-0000-0000-0000CBB30000}"/>
    <cellStyle name="Normal 7 13 2 4" xfId="31110" xr:uid="{00000000-0005-0000-0000-0000CCB30000}"/>
    <cellStyle name="Normal 7 13 3" xfId="6993" xr:uid="{00000000-0005-0000-0000-0000CDB30000}"/>
    <cellStyle name="Normal 7 13 3 2" xfId="23180" xr:uid="{00000000-0005-0000-0000-0000CEB30000}"/>
    <cellStyle name="Normal 7 13 3 2 2" xfId="48733" xr:uid="{00000000-0005-0000-0000-0000CFB30000}"/>
    <cellStyle name="Normal 7 13 3 3" xfId="32550" xr:uid="{00000000-0005-0000-0000-0000D0B30000}"/>
    <cellStyle name="Normal 7 13 4" xfId="18173" xr:uid="{00000000-0005-0000-0000-0000D1B30000}"/>
    <cellStyle name="Normal 7 13 4 2" xfId="43726" xr:uid="{00000000-0005-0000-0000-0000D2B30000}"/>
    <cellStyle name="Normal 7 13 5" xfId="29663" xr:uid="{00000000-0005-0000-0000-0000D3B30000}"/>
    <cellStyle name="Normal 7 14" xfId="1397" xr:uid="{00000000-0005-0000-0000-0000D4B30000}"/>
    <cellStyle name="Normal 7 14 2" xfId="10774" xr:uid="{00000000-0005-0000-0000-0000D5B30000}"/>
    <cellStyle name="Normal 7 14 2 2" xfId="36329" xr:uid="{00000000-0005-0000-0000-0000D6B30000}"/>
    <cellStyle name="Normal 7 14 3" xfId="20778" xr:uid="{00000000-0005-0000-0000-0000D7B30000}"/>
    <cellStyle name="Normal 7 14 3 2" xfId="46331" xr:uid="{00000000-0005-0000-0000-0000D8B30000}"/>
    <cellStyle name="Normal 7 14 4" xfId="27261" xr:uid="{00000000-0005-0000-0000-0000D9B30000}"/>
    <cellStyle name="Normal 7 15" xfId="5509" xr:uid="{00000000-0005-0000-0000-0000DAB30000}"/>
    <cellStyle name="Normal 7 15 2" xfId="14336" xr:uid="{00000000-0005-0000-0000-0000DBB30000}"/>
    <cellStyle name="Normal 7 15 2 2" xfId="39891" xr:uid="{00000000-0005-0000-0000-0000DCB30000}"/>
    <cellStyle name="Normal 7 15 3" xfId="24587" xr:uid="{00000000-0005-0000-0000-0000DDB30000}"/>
    <cellStyle name="Normal 7 15 3 2" xfId="50140" xr:uid="{00000000-0005-0000-0000-0000DEB30000}"/>
    <cellStyle name="Normal 7 15 4" xfId="31070" xr:uid="{00000000-0005-0000-0000-0000DFB30000}"/>
    <cellStyle name="Normal 7 16" xfId="6948" xr:uid="{00000000-0005-0000-0000-0000E0B30000}"/>
    <cellStyle name="Normal 7 16 2" xfId="19573" xr:uid="{00000000-0005-0000-0000-0000E1B30000}"/>
    <cellStyle name="Normal 7 16 2 2" xfId="45126" xr:uid="{00000000-0005-0000-0000-0000E2B30000}"/>
    <cellStyle name="Normal 7 16 3" xfId="32506" xr:uid="{00000000-0005-0000-0000-0000E3B30000}"/>
    <cellStyle name="Normal 7 17" xfId="15771" xr:uid="{00000000-0005-0000-0000-0000E4B30000}"/>
    <cellStyle name="Normal 7 17 2" xfId="41324" xr:uid="{00000000-0005-0000-0000-0000E5B30000}"/>
    <cellStyle name="Normal 7 18" xfId="26056" xr:uid="{00000000-0005-0000-0000-0000E6B30000}"/>
    <cellStyle name="Normal 7 2" xfId="113" xr:uid="{00000000-0005-0000-0000-0000E7B30000}"/>
    <cellStyle name="Normal 7 2 10" xfId="4103" xr:uid="{00000000-0005-0000-0000-0000E8B30000}"/>
    <cellStyle name="Normal 7 2 10 2" xfId="5561" xr:uid="{00000000-0005-0000-0000-0000E9B30000}"/>
    <cellStyle name="Normal 7 2 10 2 2" xfId="14388" xr:uid="{00000000-0005-0000-0000-0000EAB30000}"/>
    <cellStyle name="Normal 7 2 10 2 2 2" xfId="39943" xr:uid="{00000000-0005-0000-0000-0000EBB30000}"/>
    <cellStyle name="Normal 7 2 10 2 3" xfId="24639" xr:uid="{00000000-0005-0000-0000-0000ECB30000}"/>
    <cellStyle name="Normal 7 2 10 2 3 2" xfId="50192" xr:uid="{00000000-0005-0000-0000-0000EDB30000}"/>
    <cellStyle name="Normal 7 2 10 2 4" xfId="31122" xr:uid="{00000000-0005-0000-0000-0000EEB30000}"/>
    <cellStyle name="Normal 7 2 10 3" xfId="7005" xr:uid="{00000000-0005-0000-0000-0000EFB30000}"/>
    <cellStyle name="Normal 7 2 10 3 2" xfId="23192" xr:uid="{00000000-0005-0000-0000-0000F0B30000}"/>
    <cellStyle name="Normal 7 2 10 3 2 2" xfId="48745" xr:uid="{00000000-0005-0000-0000-0000F1B30000}"/>
    <cellStyle name="Normal 7 2 10 3 3" xfId="32562" xr:uid="{00000000-0005-0000-0000-0000F2B30000}"/>
    <cellStyle name="Normal 7 2 10 4" xfId="18185" xr:uid="{00000000-0005-0000-0000-0000F3B30000}"/>
    <cellStyle name="Normal 7 2 10 4 2" xfId="43738" xr:uid="{00000000-0005-0000-0000-0000F4B30000}"/>
    <cellStyle name="Normal 7 2 10 5" xfId="29675" xr:uid="{00000000-0005-0000-0000-0000F5B30000}"/>
    <cellStyle name="Normal 7 2 11" xfId="1422" xr:uid="{00000000-0005-0000-0000-0000F6B30000}"/>
    <cellStyle name="Normal 7 2 11 2" xfId="10799" xr:uid="{00000000-0005-0000-0000-0000F7B30000}"/>
    <cellStyle name="Normal 7 2 11 2 2" xfId="36354" xr:uid="{00000000-0005-0000-0000-0000F8B30000}"/>
    <cellStyle name="Normal 7 2 11 3" xfId="20803" xr:uid="{00000000-0005-0000-0000-0000F9B30000}"/>
    <cellStyle name="Normal 7 2 11 3 2" xfId="46356" xr:uid="{00000000-0005-0000-0000-0000FAB30000}"/>
    <cellStyle name="Normal 7 2 11 4" xfId="27286" xr:uid="{00000000-0005-0000-0000-0000FBB30000}"/>
    <cellStyle name="Normal 7 2 12" xfId="5531" xr:uid="{00000000-0005-0000-0000-0000FCB30000}"/>
    <cellStyle name="Normal 7 2 12 2" xfId="14358" xr:uid="{00000000-0005-0000-0000-0000FDB30000}"/>
    <cellStyle name="Normal 7 2 12 2 2" xfId="39913" xr:uid="{00000000-0005-0000-0000-0000FEB30000}"/>
    <cellStyle name="Normal 7 2 12 3" xfId="24609" xr:uid="{00000000-0005-0000-0000-0000FFB30000}"/>
    <cellStyle name="Normal 7 2 12 3 2" xfId="50162" xr:uid="{00000000-0005-0000-0000-000000B40000}"/>
    <cellStyle name="Normal 7 2 12 4" xfId="31092" xr:uid="{00000000-0005-0000-0000-000001B40000}"/>
    <cellStyle name="Normal 7 2 13" xfId="6975" xr:uid="{00000000-0005-0000-0000-000002B40000}"/>
    <cellStyle name="Normal 7 2 13 2" xfId="19586" xr:uid="{00000000-0005-0000-0000-000003B40000}"/>
    <cellStyle name="Normal 7 2 13 2 2" xfId="45139" xr:uid="{00000000-0005-0000-0000-000004B40000}"/>
    <cellStyle name="Normal 7 2 13 3" xfId="32532" xr:uid="{00000000-0005-0000-0000-000005B40000}"/>
    <cellStyle name="Normal 7 2 14" xfId="15796" xr:uid="{00000000-0005-0000-0000-000006B40000}"/>
    <cellStyle name="Normal 7 2 14 2" xfId="41349" xr:uid="{00000000-0005-0000-0000-000007B40000}"/>
    <cellStyle name="Normal 7 2 15" xfId="26069" xr:uid="{00000000-0005-0000-0000-000008B40000}"/>
    <cellStyle name="Normal 7 2 2" xfId="157" xr:uid="{00000000-0005-0000-0000-000009B40000}"/>
    <cellStyle name="Normal 7 2 2 10" xfId="5663" xr:uid="{00000000-0005-0000-0000-00000AB40000}"/>
    <cellStyle name="Normal 7 2 2 10 2" xfId="14490" xr:uid="{00000000-0005-0000-0000-00000BB40000}"/>
    <cellStyle name="Normal 7 2 2 10 2 2" xfId="40045" xr:uid="{00000000-0005-0000-0000-00000CB40000}"/>
    <cellStyle name="Normal 7 2 2 10 3" xfId="24741" xr:uid="{00000000-0005-0000-0000-00000DB40000}"/>
    <cellStyle name="Normal 7 2 2 10 3 2" xfId="50294" xr:uid="{00000000-0005-0000-0000-00000EB40000}"/>
    <cellStyle name="Normal 7 2 2 10 4" xfId="31224" xr:uid="{00000000-0005-0000-0000-00000FB40000}"/>
    <cellStyle name="Normal 7 2 2 11" xfId="7107" xr:uid="{00000000-0005-0000-0000-000010B40000}"/>
    <cellStyle name="Normal 7 2 2 11 2" xfId="19616" xr:uid="{00000000-0005-0000-0000-000011B40000}"/>
    <cellStyle name="Normal 7 2 2 11 2 2" xfId="45169" xr:uid="{00000000-0005-0000-0000-000012B40000}"/>
    <cellStyle name="Normal 7 2 2 11 3" xfId="32664" xr:uid="{00000000-0005-0000-0000-000013B40000}"/>
    <cellStyle name="Normal 7 2 2 12" xfId="15853" xr:uid="{00000000-0005-0000-0000-000014B40000}"/>
    <cellStyle name="Normal 7 2 2 12 2" xfId="41406" xr:uid="{00000000-0005-0000-0000-000015B40000}"/>
    <cellStyle name="Normal 7 2 2 13" xfId="26099" xr:uid="{00000000-0005-0000-0000-000016B40000}"/>
    <cellStyle name="Normal 7 2 2 2" xfId="269" xr:uid="{00000000-0005-0000-0000-000017B40000}"/>
    <cellStyle name="Normal 7 2 2 2 10" xfId="16057" xr:uid="{00000000-0005-0000-0000-000018B40000}"/>
    <cellStyle name="Normal 7 2 2 2 10 2" xfId="41610" xr:uid="{00000000-0005-0000-0000-000019B40000}"/>
    <cellStyle name="Normal 7 2 2 2 11" xfId="26203" xr:uid="{00000000-0005-0000-0000-00001AB40000}"/>
    <cellStyle name="Normal 7 2 2 2 2" xfId="591" xr:uid="{00000000-0005-0000-0000-00001BB40000}"/>
    <cellStyle name="Normal 7 2 2 2 2 2" xfId="3077" xr:uid="{00000000-0005-0000-0000-00001CB40000}"/>
    <cellStyle name="Normal 7 2 2 2 2 2 2" xfId="12224" xr:uid="{00000000-0005-0000-0000-00001DB40000}"/>
    <cellStyle name="Normal 7 2 2 2 2 2 2 2" xfId="22438" xr:uid="{00000000-0005-0000-0000-00001EB40000}"/>
    <cellStyle name="Normal 7 2 2 2 2 2 2 2 2" xfId="47991" xr:uid="{00000000-0005-0000-0000-00001FB40000}"/>
    <cellStyle name="Normal 7 2 2 2 2 2 2 3" xfId="37779" xr:uid="{00000000-0005-0000-0000-000020B40000}"/>
    <cellStyle name="Normal 7 2 2 2 2 2 3" xfId="8646" xr:uid="{00000000-0005-0000-0000-000021B40000}"/>
    <cellStyle name="Normal 7 2 2 2 2 2 3 2" xfId="34203" xr:uid="{00000000-0005-0000-0000-000022B40000}"/>
    <cellStyle name="Normal 7 2 2 2 2 2 4" xfId="17431" xr:uid="{00000000-0005-0000-0000-000023B40000}"/>
    <cellStyle name="Normal 7 2 2 2 2 2 4 2" xfId="42984" xr:uid="{00000000-0005-0000-0000-000024B40000}"/>
    <cellStyle name="Normal 7 2 2 2 2 2 5" xfId="28921" xr:uid="{00000000-0005-0000-0000-000025B40000}"/>
    <cellStyle name="Normal 7 2 2 2 2 3" xfId="4749" xr:uid="{00000000-0005-0000-0000-000026B40000}"/>
    <cellStyle name="Normal 7 2 2 2 2 3 2" xfId="13586" xr:uid="{00000000-0005-0000-0000-000027B40000}"/>
    <cellStyle name="Normal 7 2 2 2 2 3 2 2" xfId="23837" xr:uid="{00000000-0005-0000-0000-000028B40000}"/>
    <cellStyle name="Normal 7 2 2 2 2 3 2 2 2" xfId="49390" xr:uid="{00000000-0005-0000-0000-000029B40000}"/>
    <cellStyle name="Normal 7 2 2 2 2 3 2 3" xfId="39141" xr:uid="{00000000-0005-0000-0000-00002AB40000}"/>
    <cellStyle name="Normal 7 2 2 2 2 3 3" xfId="10007" xr:uid="{00000000-0005-0000-0000-00002BB40000}"/>
    <cellStyle name="Normal 7 2 2 2 2 3 3 2" xfId="35564" xr:uid="{00000000-0005-0000-0000-00002CB40000}"/>
    <cellStyle name="Normal 7 2 2 2 2 3 4" xfId="18830" xr:uid="{00000000-0005-0000-0000-00002DB40000}"/>
    <cellStyle name="Normal 7 2 2 2 2 3 4 2" xfId="44383" xr:uid="{00000000-0005-0000-0000-00002EB40000}"/>
    <cellStyle name="Normal 7 2 2 2 2 3 5" xfId="30320" xr:uid="{00000000-0005-0000-0000-00002FB40000}"/>
    <cellStyle name="Normal 7 2 2 2 2 4" xfId="2186" xr:uid="{00000000-0005-0000-0000-000030B40000}"/>
    <cellStyle name="Normal 7 2 2 2 2 4 2" xfId="11551" xr:uid="{00000000-0005-0000-0000-000031B40000}"/>
    <cellStyle name="Normal 7 2 2 2 2 4 2 2" xfId="37106" xr:uid="{00000000-0005-0000-0000-000032B40000}"/>
    <cellStyle name="Normal 7 2 2 2 2 4 3" xfId="21555" xr:uid="{00000000-0005-0000-0000-000033B40000}"/>
    <cellStyle name="Normal 7 2 2 2 2 4 3 2" xfId="47108" xr:uid="{00000000-0005-0000-0000-000034B40000}"/>
    <cellStyle name="Normal 7 2 2 2 2 4 4" xfId="28038" xr:uid="{00000000-0005-0000-0000-000035B40000}"/>
    <cellStyle name="Normal 7 2 2 2 2 5" xfId="6204" xr:uid="{00000000-0005-0000-0000-000036B40000}"/>
    <cellStyle name="Normal 7 2 2 2 2 5 2" xfId="15031" xr:uid="{00000000-0005-0000-0000-000037B40000}"/>
    <cellStyle name="Normal 7 2 2 2 2 5 2 2" xfId="40586" xr:uid="{00000000-0005-0000-0000-000038B40000}"/>
    <cellStyle name="Normal 7 2 2 2 2 5 3" xfId="25282" xr:uid="{00000000-0005-0000-0000-000039B40000}"/>
    <cellStyle name="Normal 7 2 2 2 2 5 3 2" xfId="50835" xr:uid="{00000000-0005-0000-0000-00003AB40000}"/>
    <cellStyle name="Normal 7 2 2 2 2 5 4" xfId="31765" xr:uid="{00000000-0005-0000-0000-00003BB40000}"/>
    <cellStyle name="Normal 7 2 2 2 2 6" xfId="7650" xr:uid="{00000000-0005-0000-0000-00003CB40000}"/>
    <cellStyle name="Normal 7 2 2 2 2 6 2" xfId="20037" xr:uid="{00000000-0005-0000-0000-00003DB40000}"/>
    <cellStyle name="Normal 7 2 2 2 2 6 2 2" xfId="45590" xr:uid="{00000000-0005-0000-0000-00003EB40000}"/>
    <cellStyle name="Normal 7 2 2 2 2 6 3" xfId="33207" xr:uid="{00000000-0005-0000-0000-00003FB40000}"/>
    <cellStyle name="Normal 7 2 2 2 2 7" xfId="16548" xr:uid="{00000000-0005-0000-0000-000040B40000}"/>
    <cellStyle name="Normal 7 2 2 2 2 7 2" xfId="42101" xr:uid="{00000000-0005-0000-0000-000041B40000}"/>
    <cellStyle name="Normal 7 2 2 2 2 8" xfId="26520" xr:uid="{00000000-0005-0000-0000-000042B40000}"/>
    <cellStyle name="Normal 7 2 2 2 3" xfId="943" xr:uid="{00000000-0005-0000-0000-000043B40000}"/>
    <cellStyle name="Normal 7 2 2 2 3 2" xfId="3419" xr:uid="{00000000-0005-0000-0000-000044B40000}"/>
    <cellStyle name="Normal 7 2 2 2 3 2 2" xfId="12561" xr:uid="{00000000-0005-0000-0000-000045B40000}"/>
    <cellStyle name="Normal 7 2 2 2 3 2 2 2" xfId="22780" xr:uid="{00000000-0005-0000-0000-000046B40000}"/>
    <cellStyle name="Normal 7 2 2 2 3 2 2 2 2" xfId="48333" xr:uid="{00000000-0005-0000-0000-000047B40000}"/>
    <cellStyle name="Normal 7 2 2 2 3 2 2 3" xfId="38116" xr:uid="{00000000-0005-0000-0000-000048B40000}"/>
    <cellStyle name="Normal 7 2 2 2 3 2 3" xfId="8983" xr:uid="{00000000-0005-0000-0000-000049B40000}"/>
    <cellStyle name="Normal 7 2 2 2 3 2 3 2" xfId="34540" xr:uid="{00000000-0005-0000-0000-00004AB40000}"/>
    <cellStyle name="Normal 7 2 2 2 3 2 4" xfId="17773" xr:uid="{00000000-0005-0000-0000-00004BB40000}"/>
    <cellStyle name="Normal 7 2 2 2 3 2 4 2" xfId="43326" xr:uid="{00000000-0005-0000-0000-00004CB40000}"/>
    <cellStyle name="Normal 7 2 2 2 3 2 5" xfId="29263" xr:uid="{00000000-0005-0000-0000-00004DB40000}"/>
    <cellStyle name="Normal 7 2 2 2 3 3" xfId="5097" xr:uid="{00000000-0005-0000-0000-00004EB40000}"/>
    <cellStyle name="Normal 7 2 2 2 3 3 2" xfId="13934" xr:uid="{00000000-0005-0000-0000-00004FB40000}"/>
    <cellStyle name="Normal 7 2 2 2 3 3 2 2" xfId="24185" xr:uid="{00000000-0005-0000-0000-000050B40000}"/>
    <cellStyle name="Normal 7 2 2 2 3 3 2 2 2" xfId="49738" xr:uid="{00000000-0005-0000-0000-000051B40000}"/>
    <cellStyle name="Normal 7 2 2 2 3 3 2 3" xfId="39489" xr:uid="{00000000-0005-0000-0000-000052B40000}"/>
    <cellStyle name="Normal 7 2 2 2 3 3 3" xfId="10355" xr:uid="{00000000-0005-0000-0000-000053B40000}"/>
    <cellStyle name="Normal 7 2 2 2 3 3 3 2" xfId="35912" xr:uid="{00000000-0005-0000-0000-000054B40000}"/>
    <cellStyle name="Normal 7 2 2 2 3 3 4" xfId="19178" xr:uid="{00000000-0005-0000-0000-000055B40000}"/>
    <cellStyle name="Normal 7 2 2 2 3 3 4 2" xfId="44731" xr:uid="{00000000-0005-0000-0000-000056B40000}"/>
    <cellStyle name="Normal 7 2 2 2 3 3 5" xfId="30668" xr:uid="{00000000-0005-0000-0000-000057B40000}"/>
    <cellStyle name="Normal 7 2 2 2 3 4" xfId="2528" xr:uid="{00000000-0005-0000-0000-000058B40000}"/>
    <cellStyle name="Normal 7 2 2 2 3 4 2" xfId="11893" xr:uid="{00000000-0005-0000-0000-000059B40000}"/>
    <cellStyle name="Normal 7 2 2 2 3 4 2 2" xfId="37448" xr:uid="{00000000-0005-0000-0000-00005AB40000}"/>
    <cellStyle name="Normal 7 2 2 2 3 4 3" xfId="21897" xr:uid="{00000000-0005-0000-0000-00005BB40000}"/>
    <cellStyle name="Normal 7 2 2 2 3 4 3 2" xfId="47450" xr:uid="{00000000-0005-0000-0000-00005CB40000}"/>
    <cellStyle name="Normal 7 2 2 2 3 4 4" xfId="28380" xr:uid="{00000000-0005-0000-0000-00005DB40000}"/>
    <cellStyle name="Normal 7 2 2 2 3 5" xfId="6552" xr:uid="{00000000-0005-0000-0000-00005EB40000}"/>
    <cellStyle name="Normal 7 2 2 2 3 5 2" xfId="15379" xr:uid="{00000000-0005-0000-0000-00005FB40000}"/>
    <cellStyle name="Normal 7 2 2 2 3 5 2 2" xfId="40934" xr:uid="{00000000-0005-0000-0000-000060B40000}"/>
    <cellStyle name="Normal 7 2 2 2 3 5 3" xfId="25630" xr:uid="{00000000-0005-0000-0000-000061B40000}"/>
    <cellStyle name="Normal 7 2 2 2 3 5 3 2" xfId="51183" xr:uid="{00000000-0005-0000-0000-000062B40000}"/>
    <cellStyle name="Normal 7 2 2 2 3 5 4" xfId="32113" xr:uid="{00000000-0005-0000-0000-000063B40000}"/>
    <cellStyle name="Normal 7 2 2 2 3 6" xfId="7998" xr:uid="{00000000-0005-0000-0000-000064B40000}"/>
    <cellStyle name="Normal 7 2 2 2 3 6 2" xfId="20379" xr:uid="{00000000-0005-0000-0000-000065B40000}"/>
    <cellStyle name="Normal 7 2 2 2 3 6 2 2" xfId="45932" xr:uid="{00000000-0005-0000-0000-000066B40000}"/>
    <cellStyle name="Normal 7 2 2 2 3 6 3" xfId="33555" xr:uid="{00000000-0005-0000-0000-000067B40000}"/>
    <cellStyle name="Normal 7 2 2 2 3 7" xfId="16890" xr:uid="{00000000-0005-0000-0000-000068B40000}"/>
    <cellStyle name="Normal 7 2 2 2 3 7 2" xfId="42443" xr:uid="{00000000-0005-0000-0000-000069B40000}"/>
    <cellStyle name="Normal 7 2 2 2 3 8" xfId="26862" xr:uid="{00000000-0005-0000-0000-00006AB40000}"/>
    <cellStyle name="Normal 7 2 2 2 4" xfId="1363" xr:uid="{00000000-0005-0000-0000-00006BB40000}"/>
    <cellStyle name="Normal 7 2 2 2 4 2" xfId="3792" xr:uid="{00000000-0005-0000-0000-00006CB40000}"/>
    <cellStyle name="Normal 7 2 2 2 4 2 2" xfId="12928" xr:uid="{00000000-0005-0000-0000-00006DB40000}"/>
    <cellStyle name="Normal 7 2 2 2 4 2 2 2" xfId="23147" xr:uid="{00000000-0005-0000-0000-00006EB40000}"/>
    <cellStyle name="Normal 7 2 2 2 4 2 2 2 2" xfId="48700" xr:uid="{00000000-0005-0000-0000-00006FB40000}"/>
    <cellStyle name="Normal 7 2 2 2 4 2 2 3" xfId="38483" xr:uid="{00000000-0005-0000-0000-000070B40000}"/>
    <cellStyle name="Normal 7 2 2 2 4 2 3" xfId="9349" xr:uid="{00000000-0005-0000-0000-000071B40000}"/>
    <cellStyle name="Normal 7 2 2 2 4 2 3 2" xfId="34906" xr:uid="{00000000-0005-0000-0000-000072B40000}"/>
    <cellStyle name="Normal 7 2 2 2 4 2 4" xfId="18140" xr:uid="{00000000-0005-0000-0000-000073B40000}"/>
    <cellStyle name="Normal 7 2 2 2 4 2 4 2" xfId="43693" xr:uid="{00000000-0005-0000-0000-000074B40000}"/>
    <cellStyle name="Normal 7 2 2 2 4 2 5" xfId="29630" xr:uid="{00000000-0005-0000-0000-000075B40000}"/>
    <cellStyle name="Normal 7 2 2 2 4 3" xfId="5455" xr:uid="{00000000-0005-0000-0000-000076B40000}"/>
    <cellStyle name="Normal 7 2 2 2 4 3 2" xfId="14292" xr:uid="{00000000-0005-0000-0000-000077B40000}"/>
    <cellStyle name="Normal 7 2 2 2 4 3 2 2" xfId="24543" xr:uid="{00000000-0005-0000-0000-000078B40000}"/>
    <cellStyle name="Normal 7 2 2 2 4 3 2 2 2" xfId="50096" xr:uid="{00000000-0005-0000-0000-000079B40000}"/>
    <cellStyle name="Normal 7 2 2 2 4 3 2 3" xfId="39847" xr:uid="{00000000-0005-0000-0000-00007AB40000}"/>
    <cellStyle name="Normal 7 2 2 2 4 3 3" xfId="10713" xr:uid="{00000000-0005-0000-0000-00007BB40000}"/>
    <cellStyle name="Normal 7 2 2 2 4 3 3 2" xfId="36270" xr:uid="{00000000-0005-0000-0000-00007CB40000}"/>
    <cellStyle name="Normal 7 2 2 2 4 3 4" xfId="19536" xr:uid="{00000000-0005-0000-0000-00007DB40000}"/>
    <cellStyle name="Normal 7 2 2 2 4 3 4 2" xfId="45089" xr:uid="{00000000-0005-0000-0000-00007EB40000}"/>
    <cellStyle name="Normal 7 2 2 2 4 3 5" xfId="31026" xr:uid="{00000000-0005-0000-0000-00007FB40000}"/>
    <cellStyle name="Normal 7 2 2 2 4 4" xfId="1866" xr:uid="{00000000-0005-0000-0000-000080B40000}"/>
    <cellStyle name="Normal 7 2 2 2 4 4 2" xfId="11234" xr:uid="{00000000-0005-0000-0000-000081B40000}"/>
    <cellStyle name="Normal 7 2 2 2 4 4 2 2" xfId="36789" xr:uid="{00000000-0005-0000-0000-000082B40000}"/>
    <cellStyle name="Normal 7 2 2 2 4 4 3" xfId="21238" xr:uid="{00000000-0005-0000-0000-000083B40000}"/>
    <cellStyle name="Normal 7 2 2 2 4 4 3 2" xfId="46791" xr:uid="{00000000-0005-0000-0000-000084B40000}"/>
    <cellStyle name="Normal 7 2 2 2 4 4 4" xfId="27721" xr:uid="{00000000-0005-0000-0000-000085B40000}"/>
    <cellStyle name="Normal 7 2 2 2 4 5" xfId="6910" xr:uid="{00000000-0005-0000-0000-000086B40000}"/>
    <cellStyle name="Normal 7 2 2 2 4 5 2" xfId="15737" xr:uid="{00000000-0005-0000-0000-000087B40000}"/>
    <cellStyle name="Normal 7 2 2 2 4 5 2 2" xfId="41292" xr:uid="{00000000-0005-0000-0000-000088B40000}"/>
    <cellStyle name="Normal 7 2 2 2 4 5 3" xfId="25988" xr:uid="{00000000-0005-0000-0000-000089B40000}"/>
    <cellStyle name="Normal 7 2 2 2 4 5 3 2" xfId="51541" xr:uid="{00000000-0005-0000-0000-00008AB40000}"/>
    <cellStyle name="Normal 7 2 2 2 4 5 4" xfId="32471" xr:uid="{00000000-0005-0000-0000-00008BB40000}"/>
    <cellStyle name="Normal 7 2 2 2 4 6" xfId="8356" xr:uid="{00000000-0005-0000-0000-00008CB40000}"/>
    <cellStyle name="Normal 7 2 2 2 4 6 2" xfId="20746" xr:uid="{00000000-0005-0000-0000-00008DB40000}"/>
    <cellStyle name="Normal 7 2 2 2 4 6 2 2" xfId="46299" xr:uid="{00000000-0005-0000-0000-00008EB40000}"/>
    <cellStyle name="Normal 7 2 2 2 4 6 3" xfId="33913" xr:uid="{00000000-0005-0000-0000-00008FB40000}"/>
    <cellStyle name="Normal 7 2 2 2 4 7" xfId="16231" xr:uid="{00000000-0005-0000-0000-000090B40000}"/>
    <cellStyle name="Normal 7 2 2 2 4 7 2" xfId="41784" xr:uid="{00000000-0005-0000-0000-000091B40000}"/>
    <cellStyle name="Normal 7 2 2 2 4 8" xfId="27229" xr:uid="{00000000-0005-0000-0000-000092B40000}"/>
    <cellStyle name="Normal 7 2 2 2 5" xfId="2760" xr:uid="{00000000-0005-0000-0000-000093B40000}"/>
    <cellStyle name="Normal 7 2 2 2 5 2" xfId="12077" xr:uid="{00000000-0005-0000-0000-000094B40000}"/>
    <cellStyle name="Normal 7 2 2 2 5 2 2" xfId="22121" xr:uid="{00000000-0005-0000-0000-000095B40000}"/>
    <cellStyle name="Normal 7 2 2 2 5 2 2 2" xfId="47674" xr:uid="{00000000-0005-0000-0000-000096B40000}"/>
    <cellStyle name="Normal 7 2 2 2 5 2 3" xfId="37632" xr:uid="{00000000-0005-0000-0000-000097B40000}"/>
    <cellStyle name="Normal 7 2 2 2 5 3" xfId="8639" xr:uid="{00000000-0005-0000-0000-000098B40000}"/>
    <cellStyle name="Normal 7 2 2 2 5 3 2" xfId="34196" xr:uid="{00000000-0005-0000-0000-000099B40000}"/>
    <cellStyle name="Normal 7 2 2 2 5 4" xfId="17114" xr:uid="{00000000-0005-0000-0000-00009AB40000}"/>
    <cellStyle name="Normal 7 2 2 2 5 4 2" xfId="42667" xr:uid="{00000000-0005-0000-0000-00009BB40000}"/>
    <cellStyle name="Normal 7 2 2 2 5 5" xfId="28604" xr:uid="{00000000-0005-0000-0000-00009CB40000}"/>
    <cellStyle name="Normal 7 2 2 2 6" xfId="4411" xr:uid="{00000000-0005-0000-0000-00009DB40000}"/>
    <cellStyle name="Normal 7 2 2 2 6 2" xfId="13249" xr:uid="{00000000-0005-0000-0000-00009EB40000}"/>
    <cellStyle name="Normal 7 2 2 2 6 2 2" xfId="23500" xr:uid="{00000000-0005-0000-0000-00009FB40000}"/>
    <cellStyle name="Normal 7 2 2 2 6 2 2 2" xfId="49053" xr:uid="{00000000-0005-0000-0000-0000A0B40000}"/>
    <cellStyle name="Normal 7 2 2 2 6 2 3" xfId="38804" xr:uid="{00000000-0005-0000-0000-0000A1B40000}"/>
    <cellStyle name="Normal 7 2 2 2 6 3" xfId="9670" xr:uid="{00000000-0005-0000-0000-0000A2B40000}"/>
    <cellStyle name="Normal 7 2 2 2 6 3 2" xfId="35227" xr:uid="{00000000-0005-0000-0000-0000A3B40000}"/>
    <cellStyle name="Normal 7 2 2 2 6 4" xfId="18493" xr:uid="{00000000-0005-0000-0000-0000A4B40000}"/>
    <cellStyle name="Normal 7 2 2 2 6 4 2" xfId="44046" xr:uid="{00000000-0005-0000-0000-0000A5B40000}"/>
    <cellStyle name="Normal 7 2 2 2 6 5" xfId="29983" xr:uid="{00000000-0005-0000-0000-0000A6B40000}"/>
    <cellStyle name="Normal 7 2 2 2 7" xfId="1683" xr:uid="{00000000-0005-0000-0000-0000A7B40000}"/>
    <cellStyle name="Normal 7 2 2 2 7 2" xfId="11060" xr:uid="{00000000-0005-0000-0000-0000A8B40000}"/>
    <cellStyle name="Normal 7 2 2 2 7 2 2" xfId="36615" xr:uid="{00000000-0005-0000-0000-0000A9B40000}"/>
    <cellStyle name="Normal 7 2 2 2 7 3" xfId="21064" xr:uid="{00000000-0005-0000-0000-0000AAB40000}"/>
    <cellStyle name="Normal 7 2 2 2 7 3 2" xfId="46617" xr:uid="{00000000-0005-0000-0000-0000ABB40000}"/>
    <cellStyle name="Normal 7 2 2 2 7 4" xfId="27547" xr:uid="{00000000-0005-0000-0000-0000ACB40000}"/>
    <cellStyle name="Normal 7 2 2 2 8" xfId="5867" xr:uid="{00000000-0005-0000-0000-0000ADB40000}"/>
    <cellStyle name="Normal 7 2 2 2 8 2" xfId="14694" xr:uid="{00000000-0005-0000-0000-0000AEB40000}"/>
    <cellStyle name="Normal 7 2 2 2 8 2 2" xfId="40249" xr:uid="{00000000-0005-0000-0000-0000AFB40000}"/>
    <cellStyle name="Normal 7 2 2 2 8 3" xfId="24945" xr:uid="{00000000-0005-0000-0000-0000B0B40000}"/>
    <cellStyle name="Normal 7 2 2 2 8 3 2" xfId="50498" xr:uid="{00000000-0005-0000-0000-0000B1B40000}"/>
    <cellStyle name="Normal 7 2 2 2 8 4" xfId="31428" xr:uid="{00000000-0005-0000-0000-0000B2B40000}"/>
    <cellStyle name="Normal 7 2 2 2 9" xfId="7311" xr:uid="{00000000-0005-0000-0000-0000B3B40000}"/>
    <cellStyle name="Normal 7 2 2 2 9 2" xfId="19720" xr:uid="{00000000-0005-0000-0000-0000B4B40000}"/>
    <cellStyle name="Normal 7 2 2 2 9 2 2" xfId="45273" xr:uid="{00000000-0005-0000-0000-0000B5B40000}"/>
    <cellStyle name="Normal 7 2 2 2 9 3" xfId="32868" xr:uid="{00000000-0005-0000-0000-0000B6B40000}"/>
    <cellStyle name="Normal 7 2 2 2_Degree data" xfId="4049" xr:uid="{00000000-0005-0000-0000-0000B7B40000}"/>
    <cellStyle name="Normal 7 2 2 3" xfId="487" xr:uid="{00000000-0005-0000-0000-0000B8B40000}"/>
    <cellStyle name="Normal 7 2 2 3 10" xfId="26416" xr:uid="{00000000-0005-0000-0000-0000B9B40000}"/>
    <cellStyle name="Normal 7 2 2 3 2" xfId="944" xr:uid="{00000000-0005-0000-0000-0000BAB40000}"/>
    <cellStyle name="Normal 7 2 2 3 2 2" xfId="3420" xr:uid="{00000000-0005-0000-0000-0000BBB40000}"/>
    <cellStyle name="Normal 7 2 2 3 2 2 2" xfId="12562" xr:uid="{00000000-0005-0000-0000-0000BCB40000}"/>
    <cellStyle name="Normal 7 2 2 3 2 2 2 2" xfId="22781" xr:uid="{00000000-0005-0000-0000-0000BDB40000}"/>
    <cellStyle name="Normal 7 2 2 3 2 2 2 2 2" xfId="48334" xr:uid="{00000000-0005-0000-0000-0000BEB40000}"/>
    <cellStyle name="Normal 7 2 2 3 2 2 2 3" xfId="38117" xr:uid="{00000000-0005-0000-0000-0000BFB40000}"/>
    <cellStyle name="Normal 7 2 2 3 2 2 3" xfId="8984" xr:uid="{00000000-0005-0000-0000-0000C0B40000}"/>
    <cellStyle name="Normal 7 2 2 3 2 2 3 2" xfId="34541" xr:uid="{00000000-0005-0000-0000-0000C1B40000}"/>
    <cellStyle name="Normal 7 2 2 3 2 2 4" xfId="17774" xr:uid="{00000000-0005-0000-0000-0000C2B40000}"/>
    <cellStyle name="Normal 7 2 2 3 2 2 4 2" xfId="43327" xr:uid="{00000000-0005-0000-0000-0000C3B40000}"/>
    <cellStyle name="Normal 7 2 2 3 2 2 5" xfId="29264" xr:uid="{00000000-0005-0000-0000-0000C4B40000}"/>
    <cellStyle name="Normal 7 2 2 3 2 3" xfId="4750" xr:uid="{00000000-0005-0000-0000-0000C5B40000}"/>
    <cellStyle name="Normal 7 2 2 3 2 3 2" xfId="13587" xr:uid="{00000000-0005-0000-0000-0000C6B40000}"/>
    <cellStyle name="Normal 7 2 2 3 2 3 2 2" xfId="23838" xr:uid="{00000000-0005-0000-0000-0000C7B40000}"/>
    <cellStyle name="Normal 7 2 2 3 2 3 2 2 2" xfId="49391" xr:uid="{00000000-0005-0000-0000-0000C8B40000}"/>
    <cellStyle name="Normal 7 2 2 3 2 3 2 3" xfId="39142" xr:uid="{00000000-0005-0000-0000-0000C9B40000}"/>
    <cellStyle name="Normal 7 2 2 3 2 3 3" xfId="10008" xr:uid="{00000000-0005-0000-0000-0000CAB40000}"/>
    <cellStyle name="Normal 7 2 2 3 2 3 3 2" xfId="35565" xr:uid="{00000000-0005-0000-0000-0000CBB40000}"/>
    <cellStyle name="Normal 7 2 2 3 2 3 4" xfId="18831" xr:uid="{00000000-0005-0000-0000-0000CCB40000}"/>
    <cellStyle name="Normal 7 2 2 3 2 3 4 2" xfId="44384" xr:uid="{00000000-0005-0000-0000-0000CDB40000}"/>
    <cellStyle name="Normal 7 2 2 3 2 3 5" xfId="30321" xr:uid="{00000000-0005-0000-0000-0000CEB40000}"/>
    <cellStyle name="Normal 7 2 2 3 2 4" xfId="2529" xr:uid="{00000000-0005-0000-0000-0000CFB40000}"/>
    <cellStyle name="Normal 7 2 2 3 2 4 2" xfId="11894" xr:uid="{00000000-0005-0000-0000-0000D0B40000}"/>
    <cellStyle name="Normal 7 2 2 3 2 4 2 2" xfId="37449" xr:uid="{00000000-0005-0000-0000-0000D1B40000}"/>
    <cellStyle name="Normal 7 2 2 3 2 4 3" xfId="21898" xr:uid="{00000000-0005-0000-0000-0000D2B40000}"/>
    <cellStyle name="Normal 7 2 2 3 2 4 3 2" xfId="47451" xr:uid="{00000000-0005-0000-0000-0000D3B40000}"/>
    <cellStyle name="Normal 7 2 2 3 2 4 4" xfId="28381" xr:uid="{00000000-0005-0000-0000-0000D4B40000}"/>
    <cellStyle name="Normal 7 2 2 3 2 5" xfId="6205" xr:uid="{00000000-0005-0000-0000-0000D5B40000}"/>
    <cellStyle name="Normal 7 2 2 3 2 5 2" xfId="15032" xr:uid="{00000000-0005-0000-0000-0000D6B40000}"/>
    <cellStyle name="Normal 7 2 2 3 2 5 2 2" xfId="40587" xr:uid="{00000000-0005-0000-0000-0000D7B40000}"/>
    <cellStyle name="Normal 7 2 2 3 2 5 3" xfId="25283" xr:uid="{00000000-0005-0000-0000-0000D8B40000}"/>
    <cellStyle name="Normal 7 2 2 3 2 5 3 2" xfId="50836" xr:uid="{00000000-0005-0000-0000-0000D9B40000}"/>
    <cellStyle name="Normal 7 2 2 3 2 5 4" xfId="31766" xr:uid="{00000000-0005-0000-0000-0000DAB40000}"/>
    <cellStyle name="Normal 7 2 2 3 2 6" xfId="7651" xr:uid="{00000000-0005-0000-0000-0000DBB40000}"/>
    <cellStyle name="Normal 7 2 2 3 2 6 2" xfId="20380" xr:uid="{00000000-0005-0000-0000-0000DCB40000}"/>
    <cellStyle name="Normal 7 2 2 3 2 6 2 2" xfId="45933" xr:uid="{00000000-0005-0000-0000-0000DDB40000}"/>
    <cellStyle name="Normal 7 2 2 3 2 6 3" xfId="33208" xr:uid="{00000000-0005-0000-0000-0000DEB40000}"/>
    <cellStyle name="Normal 7 2 2 3 2 7" xfId="16891" xr:uid="{00000000-0005-0000-0000-0000DFB40000}"/>
    <cellStyle name="Normal 7 2 2 3 2 7 2" xfId="42444" xr:uid="{00000000-0005-0000-0000-0000E0B40000}"/>
    <cellStyle name="Normal 7 2 2 3 2 8" xfId="26863" xr:uid="{00000000-0005-0000-0000-0000E1B40000}"/>
    <cellStyle name="Normal 7 2 2 3 3" xfId="1259" xr:uid="{00000000-0005-0000-0000-0000E2B40000}"/>
    <cellStyle name="Normal 7 2 2 3 3 2" xfId="3688" xr:uid="{00000000-0005-0000-0000-0000E3B40000}"/>
    <cellStyle name="Normal 7 2 2 3 3 2 2" xfId="12824" xr:uid="{00000000-0005-0000-0000-0000E4B40000}"/>
    <cellStyle name="Normal 7 2 2 3 3 2 2 2" xfId="23043" xr:uid="{00000000-0005-0000-0000-0000E5B40000}"/>
    <cellStyle name="Normal 7 2 2 3 3 2 2 2 2" xfId="48596" xr:uid="{00000000-0005-0000-0000-0000E6B40000}"/>
    <cellStyle name="Normal 7 2 2 3 3 2 2 3" xfId="38379" xr:uid="{00000000-0005-0000-0000-0000E7B40000}"/>
    <cellStyle name="Normal 7 2 2 3 3 2 3" xfId="9245" xr:uid="{00000000-0005-0000-0000-0000E8B40000}"/>
    <cellStyle name="Normal 7 2 2 3 3 2 3 2" xfId="34802" xr:uid="{00000000-0005-0000-0000-0000E9B40000}"/>
    <cellStyle name="Normal 7 2 2 3 3 2 4" xfId="18036" xr:uid="{00000000-0005-0000-0000-0000EAB40000}"/>
    <cellStyle name="Normal 7 2 2 3 3 2 4 2" xfId="43589" xr:uid="{00000000-0005-0000-0000-0000EBB40000}"/>
    <cellStyle name="Normal 7 2 2 3 3 2 5" xfId="29526" xr:uid="{00000000-0005-0000-0000-0000ECB40000}"/>
    <cellStyle name="Normal 7 2 2 3 3 3" xfId="5098" xr:uid="{00000000-0005-0000-0000-0000EDB40000}"/>
    <cellStyle name="Normal 7 2 2 3 3 3 2" xfId="13935" xr:uid="{00000000-0005-0000-0000-0000EEB40000}"/>
    <cellStyle name="Normal 7 2 2 3 3 3 2 2" xfId="24186" xr:uid="{00000000-0005-0000-0000-0000EFB40000}"/>
    <cellStyle name="Normal 7 2 2 3 3 3 2 2 2" xfId="49739" xr:uid="{00000000-0005-0000-0000-0000F0B40000}"/>
    <cellStyle name="Normal 7 2 2 3 3 3 2 3" xfId="39490" xr:uid="{00000000-0005-0000-0000-0000F1B40000}"/>
    <cellStyle name="Normal 7 2 2 3 3 3 3" xfId="10356" xr:uid="{00000000-0005-0000-0000-0000F2B40000}"/>
    <cellStyle name="Normal 7 2 2 3 3 3 3 2" xfId="35913" xr:uid="{00000000-0005-0000-0000-0000F3B40000}"/>
    <cellStyle name="Normal 7 2 2 3 3 3 4" xfId="19179" xr:uid="{00000000-0005-0000-0000-0000F4B40000}"/>
    <cellStyle name="Normal 7 2 2 3 3 3 4 2" xfId="44732" xr:uid="{00000000-0005-0000-0000-0000F5B40000}"/>
    <cellStyle name="Normal 7 2 2 3 3 3 5" xfId="30669" xr:uid="{00000000-0005-0000-0000-0000F6B40000}"/>
    <cellStyle name="Normal 7 2 2 3 3 4" xfId="2082" xr:uid="{00000000-0005-0000-0000-0000F7B40000}"/>
    <cellStyle name="Normal 7 2 2 3 3 4 2" xfId="11447" xr:uid="{00000000-0005-0000-0000-0000F8B40000}"/>
    <cellStyle name="Normal 7 2 2 3 3 4 2 2" xfId="37002" xr:uid="{00000000-0005-0000-0000-0000F9B40000}"/>
    <cellStyle name="Normal 7 2 2 3 3 4 3" xfId="21451" xr:uid="{00000000-0005-0000-0000-0000FAB40000}"/>
    <cellStyle name="Normal 7 2 2 3 3 4 3 2" xfId="47004" xr:uid="{00000000-0005-0000-0000-0000FBB40000}"/>
    <cellStyle name="Normal 7 2 2 3 3 4 4" xfId="27934" xr:uid="{00000000-0005-0000-0000-0000FCB40000}"/>
    <cellStyle name="Normal 7 2 2 3 3 5" xfId="6553" xr:uid="{00000000-0005-0000-0000-0000FDB40000}"/>
    <cellStyle name="Normal 7 2 2 3 3 5 2" xfId="15380" xr:uid="{00000000-0005-0000-0000-0000FEB40000}"/>
    <cellStyle name="Normal 7 2 2 3 3 5 2 2" xfId="40935" xr:uid="{00000000-0005-0000-0000-0000FFB40000}"/>
    <cellStyle name="Normal 7 2 2 3 3 5 3" xfId="25631" xr:uid="{00000000-0005-0000-0000-000000B50000}"/>
    <cellStyle name="Normal 7 2 2 3 3 5 3 2" xfId="51184" xr:uid="{00000000-0005-0000-0000-000001B50000}"/>
    <cellStyle name="Normal 7 2 2 3 3 5 4" xfId="32114" xr:uid="{00000000-0005-0000-0000-000002B50000}"/>
    <cellStyle name="Normal 7 2 2 3 3 6" xfId="7999" xr:uid="{00000000-0005-0000-0000-000003B50000}"/>
    <cellStyle name="Normal 7 2 2 3 3 6 2" xfId="20642" xr:uid="{00000000-0005-0000-0000-000004B50000}"/>
    <cellStyle name="Normal 7 2 2 3 3 6 2 2" xfId="46195" xr:uid="{00000000-0005-0000-0000-000005B50000}"/>
    <cellStyle name="Normal 7 2 2 3 3 6 3" xfId="33556" xr:uid="{00000000-0005-0000-0000-000006B50000}"/>
    <cellStyle name="Normal 7 2 2 3 3 7" xfId="16444" xr:uid="{00000000-0005-0000-0000-000007B50000}"/>
    <cellStyle name="Normal 7 2 2 3 3 7 2" xfId="41997" xr:uid="{00000000-0005-0000-0000-000008B50000}"/>
    <cellStyle name="Normal 7 2 2 3 3 8" xfId="27125" xr:uid="{00000000-0005-0000-0000-000009B50000}"/>
    <cellStyle name="Normal 7 2 2 3 4" xfId="2973" xr:uid="{00000000-0005-0000-0000-00000AB50000}"/>
    <cellStyle name="Normal 7 2 2 3 4 2" xfId="5351" xr:uid="{00000000-0005-0000-0000-00000BB50000}"/>
    <cellStyle name="Normal 7 2 2 3 4 2 2" xfId="14188" xr:uid="{00000000-0005-0000-0000-00000CB50000}"/>
    <cellStyle name="Normal 7 2 2 3 4 2 2 2" xfId="24439" xr:uid="{00000000-0005-0000-0000-00000DB50000}"/>
    <cellStyle name="Normal 7 2 2 3 4 2 2 2 2" xfId="49992" xr:uid="{00000000-0005-0000-0000-00000EB50000}"/>
    <cellStyle name="Normal 7 2 2 3 4 2 2 3" xfId="39743" xr:uid="{00000000-0005-0000-0000-00000FB50000}"/>
    <cellStyle name="Normal 7 2 2 3 4 2 3" xfId="10609" xr:uid="{00000000-0005-0000-0000-000010B50000}"/>
    <cellStyle name="Normal 7 2 2 3 4 2 3 2" xfId="36166" xr:uid="{00000000-0005-0000-0000-000011B50000}"/>
    <cellStyle name="Normal 7 2 2 3 4 2 4" xfId="19432" xr:uid="{00000000-0005-0000-0000-000012B50000}"/>
    <cellStyle name="Normal 7 2 2 3 4 2 4 2" xfId="44985" xr:uid="{00000000-0005-0000-0000-000013B50000}"/>
    <cellStyle name="Normal 7 2 2 3 4 2 5" xfId="30922" xr:uid="{00000000-0005-0000-0000-000014B50000}"/>
    <cellStyle name="Normal 7 2 2 3 4 3" xfId="6806" xr:uid="{00000000-0005-0000-0000-000015B50000}"/>
    <cellStyle name="Normal 7 2 2 3 4 3 2" xfId="15633" xr:uid="{00000000-0005-0000-0000-000016B50000}"/>
    <cellStyle name="Normal 7 2 2 3 4 3 2 2" xfId="41188" xr:uid="{00000000-0005-0000-0000-000017B50000}"/>
    <cellStyle name="Normal 7 2 2 3 4 3 3" xfId="25884" xr:uid="{00000000-0005-0000-0000-000018B50000}"/>
    <cellStyle name="Normal 7 2 2 3 4 3 3 2" xfId="51437" xr:uid="{00000000-0005-0000-0000-000019B50000}"/>
    <cellStyle name="Normal 7 2 2 3 4 3 4" xfId="32367" xr:uid="{00000000-0005-0000-0000-00001AB50000}"/>
    <cellStyle name="Normal 7 2 2 3 4 4" xfId="8252" xr:uid="{00000000-0005-0000-0000-00001BB50000}"/>
    <cellStyle name="Normal 7 2 2 3 4 4 2" xfId="22334" xr:uid="{00000000-0005-0000-0000-00001CB50000}"/>
    <cellStyle name="Normal 7 2 2 3 4 4 2 2" xfId="47887" xr:uid="{00000000-0005-0000-0000-00001DB50000}"/>
    <cellStyle name="Normal 7 2 2 3 4 4 3" xfId="33809" xr:uid="{00000000-0005-0000-0000-00001EB50000}"/>
    <cellStyle name="Normal 7 2 2 3 4 5" xfId="17327" xr:uid="{00000000-0005-0000-0000-00001FB50000}"/>
    <cellStyle name="Normal 7 2 2 3 4 5 2" xfId="42880" xr:uid="{00000000-0005-0000-0000-000020B50000}"/>
    <cellStyle name="Normal 7 2 2 3 4 6" xfId="28817" xr:uid="{00000000-0005-0000-0000-000021B50000}"/>
    <cellStyle name="Normal 7 2 2 3 5" xfId="4307" xr:uid="{00000000-0005-0000-0000-000022B50000}"/>
    <cellStyle name="Normal 7 2 2 3 5 2" xfId="13145" xr:uid="{00000000-0005-0000-0000-000023B50000}"/>
    <cellStyle name="Normal 7 2 2 3 5 2 2" xfId="23396" xr:uid="{00000000-0005-0000-0000-000024B50000}"/>
    <cellStyle name="Normal 7 2 2 3 5 2 2 2" xfId="48949" xr:uid="{00000000-0005-0000-0000-000025B50000}"/>
    <cellStyle name="Normal 7 2 2 3 5 2 3" xfId="38700" xr:uid="{00000000-0005-0000-0000-000026B50000}"/>
    <cellStyle name="Normal 7 2 2 3 5 3" xfId="9566" xr:uid="{00000000-0005-0000-0000-000027B50000}"/>
    <cellStyle name="Normal 7 2 2 3 5 3 2" xfId="35123" xr:uid="{00000000-0005-0000-0000-000028B50000}"/>
    <cellStyle name="Normal 7 2 2 3 5 4" xfId="18389" xr:uid="{00000000-0005-0000-0000-000029B50000}"/>
    <cellStyle name="Normal 7 2 2 3 5 4 2" xfId="43942" xr:uid="{00000000-0005-0000-0000-00002AB50000}"/>
    <cellStyle name="Normal 7 2 2 3 5 5" xfId="29879" xr:uid="{00000000-0005-0000-0000-00002BB50000}"/>
    <cellStyle name="Normal 7 2 2 3 6" xfId="1579" xr:uid="{00000000-0005-0000-0000-00002CB50000}"/>
    <cellStyle name="Normal 7 2 2 3 6 2" xfId="10956" xr:uid="{00000000-0005-0000-0000-00002DB50000}"/>
    <cellStyle name="Normal 7 2 2 3 6 2 2" xfId="36511" xr:uid="{00000000-0005-0000-0000-00002EB50000}"/>
    <cellStyle name="Normal 7 2 2 3 6 3" xfId="20960" xr:uid="{00000000-0005-0000-0000-00002FB50000}"/>
    <cellStyle name="Normal 7 2 2 3 6 3 2" xfId="46513" xr:uid="{00000000-0005-0000-0000-000030B50000}"/>
    <cellStyle name="Normal 7 2 2 3 6 4" xfId="27443" xr:uid="{00000000-0005-0000-0000-000031B50000}"/>
    <cellStyle name="Normal 7 2 2 3 7" xfId="5763" xr:uid="{00000000-0005-0000-0000-000032B50000}"/>
    <cellStyle name="Normal 7 2 2 3 7 2" xfId="14590" xr:uid="{00000000-0005-0000-0000-000033B50000}"/>
    <cellStyle name="Normal 7 2 2 3 7 2 2" xfId="40145" xr:uid="{00000000-0005-0000-0000-000034B50000}"/>
    <cellStyle name="Normal 7 2 2 3 7 3" xfId="24841" xr:uid="{00000000-0005-0000-0000-000035B50000}"/>
    <cellStyle name="Normal 7 2 2 3 7 3 2" xfId="50394" xr:uid="{00000000-0005-0000-0000-000036B50000}"/>
    <cellStyle name="Normal 7 2 2 3 7 4" xfId="31324" xr:uid="{00000000-0005-0000-0000-000037B50000}"/>
    <cellStyle name="Normal 7 2 2 3 8" xfId="7207" xr:uid="{00000000-0005-0000-0000-000038B50000}"/>
    <cellStyle name="Normal 7 2 2 3 8 2" xfId="19933" xr:uid="{00000000-0005-0000-0000-000039B50000}"/>
    <cellStyle name="Normal 7 2 2 3 8 2 2" xfId="45486" xr:uid="{00000000-0005-0000-0000-00003AB50000}"/>
    <cellStyle name="Normal 7 2 2 3 8 3" xfId="32764" xr:uid="{00000000-0005-0000-0000-00003BB50000}"/>
    <cellStyle name="Normal 7 2 2 3 9" xfId="15953" xr:uid="{00000000-0005-0000-0000-00003CB50000}"/>
    <cellStyle name="Normal 7 2 2 3 9 2" xfId="41506" xr:uid="{00000000-0005-0000-0000-00003DB50000}"/>
    <cellStyle name="Normal 7 2 2 3_Degree data" xfId="4050" xr:uid="{00000000-0005-0000-0000-00003EB50000}"/>
    <cellStyle name="Normal 7 2 2 4" xfId="387" xr:uid="{00000000-0005-0000-0000-00003FB50000}"/>
    <cellStyle name="Normal 7 2 2 4 2" xfId="2873" xr:uid="{00000000-0005-0000-0000-000040B50000}"/>
    <cellStyle name="Normal 7 2 2 4 2 2" xfId="12161" xr:uid="{00000000-0005-0000-0000-000041B50000}"/>
    <cellStyle name="Normal 7 2 2 4 2 2 2" xfId="22234" xr:uid="{00000000-0005-0000-0000-000042B50000}"/>
    <cellStyle name="Normal 7 2 2 4 2 2 2 2" xfId="47787" xr:uid="{00000000-0005-0000-0000-000043B50000}"/>
    <cellStyle name="Normal 7 2 2 4 2 2 3" xfId="37716" xr:uid="{00000000-0005-0000-0000-000044B50000}"/>
    <cellStyle name="Normal 7 2 2 4 2 3" xfId="8598" xr:uid="{00000000-0005-0000-0000-000045B50000}"/>
    <cellStyle name="Normal 7 2 2 4 2 3 2" xfId="34155" xr:uid="{00000000-0005-0000-0000-000046B50000}"/>
    <cellStyle name="Normal 7 2 2 4 2 4" xfId="17227" xr:uid="{00000000-0005-0000-0000-000047B50000}"/>
    <cellStyle name="Normal 7 2 2 4 2 4 2" xfId="42780" xr:uid="{00000000-0005-0000-0000-000048B50000}"/>
    <cellStyle name="Normal 7 2 2 4 2 5" xfId="28717" xr:uid="{00000000-0005-0000-0000-000049B50000}"/>
    <cellStyle name="Normal 7 2 2 4 3" xfId="4748" xr:uid="{00000000-0005-0000-0000-00004AB50000}"/>
    <cellStyle name="Normal 7 2 2 4 3 2" xfId="13585" xr:uid="{00000000-0005-0000-0000-00004BB50000}"/>
    <cellStyle name="Normal 7 2 2 4 3 2 2" xfId="23836" xr:uid="{00000000-0005-0000-0000-00004CB50000}"/>
    <cellStyle name="Normal 7 2 2 4 3 2 2 2" xfId="49389" xr:uid="{00000000-0005-0000-0000-00004DB50000}"/>
    <cellStyle name="Normal 7 2 2 4 3 2 3" xfId="39140" xr:uid="{00000000-0005-0000-0000-00004EB50000}"/>
    <cellStyle name="Normal 7 2 2 4 3 3" xfId="10006" xr:uid="{00000000-0005-0000-0000-00004FB50000}"/>
    <cellStyle name="Normal 7 2 2 4 3 3 2" xfId="35563" xr:uid="{00000000-0005-0000-0000-000050B50000}"/>
    <cellStyle name="Normal 7 2 2 4 3 4" xfId="18829" xr:uid="{00000000-0005-0000-0000-000051B50000}"/>
    <cellStyle name="Normal 7 2 2 4 3 4 2" xfId="44382" xr:uid="{00000000-0005-0000-0000-000052B50000}"/>
    <cellStyle name="Normal 7 2 2 4 3 5" xfId="30319" xr:uid="{00000000-0005-0000-0000-000053B50000}"/>
    <cellStyle name="Normal 7 2 2 4 4" xfId="1982" xr:uid="{00000000-0005-0000-0000-000054B50000}"/>
    <cellStyle name="Normal 7 2 2 4 4 2" xfId="11347" xr:uid="{00000000-0005-0000-0000-000055B50000}"/>
    <cellStyle name="Normal 7 2 2 4 4 2 2" xfId="36902" xr:uid="{00000000-0005-0000-0000-000056B50000}"/>
    <cellStyle name="Normal 7 2 2 4 4 3" xfId="21351" xr:uid="{00000000-0005-0000-0000-000057B50000}"/>
    <cellStyle name="Normal 7 2 2 4 4 3 2" xfId="46904" xr:uid="{00000000-0005-0000-0000-000058B50000}"/>
    <cellStyle name="Normal 7 2 2 4 4 4" xfId="27834" xr:uid="{00000000-0005-0000-0000-000059B50000}"/>
    <cellStyle name="Normal 7 2 2 4 5" xfId="6203" xr:uid="{00000000-0005-0000-0000-00005AB50000}"/>
    <cellStyle name="Normal 7 2 2 4 5 2" xfId="15030" xr:uid="{00000000-0005-0000-0000-00005BB50000}"/>
    <cellStyle name="Normal 7 2 2 4 5 2 2" xfId="40585" xr:uid="{00000000-0005-0000-0000-00005CB50000}"/>
    <cellStyle name="Normal 7 2 2 4 5 3" xfId="25281" xr:uid="{00000000-0005-0000-0000-00005DB50000}"/>
    <cellStyle name="Normal 7 2 2 4 5 3 2" xfId="50834" xr:uid="{00000000-0005-0000-0000-00005EB50000}"/>
    <cellStyle name="Normal 7 2 2 4 5 4" xfId="31764" xr:uid="{00000000-0005-0000-0000-00005FB50000}"/>
    <cellStyle name="Normal 7 2 2 4 6" xfId="7649" xr:uid="{00000000-0005-0000-0000-000060B50000}"/>
    <cellStyle name="Normal 7 2 2 4 6 2" xfId="19833" xr:uid="{00000000-0005-0000-0000-000061B50000}"/>
    <cellStyle name="Normal 7 2 2 4 6 2 2" xfId="45386" xr:uid="{00000000-0005-0000-0000-000062B50000}"/>
    <cellStyle name="Normal 7 2 2 4 6 3" xfId="33206" xr:uid="{00000000-0005-0000-0000-000063B50000}"/>
    <cellStyle name="Normal 7 2 2 4 7" xfId="16344" xr:uid="{00000000-0005-0000-0000-000064B50000}"/>
    <cellStyle name="Normal 7 2 2 4 7 2" xfId="41897" xr:uid="{00000000-0005-0000-0000-000065B50000}"/>
    <cellStyle name="Normal 7 2 2 4 8" xfId="26316" xr:uid="{00000000-0005-0000-0000-000066B50000}"/>
    <cellStyle name="Normal 7 2 2 5" xfId="942" xr:uid="{00000000-0005-0000-0000-000067B50000}"/>
    <cellStyle name="Normal 7 2 2 5 2" xfId="3418" xr:uid="{00000000-0005-0000-0000-000068B50000}"/>
    <cellStyle name="Normal 7 2 2 5 2 2" xfId="12560" xr:uid="{00000000-0005-0000-0000-000069B50000}"/>
    <cellStyle name="Normal 7 2 2 5 2 2 2" xfId="22779" xr:uid="{00000000-0005-0000-0000-00006AB50000}"/>
    <cellStyle name="Normal 7 2 2 5 2 2 2 2" xfId="48332" xr:uid="{00000000-0005-0000-0000-00006BB50000}"/>
    <cellStyle name="Normal 7 2 2 5 2 2 3" xfId="38115" xr:uid="{00000000-0005-0000-0000-00006CB50000}"/>
    <cellStyle name="Normal 7 2 2 5 2 3" xfId="8982" xr:uid="{00000000-0005-0000-0000-00006DB50000}"/>
    <cellStyle name="Normal 7 2 2 5 2 3 2" xfId="34539" xr:uid="{00000000-0005-0000-0000-00006EB50000}"/>
    <cellStyle name="Normal 7 2 2 5 2 4" xfId="17772" xr:uid="{00000000-0005-0000-0000-00006FB50000}"/>
    <cellStyle name="Normal 7 2 2 5 2 4 2" xfId="43325" xr:uid="{00000000-0005-0000-0000-000070B50000}"/>
    <cellStyle name="Normal 7 2 2 5 2 5" xfId="29262" xr:uid="{00000000-0005-0000-0000-000071B50000}"/>
    <cellStyle name="Normal 7 2 2 5 3" xfId="5096" xr:uid="{00000000-0005-0000-0000-000072B50000}"/>
    <cellStyle name="Normal 7 2 2 5 3 2" xfId="13933" xr:uid="{00000000-0005-0000-0000-000073B50000}"/>
    <cellStyle name="Normal 7 2 2 5 3 2 2" xfId="24184" xr:uid="{00000000-0005-0000-0000-000074B50000}"/>
    <cellStyle name="Normal 7 2 2 5 3 2 2 2" xfId="49737" xr:uid="{00000000-0005-0000-0000-000075B50000}"/>
    <cellStyle name="Normal 7 2 2 5 3 2 3" xfId="39488" xr:uid="{00000000-0005-0000-0000-000076B50000}"/>
    <cellStyle name="Normal 7 2 2 5 3 3" xfId="10354" xr:uid="{00000000-0005-0000-0000-000077B50000}"/>
    <cellStyle name="Normal 7 2 2 5 3 3 2" xfId="35911" xr:uid="{00000000-0005-0000-0000-000078B50000}"/>
    <cellStyle name="Normal 7 2 2 5 3 4" xfId="19177" xr:uid="{00000000-0005-0000-0000-000079B50000}"/>
    <cellStyle name="Normal 7 2 2 5 3 4 2" xfId="44730" xr:uid="{00000000-0005-0000-0000-00007AB50000}"/>
    <cellStyle name="Normal 7 2 2 5 3 5" xfId="30667" xr:uid="{00000000-0005-0000-0000-00007BB50000}"/>
    <cellStyle name="Normal 7 2 2 5 4" xfId="2527" xr:uid="{00000000-0005-0000-0000-00007CB50000}"/>
    <cellStyle name="Normal 7 2 2 5 4 2" xfId="11892" xr:uid="{00000000-0005-0000-0000-00007DB50000}"/>
    <cellStyle name="Normal 7 2 2 5 4 2 2" xfId="37447" xr:uid="{00000000-0005-0000-0000-00007EB50000}"/>
    <cellStyle name="Normal 7 2 2 5 4 3" xfId="21896" xr:uid="{00000000-0005-0000-0000-00007FB50000}"/>
    <cellStyle name="Normal 7 2 2 5 4 3 2" xfId="47449" xr:uid="{00000000-0005-0000-0000-000080B50000}"/>
    <cellStyle name="Normal 7 2 2 5 4 4" xfId="28379" xr:uid="{00000000-0005-0000-0000-000081B50000}"/>
    <cellStyle name="Normal 7 2 2 5 5" xfId="6551" xr:uid="{00000000-0005-0000-0000-000082B50000}"/>
    <cellStyle name="Normal 7 2 2 5 5 2" xfId="15378" xr:uid="{00000000-0005-0000-0000-000083B50000}"/>
    <cellStyle name="Normal 7 2 2 5 5 2 2" xfId="40933" xr:uid="{00000000-0005-0000-0000-000084B50000}"/>
    <cellStyle name="Normal 7 2 2 5 5 3" xfId="25629" xr:uid="{00000000-0005-0000-0000-000085B50000}"/>
    <cellStyle name="Normal 7 2 2 5 5 3 2" xfId="51182" xr:uid="{00000000-0005-0000-0000-000086B50000}"/>
    <cellStyle name="Normal 7 2 2 5 5 4" xfId="32112" xr:uid="{00000000-0005-0000-0000-000087B50000}"/>
    <cellStyle name="Normal 7 2 2 5 6" xfId="7997" xr:uid="{00000000-0005-0000-0000-000088B50000}"/>
    <cellStyle name="Normal 7 2 2 5 6 2" xfId="20378" xr:uid="{00000000-0005-0000-0000-000089B50000}"/>
    <cellStyle name="Normal 7 2 2 5 6 2 2" xfId="45931" xr:uid="{00000000-0005-0000-0000-00008AB50000}"/>
    <cellStyle name="Normal 7 2 2 5 6 3" xfId="33554" xr:uid="{00000000-0005-0000-0000-00008BB50000}"/>
    <cellStyle name="Normal 7 2 2 5 7" xfId="16889" xr:uid="{00000000-0005-0000-0000-00008CB50000}"/>
    <cellStyle name="Normal 7 2 2 5 7 2" xfId="42442" xr:uid="{00000000-0005-0000-0000-00008DB50000}"/>
    <cellStyle name="Normal 7 2 2 5 8" xfId="26861" xr:uid="{00000000-0005-0000-0000-00008EB50000}"/>
    <cellStyle name="Normal 7 2 2 6" xfId="1159" xr:uid="{00000000-0005-0000-0000-00008FB50000}"/>
    <cellStyle name="Normal 7 2 2 6 2" xfId="3588" xr:uid="{00000000-0005-0000-0000-000090B50000}"/>
    <cellStyle name="Normal 7 2 2 6 2 2" xfId="12724" xr:uid="{00000000-0005-0000-0000-000091B50000}"/>
    <cellStyle name="Normal 7 2 2 6 2 2 2" xfId="22943" xr:uid="{00000000-0005-0000-0000-000092B50000}"/>
    <cellStyle name="Normal 7 2 2 6 2 2 2 2" xfId="48496" xr:uid="{00000000-0005-0000-0000-000093B50000}"/>
    <cellStyle name="Normal 7 2 2 6 2 2 3" xfId="38279" xr:uid="{00000000-0005-0000-0000-000094B50000}"/>
    <cellStyle name="Normal 7 2 2 6 2 3" xfId="9145" xr:uid="{00000000-0005-0000-0000-000095B50000}"/>
    <cellStyle name="Normal 7 2 2 6 2 3 2" xfId="34702" xr:uid="{00000000-0005-0000-0000-000096B50000}"/>
    <cellStyle name="Normal 7 2 2 6 2 4" xfId="17936" xr:uid="{00000000-0005-0000-0000-000097B50000}"/>
    <cellStyle name="Normal 7 2 2 6 2 4 2" xfId="43489" xr:uid="{00000000-0005-0000-0000-000098B50000}"/>
    <cellStyle name="Normal 7 2 2 6 2 5" xfId="29426" xr:uid="{00000000-0005-0000-0000-000099B50000}"/>
    <cellStyle name="Normal 7 2 2 6 3" xfId="5251" xr:uid="{00000000-0005-0000-0000-00009AB50000}"/>
    <cellStyle name="Normal 7 2 2 6 3 2" xfId="14088" xr:uid="{00000000-0005-0000-0000-00009BB50000}"/>
    <cellStyle name="Normal 7 2 2 6 3 2 2" xfId="24339" xr:uid="{00000000-0005-0000-0000-00009CB50000}"/>
    <cellStyle name="Normal 7 2 2 6 3 2 2 2" xfId="49892" xr:uid="{00000000-0005-0000-0000-00009DB50000}"/>
    <cellStyle name="Normal 7 2 2 6 3 2 3" xfId="39643" xr:uid="{00000000-0005-0000-0000-00009EB50000}"/>
    <cellStyle name="Normal 7 2 2 6 3 3" xfId="10509" xr:uid="{00000000-0005-0000-0000-00009FB50000}"/>
    <cellStyle name="Normal 7 2 2 6 3 3 2" xfId="36066" xr:uid="{00000000-0005-0000-0000-0000A0B50000}"/>
    <cellStyle name="Normal 7 2 2 6 3 4" xfId="19332" xr:uid="{00000000-0005-0000-0000-0000A1B50000}"/>
    <cellStyle name="Normal 7 2 2 6 3 4 2" xfId="44885" xr:uid="{00000000-0005-0000-0000-0000A2B50000}"/>
    <cellStyle name="Normal 7 2 2 6 3 5" xfId="30822" xr:uid="{00000000-0005-0000-0000-0000A3B50000}"/>
    <cellStyle name="Normal 7 2 2 6 4" xfId="1759" xr:uid="{00000000-0005-0000-0000-0000A4B50000}"/>
    <cellStyle name="Normal 7 2 2 6 4 2" xfId="11130" xr:uid="{00000000-0005-0000-0000-0000A5B50000}"/>
    <cellStyle name="Normal 7 2 2 6 4 2 2" xfId="36685" xr:uid="{00000000-0005-0000-0000-0000A6B50000}"/>
    <cellStyle name="Normal 7 2 2 6 4 3" xfId="21134" xr:uid="{00000000-0005-0000-0000-0000A7B50000}"/>
    <cellStyle name="Normal 7 2 2 6 4 3 2" xfId="46687" xr:uid="{00000000-0005-0000-0000-0000A8B50000}"/>
    <cellStyle name="Normal 7 2 2 6 4 4" xfId="27617" xr:uid="{00000000-0005-0000-0000-0000A9B50000}"/>
    <cellStyle name="Normal 7 2 2 6 5" xfId="6706" xr:uid="{00000000-0005-0000-0000-0000AAB50000}"/>
    <cellStyle name="Normal 7 2 2 6 5 2" xfId="15533" xr:uid="{00000000-0005-0000-0000-0000ABB50000}"/>
    <cellStyle name="Normal 7 2 2 6 5 2 2" xfId="41088" xr:uid="{00000000-0005-0000-0000-0000ACB50000}"/>
    <cellStyle name="Normal 7 2 2 6 5 3" xfId="25784" xr:uid="{00000000-0005-0000-0000-0000ADB50000}"/>
    <cellStyle name="Normal 7 2 2 6 5 3 2" xfId="51337" xr:uid="{00000000-0005-0000-0000-0000AEB50000}"/>
    <cellStyle name="Normal 7 2 2 6 5 4" xfId="32267" xr:uid="{00000000-0005-0000-0000-0000AFB50000}"/>
    <cellStyle name="Normal 7 2 2 6 6" xfId="8152" xr:uid="{00000000-0005-0000-0000-0000B0B50000}"/>
    <cellStyle name="Normal 7 2 2 6 6 2" xfId="20542" xr:uid="{00000000-0005-0000-0000-0000B1B50000}"/>
    <cellStyle name="Normal 7 2 2 6 6 2 2" xfId="46095" xr:uid="{00000000-0005-0000-0000-0000B2B50000}"/>
    <cellStyle name="Normal 7 2 2 6 6 3" xfId="33709" xr:uid="{00000000-0005-0000-0000-0000B3B50000}"/>
    <cellStyle name="Normal 7 2 2 6 7" xfId="16127" xr:uid="{00000000-0005-0000-0000-0000B4B50000}"/>
    <cellStyle name="Normal 7 2 2 6 7 2" xfId="41680" xr:uid="{00000000-0005-0000-0000-0000B5B50000}"/>
    <cellStyle name="Normal 7 2 2 6 8" xfId="27025" xr:uid="{00000000-0005-0000-0000-0000B6B50000}"/>
    <cellStyle name="Normal 7 2 2 7" xfId="2656" xr:uid="{00000000-0005-0000-0000-0000B7B50000}"/>
    <cellStyle name="Normal 7 2 2 7 2" xfId="11976" xr:uid="{00000000-0005-0000-0000-0000B8B50000}"/>
    <cellStyle name="Normal 7 2 2 7 2 2" xfId="22017" xr:uid="{00000000-0005-0000-0000-0000B9B50000}"/>
    <cellStyle name="Normal 7 2 2 7 2 2 2" xfId="47570" xr:uid="{00000000-0005-0000-0000-0000BAB50000}"/>
    <cellStyle name="Normal 7 2 2 7 2 3" xfId="37531" xr:uid="{00000000-0005-0000-0000-0000BBB50000}"/>
    <cellStyle name="Normal 7 2 2 7 3" xfId="8569" xr:uid="{00000000-0005-0000-0000-0000BCB50000}"/>
    <cellStyle name="Normal 7 2 2 7 3 2" xfId="34126" xr:uid="{00000000-0005-0000-0000-0000BDB50000}"/>
    <cellStyle name="Normal 7 2 2 7 4" xfId="17010" xr:uid="{00000000-0005-0000-0000-0000BEB50000}"/>
    <cellStyle name="Normal 7 2 2 7 4 2" xfId="42563" xr:uid="{00000000-0005-0000-0000-0000BFB50000}"/>
    <cellStyle name="Normal 7 2 2 7 5" xfId="28500" xr:uid="{00000000-0005-0000-0000-0000C0B50000}"/>
    <cellStyle name="Normal 7 2 2 8" xfId="4207" xr:uid="{00000000-0005-0000-0000-0000C1B50000}"/>
    <cellStyle name="Normal 7 2 2 8 2" xfId="13045" xr:uid="{00000000-0005-0000-0000-0000C2B50000}"/>
    <cellStyle name="Normal 7 2 2 8 2 2" xfId="23296" xr:uid="{00000000-0005-0000-0000-0000C3B50000}"/>
    <cellStyle name="Normal 7 2 2 8 2 2 2" xfId="48849" xr:uid="{00000000-0005-0000-0000-0000C4B50000}"/>
    <cellStyle name="Normal 7 2 2 8 2 3" xfId="38600" xr:uid="{00000000-0005-0000-0000-0000C5B50000}"/>
    <cellStyle name="Normal 7 2 2 8 3" xfId="9466" xr:uid="{00000000-0005-0000-0000-0000C6B50000}"/>
    <cellStyle name="Normal 7 2 2 8 3 2" xfId="35023" xr:uid="{00000000-0005-0000-0000-0000C7B50000}"/>
    <cellStyle name="Normal 7 2 2 8 4" xfId="18289" xr:uid="{00000000-0005-0000-0000-0000C8B50000}"/>
    <cellStyle name="Normal 7 2 2 8 4 2" xfId="43842" xr:uid="{00000000-0005-0000-0000-0000C9B50000}"/>
    <cellStyle name="Normal 7 2 2 8 5" xfId="29779" xr:uid="{00000000-0005-0000-0000-0000CAB50000}"/>
    <cellStyle name="Normal 7 2 2 9" xfId="1479" xr:uid="{00000000-0005-0000-0000-0000CBB50000}"/>
    <cellStyle name="Normal 7 2 2 9 2" xfId="10856" xr:uid="{00000000-0005-0000-0000-0000CCB50000}"/>
    <cellStyle name="Normal 7 2 2 9 2 2" xfId="36411" xr:uid="{00000000-0005-0000-0000-0000CDB50000}"/>
    <cellStyle name="Normal 7 2 2 9 3" xfId="20860" xr:uid="{00000000-0005-0000-0000-0000CEB50000}"/>
    <cellStyle name="Normal 7 2 2 9 3 2" xfId="46413" xr:uid="{00000000-0005-0000-0000-0000CFB50000}"/>
    <cellStyle name="Normal 7 2 2 9 4" xfId="27343" xr:uid="{00000000-0005-0000-0000-0000D0B50000}"/>
    <cellStyle name="Normal 7 2 2_Degree data" xfId="4048" xr:uid="{00000000-0005-0000-0000-0000D1B50000}"/>
    <cellStyle name="Normal 7 2 3" xfId="204" xr:uid="{00000000-0005-0000-0000-0000D2B50000}"/>
    <cellStyle name="Normal 7 2 3 10" xfId="7150" xr:uid="{00000000-0005-0000-0000-0000D3B50000}"/>
    <cellStyle name="Normal 7 2 3 10 2" xfId="19659" xr:uid="{00000000-0005-0000-0000-0000D4B50000}"/>
    <cellStyle name="Normal 7 2 3 10 2 2" xfId="45212" xr:uid="{00000000-0005-0000-0000-0000D5B50000}"/>
    <cellStyle name="Normal 7 2 3 10 3" xfId="32707" xr:uid="{00000000-0005-0000-0000-0000D6B50000}"/>
    <cellStyle name="Normal 7 2 3 11" xfId="15896" xr:uid="{00000000-0005-0000-0000-0000D7B50000}"/>
    <cellStyle name="Normal 7 2 3 11 2" xfId="41449" xr:uid="{00000000-0005-0000-0000-0000D8B50000}"/>
    <cellStyle name="Normal 7 2 3 12" xfId="26142" xr:uid="{00000000-0005-0000-0000-0000D9B50000}"/>
    <cellStyle name="Normal 7 2 3 2" xfId="530" xr:uid="{00000000-0005-0000-0000-0000DAB50000}"/>
    <cellStyle name="Normal 7 2 3 2 10" xfId="26459" xr:uid="{00000000-0005-0000-0000-0000DBB50000}"/>
    <cellStyle name="Normal 7 2 3 2 2" xfId="946" xr:uid="{00000000-0005-0000-0000-0000DCB50000}"/>
    <cellStyle name="Normal 7 2 3 2 2 2" xfId="3422" xr:uid="{00000000-0005-0000-0000-0000DDB50000}"/>
    <cellStyle name="Normal 7 2 3 2 2 2 2" xfId="12564" xr:uid="{00000000-0005-0000-0000-0000DEB50000}"/>
    <cellStyle name="Normal 7 2 3 2 2 2 2 2" xfId="22783" xr:uid="{00000000-0005-0000-0000-0000DFB50000}"/>
    <cellStyle name="Normal 7 2 3 2 2 2 2 2 2" xfId="48336" xr:uid="{00000000-0005-0000-0000-0000E0B50000}"/>
    <cellStyle name="Normal 7 2 3 2 2 2 2 3" xfId="38119" xr:uid="{00000000-0005-0000-0000-0000E1B50000}"/>
    <cellStyle name="Normal 7 2 3 2 2 2 3" xfId="8986" xr:uid="{00000000-0005-0000-0000-0000E2B50000}"/>
    <cellStyle name="Normal 7 2 3 2 2 2 3 2" xfId="34543" xr:uid="{00000000-0005-0000-0000-0000E3B50000}"/>
    <cellStyle name="Normal 7 2 3 2 2 2 4" xfId="17776" xr:uid="{00000000-0005-0000-0000-0000E4B50000}"/>
    <cellStyle name="Normal 7 2 3 2 2 2 4 2" xfId="43329" xr:uid="{00000000-0005-0000-0000-0000E5B50000}"/>
    <cellStyle name="Normal 7 2 3 2 2 2 5" xfId="29266" xr:uid="{00000000-0005-0000-0000-0000E6B50000}"/>
    <cellStyle name="Normal 7 2 3 2 2 3" xfId="4752" xr:uid="{00000000-0005-0000-0000-0000E7B50000}"/>
    <cellStyle name="Normal 7 2 3 2 2 3 2" xfId="13589" xr:uid="{00000000-0005-0000-0000-0000E8B50000}"/>
    <cellStyle name="Normal 7 2 3 2 2 3 2 2" xfId="23840" xr:uid="{00000000-0005-0000-0000-0000E9B50000}"/>
    <cellStyle name="Normal 7 2 3 2 2 3 2 2 2" xfId="49393" xr:uid="{00000000-0005-0000-0000-0000EAB50000}"/>
    <cellStyle name="Normal 7 2 3 2 2 3 2 3" xfId="39144" xr:uid="{00000000-0005-0000-0000-0000EBB50000}"/>
    <cellStyle name="Normal 7 2 3 2 2 3 3" xfId="10010" xr:uid="{00000000-0005-0000-0000-0000ECB50000}"/>
    <cellStyle name="Normal 7 2 3 2 2 3 3 2" xfId="35567" xr:uid="{00000000-0005-0000-0000-0000EDB50000}"/>
    <cellStyle name="Normal 7 2 3 2 2 3 4" xfId="18833" xr:uid="{00000000-0005-0000-0000-0000EEB50000}"/>
    <cellStyle name="Normal 7 2 3 2 2 3 4 2" xfId="44386" xr:uid="{00000000-0005-0000-0000-0000EFB50000}"/>
    <cellStyle name="Normal 7 2 3 2 2 3 5" xfId="30323" xr:uid="{00000000-0005-0000-0000-0000F0B50000}"/>
    <cellStyle name="Normal 7 2 3 2 2 4" xfId="2531" xr:uid="{00000000-0005-0000-0000-0000F1B50000}"/>
    <cellStyle name="Normal 7 2 3 2 2 4 2" xfId="11896" xr:uid="{00000000-0005-0000-0000-0000F2B50000}"/>
    <cellStyle name="Normal 7 2 3 2 2 4 2 2" xfId="37451" xr:uid="{00000000-0005-0000-0000-0000F3B50000}"/>
    <cellStyle name="Normal 7 2 3 2 2 4 3" xfId="21900" xr:uid="{00000000-0005-0000-0000-0000F4B50000}"/>
    <cellStyle name="Normal 7 2 3 2 2 4 3 2" xfId="47453" xr:uid="{00000000-0005-0000-0000-0000F5B50000}"/>
    <cellStyle name="Normal 7 2 3 2 2 4 4" xfId="28383" xr:uid="{00000000-0005-0000-0000-0000F6B50000}"/>
    <cellStyle name="Normal 7 2 3 2 2 5" xfId="6207" xr:uid="{00000000-0005-0000-0000-0000F7B50000}"/>
    <cellStyle name="Normal 7 2 3 2 2 5 2" xfId="15034" xr:uid="{00000000-0005-0000-0000-0000F8B50000}"/>
    <cellStyle name="Normal 7 2 3 2 2 5 2 2" xfId="40589" xr:uid="{00000000-0005-0000-0000-0000F9B50000}"/>
    <cellStyle name="Normal 7 2 3 2 2 5 3" xfId="25285" xr:uid="{00000000-0005-0000-0000-0000FAB50000}"/>
    <cellStyle name="Normal 7 2 3 2 2 5 3 2" xfId="50838" xr:uid="{00000000-0005-0000-0000-0000FBB50000}"/>
    <cellStyle name="Normal 7 2 3 2 2 5 4" xfId="31768" xr:uid="{00000000-0005-0000-0000-0000FCB50000}"/>
    <cellStyle name="Normal 7 2 3 2 2 6" xfId="7653" xr:uid="{00000000-0005-0000-0000-0000FDB50000}"/>
    <cellStyle name="Normal 7 2 3 2 2 6 2" xfId="20382" xr:uid="{00000000-0005-0000-0000-0000FEB50000}"/>
    <cellStyle name="Normal 7 2 3 2 2 6 2 2" xfId="45935" xr:uid="{00000000-0005-0000-0000-0000FFB50000}"/>
    <cellStyle name="Normal 7 2 3 2 2 6 3" xfId="33210" xr:uid="{00000000-0005-0000-0000-000000B60000}"/>
    <cellStyle name="Normal 7 2 3 2 2 7" xfId="16893" xr:uid="{00000000-0005-0000-0000-000001B60000}"/>
    <cellStyle name="Normal 7 2 3 2 2 7 2" xfId="42446" xr:uid="{00000000-0005-0000-0000-000002B60000}"/>
    <cellStyle name="Normal 7 2 3 2 2 8" xfId="26865" xr:uid="{00000000-0005-0000-0000-000003B60000}"/>
    <cellStyle name="Normal 7 2 3 2 3" xfId="1302" xr:uid="{00000000-0005-0000-0000-000004B60000}"/>
    <cellStyle name="Normal 7 2 3 2 3 2" xfId="3731" xr:uid="{00000000-0005-0000-0000-000005B60000}"/>
    <cellStyle name="Normal 7 2 3 2 3 2 2" xfId="12867" xr:uid="{00000000-0005-0000-0000-000006B60000}"/>
    <cellStyle name="Normal 7 2 3 2 3 2 2 2" xfId="23086" xr:uid="{00000000-0005-0000-0000-000007B60000}"/>
    <cellStyle name="Normal 7 2 3 2 3 2 2 2 2" xfId="48639" xr:uid="{00000000-0005-0000-0000-000008B60000}"/>
    <cellStyle name="Normal 7 2 3 2 3 2 2 3" xfId="38422" xr:uid="{00000000-0005-0000-0000-000009B60000}"/>
    <cellStyle name="Normal 7 2 3 2 3 2 3" xfId="9288" xr:uid="{00000000-0005-0000-0000-00000AB60000}"/>
    <cellStyle name="Normal 7 2 3 2 3 2 3 2" xfId="34845" xr:uid="{00000000-0005-0000-0000-00000BB60000}"/>
    <cellStyle name="Normal 7 2 3 2 3 2 4" xfId="18079" xr:uid="{00000000-0005-0000-0000-00000CB60000}"/>
    <cellStyle name="Normal 7 2 3 2 3 2 4 2" xfId="43632" xr:uid="{00000000-0005-0000-0000-00000DB60000}"/>
    <cellStyle name="Normal 7 2 3 2 3 2 5" xfId="29569" xr:uid="{00000000-0005-0000-0000-00000EB60000}"/>
    <cellStyle name="Normal 7 2 3 2 3 3" xfId="5100" xr:uid="{00000000-0005-0000-0000-00000FB60000}"/>
    <cellStyle name="Normal 7 2 3 2 3 3 2" xfId="13937" xr:uid="{00000000-0005-0000-0000-000010B60000}"/>
    <cellStyle name="Normal 7 2 3 2 3 3 2 2" xfId="24188" xr:uid="{00000000-0005-0000-0000-000011B60000}"/>
    <cellStyle name="Normal 7 2 3 2 3 3 2 2 2" xfId="49741" xr:uid="{00000000-0005-0000-0000-000012B60000}"/>
    <cellStyle name="Normal 7 2 3 2 3 3 2 3" xfId="39492" xr:uid="{00000000-0005-0000-0000-000013B60000}"/>
    <cellStyle name="Normal 7 2 3 2 3 3 3" xfId="10358" xr:uid="{00000000-0005-0000-0000-000014B60000}"/>
    <cellStyle name="Normal 7 2 3 2 3 3 3 2" xfId="35915" xr:uid="{00000000-0005-0000-0000-000015B60000}"/>
    <cellStyle name="Normal 7 2 3 2 3 3 4" xfId="19181" xr:uid="{00000000-0005-0000-0000-000016B60000}"/>
    <cellStyle name="Normal 7 2 3 2 3 3 4 2" xfId="44734" xr:uid="{00000000-0005-0000-0000-000017B60000}"/>
    <cellStyle name="Normal 7 2 3 2 3 3 5" xfId="30671" xr:uid="{00000000-0005-0000-0000-000018B60000}"/>
    <cellStyle name="Normal 7 2 3 2 3 4" xfId="2125" xr:uid="{00000000-0005-0000-0000-000019B60000}"/>
    <cellStyle name="Normal 7 2 3 2 3 4 2" xfId="11490" xr:uid="{00000000-0005-0000-0000-00001AB60000}"/>
    <cellStyle name="Normal 7 2 3 2 3 4 2 2" xfId="37045" xr:uid="{00000000-0005-0000-0000-00001BB60000}"/>
    <cellStyle name="Normal 7 2 3 2 3 4 3" xfId="21494" xr:uid="{00000000-0005-0000-0000-00001CB60000}"/>
    <cellStyle name="Normal 7 2 3 2 3 4 3 2" xfId="47047" xr:uid="{00000000-0005-0000-0000-00001DB60000}"/>
    <cellStyle name="Normal 7 2 3 2 3 4 4" xfId="27977" xr:uid="{00000000-0005-0000-0000-00001EB60000}"/>
    <cellStyle name="Normal 7 2 3 2 3 5" xfId="6555" xr:uid="{00000000-0005-0000-0000-00001FB60000}"/>
    <cellStyle name="Normal 7 2 3 2 3 5 2" xfId="15382" xr:uid="{00000000-0005-0000-0000-000020B60000}"/>
    <cellStyle name="Normal 7 2 3 2 3 5 2 2" xfId="40937" xr:uid="{00000000-0005-0000-0000-000021B60000}"/>
    <cellStyle name="Normal 7 2 3 2 3 5 3" xfId="25633" xr:uid="{00000000-0005-0000-0000-000022B60000}"/>
    <cellStyle name="Normal 7 2 3 2 3 5 3 2" xfId="51186" xr:uid="{00000000-0005-0000-0000-000023B60000}"/>
    <cellStyle name="Normal 7 2 3 2 3 5 4" xfId="32116" xr:uid="{00000000-0005-0000-0000-000024B60000}"/>
    <cellStyle name="Normal 7 2 3 2 3 6" xfId="8001" xr:uid="{00000000-0005-0000-0000-000025B60000}"/>
    <cellStyle name="Normal 7 2 3 2 3 6 2" xfId="20685" xr:uid="{00000000-0005-0000-0000-000026B60000}"/>
    <cellStyle name="Normal 7 2 3 2 3 6 2 2" xfId="46238" xr:uid="{00000000-0005-0000-0000-000027B60000}"/>
    <cellStyle name="Normal 7 2 3 2 3 6 3" xfId="33558" xr:uid="{00000000-0005-0000-0000-000028B60000}"/>
    <cellStyle name="Normal 7 2 3 2 3 7" xfId="16487" xr:uid="{00000000-0005-0000-0000-000029B60000}"/>
    <cellStyle name="Normal 7 2 3 2 3 7 2" xfId="42040" xr:uid="{00000000-0005-0000-0000-00002AB60000}"/>
    <cellStyle name="Normal 7 2 3 2 3 8" xfId="27168" xr:uid="{00000000-0005-0000-0000-00002BB60000}"/>
    <cellStyle name="Normal 7 2 3 2 4" xfId="3016" xr:uid="{00000000-0005-0000-0000-00002CB60000}"/>
    <cellStyle name="Normal 7 2 3 2 4 2" xfId="5394" xr:uid="{00000000-0005-0000-0000-00002DB60000}"/>
    <cellStyle name="Normal 7 2 3 2 4 2 2" xfId="14231" xr:uid="{00000000-0005-0000-0000-00002EB60000}"/>
    <cellStyle name="Normal 7 2 3 2 4 2 2 2" xfId="24482" xr:uid="{00000000-0005-0000-0000-00002FB60000}"/>
    <cellStyle name="Normal 7 2 3 2 4 2 2 2 2" xfId="50035" xr:uid="{00000000-0005-0000-0000-000030B60000}"/>
    <cellStyle name="Normal 7 2 3 2 4 2 2 3" xfId="39786" xr:uid="{00000000-0005-0000-0000-000031B60000}"/>
    <cellStyle name="Normal 7 2 3 2 4 2 3" xfId="10652" xr:uid="{00000000-0005-0000-0000-000032B60000}"/>
    <cellStyle name="Normal 7 2 3 2 4 2 3 2" xfId="36209" xr:uid="{00000000-0005-0000-0000-000033B60000}"/>
    <cellStyle name="Normal 7 2 3 2 4 2 4" xfId="19475" xr:uid="{00000000-0005-0000-0000-000034B60000}"/>
    <cellStyle name="Normal 7 2 3 2 4 2 4 2" xfId="45028" xr:uid="{00000000-0005-0000-0000-000035B60000}"/>
    <cellStyle name="Normal 7 2 3 2 4 2 5" xfId="30965" xr:uid="{00000000-0005-0000-0000-000036B60000}"/>
    <cellStyle name="Normal 7 2 3 2 4 3" xfId="6849" xr:uid="{00000000-0005-0000-0000-000037B60000}"/>
    <cellStyle name="Normal 7 2 3 2 4 3 2" xfId="15676" xr:uid="{00000000-0005-0000-0000-000038B60000}"/>
    <cellStyle name="Normal 7 2 3 2 4 3 2 2" xfId="41231" xr:uid="{00000000-0005-0000-0000-000039B60000}"/>
    <cellStyle name="Normal 7 2 3 2 4 3 3" xfId="25927" xr:uid="{00000000-0005-0000-0000-00003AB60000}"/>
    <cellStyle name="Normal 7 2 3 2 4 3 3 2" xfId="51480" xr:uid="{00000000-0005-0000-0000-00003BB60000}"/>
    <cellStyle name="Normal 7 2 3 2 4 3 4" xfId="32410" xr:uid="{00000000-0005-0000-0000-00003CB60000}"/>
    <cellStyle name="Normal 7 2 3 2 4 4" xfId="8295" xr:uid="{00000000-0005-0000-0000-00003DB60000}"/>
    <cellStyle name="Normal 7 2 3 2 4 4 2" xfId="22377" xr:uid="{00000000-0005-0000-0000-00003EB60000}"/>
    <cellStyle name="Normal 7 2 3 2 4 4 2 2" xfId="47930" xr:uid="{00000000-0005-0000-0000-00003FB60000}"/>
    <cellStyle name="Normal 7 2 3 2 4 4 3" xfId="33852" xr:uid="{00000000-0005-0000-0000-000040B60000}"/>
    <cellStyle name="Normal 7 2 3 2 4 5" xfId="17370" xr:uid="{00000000-0005-0000-0000-000041B60000}"/>
    <cellStyle name="Normal 7 2 3 2 4 5 2" xfId="42923" xr:uid="{00000000-0005-0000-0000-000042B60000}"/>
    <cellStyle name="Normal 7 2 3 2 4 6" xfId="28860" xr:uid="{00000000-0005-0000-0000-000043B60000}"/>
    <cellStyle name="Normal 7 2 3 2 5" xfId="4350" xr:uid="{00000000-0005-0000-0000-000044B60000}"/>
    <cellStyle name="Normal 7 2 3 2 5 2" xfId="13188" xr:uid="{00000000-0005-0000-0000-000045B60000}"/>
    <cellStyle name="Normal 7 2 3 2 5 2 2" xfId="23439" xr:uid="{00000000-0005-0000-0000-000046B60000}"/>
    <cellStyle name="Normal 7 2 3 2 5 2 2 2" xfId="48992" xr:uid="{00000000-0005-0000-0000-000047B60000}"/>
    <cellStyle name="Normal 7 2 3 2 5 2 3" xfId="38743" xr:uid="{00000000-0005-0000-0000-000048B60000}"/>
    <cellStyle name="Normal 7 2 3 2 5 3" xfId="9609" xr:uid="{00000000-0005-0000-0000-000049B60000}"/>
    <cellStyle name="Normal 7 2 3 2 5 3 2" xfId="35166" xr:uid="{00000000-0005-0000-0000-00004AB60000}"/>
    <cellStyle name="Normal 7 2 3 2 5 4" xfId="18432" xr:uid="{00000000-0005-0000-0000-00004BB60000}"/>
    <cellStyle name="Normal 7 2 3 2 5 4 2" xfId="43985" xr:uid="{00000000-0005-0000-0000-00004CB60000}"/>
    <cellStyle name="Normal 7 2 3 2 5 5" xfId="29922" xr:uid="{00000000-0005-0000-0000-00004DB60000}"/>
    <cellStyle name="Normal 7 2 3 2 6" xfId="1622" xr:uid="{00000000-0005-0000-0000-00004EB60000}"/>
    <cellStyle name="Normal 7 2 3 2 6 2" xfId="10999" xr:uid="{00000000-0005-0000-0000-00004FB60000}"/>
    <cellStyle name="Normal 7 2 3 2 6 2 2" xfId="36554" xr:uid="{00000000-0005-0000-0000-000050B60000}"/>
    <cellStyle name="Normal 7 2 3 2 6 3" xfId="21003" xr:uid="{00000000-0005-0000-0000-000051B60000}"/>
    <cellStyle name="Normal 7 2 3 2 6 3 2" xfId="46556" xr:uid="{00000000-0005-0000-0000-000052B60000}"/>
    <cellStyle name="Normal 7 2 3 2 6 4" xfId="27486" xr:uid="{00000000-0005-0000-0000-000053B60000}"/>
    <cellStyle name="Normal 7 2 3 2 7" xfId="5806" xr:uid="{00000000-0005-0000-0000-000054B60000}"/>
    <cellStyle name="Normal 7 2 3 2 7 2" xfId="14633" xr:uid="{00000000-0005-0000-0000-000055B60000}"/>
    <cellStyle name="Normal 7 2 3 2 7 2 2" xfId="40188" xr:uid="{00000000-0005-0000-0000-000056B60000}"/>
    <cellStyle name="Normal 7 2 3 2 7 3" xfId="24884" xr:uid="{00000000-0005-0000-0000-000057B60000}"/>
    <cellStyle name="Normal 7 2 3 2 7 3 2" xfId="50437" xr:uid="{00000000-0005-0000-0000-000058B60000}"/>
    <cellStyle name="Normal 7 2 3 2 7 4" xfId="31367" xr:uid="{00000000-0005-0000-0000-000059B60000}"/>
    <cellStyle name="Normal 7 2 3 2 8" xfId="7250" xr:uid="{00000000-0005-0000-0000-00005AB60000}"/>
    <cellStyle name="Normal 7 2 3 2 8 2" xfId="19976" xr:uid="{00000000-0005-0000-0000-00005BB60000}"/>
    <cellStyle name="Normal 7 2 3 2 8 2 2" xfId="45529" xr:uid="{00000000-0005-0000-0000-00005CB60000}"/>
    <cellStyle name="Normal 7 2 3 2 8 3" xfId="32807" xr:uid="{00000000-0005-0000-0000-00005DB60000}"/>
    <cellStyle name="Normal 7 2 3 2 9" xfId="15996" xr:uid="{00000000-0005-0000-0000-00005EB60000}"/>
    <cellStyle name="Normal 7 2 3 2 9 2" xfId="41549" xr:uid="{00000000-0005-0000-0000-00005FB60000}"/>
    <cellStyle name="Normal 7 2 3 2_Degree data" xfId="4052" xr:uid="{00000000-0005-0000-0000-000060B60000}"/>
    <cellStyle name="Normal 7 2 3 3" xfId="430" xr:uid="{00000000-0005-0000-0000-000061B60000}"/>
    <cellStyle name="Normal 7 2 3 3 2" xfId="2916" xr:uid="{00000000-0005-0000-0000-000062B60000}"/>
    <cellStyle name="Normal 7 2 3 3 2 2" xfId="12204" xr:uid="{00000000-0005-0000-0000-000063B60000}"/>
    <cellStyle name="Normal 7 2 3 3 2 2 2" xfId="22277" xr:uid="{00000000-0005-0000-0000-000064B60000}"/>
    <cellStyle name="Normal 7 2 3 3 2 2 2 2" xfId="47830" xr:uid="{00000000-0005-0000-0000-000065B60000}"/>
    <cellStyle name="Normal 7 2 3 3 2 2 3" xfId="37759" xr:uid="{00000000-0005-0000-0000-000066B60000}"/>
    <cellStyle name="Normal 7 2 3 3 2 3" xfId="8581" xr:uid="{00000000-0005-0000-0000-000067B60000}"/>
    <cellStyle name="Normal 7 2 3 3 2 3 2" xfId="34138" xr:uid="{00000000-0005-0000-0000-000068B60000}"/>
    <cellStyle name="Normal 7 2 3 3 2 4" xfId="17270" xr:uid="{00000000-0005-0000-0000-000069B60000}"/>
    <cellStyle name="Normal 7 2 3 3 2 4 2" xfId="42823" xr:uid="{00000000-0005-0000-0000-00006AB60000}"/>
    <cellStyle name="Normal 7 2 3 3 2 5" xfId="28760" xr:uid="{00000000-0005-0000-0000-00006BB60000}"/>
    <cellStyle name="Normal 7 2 3 3 3" xfId="4751" xr:uid="{00000000-0005-0000-0000-00006CB60000}"/>
    <cellStyle name="Normal 7 2 3 3 3 2" xfId="13588" xr:uid="{00000000-0005-0000-0000-00006DB60000}"/>
    <cellStyle name="Normal 7 2 3 3 3 2 2" xfId="23839" xr:uid="{00000000-0005-0000-0000-00006EB60000}"/>
    <cellStyle name="Normal 7 2 3 3 3 2 2 2" xfId="49392" xr:uid="{00000000-0005-0000-0000-00006FB60000}"/>
    <cellStyle name="Normal 7 2 3 3 3 2 3" xfId="39143" xr:uid="{00000000-0005-0000-0000-000070B60000}"/>
    <cellStyle name="Normal 7 2 3 3 3 3" xfId="10009" xr:uid="{00000000-0005-0000-0000-000071B60000}"/>
    <cellStyle name="Normal 7 2 3 3 3 3 2" xfId="35566" xr:uid="{00000000-0005-0000-0000-000072B60000}"/>
    <cellStyle name="Normal 7 2 3 3 3 4" xfId="18832" xr:uid="{00000000-0005-0000-0000-000073B60000}"/>
    <cellStyle name="Normal 7 2 3 3 3 4 2" xfId="44385" xr:uid="{00000000-0005-0000-0000-000074B60000}"/>
    <cellStyle name="Normal 7 2 3 3 3 5" xfId="30322" xr:uid="{00000000-0005-0000-0000-000075B60000}"/>
    <cellStyle name="Normal 7 2 3 3 4" xfId="2025" xr:uid="{00000000-0005-0000-0000-000076B60000}"/>
    <cellStyle name="Normal 7 2 3 3 4 2" xfId="11390" xr:uid="{00000000-0005-0000-0000-000077B60000}"/>
    <cellStyle name="Normal 7 2 3 3 4 2 2" xfId="36945" xr:uid="{00000000-0005-0000-0000-000078B60000}"/>
    <cellStyle name="Normal 7 2 3 3 4 3" xfId="21394" xr:uid="{00000000-0005-0000-0000-000079B60000}"/>
    <cellStyle name="Normal 7 2 3 3 4 3 2" xfId="46947" xr:uid="{00000000-0005-0000-0000-00007AB60000}"/>
    <cellStyle name="Normal 7 2 3 3 4 4" xfId="27877" xr:uid="{00000000-0005-0000-0000-00007BB60000}"/>
    <cellStyle name="Normal 7 2 3 3 5" xfId="6206" xr:uid="{00000000-0005-0000-0000-00007CB60000}"/>
    <cellStyle name="Normal 7 2 3 3 5 2" xfId="15033" xr:uid="{00000000-0005-0000-0000-00007DB60000}"/>
    <cellStyle name="Normal 7 2 3 3 5 2 2" xfId="40588" xr:uid="{00000000-0005-0000-0000-00007EB60000}"/>
    <cellStyle name="Normal 7 2 3 3 5 3" xfId="25284" xr:uid="{00000000-0005-0000-0000-00007FB60000}"/>
    <cellStyle name="Normal 7 2 3 3 5 3 2" xfId="50837" xr:uid="{00000000-0005-0000-0000-000080B60000}"/>
    <cellStyle name="Normal 7 2 3 3 5 4" xfId="31767" xr:uid="{00000000-0005-0000-0000-000081B60000}"/>
    <cellStyle name="Normal 7 2 3 3 6" xfId="7652" xr:uid="{00000000-0005-0000-0000-000082B60000}"/>
    <cellStyle name="Normal 7 2 3 3 6 2" xfId="19876" xr:uid="{00000000-0005-0000-0000-000083B60000}"/>
    <cellStyle name="Normal 7 2 3 3 6 2 2" xfId="45429" xr:uid="{00000000-0005-0000-0000-000084B60000}"/>
    <cellStyle name="Normal 7 2 3 3 6 3" xfId="33209" xr:uid="{00000000-0005-0000-0000-000085B60000}"/>
    <cellStyle name="Normal 7 2 3 3 7" xfId="16387" xr:uid="{00000000-0005-0000-0000-000086B60000}"/>
    <cellStyle name="Normal 7 2 3 3 7 2" xfId="41940" xr:uid="{00000000-0005-0000-0000-000087B60000}"/>
    <cellStyle name="Normal 7 2 3 3 8" xfId="26359" xr:uid="{00000000-0005-0000-0000-000088B60000}"/>
    <cellStyle name="Normal 7 2 3 4" xfId="945" xr:uid="{00000000-0005-0000-0000-000089B60000}"/>
    <cellStyle name="Normal 7 2 3 4 2" xfId="3421" xr:uid="{00000000-0005-0000-0000-00008AB60000}"/>
    <cellStyle name="Normal 7 2 3 4 2 2" xfId="12563" xr:uid="{00000000-0005-0000-0000-00008BB60000}"/>
    <cellStyle name="Normal 7 2 3 4 2 2 2" xfId="22782" xr:uid="{00000000-0005-0000-0000-00008CB60000}"/>
    <cellStyle name="Normal 7 2 3 4 2 2 2 2" xfId="48335" xr:uid="{00000000-0005-0000-0000-00008DB60000}"/>
    <cellStyle name="Normal 7 2 3 4 2 2 3" xfId="38118" xr:uid="{00000000-0005-0000-0000-00008EB60000}"/>
    <cellStyle name="Normal 7 2 3 4 2 3" xfId="8985" xr:uid="{00000000-0005-0000-0000-00008FB60000}"/>
    <cellStyle name="Normal 7 2 3 4 2 3 2" xfId="34542" xr:uid="{00000000-0005-0000-0000-000090B60000}"/>
    <cellStyle name="Normal 7 2 3 4 2 4" xfId="17775" xr:uid="{00000000-0005-0000-0000-000091B60000}"/>
    <cellStyle name="Normal 7 2 3 4 2 4 2" xfId="43328" xr:uid="{00000000-0005-0000-0000-000092B60000}"/>
    <cellStyle name="Normal 7 2 3 4 2 5" xfId="29265" xr:uid="{00000000-0005-0000-0000-000093B60000}"/>
    <cellStyle name="Normal 7 2 3 4 3" xfId="5099" xr:uid="{00000000-0005-0000-0000-000094B60000}"/>
    <cellStyle name="Normal 7 2 3 4 3 2" xfId="13936" xr:uid="{00000000-0005-0000-0000-000095B60000}"/>
    <cellStyle name="Normal 7 2 3 4 3 2 2" xfId="24187" xr:uid="{00000000-0005-0000-0000-000096B60000}"/>
    <cellStyle name="Normal 7 2 3 4 3 2 2 2" xfId="49740" xr:uid="{00000000-0005-0000-0000-000097B60000}"/>
    <cellStyle name="Normal 7 2 3 4 3 2 3" xfId="39491" xr:uid="{00000000-0005-0000-0000-000098B60000}"/>
    <cellStyle name="Normal 7 2 3 4 3 3" xfId="10357" xr:uid="{00000000-0005-0000-0000-000099B60000}"/>
    <cellStyle name="Normal 7 2 3 4 3 3 2" xfId="35914" xr:uid="{00000000-0005-0000-0000-00009AB60000}"/>
    <cellStyle name="Normal 7 2 3 4 3 4" xfId="19180" xr:uid="{00000000-0005-0000-0000-00009BB60000}"/>
    <cellStyle name="Normal 7 2 3 4 3 4 2" xfId="44733" xr:uid="{00000000-0005-0000-0000-00009CB60000}"/>
    <cellStyle name="Normal 7 2 3 4 3 5" xfId="30670" xr:uid="{00000000-0005-0000-0000-00009DB60000}"/>
    <cellStyle name="Normal 7 2 3 4 4" xfId="2530" xr:uid="{00000000-0005-0000-0000-00009EB60000}"/>
    <cellStyle name="Normal 7 2 3 4 4 2" xfId="11895" xr:uid="{00000000-0005-0000-0000-00009FB60000}"/>
    <cellStyle name="Normal 7 2 3 4 4 2 2" xfId="37450" xr:uid="{00000000-0005-0000-0000-0000A0B60000}"/>
    <cellStyle name="Normal 7 2 3 4 4 3" xfId="21899" xr:uid="{00000000-0005-0000-0000-0000A1B60000}"/>
    <cellStyle name="Normal 7 2 3 4 4 3 2" xfId="47452" xr:uid="{00000000-0005-0000-0000-0000A2B60000}"/>
    <cellStyle name="Normal 7 2 3 4 4 4" xfId="28382" xr:uid="{00000000-0005-0000-0000-0000A3B60000}"/>
    <cellStyle name="Normal 7 2 3 4 5" xfId="6554" xr:uid="{00000000-0005-0000-0000-0000A4B60000}"/>
    <cellStyle name="Normal 7 2 3 4 5 2" xfId="15381" xr:uid="{00000000-0005-0000-0000-0000A5B60000}"/>
    <cellStyle name="Normal 7 2 3 4 5 2 2" xfId="40936" xr:uid="{00000000-0005-0000-0000-0000A6B60000}"/>
    <cellStyle name="Normal 7 2 3 4 5 3" xfId="25632" xr:uid="{00000000-0005-0000-0000-0000A7B60000}"/>
    <cellStyle name="Normal 7 2 3 4 5 3 2" xfId="51185" xr:uid="{00000000-0005-0000-0000-0000A8B60000}"/>
    <cellStyle name="Normal 7 2 3 4 5 4" xfId="32115" xr:uid="{00000000-0005-0000-0000-0000A9B60000}"/>
    <cellStyle name="Normal 7 2 3 4 6" xfId="8000" xr:uid="{00000000-0005-0000-0000-0000AAB60000}"/>
    <cellStyle name="Normal 7 2 3 4 6 2" xfId="20381" xr:uid="{00000000-0005-0000-0000-0000ABB60000}"/>
    <cellStyle name="Normal 7 2 3 4 6 2 2" xfId="45934" xr:uid="{00000000-0005-0000-0000-0000ACB60000}"/>
    <cellStyle name="Normal 7 2 3 4 6 3" xfId="33557" xr:uid="{00000000-0005-0000-0000-0000ADB60000}"/>
    <cellStyle name="Normal 7 2 3 4 7" xfId="16892" xr:uid="{00000000-0005-0000-0000-0000AEB60000}"/>
    <cellStyle name="Normal 7 2 3 4 7 2" xfId="42445" xr:uid="{00000000-0005-0000-0000-0000AFB60000}"/>
    <cellStyle name="Normal 7 2 3 4 8" xfId="26864" xr:uid="{00000000-0005-0000-0000-0000B0B60000}"/>
    <cellStyle name="Normal 7 2 3 5" xfId="1202" xr:uid="{00000000-0005-0000-0000-0000B1B60000}"/>
    <cellStyle name="Normal 7 2 3 5 2" xfId="3631" xr:uid="{00000000-0005-0000-0000-0000B2B60000}"/>
    <cellStyle name="Normal 7 2 3 5 2 2" xfId="12767" xr:uid="{00000000-0005-0000-0000-0000B3B60000}"/>
    <cellStyle name="Normal 7 2 3 5 2 2 2" xfId="22986" xr:uid="{00000000-0005-0000-0000-0000B4B60000}"/>
    <cellStyle name="Normal 7 2 3 5 2 2 2 2" xfId="48539" xr:uid="{00000000-0005-0000-0000-0000B5B60000}"/>
    <cellStyle name="Normal 7 2 3 5 2 2 3" xfId="38322" xr:uid="{00000000-0005-0000-0000-0000B6B60000}"/>
    <cellStyle name="Normal 7 2 3 5 2 3" xfId="9188" xr:uid="{00000000-0005-0000-0000-0000B7B60000}"/>
    <cellStyle name="Normal 7 2 3 5 2 3 2" xfId="34745" xr:uid="{00000000-0005-0000-0000-0000B8B60000}"/>
    <cellStyle name="Normal 7 2 3 5 2 4" xfId="17979" xr:uid="{00000000-0005-0000-0000-0000B9B60000}"/>
    <cellStyle name="Normal 7 2 3 5 2 4 2" xfId="43532" xr:uid="{00000000-0005-0000-0000-0000BAB60000}"/>
    <cellStyle name="Normal 7 2 3 5 2 5" xfId="29469" xr:uid="{00000000-0005-0000-0000-0000BBB60000}"/>
    <cellStyle name="Normal 7 2 3 5 3" xfId="5294" xr:uid="{00000000-0005-0000-0000-0000BCB60000}"/>
    <cellStyle name="Normal 7 2 3 5 3 2" xfId="14131" xr:uid="{00000000-0005-0000-0000-0000BDB60000}"/>
    <cellStyle name="Normal 7 2 3 5 3 2 2" xfId="24382" xr:uid="{00000000-0005-0000-0000-0000BEB60000}"/>
    <cellStyle name="Normal 7 2 3 5 3 2 2 2" xfId="49935" xr:uid="{00000000-0005-0000-0000-0000BFB60000}"/>
    <cellStyle name="Normal 7 2 3 5 3 2 3" xfId="39686" xr:uid="{00000000-0005-0000-0000-0000C0B60000}"/>
    <cellStyle name="Normal 7 2 3 5 3 3" xfId="10552" xr:uid="{00000000-0005-0000-0000-0000C1B60000}"/>
    <cellStyle name="Normal 7 2 3 5 3 3 2" xfId="36109" xr:uid="{00000000-0005-0000-0000-0000C2B60000}"/>
    <cellStyle name="Normal 7 2 3 5 3 4" xfId="19375" xr:uid="{00000000-0005-0000-0000-0000C3B60000}"/>
    <cellStyle name="Normal 7 2 3 5 3 4 2" xfId="44928" xr:uid="{00000000-0005-0000-0000-0000C4B60000}"/>
    <cellStyle name="Normal 7 2 3 5 3 5" xfId="30865" xr:uid="{00000000-0005-0000-0000-0000C5B60000}"/>
    <cellStyle name="Normal 7 2 3 5 4" xfId="1805" xr:uid="{00000000-0005-0000-0000-0000C6B60000}"/>
    <cellStyle name="Normal 7 2 3 5 4 2" xfId="11173" xr:uid="{00000000-0005-0000-0000-0000C7B60000}"/>
    <cellStyle name="Normal 7 2 3 5 4 2 2" xfId="36728" xr:uid="{00000000-0005-0000-0000-0000C8B60000}"/>
    <cellStyle name="Normal 7 2 3 5 4 3" xfId="21177" xr:uid="{00000000-0005-0000-0000-0000C9B60000}"/>
    <cellStyle name="Normal 7 2 3 5 4 3 2" xfId="46730" xr:uid="{00000000-0005-0000-0000-0000CAB60000}"/>
    <cellStyle name="Normal 7 2 3 5 4 4" xfId="27660" xr:uid="{00000000-0005-0000-0000-0000CBB60000}"/>
    <cellStyle name="Normal 7 2 3 5 5" xfId="6749" xr:uid="{00000000-0005-0000-0000-0000CCB60000}"/>
    <cellStyle name="Normal 7 2 3 5 5 2" xfId="15576" xr:uid="{00000000-0005-0000-0000-0000CDB60000}"/>
    <cellStyle name="Normal 7 2 3 5 5 2 2" xfId="41131" xr:uid="{00000000-0005-0000-0000-0000CEB60000}"/>
    <cellStyle name="Normal 7 2 3 5 5 3" xfId="25827" xr:uid="{00000000-0005-0000-0000-0000CFB60000}"/>
    <cellStyle name="Normal 7 2 3 5 5 3 2" xfId="51380" xr:uid="{00000000-0005-0000-0000-0000D0B60000}"/>
    <cellStyle name="Normal 7 2 3 5 5 4" xfId="32310" xr:uid="{00000000-0005-0000-0000-0000D1B60000}"/>
    <cellStyle name="Normal 7 2 3 5 6" xfId="8195" xr:uid="{00000000-0005-0000-0000-0000D2B60000}"/>
    <cellStyle name="Normal 7 2 3 5 6 2" xfId="20585" xr:uid="{00000000-0005-0000-0000-0000D3B60000}"/>
    <cellStyle name="Normal 7 2 3 5 6 2 2" xfId="46138" xr:uid="{00000000-0005-0000-0000-0000D4B60000}"/>
    <cellStyle name="Normal 7 2 3 5 6 3" xfId="33752" xr:uid="{00000000-0005-0000-0000-0000D5B60000}"/>
    <cellStyle name="Normal 7 2 3 5 7" xfId="16170" xr:uid="{00000000-0005-0000-0000-0000D6B60000}"/>
    <cellStyle name="Normal 7 2 3 5 7 2" xfId="41723" xr:uid="{00000000-0005-0000-0000-0000D7B60000}"/>
    <cellStyle name="Normal 7 2 3 5 8" xfId="27068" xr:uid="{00000000-0005-0000-0000-0000D8B60000}"/>
    <cellStyle name="Normal 7 2 3 6" xfId="2699" xr:uid="{00000000-0005-0000-0000-0000D9B60000}"/>
    <cellStyle name="Normal 7 2 3 6 2" xfId="12016" xr:uid="{00000000-0005-0000-0000-0000DAB60000}"/>
    <cellStyle name="Normal 7 2 3 6 2 2" xfId="22060" xr:uid="{00000000-0005-0000-0000-0000DBB60000}"/>
    <cellStyle name="Normal 7 2 3 6 2 2 2" xfId="47613" xr:uid="{00000000-0005-0000-0000-0000DCB60000}"/>
    <cellStyle name="Normal 7 2 3 6 2 3" xfId="37571" xr:uid="{00000000-0005-0000-0000-0000DDB60000}"/>
    <cellStyle name="Normal 7 2 3 6 3" xfId="8493" xr:uid="{00000000-0005-0000-0000-0000DEB60000}"/>
    <cellStyle name="Normal 7 2 3 6 3 2" xfId="34050" xr:uid="{00000000-0005-0000-0000-0000DFB60000}"/>
    <cellStyle name="Normal 7 2 3 6 4" xfId="17053" xr:uid="{00000000-0005-0000-0000-0000E0B60000}"/>
    <cellStyle name="Normal 7 2 3 6 4 2" xfId="42606" xr:uid="{00000000-0005-0000-0000-0000E1B60000}"/>
    <cellStyle name="Normal 7 2 3 6 5" xfId="28543" xr:uid="{00000000-0005-0000-0000-0000E2B60000}"/>
    <cellStyle name="Normal 7 2 3 7" xfId="4250" xr:uid="{00000000-0005-0000-0000-0000E3B60000}"/>
    <cellStyle name="Normal 7 2 3 7 2" xfId="13088" xr:uid="{00000000-0005-0000-0000-0000E4B60000}"/>
    <cellStyle name="Normal 7 2 3 7 2 2" xfId="23339" xr:uid="{00000000-0005-0000-0000-0000E5B60000}"/>
    <cellStyle name="Normal 7 2 3 7 2 2 2" xfId="48892" xr:uid="{00000000-0005-0000-0000-0000E6B60000}"/>
    <cellStyle name="Normal 7 2 3 7 2 3" xfId="38643" xr:uid="{00000000-0005-0000-0000-0000E7B60000}"/>
    <cellStyle name="Normal 7 2 3 7 3" xfId="9509" xr:uid="{00000000-0005-0000-0000-0000E8B60000}"/>
    <cellStyle name="Normal 7 2 3 7 3 2" xfId="35066" xr:uid="{00000000-0005-0000-0000-0000E9B60000}"/>
    <cellStyle name="Normal 7 2 3 7 4" xfId="18332" xr:uid="{00000000-0005-0000-0000-0000EAB60000}"/>
    <cellStyle name="Normal 7 2 3 7 4 2" xfId="43885" xr:uid="{00000000-0005-0000-0000-0000EBB60000}"/>
    <cellStyle name="Normal 7 2 3 7 5" xfId="29822" xr:uid="{00000000-0005-0000-0000-0000ECB60000}"/>
    <cellStyle name="Normal 7 2 3 8" xfId="1522" xr:uid="{00000000-0005-0000-0000-0000EDB60000}"/>
    <cellStyle name="Normal 7 2 3 8 2" xfId="10899" xr:uid="{00000000-0005-0000-0000-0000EEB60000}"/>
    <cellStyle name="Normal 7 2 3 8 2 2" xfId="36454" xr:uid="{00000000-0005-0000-0000-0000EFB60000}"/>
    <cellStyle name="Normal 7 2 3 8 3" xfId="20903" xr:uid="{00000000-0005-0000-0000-0000F0B60000}"/>
    <cellStyle name="Normal 7 2 3 8 3 2" xfId="46456" xr:uid="{00000000-0005-0000-0000-0000F1B60000}"/>
    <cellStyle name="Normal 7 2 3 8 4" xfId="27386" xr:uid="{00000000-0005-0000-0000-0000F2B60000}"/>
    <cellStyle name="Normal 7 2 3 9" xfId="5706" xr:uid="{00000000-0005-0000-0000-0000F3B60000}"/>
    <cellStyle name="Normal 7 2 3 9 2" xfId="14533" xr:uid="{00000000-0005-0000-0000-0000F4B60000}"/>
    <cellStyle name="Normal 7 2 3 9 2 2" xfId="40088" xr:uid="{00000000-0005-0000-0000-0000F5B60000}"/>
    <cellStyle name="Normal 7 2 3 9 3" xfId="24784" xr:uid="{00000000-0005-0000-0000-0000F6B60000}"/>
    <cellStyle name="Normal 7 2 3 9 3 2" xfId="50337" xr:uid="{00000000-0005-0000-0000-0000F7B60000}"/>
    <cellStyle name="Normal 7 2 3 9 4" xfId="31267" xr:uid="{00000000-0005-0000-0000-0000F8B60000}"/>
    <cellStyle name="Normal 7 2 3_Degree data" xfId="4051" xr:uid="{00000000-0005-0000-0000-0000F9B60000}"/>
    <cellStyle name="Normal 7 2 4" xfId="239" xr:uid="{00000000-0005-0000-0000-0000FAB60000}"/>
    <cellStyle name="Normal 7 2 4 10" xfId="7077" xr:uid="{00000000-0005-0000-0000-0000FBB60000}"/>
    <cellStyle name="Normal 7 2 4 10 2" xfId="19691" xr:uid="{00000000-0005-0000-0000-0000FCB60000}"/>
    <cellStyle name="Normal 7 2 4 10 2 2" xfId="45244" xr:uid="{00000000-0005-0000-0000-0000FDB60000}"/>
    <cellStyle name="Normal 7 2 4 10 3" xfId="32634" xr:uid="{00000000-0005-0000-0000-0000FEB60000}"/>
    <cellStyle name="Normal 7 2 4 11" xfId="15823" xr:uid="{00000000-0005-0000-0000-0000FFB60000}"/>
    <cellStyle name="Normal 7 2 4 11 2" xfId="41376" xr:uid="{00000000-0005-0000-0000-000000B70000}"/>
    <cellStyle name="Normal 7 2 4 12" xfId="26174" xr:uid="{00000000-0005-0000-0000-000001B70000}"/>
    <cellStyle name="Normal 7 2 4 2" xfId="562" xr:uid="{00000000-0005-0000-0000-000002B70000}"/>
    <cellStyle name="Normal 7 2 4 2 10" xfId="26491" xr:uid="{00000000-0005-0000-0000-000003B70000}"/>
    <cellStyle name="Normal 7 2 4 2 2" xfId="948" xr:uid="{00000000-0005-0000-0000-000004B70000}"/>
    <cellStyle name="Normal 7 2 4 2 2 2" xfId="3424" xr:uid="{00000000-0005-0000-0000-000005B70000}"/>
    <cellStyle name="Normal 7 2 4 2 2 2 2" xfId="12566" xr:uid="{00000000-0005-0000-0000-000006B70000}"/>
    <cellStyle name="Normal 7 2 4 2 2 2 2 2" xfId="22785" xr:uid="{00000000-0005-0000-0000-000007B70000}"/>
    <cellStyle name="Normal 7 2 4 2 2 2 2 2 2" xfId="48338" xr:uid="{00000000-0005-0000-0000-000008B70000}"/>
    <cellStyle name="Normal 7 2 4 2 2 2 2 3" xfId="38121" xr:uid="{00000000-0005-0000-0000-000009B70000}"/>
    <cellStyle name="Normal 7 2 4 2 2 2 3" xfId="8988" xr:uid="{00000000-0005-0000-0000-00000AB70000}"/>
    <cellStyle name="Normal 7 2 4 2 2 2 3 2" xfId="34545" xr:uid="{00000000-0005-0000-0000-00000BB70000}"/>
    <cellStyle name="Normal 7 2 4 2 2 2 4" xfId="17778" xr:uid="{00000000-0005-0000-0000-00000CB70000}"/>
    <cellStyle name="Normal 7 2 4 2 2 2 4 2" xfId="43331" xr:uid="{00000000-0005-0000-0000-00000DB70000}"/>
    <cellStyle name="Normal 7 2 4 2 2 2 5" xfId="29268" xr:uid="{00000000-0005-0000-0000-00000EB70000}"/>
    <cellStyle name="Normal 7 2 4 2 2 3" xfId="4754" xr:uid="{00000000-0005-0000-0000-00000FB70000}"/>
    <cellStyle name="Normal 7 2 4 2 2 3 2" xfId="13591" xr:uid="{00000000-0005-0000-0000-000010B70000}"/>
    <cellStyle name="Normal 7 2 4 2 2 3 2 2" xfId="23842" xr:uid="{00000000-0005-0000-0000-000011B70000}"/>
    <cellStyle name="Normal 7 2 4 2 2 3 2 2 2" xfId="49395" xr:uid="{00000000-0005-0000-0000-000012B70000}"/>
    <cellStyle name="Normal 7 2 4 2 2 3 2 3" xfId="39146" xr:uid="{00000000-0005-0000-0000-000013B70000}"/>
    <cellStyle name="Normal 7 2 4 2 2 3 3" xfId="10012" xr:uid="{00000000-0005-0000-0000-000014B70000}"/>
    <cellStyle name="Normal 7 2 4 2 2 3 3 2" xfId="35569" xr:uid="{00000000-0005-0000-0000-000015B70000}"/>
    <cellStyle name="Normal 7 2 4 2 2 3 4" xfId="18835" xr:uid="{00000000-0005-0000-0000-000016B70000}"/>
    <cellStyle name="Normal 7 2 4 2 2 3 4 2" xfId="44388" xr:uid="{00000000-0005-0000-0000-000017B70000}"/>
    <cellStyle name="Normal 7 2 4 2 2 3 5" xfId="30325" xr:uid="{00000000-0005-0000-0000-000018B70000}"/>
    <cellStyle name="Normal 7 2 4 2 2 4" xfId="2533" xr:uid="{00000000-0005-0000-0000-000019B70000}"/>
    <cellStyle name="Normal 7 2 4 2 2 4 2" xfId="11898" xr:uid="{00000000-0005-0000-0000-00001AB70000}"/>
    <cellStyle name="Normal 7 2 4 2 2 4 2 2" xfId="37453" xr:uid="{00000000-0005-0000-0000-00001BB70000}"/>
    <cellStyle name="Normal 7 2 4 2 2 4 3" xfId="21902" xr:uid="{00000000-0005-0000-0000-00001CB70000}"/>
    <cellStyle name="Normal 7 2 4 2 2 4 3 2" xfId="47455" xr:uid="{00000000-0005-0000-0000-00001DB70000}"/>
    <cellStyle name="Normal 7 2 4 2 2 4 4" xfId="28385" xr:uid="{00000000-0005-0000-0000-00001EB70000}"/>
    <cellStyle name="Normal 7 2 4 2 2 5" xfId="6209" xr:uid="{00000000-0005-0000-0000-00001FB70000}"/>
    <cellStyle name="Normal 7 2 4 2 2 5 2" xfId="15036" xr:uid="{00000000-0005-0000-0000-000020B70000}"/>
    <cellStyle name="Normal 7 2 4 2 2 5 2 2" xfId="40591" xr:uid="{00000000-0005-0000-0000-000021B70000}"/>
    <cellStyle name="Normal 7 2 4 2 2 5 3" xfId="25287" xr:uid="{00000000-0005-0000-0000-000022B70000}"/>
    <cellStyle name="Normal 7 2 4 2 2 5 3 2" xfId="50840" xr:uid="{00000000-0005-0000-0000-000023B70000}"/>
    <cellStyle name="Normal 7 2 4 2 2 5 4" xfId="31770" xr:uid="{00000000-0005-0000-0000-000024B70000}"/>
    <cellStyle name="Normal 7 2 4 2 2 6" xfId="7655" xr:uid="{00000000-0005-0000-0000-000025B70000}"/>
    <cellStyle name="Normal 7 2 4 2 2 6 2" xfId="20384" xr:uid="{00000000-0005-0000-0000-000026B70000}"/>
    <cellStyle name="Normal 7 2 4 2 2 6 2 2" xfId="45937" xr:uid="{00000000-0005-0000-0000-000027B70000}"/>
    <cellStyle name="Normal 7 2 4 2 2 6 3" xfId="33212" xr:uid="{00000000-0005-0000-0000-000028B70000}"/>
    <cellStyle name="Normal 7 2 4 2 2 7" xfId="16895" xr:uid="{00000000-0005-0000-0000-000029B70000}"/>
    <cellStyle name="Normal 7 2 4 2 2 7 2" xfId="42448" xr:uid="{00000000-0005-0000-0000-00002AB70000}"/>
    <cellStyle name="Normal 7 2 4 2 2 8" xfId="26867" xr:uid="{00000000-0005-0000-0000-00002BB70000}"/>
    <cellStyle name="Normal 7 2 4 2 3" xfId="1334" xr:uid="{00000000-0005-0000-0000-00002CB70000}"/>
    <cellStyle name="Normal 7 2 4 2 3 2" xfId="3763" xr:uid="{00000000-0005-0000-0000-00002DB70000}"/>
    <cellStyle name="Normal 7 2 4 2 3 2 2" xfId="12899" xr:uid="{00000000-0005-0000-0000-00002EB70000}"/>
    <cellStyle name="Normal 7 2 4 2 3 2 2 2" xfId="23118" xr:uid="{00000000-0005-0000-0000-00002FB70000}"/>
    <cellStyle name="Normal 7 2 4 2 3 2 2 2 2" xfId="48671" xr:uid="{00000000-0005-0000-0000-000030B70000}"/>
    <cellStyle name="Normal 7 2 4 2 3 2 2 3" xfId="38454" xr:uid="{00000000-0005-0000-0000-000031B70000}"/>
    <cellStyle name="Normal 7 2 4 2 3 2 3" xfId="9320" xr:uid="{00000000-0005-0000-0000-000032B70000}"/>
    <cellStyle name="Normal 7 2 4 2 3 2 3 2" xfId="34877" xr:uid="{00000000-0005-0000-0000-000033B70000}"/>
    <cellStyle name="Normal 7 2 4 2 3 2 4" xfId="18111" xr:uid="{00000000-0005-0000-0000-000034B70000}"/>
    <cellStyle name="Normal 7 2 4 2 3 2 4 2" xfId="43664" xr:uid="{00000000-0005-0000-0000-000035B70000}"/>
    <cellStyle name="Normal 7 2 4 2 3 2 5" xfId="29601" xr:uid="{00000000-0005-0000-0000-000036B70000}"/>
    <cellStyle name="Normal 7 2 4 2 3 3" xfId="5102" xr:uid="{00000000-0005-0000-0000-000037B70000}"/>
    <cellStyle name="Normal 7 2 4 2 3 3 2" xfId="13939" xr:uid="{00000000-0005-0000-0000-000038B70000}"/>
    <cellStyle name="Normal 7 2 4 2 3 3 2 2" xfId="24190" xr:uid="{00000000-0005-0000-0000-000039B70000}"/>
    <cellStyle name="Normal 7 2 4 2 3 3 2 2 2" xfId="49743" xr:uid="{00000000-0005-0000-0000-00003AB70000}"/>
    <cellStyle name="Normal 7 2 4 2 3 3 2 3" xfId="39494" xr:uid="{00000000-0005-0000-0000-00003BB70000}"/>
    <cellStyle name="Normal 7 2 4 2 3 3 3" xfId="10360" xr:uid="{00000000-0005-0000-0000-00003CB70000}"/>
    <cellStyle name="Normal 7 2 4 2 3 3 3 2" xfId="35917" xr:uid="{00000000-0005-0000-0000-00003DB70000}"/>
    <cellStyle name="Normal 7 2 4 2 3 3 4" xfId="19183" xr:uid="{00000000-0005-0000-0000-00003EB70000}"/>
    <cellStyle name="Normal 7 2 4 2 3 3 4 2" xfId="44736" xr:uid="{00000000-0005-0000-0000-00003FB70000}"/>
    <cellStyle name="Normal 7 2 4 2 3 3 5" xfId="30673" xr:uid="{00000000-0005-0000-0000-000040B70000}"/>
    <cellStyle name="Normal 7 2 4 2 3 4" xfId="2157" xr:uid="{00000000-0005-0000-0000-000041B70000}"/>
    <cellStyle name="Normal 7 2 4 2 3 4 2" xfId="11522" xr:uid="{00000000-0005-0000-0000-000042B70000}"/>
    <cellStyle name="Normal 7 2 4 2 3 4 2 2" xfId="37077" xr:uid="{00000000-0005-0000-0000-000043B70000}"/>
    <cellStyle name="Normal 7 2 4 2 3 4 3" xfId="21526" xr:uid="{00000000-0005-0000-0000-000044B70000}"/>
    <cellStyle name="Normal 7 2 4 2 3 4 3 2" xfId="47079" xr:uid="{00000000-0005-0000-0000-000045B70000}"/>
    <cellStyle name="Normal 7 2 4 2 3 4 4" xfId="28009" xr:uid="{00000000-0005-0000-0000-000046B70000}"/>
    <cellStyle name="Normal 7 2 4 2 3 5" xfId="6557" xr:uid="{00000000-0005-0000-0000-000047B70000}"/>
    <cellStyle name="Normal 7 2 4 2 3 5 2" xfId="15384" xr:uid="{00000000-0005-0000-0000-000048B70000}"/>
    <cellStyle name="Normal 7 2 4 2 3 5 2 2" xfId="40939" xr:uid="{00000000-0005-0000-0000-000049B70000}"/>
    <cellStyle name="Normal 7 2 4 2 3 5 3" xfId="25635" xr:uid="{00000000-0005-0000-0000-00004AB70000}"/>
    <cellStyle name="Normal 7 2 4 2 3 5 3 2" xfId="51188" xr:uid="{00000000-0005-0000-0000-00004BB70000}"/>
    <cellStyle name="Normal 7 2 4 2 3 5 4" xfId="32118" xr:uid="{00000000-0005-0000-0000-00004CB70000}"/>
    <cellStyle name="Normal 7 2 4 2 3 6" xfId="8003" xr:uid="{00000000-0005-0000-0000-00004DB70000}"/>
    <cellStyle name="Normal 7 2 4 2 3 6 2" xfId="20717" xr:uid="{00000000-0005-0000-0000-00004EB70000}"/>
    <cellStyle name="Normal 7 2 4 2 3 6 2 2" xfId="46270" xr:uid="{00000000-0005-0000-0000-00004FB70000}"/>
    <cellStyle name="Normal 7 2 4 2 3 6 3" xfId="33560" xr:uid="{00000000-0005-0000-0000-000050B70000}"/>
    <cellStyle name="Normal 7 2 4 2 3 7" xfId="16519" xr:uid="{00000000-0005-0000-0000-000051B70000}"/>
    <cellStyle name="Normal 7 2 4 2 3 7 2" xfId="42072" xr:uid="{00000000-0005-0000-0000-000052B70000}"/>
    <cellStyle name="Normal 7 2 4 2 3 8" xfId="27200" xr:uid="{00000000-0005-0000-0000-000053B70000}"/>
    <cellStyle name="Normal 7 2 4 2 4" xfId="3048" xr:uid="{00000000-0005-0000-0000-000054B70000}"/>
    <cellStyle name="Normal 7 2 4 2 4 2" xfId="5426" xr:uid="{00000000-0005-0000-0000-000055B70000}"/>
    <cellStyle name="Normal 7 2 4 2 4 2 2" xfId="14263" xr:uid="{00000000-0005-0000-0000-000056B70000}"/>
    <cellStyle name="Normal 7 2 4 2 4 2 2 2" xfId="24514" xr:uid="{00000000-0005-0000-0000-000057B70000}"/>
    <cellStyle name="Normal 7 2 4 2 4 2 2 2 2" xfId="50067" xr:uid="{00000000-0005-0000-0000-000058B70000}"/>
    <cellStyle name="Normal 7 2 4 2 4 2 2 3" xfId="39818" xr:uid="{00000000-0005-0000-0000-000059B70000}"/>
    <cellStyle name="Normal 7 2 4 2 4 2 3" xfId="10684" xr:uid="{00000000-0005-0000-0000-00005AB70000}"/>
    <cellStyle name="Normal 7 2 4 2 4 2 3 2" xfId="36241" xr:uid="{00000000-0005-0000-0000-00005BB70000}"/>
    <cellStyle name="Normal 7 2 4 2 4 2 4" xfId="19507" xr:uid="{00000000-0005-0000-0000-00005CB70000}"/>
    <cellStyle name="Normal 7 2 4 2 4 2 4 2" xfId="45060" xr:uid="{00000000-0005-0000-0000-00005DB70000}"/>
    <cellStyle name="Normal 7 2 4 2 4 2 5" xfId="30997" xr:uid="{00000000-0005-0000-0000-00005EB70000}"/>
    <cellStyle name="Normal 7 2 4 2 4 3" xfId="6881" xr:uid="{00000000-0005-0000-0000-00005FB70000}"/>
    <cellStyle name="Normal 7 2 4 2 4 3 2" xfId="15708" xr:uid="{00000000-0005-0000-0000-000060B70000}"/>
    <cellStyle name="Normal 7 2 4 2 4 3 2 2" xfId="41263" xr:uid="{00000000-0005-0000-0000-000061B70000}"/>
    <cellStyle name="Normal 7 2 4 2 4 3 3" xfId="25959" xr:uid="{00000000-0005-0000-0000-000062B70000}"/>
    <cellStyle name="Normal 7 2 4 2 4 3 3 2" xfId="51512" xr:uid="{00000000-0005-0000-0000-000063B70000}"/>
    <cellStyle name="Normal 7 2 4 2 4 3 4" xfId="32442" xr:uid="{00000000-0005-0000-0000-000064B70000}"/>
    <cellStyle name="Normal 7 2 4 2 4 4" xfId="8327" xr:uid="{00000000-0005-0000-0000-000065B70000}"/>
    <cellStyle name="Normal 7 2 4 2 4 4 2" xfId="22409" xr:uid="{00000000-0005-0000-0000-000066B70000}"/>
    <cellStyle name="Normal 7 2 4 2 4 4 2 2" xfId="47962" xr:uid="{00000000-0005-0000-0000-000067B70000}"/>
    <cellStyle name="Normal 7 2 4 2 4 4 3" xfId="33884" xr:uid="{00000000-0005-0000-0000-000068B70000}"/>
    <cellStyle name="Normal 7 2 4 2 4 5" xfId="17402" xr:uid="{00000000-0005-0000-0000-000069B70000}"/>
    <cellStyle name="Normal 7 2 4 2 4 5 2" xfId="42955" xr:uid="{00000000-0005-0000-0000-00006AB70000}"/>
    <cellStyle name="Normal 7 2 4 2 4 6" xfId="28892" xr:uid="{00000000-0005-0000-0000-00006BB70000}"/>
    <cellStyle name="Normal 7 2 4 2 5" xfId="4382" xr:uid="{00000000-0005-0000-0000-00006CB70000}"/>
    <cellStyle name="Normal 7 2 4 2 5 2" xfId="13220" xr:uid="{00000000-0005-0000-0000-00006DB70000}"/>
    <cellStyle name="Normal 7 2 4 2 5 2 2" xfId="23471" xr:uid="{00000000-0005-0000-0000-00006EB70000}"/>
    <cellStyle name="Normal 7 2 4 2 5 2 2 2" xfId="49024" xr:uid="{00000000-0005-0000-0000-00006FB70000}"/>
    <cellStyle name="Normal 7 2 4 2 5 2 3" xfId="38775" xr:uid="{00000000-0005-0000-0000-000070B70000}"/>
    <cellStyle name="Normal 7 2 4 2 5 3" xfId="9641" xr:uid="{00000000-0005-0000-0000-000071B70000}"/>
    <cellStyle name="Normal 7 2 4 2 5 3 2" xfId="35198" xr:uid="{00000000-0005-0000-0000-000072B70000}"/>
    <cellStyle name="Normal 7 2 4 2 5 4" xfId="18464" xr:uid="{00000000-0005-0000-0000-000073B70000}"/>
    <cellStyle name="Normal 7 2 4 2 5 4 2" xfId="44017" xr:uid="{00000000-0005-0000-0000-000074B70000}"/>
    <cellStyle name="Normal 7 2 4 2 5 5" xfId="29954" xr:uid="{00000000-0005-0000-0000-000075B70000}"/>
    <cellStyle name="Normal 7 2 4 2 6" xfId="1654" xr:uid="{00000000-0005-0000-0000-000076B70000}"/>
    <cellStyle name="Normal 7 2 4 2 6 2" xfId="11031" xr:uid="{00000000-0005-0000-0000-000077B70000}"/>
    <cellStyle name="Normal 7 2 4 2 6 2 2" xfId="36586" xr:uid="{00000000-0005-0000-0000-000078B70000}"/>
    <cellStyle name="Normal 7 2 4 2 6 3" xfId="21035" xr:uid="{00000000-0005-0000-0000-000079B70000}"/>
    <cellStyle name="Normal 7 2 4 2 6 3 2" xfId="46588" xr:uid="{00000000-0005-0000-0000-00007AB70000}"/>
    <cellStyle name="Normal 7 2 4 2 6 4" xfId="27518" xr:uid="{00000000-0005-0000-0000-00007BB70000}"/>
    <cellStyle name="Normal 7 2 4 2 7" xfId="5838" xr:uid="{00000000-0005-0000-0000-00007CB70000}"/>
    <cellStyle name="Normal 7 2 4 2 7 2" xfId="14665" xr:uid="{00000000-0005-0000-0000-00007DB70000}"/>
    <cellStyle name="Normal 7 2 4 2 7 2 2" xfId="40220" xr:uid="{00000000-0005-0000-0000-00007EB70000}"/>
    <cellStyle name="Normal 7 2 4 2 7 3" xfId="24916" xr:uid="{00000000-0005-0000-0000-00007FB70000}"/>
    <cellStyle name="Normal 7 2 4 2 7 3 2" xfId="50469" xr:uid="{00000000-0005-0000-0000-000080B70000}"/>
    <cellStyle name="Normal 7 2 4 2 7 4" xfId="31399" xr:uid="{00000000-0005-0000-0000-000081B70000}"/>
    <cellStyle name="Normal 7 2 4 2 8" xfId="7282" xr:uid="{00000000-0005-0000-0000-000082B70000}"/>
    <cellStyle name="Normal 7 2 4 2 8 2" xfId="20008" xr:uid="{00000000-0005-0000-0000-000083B70000}"/>
    <cellStyle name="Normal 7 2 4 2 8 2 2" xfId="45561" xr:uid="{00000000-0005-0000-0000-000084B70000}"/>
    <cellStyle name="Normal 7 2 4 2 8 3" xfId="32839" xr:uid="{00000000-0005-0000-0000-000085B70000}"/>
    <cellStyle name="Normal 7 2 4 2 9" xfId="16028" xr:uid="{00000000-0005-0000-0000-000086B70000}"/>
    <cellStyle name="Normal 7 2 4 2 9 2" xfId="41581" xr:uid="{00000000-0005-0000-0000-000087B70000}"/>
    <cellStyle name="Normal 7 2 4 2_Degree data" xfId="4054" xr:uid="{00000000-0005-0000-0000-000088B70000}"/>
    <cellStyle name="Normal 7 2 4 3" xfId="357" xr:uid="{00000000-0005-0000-0000-000089B70000}"/>
    <cellStyle name="Normal 7 2 4 3 2" xfId="2843" xr:uid="{00000000-0005-0000-0000-00008AB70000}"/>
    <cellStyle name="Normal 7 2 4 3 2 2" xfId="12131" xr:uid="{00000000-0005-0000-0000-00008BB70000}"/>
    <cellStyle name="Normal 7 2 4 3 2 2 2" xfId="22204" xr:uid="{00000000-0005-0000-0000-00008CB70000}"/>
    <cellStyle name="Normal 7 2 4 3 2 2 2 2" xfId="47757" xr:uid="{00000000-0005-0000-0000-00008DB70000}"/>
    <cellStyle name="Normal 7 2 4 3 2 2 3" xfId="37686" xr:uid="{00000000-0005-0000-0000-00008EB70000}"/>
    <cellStyle name="Normal 7 2 4 3 2 3" xfId="8401" xr:uid="{00000000-0005-0000-0000-00008FB70000}"/>
    <cellStyle name="Normal 7 2 4 3 2 3 2" xfId="33958" xr:uid="{00000000-0005-0000-0000-000090B70000}"/>
    <cellStyle name="Normal 7 2 4 3 2 4" xfId="17197" xr:uid="{00000000-0005-0000-0000-000091B70000}"/>
    <cellStyle name="Normal 7 2 4 3 2 4 2" xfId="42750" xr:uid="{00000000-0005-0000-0000-000092B70000}"/>
    <cellStyle name="Normal 7 2 4 3 2 5" xfId="28687" xr:uid="{00000000-0005-0000-0000-000093B70000}"/>
    <cellStyle name="Normal 7 2 4 3 3" xfId="4753" xr:uid="{00000000-0005-0000-0000-000094B70000}"/>
    <cellStyle name="Normal 7 2 4 3 3 2" xfId="13590" xr:uid="{00000000-0005-0000-0000-000095B70000}"/>
    <cellStyle name="Normal 7 2 4 3 3 2 2" xfId="23841" xr:uid="{00000000-0005-0000-0000-000096B70000}"/>
    <cellStyle name="Normal 7 2 4 3 3 2 2 2" xfId="49394" xr:uid="{00000000-0005-0000-0000-000097B70000}"/>
    <cellStyle name="Normal 7 2 4 3 3 2 3" xfId="39145" xr:uid="{00000000-0005-0000-0000-000098B70000}"/>
    <cellStyle name="Normal 7 2 4 3 3 3" xfId="10011" xr:uid="{00000000-0005-0000-0000-000099B70000}"/>
    <cellStyle name="Normal 7 2 4 3 3 3 2" xfId="35568" xr:uid="{00000000-0005-0000-0000-00009AB70000}"/>
    <cellStyle name="Normal 7 2 4 3 3 4" xfId="18834" xr:uid="{00000000-0005-0000-0000-00009BB70000}"/>
    <cellStyle name="Normal 7 2 4 3 3 4 2" xfId="44387" xr:uid="{00000000-0005-0000-0000-00009CB70000}"/>
    <cellStyle name="Normal 7 2 4 3 3 5" xfId="30324" xr:uid="{00000000-0005-0000-0000-00009DB70000}"/>
    <cellStyle name="Normal 7 2 4 3 4" xfId="1952" xr:uid="{00000000-0005-0000-0000-00009EB70000}"/>
    <cellStyle name="Normal 7 2 4 3 4 2" xfId="11317" xr:uid="{00000000-0005-0000-0000-00009FB70000}"/>
    <cellStyle name="Normal 7 2 4 3 4 2 2" xfId="36872" xr:uid="{00000000-0005-0000-0000-0000A0B70000}"/>
    <cellStyle name="Normal 7 2 4 3 4 3" xfId="21321" xr:uid="{00000000-0005-0000-0000-0000A1B70000}"/>
    <cellStyle name="Normal 7 2 4 3 4 3 2" xfId="46874" xr:uid="{00000000-0005-0000-0000-0000A2B70000}"/>
    <cellStyle name="Normal 7 2 4 3 4 4" xfId="27804" xr:uid="{00000000-0005-0000-0000-0000A3B70000}"/>
    <cellStyle name="Normal 7 2 4 3 5" xfId="6208" xr:uid="{00000000-0005-0000-0000-0000A4B70000}"/>
    <cellStyle name="Normal 7 2 4 3 5 2" xfId="15035" xr:uid="{00000000-0005-0000-0000-0000A5B70000}"/>
    <cellStyle name="Normal 7 2 4 3 5 2 2" xfId="40590" xr:uid="{00000000-0005-0000-0000-0000A6B70000}"/>
    <cellStyle name="Normal 7 2 4 3 5 3" xfId="25286" xr:uid="{00000000-0005-0000-0000-0000A7B70000}"/>
    <cellStyle name="Normal 7 2 4 3 5 3 2" xfId="50839" xr:uid="{00000000-0005-0000-0000-0000A8B70000}"/>
    <cellStyle name="Normal 7 2 4 3 5 4" xfId="31769" xr:uid="{00000000-0005-0000-0000-0000A9B70000}"/>
    <cellStyle name="Normal 7 2 4 3 6" xfId="7654" xr:uid="{00000000-0005-0000-0000-0000AAB70000}"/>
    <cellStyle name="Normal 7 2 4 3 6 2" xfId="19803" xr:uid="{00000000-0005-0000-0000-0000ABB70000}"/>
    <cellStyle name="Normal 7 2 4 3 6 2 2" xfId="45356" xr:uid="{00000000-0005-0000-0000-0000ACB70000}"/>
    <cellStyle name="Normal 7 2 4 3 6 3" xfId="33211" xr:uid="{00000000-0005-0000-0000-0000ADB70000}"/>
    <cellStyle name="Normal 7 2 4 3 7" xfId="16314" xr:uid="{00000000-0005-0000-0000-0000AEB70000}"/>
    <cellStyle name="Normal 7 2 4 3 7 2" xfId="41867" xr:uid="{00000000-0005-0000-0000-0000AFB70000}"/>
    <cellStyle name="Normal 7 2 4 3 8" xfId="26286" xr:uid="{00000000-0005-0000-0000-0000B0B70000}"/>
    <cellStyle name="Normal 7 2 4 4" xfId="947" xr:uid="{00000000-0005-0000-0000-0000B1B70000}"/>
    <cellStyle name="Normal 7 2 4 4 2" xfId="3423" xr:uid="{00000000-0005-0000-0000-0000B2B70000}"/>
    <cellStyle name="Normal 7 2 4 4 2 2" xfId="12565" xr:uid="{00000000-0005-0000-0000-0000B3B70000}"/>
    <cellStyle name="Normal 7 2 4 4 2 2 2" xfId="22784" xr:uid="{00000000-0005-0000-0000-0000B4B70000}"/>
    <cellStyle name="Normal 7 2 4 4 2 2 2 2" xfId="48337" xr:uid="{00000000-0005-0000-0000-0000B5B70000}"/>
    <cellStyle name="Normal 7 2 4 4 2 2 3" xfId="38120" xr:uid="{00000000-0005-0000-0000-0000B6B70000}"/>
    <cellStyle name="Normal 7 2 4 4 2 3" xfId="8987" xr:uid="{00000000-0005-0000-0000-0000B7B70000}"/>
    <cellStyle name="Normal 7 2 4 4 2 3 2" xfId="34544" xr:uid="{00000000-0005-0000-0000-0000B8B70000}"/>
    <cellStyle name="Normal 7 2 4 4 2 4" xfId="17777" xr:uid="{00000000-0005-0000-0000-0000B9B70000}"/>
    <cellStyle name="Normal 7 2 4 4 2 4 2" xfId="43330" xr:uid="{00000000-0005-0000-0000-0000BAB70000}"/>
    <cellStyle name="Normal 7 2 4 4 2 5" xfId="29267" xr:uid="{00000000-0005-0000-0000-0000BBB70000}"/>
    <cellStyle name="Normal 7 2 4 4 3" xfId="5101" xr:uid="{00000000-0005-0000-0000-0000BCB70000}"/>
    <cellStyle name="Normal 7 2 4 4 3 2" xfId="13938" xr:uid="{00000000-0005-0000-0000-0000BDB70000}"/>
    <cellStyle name="Normal 7 2 4 4 3 2 2" xfId="24189" xr:uid="{00000000-0005-0000-0000-0000BEB70000}"/>
    <cellStyle name="Normal 7 2 4 4 3 2 2 2" xfId="49742" xr:uid="{00000000-0005-0000-0000-0000BFB70000}"/>
    <cellStyle name="Normal 7 2 4 4 3 2 3" xfId="39493" xr:uid="{00000000-0005-0000-0000-0000C0B70000}"/>
    <cellStyle name="Normal 7 2 4 4 3 3" xfId="10359" xr:uid="{00000000-0005-0000-0000-0000C1B70000}"/>
    <cellStyle name="Normal 7 2 4 4 3 3 2" xfId="35916" xr:uid="{00000000-0005-0000-0000-0000C2B70000}"/>
    <cellStyle name="Normal 7 2 4 4 3 4" xfId="19182" xr:uid="{00000000-0005-0000-0000-0000C3B70000}"/>
    <cellStyle name="Normal 7 2 4 4 3 4 2" xfId="44735" xr:uid="{00000000-0005-0000-0000-0000C4B70000}"/>
    <cellStyle name="Normal 7 2 4 4 3 5" xfId="30672" xr:uid="{00000000-0005-0000-0000-0000C5B70000}"/>
    <cellStyle name="Normal 7 2 4 4 4" xfId="2532" xr:uid="{00000000-0005-0000-0000-0000C6B70000}"/>
    <cellStyle name="Normal 7 2 4 4 4 2" xfId="11897" xr:uid="{00000000-0005-0000-0000-0000C7B70000}"/>
    <cellStyle name="Normal 7 2 4 4 4 2 2" xfId="37452" xr:uid="{00000000-0005-0000-0000-0000C8B70000}"/>
    <cellStyle name="Normal 7 2 4 4 4 3" xfId="21901" xr:uid="{00000000-0005-0000-0000-0000C9B70000}"/>
    <cellStyle name="Normal 7 2 4 4 4 3 2" xfId="47454" xr:uid="{00000000-0005-0000-0000-0000CAB70000}"/>
    <cellStyle name="Normal 7 2 4 4 4 4" xfId="28384" xr:uid="{00000000-0005-0000-0000-0000CBB70000}"/>
    <cellStyle name="Normal 7 2 4 4 5" xfId="6556" xr:uid="{00000000-0005-0000-0000-0000CCB70000}"/>
    <cellStyle name="Normal 7 2 4 4 5 2" xfId="15383" xr:uid="{00000000-0005-0000-0000-0000CDB70000}"/>
    <cellStyle name="Normal 7 2 4 4 5 2 2" xfId="40938" xr:uid="{00000000-0005-0000-0000-0000CEB70000}"/>
    <cellStyle name="Normal 7 2 4 4 5 3" xfId="25634" xr:uid="{00000000-0005-0000-0000-0000CFB70000}"/>
    <cellStyle name="Normal 7 2 4 4 5 3 2" xfId="51187" xr:uid="{00000000-0005-0000-0000-0000D0B70000}"/>
    <cellStyle name="Normal 7 2 4 4 5 4" xfId="32117" xr:uid="{00000000-0005-0000-0000-0000D1B70000}"/>
    <cellStyle name="Normal 7 2 4 4 6" xfId="8002" xr:uid="{00000000-0005-0000-0000-0000D2B70000}"/>
    <cellStyle name="Normal 7 2 4 4 6 2" xfId="20383" xr:uid="{00000000-0005-0000-0000-0000D3B70000}"/>
    <cellStyle name="Normal 7 2 4 4 6 2 2" xfId="45936" xr:uid="{00000000-0005-0000-0000-0000D4B70000}"/>
    <cellStyle name="Normal 7 2 4 4 6 3" xfId="33559" xr:uid="{00000000-0005-0000-0000-0000D5B70000}"/>
    <cellStyle name="Normal 7 2 4 4 7" xfId="16894" xr:uid="{00000000-0005-0000-0000-0000D6B70000}"/>
    <cellStyle name="Normal 7 2 4 4 7 2" xfId="42447" xr:uid="{00000000-0005-0000-0000-0000D7B70000}"/>
    <cellStyle name="Normal 7 2 4 4 8" xfId="26866" xr:uid="{00000000-0005-0000-0000-0000D8B70000}"/>
    <cellStyle name="Normal 7 2 4 5" xfId="1129" xr:uid="{00000000-0005-0000-0000-0000D9B70000}"/>
    <cellStyle name="Normal 7 2 4 5 2" xfId="3558" xr:uid="{00000000-0005-0000-0000-0000DAB70000}"/>
    <cellStyle name="Normal 7 2 4 5 2 2" xfId="12694" xr:uid="{00000000-0005-0000-0000-0000DBB70000}"/>
    <cellStyle name="Normal 7 2 4 5 2 2 2" xfId="22913" xr:uid="{00000000-0005-0000-0000-0000DCB70000}"/>
    <cellStyle name="Normal 7 2 4 5 2 2 2 2" xfId="48466" xr:uid="{00000000-0005-0000-0000-0000DDB70000}"/>
    <cellStyle name="Normal 7 2 4 5 2 2 3" xfId="38249" xr:uid="{00000000-0005-0000-0000-0000DEB70000}"/>
    <cellStyle name="Normal 7 2 4 5 2 3" xfId="9115" xr:uid="{00000000-0005-0000-0000-0000DFB70000}"/>
    <cellStyle name="Normal 7 2 4 5 2 3 2" xfId="34672" xr:uid="{00000000-0005-0000-0000-0000E0B70000}"/>
    <cellStyle name="Normal 7 2 4 5 2 4" xfId="17906" xr:uid="{00000000-0005-0000-0000-0000E1B70000}"/>
    <cellStyle name="Normal 7 2 4 5 2 4 2" xfId="43459" xr:uid="{00000000-0005-0000-0000-0000E2B70000}"/>
    <cellStyle name="Normal 7 2 4 5 2 5" xfId="29396" xr:uid="{00000000-0005-0000-0000-0000E3B70000}"/>
    <cellStyle name="Normal 7 2 4 5 3" xfId="5221" xr:uid="{00000000-0005-0000-0000-0000E4B70000}"/>
    <cellStyle name="Normal 7 2 4 5 3 2" xfId="14058" xr:uid="{00000000-0005-0000-0000-0000E5B70000}"/>
    <cellStyle name="Normal 7 2 4 5 3 2 2" xfId="24309" xr:uid="{00000000-0005-0000-0000-0000E6B70000}"/>
    <cellStyle name="Normal 7 2 4 5 3 2 2 2" xfId="49862" xr:uid="{00000000-0005-0000-0000-0000E7B70000}"/>
    <cellStyle name="Normal 7 2 4 5 3 2 3" xfId="39613" xr:uid="{00000000-0005-0000-0000-0000E8B70000}"/>
    <cellStyle name="Normal 7 2 4 5 3 3" xfId="10479" xr:uid="{00000000-0005-0000-0000-0000E9B70000}"/>
    <cellStyle name="Normal 7 2 4 5 3 3 2" xfId="36036" xr:uid="{00000000-0005-0000-0000-0000EAB70000}"/>
    <cellStyle name="Normal 7 2 4 5 3 4" xfId="19302" xr:uid="{00000000-0005-0000-0000-0000EBB70000}"/>
    <cellStyle name="Normal 7 2 4 5 3 4 2" xfId="44855" xr:uid="{00000000-0005-0000-0000-0000ECB70000}"/>
    <cellStyle name="Normal 7 2 4 5 3 5" xfId="30792" xr:uid="{00000000-0005-0000-0000-0000EDB70000}"/>
    <cellStyle name="Normal 7 2 4 5 4" xfId="1837" xr:uid="{00000000-0005-0000-0000-0000EEB70000}"/>
    <cellStyle name="Normal 7 2 4 5 4 2" xfId="11205" xr:uid="{00000000-0005-0000-0000-0000EFB70000}"/>
    <cellStyle name="Normal 7 2 4 5 4 2 2" xfId="36760" xr:uid="{00000000-0005-0000-0000-0000F0B70000}"/>
    <cellStyle name="Normal 7 2 4 5 4 3" xfId="21209" xr:uid="{00000000-0005-0000-0000-0000F1B70000}"/>
    <cellStyle name="Normal 7 2 4 5 4 3 2" xfId="46762" xr:uid="{00000000-0005-0000-0000-0000F2B70000}"/>
    <cellStyle name="Normal 7 2 4 5 4 4" xfId="27692" xr:uid="{00000000-0005-0000-0000-0000F3B70000}"/>
    <cellStyle name="Normal 7 2 4 5 5" xfId="6676" xr:uid="{00000000-0005-0000-0000-0000F4B70000}"/>
    <cellStyle name="Normal 7 2 4 5 5 2" xfId="15503" xr:uid="{00000000-0005-0000-0000-0000F5B70000}"/>
    <cellStyle name="Normal 7 2 4 5 5 2 2" xfId="41058" xr:uid="{00000000-0005-0000-0000-0000F6B70000}"/>
    <cellStyle name="Normal 7 2 4 5 5 3" xfId="25754" xr:uid="{00000000-0005-0000-0000-0000F7B70000}"/>
    <cellStyle name="Normal 7 2 4 5 5 3 2" xfId="51307" xr:uid="{00000000-0005-0000-0000-0000F8B70000}"/>
    <cellStyle name="Normal 7 2 4 5 5 4" xfId="32237" xr:uid="{00000000-0005-0000-0000-0000F9B70000}"/>
    <cellStyle name="Normal 7 2 4 5 6" xfId="8122" xr:uid="{00000000-0005-0000-0000-0000FAB70000}"/>
    <cellStyle name="Normal 7 2 4 5 6 2" xfId="20512" xr:uid="{00000000-0005-0000-0000-0000FBB70000}"/>
    <cellStyle name="Normal 7 2 4 5 6 2 2" xfId="46065" xr:uid="{00000000-0005-0000-0000-0000FCB70000}"/>
    <cellStyle name="Normal 7 2 4 5 6 3" xfId="33679" xr:uid="{00000000-0005-0000-0000-0000FDB70000}"/>
    <cellStyle name="Normal 7 2 4 5 7" xfId="16202" xr:uid="{00000000-0005-0000-0000-0000FEB70000}"/>
    <cellStyle name="Normal 7 2 4 5 7 2" xfId="41755" xr:uid="{00000000-0005-0000-0000-0000FFB70000}"/>
    <cellStyle name="Normal 7 2 4 5 8" xfId="26995" xr:uid="{00000000-0005-0000-0000-000000B80000}"/>
    <cellStyle name="Normal 7 2 4 6" xfId="2731" xr:uid="{00000000-0005-0000-0000-000001B80000}"/>
    <cellStyle name="Normal 7 2 4 6 2" xfId="12048" xr:uid="{00000000-0005-0000-0000-000002B80000}"/>
    <cellStyle name="Normal 7 2 4 6 2 2" xfId="22092" xr:uid="{00000000-0005-0000-0000-000003B80000}"/>
    <cellStyle name="Normal 7 2 4 6 2 2 2" xfId="47645" xr:uid="{00000000-0005-0000-0000-000004B80000}"/>
    <cellStyle name="Normal 7 2 4 6 2 3" xfId="37603" xr:uid="{00000000-0005-0000-0000-000005B80000}"/>
    <cellStyle name="Normal 7 2 4 6 3" xfId="8486" xr:uid="{00000000-0005-0000-0000-000006B80000}"/>
    <cellStyle name="Normal 7 2 4 6 3 2" xfId="34043" xr:uid="{00000000-0005-0000-0000-000007B80000}"/>
    <cellStyle name="Normal 7 2 4 6 4" xfId="17085" xr:uid="{00000000-0005-0000-0000-000008B80000}"/>
    <cellStyle name="Normal 7 2 4 6 4 2" xfId="42638" xr:uid="{00000000-0005-0000-0000-000009B80000}"/>
    <cellStyle name="Normal 7 2 4 6 5" xfId="28575" xr:uid="{00000000-0005-0000-0000-00000AB80000}"/>
    <cellStyle name="Normal 7 2 4 7" xfId="4177" xr:uid="{00000000-0005-0000-0000-00000BB80000}"/>
    <cellStyle name="Normal 7 2 4 7 2" xfId="13015" xr:uid="{00000000-0005-0000-0000-00000CB80000}"/>
    <cellStyle name="Normal 7 2 4 7 2 2" xfId="23266" xr:uid="{00000000-0005-0000-0000-00000DB80000}"/>
    <cellStyle name="Normal 7 2 4 7 2 2 2" xfId="48819" xr:uid="{00000000-0005-0000-0000-00000EB80000}"/>
    <cellStyle name="Normal 7 2 4 7 2 3" xfId="38570" xr:uid="{00000000-0005-0000-0000-00000FB80000}"/>
    <cellStyle name="Normal 7 2 4 7 3" xfId="9436" xr:uid="{00000000-0005-0000-0000-000010B80000}"/>
    <cellStyle name="Normal 7 2 4 7 3 2" xfId="34993" xr:uid="{00000000-0005-0000-0000-000011B80000}"/>
    <cellStyle name="Normal 7 2 4 7 4" xfId="18259" xr:uid="{00000000-0005-0000-0000-000012B80000}"/>
    <cellStyle name="Normal 7 2 4 7 4 2" xfId="43812" xr:uid="{00000000-0005-0000-0000-000013B80000}"/>
    <cellStyle name="Normal 7 2 4 7 5" xfId="29749" xr:uid="{00000000-0005-0000-0000-000014B80000}"/>
    <cellStyle name="Normal 7 2 4 8" xfId="1449" xr:uid="{00000000-0005-0000-0000-000015B80000}"/>
    <cellStyle name="Normal 7 2 4 8 2" xfId="10826" xr:uid="{00000000-0005-0000-0000-000016B80000}"/>
    <cellStyle name="Normal 7 2 4 8 2 2" xfId="36381" xr:uid="{00000000-0005-0000-0000-000017B80000}"/>
    <cellStyle name="Normal 7 2 4 8 3" xfId="20830" xr:uid="{00000000-0005-0000-0000-000018B80000}"/>
    <cellStyle name="Normal 7 2 4 8 3 2" xfId="46383" xr:uid="{00000000-0005-0000-0000-000019B80000}"/>
    <cellStyle name="Normal 7 2 4 8 4" xfId="27313" xr:uid="{00000000-0005-0000-0000-00001AB80000}"/>
    <cellStyle name="Normal 7 2 4 9" xfId="5633" xr:uid="{00000000-0005-0000-0000-00001BB80000}"/>
    <cellStyle name="Normal 7 2 4 9 2" xfId="14460" xr:uid="{00000000-0005-0000-0000-00001CB80000}"/>
    <cellStyle name="Normal 7 2 4 9 2 2" xfId="40015" xr:uid="{00000000-0005-0000-0000-00001DB80000}"/>
    <cellStyle name="Normal 7 2 4 9 3" xfId="24711" xr:uid="{00000000-0005-0000-0000-00001EB80000}"/>
    <cellStyle name="Normal 7 2 4 9 3 2" xfId="50264" xr:uid="{00000000-0005-0000-0000-00001FB80000}"/>
    <cellStyle name="Normal 7 2 4 9 4" xfId="31194" xr:uid="{00000000-0005-0000-0000-000020B80000}"/>
    <cellStyle name="Normal 7 2 4_Degree data" xfId="4053" xr:uid="{00000000-0005-0000-0000-000021B80000}"/>
    <cellStyle name="Normal 7 2 5" xfId="457" xr:uid="{00000000-0005-0000-0000-000022B80000}"/>
    <cellStyle name="Normal 7 2 5 10" xfId="26386" xr:uid="{00000000-0005-0000-0000-000023B80000}"/>
    <cellStyle name="Normal 7 2 5 2" xfId="949" xr:uid="{00000000-0005-0000-0000-000024B80000}"/>
    <cellStyle name="Normal 7 2 5 2 2" xfId="3425" xr:uid="{00000000-0005-0000-0000-000025B80000}"/>
    <cellStyle name="Normal 7 2 5 2 2 2" xfId="12567" xr:uid="{00000000-0005-0000-0000-000026B80000}"/>
    <cellStyle name="Normal 7 2 5 2 2 2 2" xfId="22786" xr:uid="{00000000-0005-0000-0000-000027B80000}"/>
    <cellStyle name="Normal 7 2 5 2 2 2 2 2" xfId="48339" xr:uid="{00000000-0005-0000-0000-000028B80000}"/>
    <cellStyle name="Normal 7 2 5 2 2 2 3" xfId="38122" xr:uid="{00000000-0005-0000-0000-000029B80000}"/>
    <cellStyle name="Normal 7 2 5 2 2 3" xfId="8989" xr:uid="{00000000-0005-0000-0000-00002AB80000}"/>
    <cellStyle name="Normal 7 2 5 2 2 3 2" xfId="34546" xr:uid="{00000000-0005-0000-0000-00002BB80000}"/>
    <cellStyle name="Normal 7 2 5 2 2 4" xfId="17779" xr:uid="{00000000-0005-0000-0000-00002CB80000}"/>
    <cellStyle name="Normal 7 2 5 2 2 4 2" xfId="43332" xr:uid="{00000000-0005-0000-0000-00002DB80000}"/>
    <cellStyle name="Normal 7 2 5 2 2 5" xfId="29269" xr:uid="{00000000-0005-0000-0000-00002EB80000}"/>
    <cellStyle name="Normal 7 2 5 2 3" xfId="4755" xr:uid="{00000000-0005-0000-0000-00002FB80000}"/>
    <cellStyle name="Normal 7 2 5 2 3 2" xfId="13592" xr:uid="{00000000-0005-0000-0000-000030B80000}"/>
    <cellStyle name="Normal 7 2 5 2 3 2 2" xfId="23843" xr:uid="{00000000-0005-0000-0000-000031B80000}"/>
    <cellStyle name="Normal 7 2 5 2 3 2 2 2" xfId="49396" xr:uid="{00000000-0005-0000-0000-000032B80000}"/>
    <cellStyle name="Normal 7 2 5 2 3 2 3" xfId="39147" xr:uid="{00000000-0005-0000-0000-000033B80000}"/>
    <cellStyle name="Normal 7 2 5 2 3 3" xfId="10013" xr:uid="{00000000-0005-0000-0000-000034B80000}"/>
    <cellStyle name="Normal 7 2 5 2 3 3 2" xfId="35570" xr:uid="{00000000-0005-0000-0000-000035B80000}"/>
    <cellStyle name="Normal 7 2 5 2 3 4" xfId="18836" xr:uid="{00000000-0005-0000-0000-000036B80000}"/>
    <cellStyle name="Normal 7 2 5 2 3 4 2" xfId="44389" xr:uid="{00000000-0005-0000-0000-000037B80000}"/>
    <cellStyle name="Normal 7 2 5 2 3 5" xfId="30326" xr:uid="{00000000-0005-0000-0000-000038B80000}"/>
    <cellStyle name="Normal 7 2 5 2 4" xfId="2534" xr:uid="{00000000-0005-0000-0000-000039B80000}"/>
    <cellStyle name="Normal 7 2 5 2 4 2" xfId="11899" xr:uid="{00000000-0005-0000-0000-00003AB80000}"/>
    <cellStyle name="Normal 7 2 5 2 4 2 2" xfId="37454" xr:uid="{00000000-0005-0000-0000-00003BB80000}"/>
    <cellStyle name="Normal 7 2 5 2 4 3" xfId="21903" xr:uid="{00000000-0005-0000-0000-00003CB80000}"/>
    <cellStyle name="Normal 7 2 5 2 4 3 2" xfId="47456" xr:uid="{00000000-0005-0000-0000-00003DB80000}"/>
    <cellStyle name="Normal 7 2 5 2 4 4" xfId="28386" xr:uid="{00000000-0005-0000-0000-00003EB80000}"/>
    <cellStyle name="Normal 7 2 5 2 5" xfId="6210" xr:uid="{00000000-0005-0000-0000-00003FB80000}"/>
    <cellStyle name="Normal 7 2 5 2 5 2" xfId="15037" xr:uid="{00000000-0005-0000-0000-000040B80000}"/>
    <cellStyle name="Normal 7 2 5 2 5 2 2" xfId="40592" xr:uid="{00000000-0005-0000-0000-000041B80000}"/>
    <cellStyle name="Normal 7 2 5 2 5 3" xfId="25288" xr:uid="{00000000-0005-0000-0000-000042B80000}"/>
    <cellStyle name="Normal 7 2 5 2 5 3 2" xfId="50841" xr:uid="{00000000-0005-0000-0000-000043B80000}"/>
    <cellStyle name="Normal 7 2 5 2 5 4" xfId="31771" xr:uid="{00000000-0005-0000-0000-000044B80000}"/>
    <cellStyle name="Normal 7 2 5 2 6" xfId="7656" xr:uid="{00000000-0005-0000-0000-000045B80000}"/>
    <cellStyle name="Normal 7 2 5 2 6 2" xfId="20385" xr:uid="{00000000-0005-0000-0000-000046B80000}"/>
    <cellStyle name="Normal 7 2 5 2 6 2 2" xfId="45938" xr:uid="{00000000-0005-0000-0000-000047B80000}"/>
    <cellStyle name="Normal 7 2 5 2 6 3" xfId="33213" xr:uid="{00000000-0005-0000-0000-000048B80000}"/>
    <cellStyle name="Normal 7 2 5 2 7" xfId="16896" xr:uid="{00000000-0005-0000-0000-000049B80000}"/>
    <cellStyle name="Normal 7 2 5 2 7 2" xfId="42449" xr:uid="{00000000-0005-0000-0000-00004AB80000}"/>
    <cellStyle name="Normal 7 2 5 2 8" xfId="26868" xr:uid="{00000000-0005-0000-0000-00004BB80000}"/>
    <cellStyle name="Normal 7 2 5 3" xfId="1229" xr:uid="{00000000-0005-0000-0000-00004CB80000}"/>
    <cellStyle name="Normal 7 2 5 3 2" xfId="3658" xr:uid="{00000000-0005-0000-0000-00004DB80000}"/>
    <cellStyle name="Normal 7 2 5 3 2 2" xfId="12794" xr:uid="{00000000-0005-0000-0000-00004EB80000}"/>
    <cellStyle name="Normal 7 2 5 3 2 2 2" xfId="23013" xr:uid="{00000000-0005-0000-0000-00004FB80000}"/>
    <cellStyle name="Normal 7 2 5 3 2 2 2 2" xfId="48566" xr:uid="{00000000-0005-0000-0000-000050B80000}"/>
    <cellStyle name="Normal 7 2 5 3 2 2 3" xfId="38349" xr:uid="{00000000-0005-0000-0000-000051B80000}"/>
    <cellStyle name="Normal 7 2 5 3 2 3" xfId="9215" xr:uid="{00000000-0005-0000-0000-000052B80000}"/>
    <cellStyle name="Normal 7 2 5 3 2 3 2" xfId="34772" xr:uid="{00000000-0005-0000-0000-000053B80000}"/>
    <cellStyle name="Normal 7 2 5 3 2 4" xfId="18006" xr:uid="{00000000-0005-0000-0000-000054B80000}"/>
    <cellStyle name="Normal 7 2 5 3 2 4 2" xfId="43559" xr:uid="{00000000-0005-0000-0000-000055B80000}"/>
    <cellStyle name="Normal 7 2 5 3 2 5" xfId="29496" xr:uid="{00000000-0005-0000-0000-000056B80000}"/>
    <cellStyle name="Normal 7 2 5 3 3" xfId="5103" xr:uid="{00000000-0005-0000-0000-000057B80000}"/>
    <cellStyle name="Normal 7 2 5 3 3 2" xfId="13940" xr:uid="{00000000-0005-0000-0000-000058B80000}"/>
    <cellStyle name="Normal 7 2 5 3 3 2 2" xfId="24191" xr:uid="{00000000-0005-0000-0000-000059B80000}"/>
    <cellStyle name="Normal 7 2 5 3 3 2 2 2" xfId="49744" xr:uid="{00000000-0005-0000-0000-00005AB80000}"/>
    <cellStyle name="Normal 7 2 5 3 3 2 3" xfId="39495" xr:uid="{00000000-0005-0000-0000-00005BB80000}"/>
    <cellStyle name="Normal 7 2 5 3 3 3" xfId="10361" xr:uid="{00000000-0005-0000-0000-00005CB80000}"/>
    <cellStyle name="Normal 7 2 5 3 3 3 2" xfId="35918" xr:uid="{00000000-0005-0000-0000-00005DB80000}"/>
    <cellStyle name="Normal 7 2 5 3 3 4" xfId="19184" xr:uid="{00000000-0005-0000-0000-00005EB80000}"/>
    <cellStyle name="Normal 7 2 5 3 3 4 2" xfId="44737" xr:uid="{00000000-0005-0000-0000-00005FB80000}"/>
    <cellStyle name="Normal 7 2 5 3 3 5" xfId="30674" xr:uid="{00000000-0005-0000-0000-000060B80000}"/>
    <cellStyle name="Normal 7 2 5 3 4" xfId="2052" xr:uid="{00000000-0005-0000-0000-000061B80000}"/>
    <cellStyle name="Normal 7 2 5 3 4 2" xfId="11417" xr:uid="{00000000-0005-0000-0000-000062B80000}"/>
    <cellStyle name="Normal 7 2 5 3 4 2 2" xfId="36972" xr:uid="{00000000-0005-0000-0000-000063B80000}"/>
    <cellStyle name="Normal 7 2 5 3 4 3" xfId="21421" xr:uid="{00000000-0005-0000-0000-000064B80000}"/>
    <cellStyle name="Normal 7 2 5 3 4 3 2" xfId="46974" xr:uid="{00000000-0005-0000-0000-000065B80000}"/>
    <cellStyle name="Normal 7 2 5 3 4 4" xfId="27904" xr:uid="{00000000-0005-0000-0000-000066B80000}"/>
    <cellStyle name="Normal 7 2 5 3 5" xfId="6558" xr:uid="{00000000-0005-0000-0000-000067B80000}"/>
    <cellStyle name="Normal 7 2 5 3 5 2" xfId="15385" xr:uid="{00000000-0005-0000-0000-000068B80000}"/>
    <cellStyle name="Normal 7 2 5 3 5 2 2" xfId="40940" xr:uid="{00000000-0005-0000-0000-000069B80000}"/>
    <cellStyle name="Normal 7 2 5 3 5 3" xfId="25636" xr:uid="{00000000-0005-0000-0000-00006AB80000}"/>
    <cellStyle name="Normal 7 2 5 3 5 3 2" xfId="51189" xr:uid="{00000000-0005-0000-0000-00006BB80000}"/>
    <cellStyle name="Normal 7 2 5 3 5 4" xfId="32119" xr:uid="{00000000-0005-0000-0000-00006CB80000}"/>
    <cellStyle name="Normal 7 2 5 3 6" xfId="8004" xr:uid="{00000000-0005-0000-0000-00006DB80000}"/>
    <cellStyle name="Normal 7 2 5 3 6 2" xfId="20612" xr:uid="{00000000-0005-0000-0000-00006EB80000}"/>
    <cellStyle name="Normal 7 2 5 3 6 2 2" xfId="46165" xr:uid="{00000000-0005-0000-0000-00006FB80000}"/>
    <cellStyle name="Normal 7 2 5 3 6 3" xfId="33561" xr:uid="{00000000-0005-0000-0000-000070B80000}"/>
    <cellStyle name="Normal 7 2 5 3 7" xfId="16414" xr:uid="{00000000-0005-0000-0000-000071B80000}"/>
    <cellStyle name="Normal 7 2 5 3 7 2" xfId="41967" xr:uid="{00000000-0005-0000-0000-000072B80000}"/>
    <cellStyle name="Normal 7 2 5 3 8" xfId="27095" xr:uid="{00000000-0005-0000-0000-000073B80000}"/>
    <cellStyle name="Normal 7 2 5 4" xfId="2943" xr:uid="{00000000-0005-0000-0000-000074B80000}"/>
    <cellStyle name="Normal 7 2 5 4 2" xfId="5321" xr:uid="{00000000-0005-0000-0000-000075B80000}"/>
    <cellStyle name="Normal 7 2 5 4 2 2" xfId="14158" xr:uid="{00000000-0005-0000-0000-000076B80000}"/>
    <cellStyle name="Normal 7 2 5 4 2 2 2" xfId="24409" xr:uid="{00000000-0005-0000-0000-000077B80000}"/>
    <cellStyle name="Normal 7 2 5 4 2 2 2 2" xfId="49962" xr:uid="{00000000-0005-0000-0000-000078B80000}"/>
    <cellStyle name="Normal 7 2 5 4 2 2 3" xfId="39713" xr:uid="{00000000-0005-0000-0000-000079B80000}"/>
    <cellStyle name="Normal 7 2 5 4 2 3" xfId="10579" xr:uid="{00000000-0005-0000-0000-00007AB80000}"/>
    <cellStyle name="Normal 7 2 5 4 2 3 2" xfId="36136" xr:uid="{00000000-0005-0000-0000-00007BB80000}"/>
    <cellStyle name="Normal 7 2 5 4 2 4" xfId="19402" xr:uid="{00000000-0005-0000-0000-00007CB80000}"/>
    <cellStyle name="Normal 7 2 5 4 2 4 2" xfId="44955" xr:uid="{00000000-0005-0000-0000-00007DB80000}"/>
    <cellStyle name="Normal 7 2 5 4 2 5" xfId="30892" xr:uid="{00000000-0005-0000-0000-00007EB80000}"/>
    <cellStyle name="Normal 7 2 5 4 3" xfId="6776" xr:uid="{00000000-0005-0000-0000-00007FB80000}"/>
    <cellStyle name="Normal 7 2 5 4 3 2" xfId="15603" xr:uid="{00000000-0005-0000-0000-000080B80000}"/>
    <cellStyle name="Normal 7 2 5 4 3 2 2" xfId="41158" xr:uid="{00000000-0005-0000-0000-000081B80000}"/>
    <cellStyle name="Normal 7 2 5 4 3 3" xfId="25854" xr:uid="{00000000-0005-0000-0000-000082B80000}"/>
    <cellStyle name="Normal 7 2 5 4 3 3 2" xfId="51407" xr:uid="{00000000-0005-0000-0000-000083B80000}"/>
    <cellStyle name="Normal 7 2 5 4 3 4" xfId="32337" xr:uid="{00000000-0005-0000-0000-000084B80000}"/>
    <cellStyle name="Normal 7 2 5 4 4" xfId="8222" xr:uid="{00000000-0005-0000-0000-000085B80000}"/>
    <cellStyle name="Normal 7 2 5 4 4 2" xfId="22304" xr:uid="{00000000-0005-0000-0000-000086B80000}"/>
    <cellStyle name="Normal 7 2 5 4 4 2 2" xfId="47857" xr:uid="{00000000-0005-0000-0000-000087B80000}"/>
    <cellStyle name="Normal 7 2 5 4 4 3" xfId="33779" xr:uid="{00000000-0005-0000-0000-000088B80000}"/>
    <cellStyle name="Normal 7 2 5 4 5" xfId="17297" xr:uid="{00000000-0005-0000-0000-000089B80000}"/>
    <cellStyle name="Normal 7 2 5 4 5 2" xfId="42850" xr:uid="{00000000-0005-0000-0000-00008AB80000}"/>
    <cellStyle name="Normal 7 2 5 4 6" xfId="28787" xr:uid="{00000000-0005-0000-0000-00008BB80000}"/>
    <cellStyle name="Normal 7 2 5 5" xfId="4277" xr:uid="{00000000-0005-0000-0000-00008CB80000}"/>
    <cellStyle name="Normal 7 2 5 5 2" xfId="13115" xr:uid="{00000000-0005-0000-0000-00008DB80000}"/>
    <cellStyle name="Normal 7 2 5 5 2 2" xfId="23366" xr:uid="{00000000-0005-0000-0000-00008EB80000}"/>
    <cellStyle name="Normal 7 2 5 5 2 2 2" xfId="48919" xr:uid="{00000000-0005-0000-0000-00008FB80000}"/>
    <cellStyle name="Normal 7 2 5 5 2 3" xfId="38670" xr:uid="{00000000-0005-0000-0000-000090B80000}"/>
    <cellStyle name="Normal 7 2 5 5 3" xfId="9536" xr:uid="{00000000-0005-0000-0000-000091B80000}"/>
    <cellStyle name="Normal 7 2 5 5 3 2" xfId="35093" xr:uid="{00000000-0005-0000-0000-000092B80000}"/>
    <cellStyle name="Normal 7 2 5 5 4" xfId="18359" xr:uid="{00000000-0005-0000-0000-000093B80000}"/>
    <cellStyle name="Normal 7 2 5 5 4 2" xfId="43912" xr:uid="{00000000-0005-0000-0000-000094B80000}"/>
    <cellStyle name="Normal 7 2 5 5 5" xfId="29849" xr:uid="{00000000-0005-0000-0000-000095B80000}"/>
    <cellStyle name="Normal 7 2 5 6" xfId="1549" xr:uid="{00000000-0005-0000-0000-000096B80000}"/>
    <cellStyle name="Normal 7 2 5 6 2" xfId="10926" xr:uid="{00000000-0005-0000-0000-000097B80000}"/>
    <cellStyle name="Normal 7 2 5 6 2 2" xfId="36481" xr:uid="{00000000-0005-0000-0000-000098B80000}"/>
    <cellStyle name="Normal 7 2 5 6 3" xfId="20930" xr:uid="{00000000-0005-0000-0000-000099B80000}"/>
    <cellStyle name="Normal 7 2 5 6 3 2" xfId="46483" xr:uid="{00000000-0005-0000-0000-00009AB80000}"/>
    <cellStyle name="Normal 7 2 5 6 4" xfId="27413" xr:uid="{00000000-0005-0000-0000-00009BB80000}"/>
    <cellStyle name="Normal 7 2 5 7" xfId="5733" xr:uid="{00000000-0005-0000-0000-00009CB80000}"/>
    <cellStyle name="Normal 7 2 5 7 2" xfId="14560" xr:uid="{00000000-0005-0000-0000-00009DB80000}"/>
    <cellStyle name="Normal 7 2 5 7 2 2" xfId="40115" xr:uid="{00000000-0005-0000-0000-00009EB80000}"/>
    <cellStyle name="Normal 7 2 5 7 3" xfId="24811" xr:uid="{00000000-0005-0000-0000-00009FB80000}"/>
    <cellStyle name="Normal 7 2 5 7 3 2" xfId="50364" xr:uid="{00000000-0005-0000-0000-0000A0B80000}"/>
    <cellStyle name="Normal 7 2 5 7 4" xfId="31294" xr:uid="{00000000-0005-0000-0000-0000A1B80000}"/>
    <cellStyle name="Normal 7 2 5 8" xfId="7177" xr:uid="{00000000-0005-0000-0000-0000A2B80000}"/>
    <cellStyle name="Normal 7 2 5 8 2" xfId="19903" xr:uid="{00000000-0005-0000-0000-0000A3B80000}"/>
    <cellStyle name="Normal 7 2 5 8 2 2" xfId="45456" xr:uid="{00000000-0005-0000-0000-0000A4B80000}"/>
    <cellStyle name="Normal 7 2 5 8 3" xfId="32734" xr:uid="{00000000-0005-0000-0000-0000A5B80000}"/>
    <cellStyle name="Normal 7 2 5 9" xfId="15923" xr:uid="{00000000-0005-0000-0000-0000A6B80000}"/>
    <cellStyle name="Normal 7 2 5 9 2" xfId="41476" xr:uid="{00000000-0005-0000-0000-0000A7B80000}"/>
    <cellStyle name="Normal 7 2 5_Degree data" xfId="4055" xr:uid="{00000000-0005-0000-0000-0000A8B80000}"/>
    <cellStyle name="Normal 7 2 6" xfId="330" xr:uid="{00000000-0005-0000-0000-0000A9B80000}"/>
    <cellStyle name="Normal 7 2 6 10" xfId="26259" xr:uid="{00000000-0005-0000-0000-0000AAB80000}"/>
    <cellStyle name="Normal 7 2 6 2" xfId="950" xr:uid="{00000000-0005-0000-0000-0000ABB80000}"/>
    <cellStyle name="Normal 7 2 6 2 2" xfId="3426" xr:uid="{00000000-0005-0000-0000-0000ACB80000}"/>
    <cellStyle name="Normal 7 2 6 2 2 2" xfId="12568" xr:uid="{00000000-0005-0000-0000-0000ADB80000}"/>
    <cellStyle name="Normal 7 2 6 2 2 2 2" xfId="22787" xr:uid="{00000000-0005-0000-0000-0000AEB80000}"/>
    <cellStyle name="Normal 7 2 6 2 2 2 2 2" xfId="48340" xr:uid="{00000000-0005-0000-0000-0000AFB80000}"/>
    <cellStyle name="Normal 7 2 6 2 2 2 3" xfId="38123" xr:uid="{00000000-0005-0000-0000-0000B0B80000}"/>
    <cellStyle name="Normal 7 2 6 2 2 3" xfId="8990" xr:uid="{00000000-0005-0000-0000-0000B1B80000}"/>
    <cellStyle name="Normal 7 2 6 2 2 3 2" xfId="34547" xr:uid="{00000000-0005-0000-0000-0000B2B80000}"/>
    <cellStyle name="Normal 7 2 6 2 2 4" xfId="17780" xr:uid="{00000000-0005-0000-0000-0000B3B80000}"/>
    <cellStyle name="Normal 7 2 6 2 2 4 2" xfId="43333" xr:uid="{00000000-0005-0000-0000-0000B4B80000}"/>
    <cellStyle name="Normal 7 2 6 2 2 5" xfId="29270" xr:uid="{00000000-0005-0000-0000-0000B5B80000}"/>
    <cellStyle name="Normal 7 2 6 2 3" xfId="4756" xr:uid="{00000000-0005-0000-0000-0000B6B80000}"/>
    <cellStyle name="Normal 7 2 6 2 3 2" xfId="13593" xr:uid="{00000000-0005-0000-0000-0000B7B80000}"/>
    <cellStyle name="Normal 7 2 6 2 3 2 2" xfId="23844" xr:uid="{00000000-0005-0000-0000-0000B8B80000}"/>
    <cellStyle name="Normal 7 2 6 2 3 2 2 2" xfId="49397" xr:uid="{00000000-0005-0000-0000-0000B9B80000}"/>
    <cellStyle name="Normal 7 2 6 2 3 2 3" xfId="39148" xr:uid="{00000000-0005-0000-0000-0000BAB80000}"/>
    <cellStyle name="Normal 7 2 6 2 3 3" xfId="10014" xr:uid="{00000000-0005-0000-0000-0000BBB80000}"/>
    <cellStyle name="Normal 7 2 6 2 3 3 2" xfId="35571" xr:uid="{00000000-0005-0000-0000-0000BCB80000}"/>
    <cellStyle name="Normal 7 2 6 2 3 4" xfId="18837" xr:uid="{00000000-0005-0000-0000-0000BDB80000}"/>
    <cellStyle name="Normal 7 2 6 2 3 4 2" xfId="44390" xr:uid="{00000000-0005-0000-0000-0000BEB80000}"/>
    <cellStyle name="Normal 7 2 6 2 3 5" xfId="30327" xr:uid="{00000000-0005-0000-0000-0000BFB80000}"/>
    <cellStyle name="Normal 7 2 6 2 4" xfId="2535" xr:uid="{00000000-0005-0000-0000-0000C0B80000}"/>
    <cellStyle name="Normal 7 2 6 2 4 2" xfId="11900" xr:uid="{00000000-0005-0000-0000-0000C1B80000}"/>
    <cellStyle name="Normal 7 2 6 2 4 2 2" xfId="37455" xr:uid="{00000000-0005-0000-0000-0000C2B80000}"/>
    <cellStyle name="Normal 7 2 6 2 4 3" xfId="21904" xr:uid="{00000000-0005-0000-0000-0000C3B80000}"/>
    <cellStyle name="Normal 7 2 6 2 4 3 2" xfId="47457" xr:uid="{00000000-0005-0000-0000-0000C4B80000}"/>
    <cellStyle name="Normal 7 2 6 2 4 4" xfId="28387" xr:uid="{00000000-0005-0000-0000-0000C5B80000}"/>
    <cellStyle name="Normal 7 2 6 2 5" xfId="6211" xr:uid="{00000000-0005-0000-0000-0000C6B80000}"/>
    <cellStyle name="Normal 7 2 6 2 5 2" xfId="15038" xr:uid="{00000000-0005-0000-0000-0000C7B80000}"/>
    <cellStyle name="Normal 7 2 6 2 5 2 2" xfId="40593" xr:uid="{00000000-0005-0000-0000-0000C8B80000}"/>
    <cellStyle name="Normal 7 2 6 2 5 3" xfId="25289" xr:uid="{00000000-0005-0000-0000-0000C9B80000}"/>
    <cellStyle name="Normal 7 2 6 2 5 3 2" xfId="50842" xr:uid="{00000000-0005-0000-0000-0000CAB80000}"/>
    <cellStyle name="Normal 7 2 6 2 5 4" xfId="31772" xr:uid="{00000000-0005-0000-0000-0000CBB80000}"/>
    <cellStyle name="Normal 7 2 6 2 6" xfId="7657" xr:uid="{00000000-0005-0000-0000-0000CCB80000}"/>
    <cellStyle name="Normal 7 2 6 2 6 2" xfId="20386" xr:uid="{00000000-0005-0000-0000-0000CDB80000}"/>
    <cellStyle name="Normal 7 2 6 2 6 2 2" xfId="45939" xr:uid="{00000000-0005-0000-0000-0000CEB80000}"/>
    <cellStyle name="Normal 7 2 6 2 6 3" xfId="33214" xr:uid="{00000000-0005-0000-0000-0000CFB80000}"/>
    <cellStyle name="Normal 7 2 6 2 7" xfId="16897" xr:uid="{00000000-0005-0000-0000-0000D0B80000}"/>
    <cellStyle name="Normal 7 2 6 2 7 2" xfId="42450" xr:uid="{00000000-0005-0000-0000-0000D1B80000}"/>
    <cellStyle name="Normal 7 2 6 2 8" xfId="26869" xr:uid="{00000000-0005-0000-0000-0000D2B80000}"/>
    <cellStyle name="Normal 7 2 6 3" xfId="1102" xr:uid="{00000000-0005-0000-0000-0000D3B80000}"/>
    <cellStyle name="Normal 7 2 6 3 2" xfId="3531" xr:uid="{00000000-0005-0000-0000-0000D4B80000}"/>
    <cellStyle name="Normal 7 2 6 3 2 2" xfId="12667" xr:uid="{00000000-0005-0000-0000-0000D5B80000}"/>
    <cellStyle name="Normal 7 2 6 3 2 2 2" xfId="22886" xr:uid="{00000000-0005-0000-0000-0000D6B80000}"/>
    <cellStyle name="Normal 7 2 6 3 2 2 2 2" xfId="48439" xr:uid="{00000000-0005-0000-0000-0000D7B80000}"/>
    <cellStyle name="Normal 7 2 6 3 2 2 3" xfId="38222" xr:uid="{00000000-0005-0000-0000-0000D8B80000}"/>
    <cellStyle name="Normal 7 2 6 3 2 3" xfId="9088" xr:uid="{00000000-0005-0000-0000-0000D9B80000}"/>
    <cellStyle name="Normal 7 2 6 3 2 3 2" xfId="34645" xr:uid="{00000000-0005-0000-0000-0000DAB80000}"/>
    <cellStyle name="Normal 7 2 6 3 2 4" xfId="17879" xr:uid="{00000000-0005-0000-0000-0000DBB80000}"/>
    <cellStyle name="Normal 7 2 6 3 2 4 2" xfId="43432" xr:uid="{00000000-0005-0000-0000-0000DCB80000}"/>
    <cellStyle name="Normal 7 2 6 3 2 5" xfId="29369" xr:uid="{00000000-0005-0000-0000-0000DDB80000}"/>
    <cellStyle name="Normal 7 2 6 3 3" xfId="5104" xr:uid="{00000000-0005-0000-0000-0000DEB80000}"/>
    <cellStyle name="Normal 7 2 6 3 3 2" xfId="13941" xr:uid="{00000000-0005-0000-0000-0000DFB80000}"/>
    <cellStyle name="Normal 7 2 6 3 3 2 2" xfId="24192" xr:uid="{00000000-0005-0000-0000-0000E0B80000}"/>
    <cellStyle name="Normal 7 2 6 3 3 2 2 2" xfId="49745" xr:uid="{00000000-0005-0000-0000-0000E1B80000}"/>
    <cellStyle name="Normal 7 2 6 3 3 2 3" xfId="39496" xr:uid="{00000000-0005-0000-0000-0000E2B80000}"/>
    <cellStyle name="Normal 7 2 6 3 3 3" xfId="10362" xr:uid="{00000000-0005-0000-0000-0000E3B80000}"/>
    <cellStyle name="Normal 7 2 6 3 3 3 2" xfId="35919" xr:uid="{00000000-0005-0000-0000-0000E4B80000}"/>
    <cellStyle name="Normal 7 2 6 3 3 4" xfId="19185" xr:uid="{00000000-0005-0000-0000-0000E5B80000}"/>
    <cellStyle name="Normal 7 2 6 3 3 4 2" xfId="44738" xr:uid="{00000000-0005-0000-0000-0000E6B80000}"/>
    <cellStyle name="Normal 7 2 6 3 3 5" xfId="30675" xr:uid="{00000000-0005-0000-0000-0000E7B80000}"/>
    <cellStyle name="Normal 7 2 6 3 4" xfId="2598" xr:uid="{00000000-0005-0000-0000-0000E8B80000}"/>
    <cellStyle name="Normal 7 2 6 3 4 2" xfId="11962" xr:uid="{00000000-0005-0000-0000-0000E9B80000}"/>
    <cellStyle name="Normal 7 2 6 3 4 2 2" xfId="37517" xr:uid="{00000000-0005-0000-0000-0000EAB80000}"/>
    <cellStyle name="Normal 7 2 6 3 4 3" xfId="21966" xr:uid="{00000000-0005-0000-0000-0000EBB80000}"/>
    <cellStyle name="Normal 7 2 6 3 4 3 2" xfId="47519" xr:uid="{00000000-0005-0000-0000-0000ECB80000}"/>
    <cellStyle name="Normal 7 2 6 3 4 4" xfId="28449" xr:uid="{00000000-0005-0000-0000-0000EDB80000}"/>
    <cellStyle name="Normal 7 2 6 3 5" xfId="6559" xr:uid="{00000000-0005-0000-0000-0000EEB80000}"/>
    <cellStyle name="Normal 7 2 6 3 5 2" xfId="15386" xr:uid="{00000000-0005-0000-0000-0000EFB80000}"/>
    <cellStyle name="Normal 7 2 6 3 5 2 2" xfId="40941" xr:uid="{00000000-0005-0000-0000-0000F0B80000}"/>
    <cellStyle name="Normal 7 2 6 3 5 3" xfId="25637" xr:uid="{00000000-0005-0000-0000-0000F1B80000}"/>
    <cellStyle name="Normal 7 2 6 3 5 3 2" xfId="51190" xr:uid="{00000000-0005-0000-0000-0000F2B80000}"/>
    <cellStyle name="Normal 7 2 6 3 5 4" xfId="32120" xr:uid="{00000000-0005-0000-0000-0000F3B80000}"/>
    <cellStyle name="Normal 7 2 6 3 6" xfId="8005" xr:uid="{00000000-0005-0000-0000-0000F4B80000}"/>
    <cellStyle name="Normal 7 2 6 3 6 2" xfId="20485" xr:uid="{00000000-0005-0000-0000-0000F5B80000}"/>
    <cellStyle name="Normal 7 2 6 3 6 2 2" xfId="46038" xr:uid="{00000000-0005-0000-0000-0000F6B80000}"/>
    <cellStyle name="Normal 7 2 6 3 6 3" xfId="33562" xr:uid="{00000000-0005-0000-0000-0000F7B80000}"/>
    <cellStyle name="Normal 7 2 6 3 7" xfId="16959" xr:uid="{00000000-0005-0000-0000-0000F8B80000}"/>
    <cellStyle name="Normal 7 2 6 3 7 2" xfId="42512" xr:uid="{00000000-0005-0000-0000-0000F9B80000}"/>
    <cellStyle name="Normal 7 2 6 3 8" xfId="26968" xr:uid="{00000000-0005-0000-0000-0000FAB80000}"/>
    <cellStyle name="Normal 7 2 6 4" xfId="2816" xr:uid="{00000000-0005-0000-0000-0000FBB80000}"/>
    <cellStyle name="Normal 7 2 6 4 2" xfId="5194" xr:uid="{00000000-0005-0000-0000-0000FCB80000}"/>
    <cellStyle name="Normal 7 2 6 4 2 2" xfId="14031" xr:uid="{00000000-0005-0000-0000-0000FDB80000}"/>
    <cellStyle name="Normal 7 2 6 4 2 2 2" xfId="24282" xr:uid="{00000000-0005-0000-0000-0000FEB80000}"/>
    <cellStyle name="Normal 7 2 6 4 2 2 2 2" xfId="49835" xr:uid="{00000000-0005-0000-0000-0000FFB80000}"/>
    <cellStyle name="Normal 7 2 6 4 2 2 3" xfId="39586" xr:uid="{00000000-0005-0000-0000-000000B90000}"/>
    <cellStyle name="Normal 7 2 6 4 2 3" xfId="10452" xr:uid="{00000000-0005-0000-0000-000001B90000}"/>
    <cellStyle name="Normal 7 2 6 4 2 3 2" xfId="36009" xr:uid="{00000000-0005-0000-0000-000002B90000}"/>
    <cellStyle name="Normal 7 2 6 4 2 4" xfId="19275" xr:uid="{00000000-0005-0000-0000-000003B90000}"/>
    <cellStyle name="Normal 7 2 6 4 2 4 2" xfId="44828" xr:uid="{00000000-0005-0000-0000-000004B90000}"/>
    <cellStyle name="Normal 7 2 6 4 2 5" xfId="30765" xr:uid="{00000000-0005-0000-0000-000005B90000}"/>
    <cellStyle name="Normal 7 2 6 4 3" xfId="6649" xr:uid="{00000000-0005-0000-0000-000006B90000}"/>
    <cellStyle name="Normal 7 2 6 4 3 2" xfId="15476" xr:uid="{00000000-0005-0000-0000-000007B90000}"/>
    <cellStyle name="Normal 7 2 6 4 3 2 2" xfId="41031" xr:uid="{00000000-0005-0000-0000-000008B90000}"/>
    <cellStyle name="Normal 7 2 6 4 3 3" xfId="25727" xr:uid="{00000000-0005-0000-0000-000009B90000}"/>
    <cellStyle name="Normal 7 2 6 4 3 3 2" xfId="51280" xr:uid="{00000000-0005-0000-0000-00000AB90000}"/>
    <cellStyle name="Normal 7 2 6 4 3 4" xfId="32210" xr:uid="{00000000-0005-0000-0000-00000BB90000}"/>
    <cellStyle name="Normal 7 2 6 4 4" xfId="8095" xr:uid="{00000000-0005-0000-0000-00000CB90000}"/>
    <cellStyle name="Normal 7 2 6 4 4 2" xfId="22177" xr:uid="{00000000-0005-0000-0000-00000DB90000}"/>
    <cellStyle name="Normal 7 2 6 4 4 2 2" xfId="47730" xr:uid="{00000000-0005-0000-0000-00000EB90000}"/>
    <cellStyle name="Normal 7 2 6 4 4 3" xfId="33652" xr:uid="{00000000-0005-0000-0000-00000FB90000}"/>
    <cellStyle name="Normal 7 2 6 4 5" xfId="17170" xr:uid="{00000000-0005-0000-0000-000010B90000}"/>
    <cellStyle name="Normal 7 2 6 4 5 2" xfId="42723" xr:uid="{00000000-0005-0000-0000-000011B90000}"/>
    <cellStyle name="Normal 7 2 6 4 6" xfId="28660" xr:uid="{00000000-0005-0000-0000-000012B90000}"/>
    <cellStyle name="Normal 7 2 6 5" xfId="4148" xr:uid="{00000000-0005-0000-0000-000013B90000}"/>
    <cellStyle name="Normal 7 2 6 5 2" xfId="12986" xr:uid="{00000000-0005-0000-0000-000014B90000}"/>
    <cellStyle name="Normal 7 2 6 5 2 2" xfId="23237" xr:uid="{00000000-0005-0000-0000-000015B90000}"/>
    <cellStyle name="Normal 7 2 6 5 2 2 2" xfId="48790" xr:uid="{00000000-0005-0000-0000-000016B90000}"/>
    <cellStyle name="Normal 7 2 6 5 2 3" xfId="38541" xr:uid="{00000000-0005-0000-0000-000017B90000}"/>
    <cellStyle name="Normal 7 2 6 5 3" xfId="9407" xr:uid="{00000000-0005-0000-0000-000018B90000}"/>
    <cellStyle name="Normal 7 2 6 5 3 2" xfId="34964" xr:uid="{00000000-0005-0000-0000-000019B90000}"/>
    <cellStyle name="Normal 7 2 6 5 4" xfId="18230" xr:uid="{00000000-0005-0000-0000-00001AB90000}"/>
    <cellStyle name="Normal 7 2 6 5 4 2" xfId="43783" xr:uid="{00000000-0005-0000-0000-00001BB90000}"/>
    <cellStyle name="Normal 7 2 6 5 5" xfId="29720" xr:uid="{00000000-0005-0000-0000-00001CB90000}"/>
    <cellStyle name="Normal 7 2 6 6" xfId="1925" xr:uid="{00000000-0005-0000-0000-00001DB90000}"/>
    <cellStyle name="Normal 7 2 6 6 2" xfId="11290" xr:uid="{00000000-0005-0000-0000-00001EB90000}"/>
    <cellStyle name="Normal 7 2 6 6 2 2" xfId="36845" xr:uid="{00000000-0005-0000-0000-00001FB90000}"/>
    <cellStyle name="Normal 7 2 6 6 3" xfId="21294" xr:uid="{00000000-0005-0000-0000-000020B90000}"/>
    <cellStyle name="Normal 7 2 6 6 3 2" xfId="46847" xr:uid="{00000000-0005-0000-0000-000021B90000}"/>
    <cellStyle name="Normal 7 2 6 6 4" xfId="27777" xr:uid="{00000000-0005-0000-0000-000022B90000}"/>
    <cellStyle name="Normal 7 2 6 7" xfId="5606" xr:uid="{00000000-0005-0000-0000-000023B90000}"/>
    <cellStyle name="Normal 7 2 6 7 2" xfId="14433" xr:uid="{00000000-0005-0000-0000-000024B90000}"/>
    <cellStyle name="Normal 7 2 6 7 2 2" xfId="39988" xr:uid="{00000000-0005-0000-0000-000025B90000}"/>
    <cellStyle name="Normal 7 2 6 7 3" xfId="24684" xr:uid="{00000000-0005-0000-0000-000026B90000}"/>
    <cellStyle name="Normal 7 2 6 7 3 2" xfId="50237" xr:uid="{00000000-0005-0000-0000-000027B90000}"/>
    <cellStyle name="Normal 7 2 6 7 4" xfId="31167" xr:uid="{00000000-0005-0000-0000-000028B90000}"/>
    <cellStyle name="Normal 7 2 6 8" xfId="7050" xr:uid="{00000000-0005-0000-0000-000029B90000}"/>
    <cellStyle name="Normal 7 2 6 8 2" xfId="19776" xr:uid="{00000000-0005-0000-0000-00002AB90000}"/>
    <cellStyle name="Normal 7 2 6 8 2 2" xfId="45329" xr:uid="{00000000-0005-0000-0000-00002BB90000}"/>
    <cellStyle name="Normal 7 2 6 8 3" xfId="32607" xr:uid="{00000000-0005-0000-0000-00002CB90000}"/>
    <cellStyle name="Normal 7 2 6 9" xfId="16287" xr:uid="{00000000-0005-0000-0000-00002DB90000}"/>
    <cellStyle name="Normal 7 2 6 9 2" xfId="41840" xr:uid="{00000000-0005-0000-0000-00002EB90000}"/>
    <cellStyle name="Normal 7 2 6_Degree data" xfId="4056" xr:uid="{00000000-0005-0000-0000-00002FB90000}"/>
    <cellStyle name="Normal 7 2 7" xfId="941" xr:uid="{00000000-0005-0000-0000-000030B90000}"/>
    <cellStyle name="Normal 7 2 7 2" xfId="3417" xr:uid="{00000000-0005-0000-0000-000031B90000}"/>
    <cellStyle name="Normal 7 2 7 2 2" xfId="12559" xr:uid="{00000000-0005-0000-0000-000032B90000}"/>
    <cellStyle name="Normal 7 2 7 2 2 2" xfId="22778" xr:uid="{00000000-0005-0000-0000-000033B90000}"/>
    <cellStyle name="Normal 7 2 7 2 2 2 2" xfId="48331" xr:uid="{00000000-0005-0000-0000-000034B90000}"/>
    <cellStyle name="Normal 7 2 7 2 2 3" xfId="38114" xr:uid="{00000000-0005-0000-0000-000035B90000}"/>
    <cellStyle name="Normal 7 2 7 2 3" xfId="8981" xr:uid="{00000000-0005-0000-0000-000036B90000}"/>
    <cellStyle name="Normal 7 2 7 2 3 2" xfId="34538" xr:uid="{00000000-0005-0000-0000-000037B90000}"/>
    <cellStyle name="Normal 7 2 7 2 4" xfId="17771" xr:uid="{00000000-0005-0000-0000-000038B90000}"/>
    <cellStyle name="Normal 7 2 7 2 4 2" xfId="43324" xr:uid="{00000000-0005-0000-0000-000039B90000}"/>
    <cellStyle name="Normal 7 2 7 2 5" xfId="29261" xr:uid="{00000000-0005-0000-0000-00003AB90000}"/>
    <cellStyle name="Normal 7 2 7 3" xfId="4747" xr:uid="{00000000-0005-0000-0000-00003BB90000}"/>
    <cellStyle name="Normal 7 2 7 3 2" xfId="13584" xr:uid="{00000000-0005-0000-0000-00003CB90000}"/>
    <cellStyle name="Normal 7 2 7 3 2 2" xfId="23835" xr:uid="{00000000-0005-0000-0000-00003DB90000}"/>
    <cellStyle name="Normal 7 2 7 3 2 2 2" xfId="49388" xr:uid="{00000000-0005-0000-0000-00003EB90000}"/>
    <cellStyle name="Normal 7 2 7 3 2 3" xfId="39139" xr:uid="{00000000-0005-0000-0000-00003FB90000}"/>
    <cellStyle name="Normal 7 2 7 3 3" xfId="10005" xr:uid="{00000000-0005-0000-0000-000040B90000}"/>
    <cellStyle name="Normal 7 2 7 3 3 2" xfId="35562" xr:uid="{00000000-0005-0000-0000-000041B90000}"/>
    <cellStyle name="Normal 7 2 7 3 4" xfId="18828" xr:uid="{00000000-0005-0000-0000-000042B90000}"/>
    <cellStyle name="Normal 7 2 7 3 4 2" xfId="44381" xr:uid="{00000000-0005-0000-0000-000043B90000}"/>
    <cellStyle name="Normal 7 2 7 3 5" xfId="30318" xr:uid="{00000000-0005-0000-0000-000044B90000}"/>
    <cellStyle name="Normal 7 2 7 4" xfId="2526" xr:uid="{00000000-0005-0000-0000-000045B90000}"/>
    <cellStyle name="Normal 7 2 7 4 2" xfId="11891" xr:uid="{00000000-0005-0000-0000-000046B90000}"/>
    <cellStyle name="Normal 7 2 7 4 2 2" xfId="37446" xr:uid="{00000000-0005-0000-0000-000047B90000}"/>
    <cellStyle name="Normal 7 2 7 4 3" xfId="21895" xr:uid="{00000000-0005-0000-0000-000048B90000}"/>
    <cellStyle name="Normal 7 2 7 4 3 2" xfId="47448" xr:uid="{00000000-0005-0000-0000-000049B90000}"/>
    <cellStyle name="Normal 7 2 7 4 4" xfId="28378" xr:uid="{00000000-0005-0000-0000-00004AB90000}"/>
    <cellStyle name="Normal 7 2 7 5" xfId="6202" xr:uid="{00000000-0005-0000-0000-00004BB90000}"/>
    <cellStyle name="Normal 7 2 7 5 2" xfId="15029" xr:uid="{00000000-0005-0000-0000-00004CB90000}"/>
    <cellStyle name="Normal 7 2 7 5 2 2" xfId="40584" xr:uid="{00000000-0005-0000-0000-00004DB90000}"/>
    <cellStyle name="Normal 7 2 7 5 3" xfId="25280" xr:uid="{00000000-0005-0000-0000-00004EB90000}"/>
    <cellStyle name="Normal 7 2 7 5 3 2" xfId="50833" xr:uid="{00000000-0005-0000-0000-00004FB90000}"/>
    <cellStyle name="Normal 7 2 7 5 4" xfId="31763" xr:uid="{00000000-0005-0000-0000-000050B90000}"/>
    <cellStyle name="Normal 7 2 7 6" xfId="7648" xr:uid="{00000000-0005-0000-0000-000051B90000}"/>
    <cellStyle name="Normal 7 2 7 6 2" xfId="20377" xr:uid="{00000000-0005-0000-0000-000052B90000}"/>
    <cellStyle name="Normal 7 2 7 6 2 2" xfId="45930" xr:uid="{00000000-0005-0000-0000-000053B90000}"/>
    <cellStyle name="Normal 7 2 7 6 3" xfId="33205" xr:uid="{00000000-0005-0000-0000-000054B90000}"/>
    <cellStyle name="Normal 7 2 7 7" xfId="16888" xr:uid="{00000000-0005-0000-0000-000055B90000}"/>
    <cellStyle name="Normal 7 2 7 7 2" xfId="42441" xr:uid="{00000000-0005-0000-0000-000056B90000}"/>
    <cellStyle name="Normal 7 2 7 8" xfId="26860" xr:uid="{00000000-0005-0000-0000-000057B90000}"/>
    <cellStyle name="Normal 7 2 8" xfId="1057" xr:uid="{00000000-0005-0000-0000-000058B90000}"/>
    <cellStyle name="Normal 7 2 8 2" xfId="3486" xr:uid="{00000000-0005-0000-0000-000059B90000}"/>
    <cellStyle name="Normal 7 2 8 2 2" xfId="12622" xr:uid="{00000000-0005-0000-0000-00005AB90000}"/>
    <cellStyle name="Normal 7 2 8 2 2 2" xfId="22841" xr:uid="{00000000-0005-0000-0000-00005BB90000}"/>
    <cellStyle name="Normal 7 2 8 2 2 2 2" xfId="48394" xr:uid="{00000000-0005-0000-0000-00005CB90000}"/>
    <cellStyle name="Normal 7 2 8 2 2 3" xfId="38177" xr:uid="{00000000-0005-0000-0000-00005DB90000}"/>
    <cellStyle name="Normal 7 2 8 2 3" xfId="9044" xr:uid="{00000000-0005-0000-0000-00005EB90000}"/>
    <cellStyle name="Normal 7 2 8 2 3 2" xfId="34601" xr:uid="{00000000-0005-0000-0000-00005FB90000}"/>
    <cellStyle name="Normal 7 2 8 2 4" xfId="17834" xr:uid="{00000000-0005-0000-0000-000060B90000}"/>
    <cellStyle name="Normal 7 2 8 2 4 2" xfId="43387" xr:uid="{00000000-0005-0000-0000-000061B90000}"/>
    <cellStyle name="Normal 7 2 8 2 5" xfId="29324" xr:uid="{00000000-0005-0000-0000-000062B90000}"/>
    <cellStyle name="Normal 7 2 8 3" xfId="5095" xr:uid="{00000000-0005-0000-0000-000063B90000}"/>
    <cellStyle name="Normal 7 2 8 3 2" xfId="13932" xr:uid="{00000000-0005-0000-0000-000064B90000}"/>
    <cellStyle name="Normal 7 2 8 3 2 2" xfId="24183" xr:uid="{00000000-0005-0000-0000-000065B90000}"/>
    <cellStyle name="Normal 7 2 8 3 2 2 2" xfId="49736" xr:uid="{00000000-0005-0000-0000-000066B90000}"/>
    <cellStyle name="Normal 7 2 8 3 2 3" xfId="39487" xr:uid="{00000000-0005-0000-0000-000067B90000}"/>
    <cellStyle name="Normal 7 2 8 3 3" xfId="10353" xr:uid="{00000000-0005-0000-0000-000068B90000}"/>
    <cellStyle name="Normal 7 2 8 3 3 2" xfId="35910" xr:uid="{00000000-0005-0000-0000-000069B90000}"/>
    <cellStyle name="Normal 7 2 8 3 4" xfId="19176" xr:uid="{00000000-0005-0000-0000-00006AB90000}"/>
    <cellStyle name="Normal 7 2 8 3 4 2" xfId="44729" xr:uid="{00000000-0005-0000-0000-00006BB90000}"/>
    <cellStyle name="Normal 7 2 8 3 5" xfId="30666" xr:uid="{00000000-0005-0000-0000-00006CB90000}"/>
    <cellStyle name="Normal 7 2 8 4" xfId="1725" xr:uid="{00000000-0005-0000-0000-00006DB90000}"/>
    <cellStyle name="Normal 7 2 8 4 2" xfId="11099" xr:uid="{00000000-0005-0000-0000-00006EB90000}"/>
    <cellStyle name="Normal 7 2 8 4 2 2" xfId="36654" xr:uid="{00000000-0005-0000-0000-00006FB90000}"/>
    <cellStyle name="Normal 7 2 8 4 3" xfId="21103" xr:uid="{00000000-0005-0000-0000-000070B90000}"/>
    <cellStyle name="Normal 7 2 8 4 3 2" xfId="46656" xr:uid="{00000000-0005-0000-0000-000071B90000}"/>
    <cellStyle name="Normal 7 2 8 4 4" xfId="27586" xr:uid="{00000000-0005-0000-0000-000072B90000}"/>
    <cellStyle name="Normal 7 2 8 5" xfId="6550" xr:uid="{00000000-0005-0000-0000-000073B90000}"/>
    <cellStyle name="Normal 7 2 8 5 2" xfId="15377" xr:uid="{00000000-0005-0000-0000-000074B90000}"/>
    <cellStyle name="Normal 7 2 8 5 2 2" xfId="40932" xr:uid="{00000000-0005-0000-0000-000075B90000}"/>
    <cellStyle name="Normal 7 2 8 5 3" xfId="25628" xr:uid="{00000000-0005-0000-0000-000076B90000}"/>
    <cellStyle name="Normal 7 2 8 5 3 2" xfId="51181" xr:uid="{00000000-0005-0000-0000-000077B90000}"/>
    <cellStyle name="Normal 7 2 8 5 4" xfId="32111" xr:uid="{00000000-0005-0000-0000-000078B90000}"/>
    <cellStyle name="Normal 7 2 8 6" xfId="7996" xr:uid="{00000000-0005-0000-0000-000079B90000}"/>
    <cellStyle name="Normal 7 2 8 6 2" xfId="20440" xr:uid="{00000000-0005-0000-0000-00007AB90000}"/>
    <cellStyle name="Normal 7 2 8 6 2 2" xfId="45993" xr:uid="{00000000-0005-0000-0000-00007BB90000}"/>
    <cellStyle name="Normal 7 2 8 6 3" xfId="33553" xr:uid="{00000000-0005-0000-0000-00007CB90000}"/>
    <cellStyle name="Normal 7 2 8 7" xfId="16096" xr:uid="{00000000-0005-0000-0000-00007DB90000}"/>
    <cellStyle name="Normal 7 2 8 7 2" xfId="41649" xr:uid="{00000000-0005-0000-0000-00007EB90000}"/>
    <cellStyle name="Normal 7 2 8 8" xfId="26923" xr:uid="{00000000-0005-0000-0000-00007FB90000}"/>
    <cellStyle name="Normal 7 2 9" xfId="2623" xr:uid="{00000000-0005-0000-0000-000080B90000}"/>
    <cellStyle name="Normal 7 2 9 2" xfId="5149" xr:uid="{00000000-0005-0000-0000-000081B90000}"/>
    <cellStyle name="Normal 7 2 9 2 2" xfId="13986" xr:uid="{00000000-0005-0000-0000-000082B90000}"/>
    <cellStyle name="Normal 7 2 9 2 2 2" xfId="24237" xr:uid="{00000000-0005-0000-0000-000083B90000}"/>
    <cellStyle name="Normal 7 2 9 2 2 2 2" xfId="49790" xr:uid="{00000000-0005-0000-0000-000084B90000}"/>
    <cellStyle name="Normal 7 2 9 2 2 3" xfId="39541" xr:uid="{00000000-0005-0000-0000-000085B90000}"/>
    <cellStyle name="Normal 7 2 9 2 3" xfId="10407" xr:uid="{00000000-0005-0000-0000-000086B90000}"/>
    <cellStyle name="Normal 7 2 9 2 3 2" xfId="35964" xr:uid="{00000000-0005-0000-0000-000087B90000}"/>
    <cellStyle name="Normal 7 2 9 2 4" xfId="19230" xr:uid="{00000000-0005-0000-0000-000088B90000}"/>
    <cellStyle name="Normal 7 2 9 2 4 2" xfId="44783" xr:uid="{00000000-0005-0000-0000-000089B90000}"/>
    <cellStyle name="Normal 7 2 9 2 5" xfId="30720" xr:uid="{00000000-0005-0000-0000-00008AB90000}"/>
    <cellStyle name="Normal 7 2 9 3" xfId="6604" xr:uid="{00000000-0005-0000-0000-00008BB90000}"/>
    <cellStyle name="Normal 7 2 9 3 2" xfId="15431" xr:uid="{00000000-0005-0000-0000-00008CB90000}"/>
    <cellStyle name="Normal 7 2 9 3 2 2" xfId="40986" xr:uid="{00000000-0005-0000-0000-00008DB90000}"/>
    <cellStyle name="Normal 7 2 9 3 3" xfId="25682" xr:uid="{00000000-0005-0000-0000-00008EB90000}"/>
    <cellStyle name="Normal 7 2 9 3 3 2" xfId="51235" xr:uid="{00000000-0005-0000-0000-00008FB90000}"/>
    <cellStyle name="Normal 7 2 9 3 4" xfId="32165" xr:uid="{00000000-0005-0000-0000-000090B90000}"/>
    <cellStyle name="Normal 7 2 9 4" xfId="8050" xr:uid="{00000000-0005-0000-0000-000091B90000}"/>
    <cellStyle name="Normal 7 2 9 4 2" xfId="21986" xr:uid="{00000000-0005-0000-0000-000092B90000}"/>
    <cellStyle name="Normal 7 2 9 4 2 2" xfId="47539" xr:uid="{00000000-0005-0000-0000-000093B90000}"/>
    <cellStyle name="Normal 7 2 9 4 3" xfId="33607" xr:uid="{00000000-0005-0000-0000-000094B90000}"/>
    <cellStyle name="Normal 7 2 9 5" xfId="16979" xr:uid="{00000000-0005-0000-0000-000095B90000}"/>
    <cellStyle name="Normal 7 2 9 5 2" xfId="42532" xr:uid="{00000000-0005-0000-0000-000096B90000}"/>
    <cellStyle name="Normal 7 2 9 6" xfId="28469" xr:uid="{00000000-0005-0000-0000-000097B90000}"/>
    <cellStyle name="Normal 7 2_Degree data" xfId="4047" xr:uid="{00000000-0005-0000-0000-000098B90000}"/>
    <cellStyle name="Normal 7 3" xfId="128" xr:uid="{00000000-0005-0000-0000-000099B90000}"/>
    <cellStyle name="Normal 7 3 10" xfId="4111" xr:uid="{00000000-0005-0000-0000-00009AB90000}"/>
    <cellStyle name="Normal 7 3 10 2" xfId="5569" xr:uid="{00000000-0005-0000-0000-00009BB90000}"/>
    <cellStyle name="Normal 7 3 10 2 2" xfId="14396" xr:uid="{00000000-0005-0000-0000-00009CB90000}"/>
    <cellStyle name="Normal 7 3 10 2 2 2" xfId="39951" xr:uid="{00000000-0005-0000-0000-00009DB90000}"/>
    <cellStyle name="Normal 7 3 10 2 3" xfId="24647" xr:uid="{00000000-0005-0000-0000-00009EB90000}"/>
    <cellStyle name="Normal 7 3 10 2 3 2" xfId="50200" xr:uid="{00000000-0005-0000-0000-00009FB90000}"/>
    <cellStyle name="Normal 7 3 10 2 4" xfId="31130" xr:uid="{00000000-0005-0000-0000-0000A0B90000}"/>
    <cellStyle name="Normal 7 3 10 3" xfId="7013" xr:uid="{00000000-0005-0000-0000-0000A1B90000}"/>
    <cellStyle name="Normal 7 3 10 3 2" xfId="23200" xr:uid="{00000000-0005-0000-0000-0000A2B90000}"/>
    <cellStyle name="Normal 7 3 10 3 2 2" xfId="48753" xr:uid="{00000000-0005-0000-0000-0000A3B90000}"/>
    <cellStyle name="Normal 7 3 10 3 3" xfId="32570" xr:uid="{00000000-0005-0000-0000-0000A4B90000}"/>
    <cellStyle name="Normal 7 3 10 4" xfId="18193" xr:uid="{00000000-0005-0000-0000-0000A5B90000}"/>
    <cellStyle name="Normal 7 3 10 4 2" xfId="43746" xr:uid="{00000000-0005-0000-0000-0000A6B90000}"/>
    <cellStyle name="Normal 7 3 10 5" xfId="29683" xr:uid="{00000000-0005-0000-0000-0000A7B90000}"/>
    <cellStyle name="Normal 7 3 11" xfId="1430" xr:uid="{00000000-0005-0000-0000-0000A8B90000}"/>
    <cellStyle name="Normal 7 3 11 2" xfId="10807" xr:uid="{00000000-0005-0000-0000-0000A9B90000}"/>
    <cellStyle name="Normal 7 3 11 2 2" xfId="36362" xr:uid="{00000000-0005-0000-0000-0000AAB90000}"/>
    <cellStyle name="Normal 7 3 11 3" xfId="20811" xr:uid="{00000000-0005-0000-0000-0000ABB90000}"/>
    <cellStyle name="Normal 7 3 11 3 2" xfId="46364" xr:uid="{00000000-0005-0000-0000-0000ACB90000}"/>
    <cellStyle name="Normal 7 3 11 4" xfId="27294" xr:uid="{00000000-0005-0000-0000-0000ADB90000}"/>
    <cellStyle name="Normal 7 3 12" xfId="5539" xr:uid="{00000000-0005-0000-0000-0000AEB90000}"/>
    <cellStyle name="Normal 7 3 12 2" xfId="14366" xr:uid="{00000000-0005-0000-0000-0000AFB90000}"/>
    <cellStyle name="Normal 7 3 12 2 2" xfId="39921" xr:uid="{00000000-0005-0000-0000-0000B0B90000}"/>
    <cellStyle name="Normal 7 3 12 3" xfId="24617" xr:uid="{00000000-0005-0000-0000-0000B1B90000}"/>
    <cellStyle name="Normal 7 3 12 3 2" xfId="50170" xr:uid="{00000000-0005-0000-0000-0000B2B90000}"/>
    <cellStyle name="Normal 7 3 12 4" xfId="31100" xr:uid="{00000000-0005-0000-0000-0000B3B90000}"/>
    <cellStyle name="Normal 7 3 13" xfId="6983" xr:uid="{00000000-0005-0000-0000-0000B4B90000}"/>
    <cellStyle name="Normal 7 3 13 2" xfId="19595" xr:uid="{00000000-0005-0000-0000-0000B5B90000}"/>
    <cellStyle name="Normal 7 3 13 2 2" xfId="45148" xr:uid="{00000000-0005-0000-0000-0000B6B90000}"/>
    <cellStyle name="Normal 7 3 13 3" xfId="32540" xr:uid="{00000000-0005-0000-0000-0000B7B90000}"/>
    <cellStyle name="Normal 7 3 14" xfId="15804" xr:uid="{00000000-0005-0000-0000-0000B8B90000}"/>
    <cellStyle name="Normal 7 3 14 2" xfId="41357" xr:uid="{00000000-0005-0000-0000-0000B9B90000}"/>
    <cellStyle name="Normal 7 3 15" xfId="26078" xr:uid="{00000000-0005-0000-0000-0000BAB90000}"/>
    <cellStyle name="Normal 7 3 2" xfId="165" xr:uid="{00000000-0005-0000-0000-0000BBB90000}"/>
    <cellStyle name="Normal 7 3 2 10" xfId="5671" xr:uid="{00000000-0005-0000-0000-0000BCB90000}"/>
    <cellStyle name="Normal 7 3 2 10 2" xfId="14498" xr:uid="{00000000-0005-0000-0000-0000BDB90000}"/>
    <cellStyle name="Normal 7 3 2 10 2 2" xfId="40053" xr:uid="{00000000-0005-0000-0000-0000BEB90000}"/>
    <cellStyle name="Normal 7 3 2 10 3" xfId="24749" xr:uid="{00000000-0005-0000-0000-0000BFB90000}"/>
    <cellStyle name="Normal 7 3 2 10 3 2" xfId="50302" xr:uid="{00000000-0005-0000-0000-0000C0B90000}"/>
    <cellStyle name="Normal 7 3 2 10 4" xfId="31232" xr:uid="{00000000-0005-0000-0000-0000C1B90000}"/>
    <cellStyle name="Normal 7 3 2 11" xfId="7115" xr:uid="{00000000-0005-0000-0000-0000C2B90000}"/>
    <cellStyle name="Normal 7 3 2 11 2" xfId="19624" xr:uid="{00000000-0005-0000-0000-0000C3B90000}"/>
    <cellStyle name="Normal 7 3 2 11 2 2" xfId="45177" xr:uid="{00000000-0005-0000-0000-0000C4B90000}"/>
    <cellStyle name="Normal 7 3 2 11 3" xfId="32672" xr:uid="{00000000-0005-0000-0000-0000C5B90000}"/>
    <cellStyle name="Normal 7 3 2 12" xfId="15861" xr:uid="{00000000-0005-0000-0000-0000C6B90000}"/>
    <cellStyle name="Normal 7 3 2 12 2" xfId="41414" xr:uid="{00000000-0005-0000-0000-0000C7B90000}"/>
    <cellStyle name="Normal 7 3 2 13" xfId="26107" xr:uid="{00000000-0005-0000-0000-0000C8B90000}"/>
    <cellStyle name="Normal 7 3 2 2" xfId="277" xr:uid="{00000000-0005-0000-0000-0000C9B90000}"/>
    <cellStyle name="Normal 7 3 2 2 10" xfId="16065" xr:uid="{00000000-0005-0000-0000-0000CAB90000}"/>
    <cellStyle name="Normal 7 3 2 2 10 2" xfId="41618" xr:uid="{00000000-0005-0000-0000-0000CBB90000}"/>
    <cellStyle name="Normal 7 3 2 2 11" xfId="26211" xr:uid="{00000000-0005-0000-0000-0000CCB90000}"/>
    <cellStyle name="Normal 7 3 2 2 2" xfId="599" xr:uid="{00000000-0005-0000-0000-0000CDB90000}"/>
    <cellStyle name="Normal 7 3 2 2 2 2" xfId="3085" xr:uid="{00000000-0005-0000-0000-0000CEB90000}"/>
    <cellStyle name="Normal 7 3 2 2 2 2 2" xfId="12228" xr:uid="{00000000-0005-0000-0000-0000CFB90000}"/>
    <cellStyle name="Normal 7 3 2 2 2 2 2 2" xfId="22446" xr:uid="{00000000-0005-0000-0000-0000D0B90000}"/>
    <cellStyle name="Normal 7 3 2 2 2 2 2 2 2" xfId="47999" xr:uid="{00000000-0005-0000-0000-0000D1B90000}"/>
    <cellStyle name="Normal 7 3 2 2 2 2 2 3" xfId="37783" xr:uid="{00000000-0005-0000-0000-0000D2B90000}"/>
    <cellStyle name="Normal 7 3 2 2 2 2 3" xfId="8650" xr:uid="{00000000-0005-0000-0000-0000D3B90000}"/>
    <cellStyle name="Normal 7 3 2 2 2 2 3 2" xfId="34207" xr:uid="{00000000-0005-0000-0000-0000D4B90000}"/>
    <cellStyle name="Normal 7 3 2 2 2 2 4" xfId="17439" xr:uid="{00000000-0005-0000-0000-0000D5B90000}"/>
    <cellStyle name="Normal 7 3 2 2 2 2 4 2" xfId="42992" xr:uid="{00000000-0005-0000-0000-0000D6B90000}"/>
    <cellStyle name="Normal 7 3 2 2 2 2 5" xfId="28929" xr:uid="{00000000-0005-0000-0000-0000D7B90000}"/>
    <cellStyle name="Normal 7 3 2 2 2 3" xfId="4759" xr:uid="{00000000-0005-0000-0000-0000D8B90000}"/>
    <cellStyle name="Normal 7 3 2 2 2 3 2" xfId="13596" xr:uid="{00000000-0005-0000-0000-0000D9B90000}"/>
    <cellStyle name="Normal 7 3 2 2 2 3 2 2" xfId="23847" xr:uid="{00000000-0005-0000-0000-0000DAB90000}"/>
    <cellStyle name="Normal 7 3 2 2 2 3 2 2 2" xfId="49400" xr:uid="{00000000-0005-0000-0000-0000DBB90000}"/>
    <cellStyle name="Normal 7 3 2 2 2 3 2 3" xfId="39151" xr:uid="{00000000-0005-0000-0000-0000DCB90000}"/>
    <cellStyle name="Normal 7 3 2 2 2 3 3" xfId="10017" xr:uid="{00000000-0005-0000-0000-0000DDB90000}"/>
    <cellStyle name="Normal 7 3 2 2 2 3 3 2" xfId="35574" xr:uid="{00000000-0005-0000-0000-0000DEB90000}"/>
    <cellStyle name="Normal 7 3 2 2 2 3 4" xfId="18840" xr:uid="{00000000-0005-0000-0000-0000DFB90000}"/>
    <cellStyle name="Normal 7 3 2 2 2 3 4 2" xfId="44393" xr:uid="{00000000-0005-0000-0000-0000E0B90000}"/>
    <cellStyle name="Normal 7 3 2 2 2 3 5" xfId="30330" xr:uid="{00000000-0005-0000-0000-0000E1B90000}"/>
    <cellStyle name="Normal 7 3 2 2 2 4" xfId="2194" xr:uid="{00000000-0005-0000-0000-0000E2B90000}"/>
    <cellStyle name="Normal 7 3 2 2 2 4 2" xfId="11559" xr:uid="{00000000-0005-0000-0000-0000E3B90000}"/>
    <cellStyle name="Normal 7 3 2 2 2 4 2 2" xfId="37114" xr:uid="{00000000-0005-0000-0000-0000E4B90000}"/>
    <cellStyle name="Normal 7 3 2 2 2 4 3" xfId="21563" xr:uid="{00000000-0005-0000-0000-0000E5B90000}"/>
    <cellStyle name="Normal 7 3 2 2 2 4 3 2" xfId="47116" xr:uid="{00000000-0005-0000-0000-0000E6B90000}"/>
    <cellStyle name="Normal 7 3 2 2 2 4 4" xfId="28046" xr:uid="{00000000-0005-0000-0000-0000E7B90000}"/>
    <cellStyle name="Normal 7 3 2 2 2 5" xfId="6214" xr:uid="{00000000-0005-0000-0000-0000E8B90000}"/>
    <cellStyle name="Normal 7 3 2 2 2 5 2" xfId="15041" xr:uid="{00000000-0005-0000-0000-0000E9B90000}"/>
    <cellStyle name="Normal 7 3 2 2 2 5 2 2" xfId="40596" xr:uid="{00000000-0005-0000-0000-0000EAB90000}"/>
    <cellStyle name="Normal 7 3 2 2 2 5 3" xfId="25292" xr:uid="{00000000-0005-0000-0000-0000EBB90000}"/>
    <cellStyle name="Normal 7 3 2 2 2 5 3 2" xfId="50845" xr:uid="{00000000-0005-0000-0000-0000ECB90000}"/>
    <cellStyle name="Normal 7 3 2 2 2 5 4" xfId="31775" xr:uid="{00000000-0005-0000-0000-0000EDB90000}"/>
    <cellStyle name="Normal 7 3 2 2 2 6" xfId="7660" xr:uid="{00000000-0005-0000-0000-0000EEB90000}"/>
    <cellStyle name="Normal 7 3 2 2 2 6 2" xfId="20045" xr:uid="{00000000-0005-0000-0000-0000EFB90000}"/>
    <cellStyle name="Normal 7 3 2 2 2 6 2 2" xfId="45598" xr:uid="{00000000-0005-0000-0000-0000F0B90000}"/>
    <cellStyle name="Normal 7 3 2 2 2 6 3" xfId="33217" xr:uid="{00000000-0005-0000-0000-0000F1B90000}"/>
    <cellStyle name="Normal 7 3 2 2 2 7" xfId="16556" xr:uid="{00000000-0005-0000-0000-0000F2B90000}"/>
    <cellStyle name="Normal 7 3 2 2 2 7 2" xfId="42109" xr:uid="{00000000-0005-0000-0000-0000F3B90000}"/>
    <cellStyle name="Normal 7 3 2 2 2 8" xfId="26528" xr:uid="{00000000-0005-0000-0000-0000F4B90000}"/>
    <cellStyle name="Normal 7 3 2 2 3" xfId="953" xr:uid="{00000000-0005-0000-0000-0000F5B90000}"/>
    <cellStyle name="Normal 7 3 2 2 3 2" xfId="3429" xr:uid="{00000000-0005-0000-0000-0000F6B90000}"/>
    <cellStyle name="Normal 7 3 2 2 3 2 2" xfId="12571" xr:uid="{00000000-0005-0000-0000-0000F7B90000}"/>
    <cellStyle name="Normal 7 3 2 2 3 2 2 2" xfId="22790" xr:uid="{00000000-0005-0000-0000-0000F8B90000}"/>
    <cellStyle name="Normal 7 3 2 2 3 2 2 2 2" xfId="48343" xr:uid="{00000000-0005-0000-0000-0000F9B90000}"/>
    <cellStyle name="Normal 7 3 2 2 3 2 2 3" xfId="38126" xr:uid="{00000000-0005-0000-0000-0000FAB90000}"/>
    <cellStyle name="Normal 7 3 2 2 3 2 3" xfId="8993" xr:uid="{00000000-0005-0000-0000-0000FBB90000}"/>
    <cellStyle name="Normal 7 3 2 2 3 2 3 2" xfId="34550" xr:uid="{00000000-0005-0000-0000-0000FCB90000}"/>
    <cellStyle name="Normal 7 3 2 2 3 2 4" xfId="17783" xr:uid="{00000000-0005-0000-0000-0000FDB90000}"/>
    <cellStyle name="Normal 7 3 2 2 3 2 4 2" xfId="43336" xr:uid="{00000000-0005-0000-0000-0000FEB90000}"/>
    <cellStyle name="Normal 7 3 2 2 3 2 5" xfId="29273" xr:uid="{00000000-0005-0000-0000-0000FFB90000}"/>
    <cellStyle name="Normal 7 3 2 2 3 3" xfId="5107" xr:uid="{00000000-0005-0000-0000-000000BA0000}"/>
    <cellStyle name="Normal 7 3 2 2 3 3 2" xfId="13944" xr:uid="{00000000-0005-0000-0000-000001BA0000}"/>
    <cellStyle name="Normal 7 3 2 2 3 3 2 2" xfId="24195" xr:uid="{00000000-0005-0000-0000-000002BA0000}"/>
    <cellStyle name="Normal 7 3 2 2 3 3 2 2 2" xfId="49748" xr:uid="{00000000-0005-0000-0000-000003BA0000}"/>
    <cellStyle name="Normal 7 3 2 2 3 3 2 3" xfId="39499" xr:uid="{00000000-0005-0000-0000-000004BA0000}"/>
    <cellStyle name="Normal 7 3 2 2 3 3 3" xfId="10365" xr:uid="{00000000-0005-0000-0000-000005BA0000}"/>
    <cellStyle name="Normal 7 3 2 2 3 3 3 2" xfId="35922" xr:uid="{00000000-0005-0000-0000-000006BA0000}"/>
    <cellStyle name="Normal 7 3 2 2 3 3 4" xfId="19188" xr:uid="{00000000-0005-0000-0000-000007BA0000}"/>
    <cellStyle name="Normal 7 3 2 2 3 3 4 2" xfId="44741" xr:uid="{00000000-0005-0000-0000-000008BA0000}"/>
    <cellStyle name="Normal 7 3 2 2 3 3 5" xfId="30678" xr:uid="{00000000-0005-0000-0000-000009BA0000}"/>
    <cellStyle name="Normal 7 3 2 2 3 4" xfId="2538" xr:uid="{00000000-0005-0000-0000-00000ABA0000}"/>
    <cellStyle name="Normal 7 3 2 2 3 4 2" xfId="11903" xr:uid="{00000000-0005-0000-0000-00000BBA0000}"/>
    <cellStyle name="Normal 7 3 2 2 3 4 2 2" xfId="37458" xr:uid="{00000000-0005-0000-0000-00000CBA0000}"/>
    <cellStyle name="Normal 7 3 2 2 3 4 3" xfId="21907" xr:uid="{00000000-0005-0000-0000-00000DBA0000}"/>
    <cellStyle name="Normal 7 3 2 2 3 4 3 2" xfId="47460" xr:uid="{00000000-0005-0000-0000-00000EBA0000}"/>
    <cellStyle name="Normal 7 3 2 2 3 4 4" xfId="28390" xr:uid="{00000000-0005-0000-0000-00000FBA0000}"/>
    <cellStyle name="Normal 7 3 2 2 3 5" xfId="6562" xr:uid="{00000000-0005-0000-0000-000010BA0000}"/>
    <cellStyle name="Normal 7 3 2 2 3 5 2" xfId="15389" xr:uid="{00000000-0005-0000-0000-000011BA0000}"/>
    <cellStyle name="Normal 7 3 2 2 3 5 2 2" xfId="40944" xr:uid="{00000000-0005-0000-0000-000012BA0000}"/>
    <cellStyle name="Normal 7 3 2 2 3 5 3" xfId="25640" xr:uid="{00000000-0005-0000-0000-000013BA0000}"/>
    <cellStyle name="Normal 7 3 2 2 3 5 3 2" xfId="51193" xr:uid="{00000000-0005-0000-0000-000014BA0000}"/>
    <cellStyle name="Normal 7 3 2 2 3 5 4" xfId="32123" xr:uid="{00000000-0005-0000-0000-000015BA0000}"/>
    <cellStyle name="Normal 7 3 2 2 3 6" xfId="8008" xr:uid="{00000000-0005-0000-0000-000016BA0000}"/>
    <cellStyle name="Normal 7 3 2 2 3 6 2" xfId="20389" xr:uid="{00000000-0005-0000-0000-000017BA0000}"/>
    <cellStyle name="Normal 7 3 2 2 3 6 2 2" xfId="45942" xr:uid="{00000000-0005-0000-0000-000018BA0000}"/>
    <cellStyle name="Normal 7 3 2 2 3 6 3" xfId="33565" xr:uid="{00000000-0005-0000-0000-000019BA0000}"/>
    <cellStyle name="Normal 7 3 2 2 3 7" xfId="16900" xr:uid="{00000000-0005-0000-0000-00001ABA0000}"/>
    <cellStyle name="Normal 7 3 2 2 3 7 2" xfId="42453" xr:uid="{00000000-0005-0000-0000-00001BBA0000}"/>
    <cellStyle name="Normal 7 3 2 2 3 8" xfId="26872" xr:uid="{00000000-0005-0000-0000-00001CBA0000}"/>
    <cellStyle name="Normal 7 3 2 2 4" xfId="1371" xr:uid="{00000000-0005-0000-0000-00001DBA0000}"/>
    <cellStyle name="Normal 7 3 2 2 4 2" xfId="3800" xr:uid="{00000000-0005-0000-0000-00001EBA0000}"/>
    <cellStyle name="Normal 7 3 2 2 4 2 2" xfId="12936" xr:uid="{00000000-0005-0000-0000-00001FBA0000}"/>
    <cellStyle name="Normal 7 3 2 2 4 2 2 2" xfId="23155" xr:uid="{00000000-0005-0000-0000-000020BA0000}"/>
    <cellStyle name="Normal 7 3 2 2 4 2 2 2 2" xfId="48708" xr:uid="{00000000-0005-0000-0000-000021BA0000}"/>
    <cellStyle name="Normal 7 3 2 2 4 2 2 3" xfId="38491" xr:uid="{00000000-0005-0000-0000-000022BA0000}"/>
    <cellStyle name="Normal 7 3 2 2 4 2 3" xfId="9357" xr:uid="{00000000-0005-0000-0000-000023BA0000}"/>
    <cellStyle name="Normal 7 3 2 2 4 2 3 2" xfId="34914" xr:uid="{00000000-0005-0000-0000-000024BA0000}"/>
    <cellStyle name="Normal 7 3 2 2 4 2 4" xfId="18148" xr:uid="{00000000-0005-0000-0000-000025BA0000}"/>
    <cellStyle name="Normal 7 3 2 2 4 2 4 2" xfId="43701" xr:uid="{00000000-0005-0000-0000-000026BA0000}"/>
    <cellStyle name="Normal 7 3 2 2 4 2 5" xfId="29638" xr:uid="{00000000-0005-0000-0000-000027BA0000}"/>
    <cellStyle name="Normal 7 3 2 2 4 3" xfId="5463" xr:uid="{00000000-0005-0000-0000-000028BA0000}"/>
    <cellStyle name="Normal 7 3 2 2 4 3 2" xfId="14300" xr:uid="{00000000-0005-0000-0000-000029BA0000}"/>
    <cellStyle name="Normal 7 3 2 2 4 3 2 2" xfId="24551" xr:uid="{00000000-0005-0000-0000-00002ABA0000}"/>
    <cellStyle name="Normal 7 3 2 2 4 3 2 2 2" xfId="50104" xr:uid="{00000000-0005-0000-0000-00002BBA0000}"/>
    <cellStyle name="Normal 7 3 2 2 4 3 2 3" xfId="39855" xr:uid="{00000000-0005-0000-0000-00002CBA0000}"/>
    <cellStyle name="Normal 7 3 2 2 4 3 3" xfId="10721" xr:uid="{00000000-0005-0000-0000-00002DBA0000}"/>
    <cellStyle name="Normal 7 3 2 2 4 3 3 2" xfId="36278" xr:uid="{00000000-0005-0000-0000-00002EBA0000}"/>
    <cellStyle name="Normal 7 3 2 2 4 3 4" xfId="19544" xr:uid="{00000000-0005-0000-0000-00002FBA0000}"/>
    <cellStyle name="Normal 7 3 2 2 4 3 4 2" xfId="45097" xr:uid="{00000000-0005-0000-0000-000030BA0000}"/>
    <cellStyle name="Normal 7 3 2 2 4 3 5" xfId="31034" xr:uid="{00000000-0005-0000-0000-000031BA0000}"/>
    <cellStyle name="Normal 7 3 2 2 4 4" xfId="1874" xr:uid="{00000000-0005-0000-0000-000032BA0000}"/>
    <cellStyle name="Normal 7 3 2 2 4 4 2" xfId="11242" xr:uid="{00000000-0005-0000-0000-000033BA0000}"/>
    <cellStyle name="Normal 7 3 2 2 4 4 2 2" xfId="36797" xr:uid="{00000000-0005-0000-0000-000034BA0000}"/>
    <cellStyle name="Normal 7 3 2 2 4 4 3" xfId="21246" xr:uid="{00000000-0005-0000-0000-000035BA0000}"/>
    <cellStyle name="Normal 7 3 2 2 4 4 3 2" xfId="46799" xr:uid="{00000000-0005-0000-0000-000036BA0000}"/>
    <cellStyle name="Normal 7 3 2 2 4 4 4" xfId="27729" xr:uid="{00000000-0005-0000-0000-000037BA0000}"/>
    <cellStyle name="Normal 7 3 2 2 4 5" xfId="6918" xr:uid="{00000000-0005-0000-0000-000038BA0000}"/>
    <cellStyle name="Normal 7 3 2 2 4 5 2" xfId="15745" xr:uid="{00000000-0005-0000-0000-000039BA0000}"/>
    <cellStyle name="Normal 7 3 2 2 4 5 2 2" xfId="41300" xr:uid="{00000000-0005-0000-0000-00003ABA0000}"/>
    <cellStyle name="Normal 7 3 2 2 4 5 3" xfId="25996" xr:uid="{00000000-0005-0000-0000-00003BBA0000}"/>
    <cellStyle name="Normal 7 3 2 2 4 5 3 2" xfId="51549" xr:uid="{00000000-0005-0000-0000-00003CBA0000}"/>
    <cellStyle name="Normal 7 3 2 2 4 5 4" xfId="32479" xr:uid="{00000000-0005-0000-0000-00003DBA0000}"/>
    <cellStyle name="Normal 7 3 2 2 4 6" xfId="8364" xr:uid="{00000000-0005-0000-0000-00003EBA0000}"/>
    <cellStyle name="Normal 7 3 2 2 4 6 2" xfId="20754" xr:uid="{00000000-0005-0000-0000-00003FBA0000}"/>
    <cellStyle name="Normal 7 3 2 2 4 6 2 2" xfId="46307" xr:uid="{00000000-0005-0000-0000-000040BA0000}"/>
    <cellStyle name="Normal 7 3 2 2 4 6 3" xfId="33921" xr:uid="{00000000-0005-0000-0000-000041BA0000}"/>
    <cellStyle name="Normal 7 3 2 2 4 7" xfId="16239" xr:uid="{00000000-0005-0000-0000-000042BA0000}"/>
    <cellStyle name="Normal 7 3 2 2 4 7 2" xfId="41792" xr:uid="{00000000-0005-0000-0000-000043BA0000}"/>
    <cellStyle name="Normal 7 3 2 2 4 8" xfId="27237" xr:uid="{00000000-0005-0000-0000-000044BA0000}"/>
    <cellStyle name="Normal 7 3 2 2 5" xfId="2768" xr:uid="{00000000-0005-0000-0000-000045BA0000}"/>
    <cellStyle name="Normal 7 3 2 2 5 2" xfId="12085" xr:uid="{00000000-0005-0000-0000-000046BA0000}"/>
    <cellStyle name="Normal 7 3 2 2 5 2 2" xfId="22129" xr:uid="{00000000-0005-0000-0000-000047BA0000}"/>
    <cellStyle name="Normal 7 3 2 2 5 2 2 2" xfId="47682" xr:uid="{00000000-0005-0000-0000-000048BA0000}"/>
    <cellStyle name="Normal 7 3 2 2 5 2 3" xfId="37640" xr:uid="{00000000-0005-0000-0000-000049BA0000}"/>
    <cellStyle name="Normal 7 3 2 2 5 3" xfId="8537" xr:uid="{00000000-0005-0000-0000-00004ABA0000}"/>
    <cellStyle name="Normal 7 3 2 2 5 3 2" xfId="34094" xr:uid="{00000000-0005-0000-0000-00004BBA0000}"/>
    <cellStyle name="Normal 7 3 2 2 5 4" xfId="17122" xr:uid="{00000000-0005-0000-0000-00004CBA0000}"/>
    <cellStyle name="Normal 7 3 2 2 5 4 2" xfId="42675" xr:uid="{00000000-0005-0000-0000-00004DBA0000}"/>
    <cellStyle name="Normal 7 3 2 2 5 5" xfId="28612" xr:uid="{00000000-0005-0000-0000-00004EBA0000}"/>
    <cellStyle name="Normal 7 3 2 2 6" xfId="4419" xr:uid="{00000000-0005-0000-0000-00004FBA0000}"/>
    <cellStyle name="Normal 7 3 2 2 6 2" xfId="13257" xr:uid="{00000000-0005-0000-0000-000050BA0000}"/>
    <cellStyle name="Normal 7 3 2 2 6 2 2" xfId="23508" xr:uid="{00000000-0005-0000-0000-000051BA0000}"/>
    <cellStyle name="Normal 7 3 2 2 6 2 2 2" xfId="49061" xr:uid="{00000000-0005-0000-0000-000052BA0000}"/>
    <cellStyle name="Normal 7 3 2 2 6 2 3" xfId="38812" xr:uid="{00000000-0005-0000-0000-000053BA0000}"/>
    <cellStyle name="Normal 7 3 2 2 6 3" xfId="9678" xr:uid="{00000000-0005-0000-0000-000054BA0000}"/>
    <cellStyle name="Normal 7 3 2 2 6 3 2" xfId="35235" xr:uid="{00000000-0005-0000-0000-000055BA0000}"/>
    <cellStyle name="Normal 7 3 2 2 6 4" xfId="18501" xr:uid="{00000000-0005-0000-0000-000056BA0000}"/>
    <cellStyle name="Normal 7 3 2 2 6 4 2" xfId="44054" xr:uid="{00000000-0005-0000-0000-000057BA0000}"/>
    <cellStyle name="Normal 7 3 2 2 6 5" xfId="29991" xr:uid="{00000000-0005-0000-0000-000058BA0000}"/>
    <cellStyle name="Normal 7 3 2 2 7" xfId="1691" xr:uid="{00000000-0005-0000-0000-000059BA0000}"/>
    <cellStyle name="Normal 7 3 2 2 7 2" xfId="11068" xr:uid="{00000000-0005-0000-0000-00005ABA0000}"/>
    <cellStyle name="Normal 7 3 2 2 7 2 2" xfId="36623" xr:uid="{00000000-0005-0000-0000-00005BBA0000}"/>
    <cellStyle name="Normal 7 3 2 2 7 3" xfId="21072" xr:uid="{00000000-0005-0000-0000-00005CBA0000}"/>
    <cellStyle name="Normal 7 3 2 2 7 3 2" xfId="46625" xr:uid="{00000000-0005-0000-0000-00005DBA0000}"/>
    <cellStyle name="Normal 7 3 2 2 7 4" xfId="27555" xr:uid="{00000000-0005-0000-0000-00005EBA0000}"/>
    <cellStyle name="Normal 7 3 2 2 8" xfId="5875" xr:uid="{00000000-0005-0000-0000-00005FBA0000}"/>
    <cellStyle name="Normal 7 3 2 2 8 2" xfId="14702" xr:uid="{00000000-0005-0000-0000-000060BA0000}"/>
    <cellStyle name="Normal 7 3 2 2 8 2 2" xfId="40257" xr:uid="{00000000-0005-0000-0000-000061BA0000}"/>
    <cellStyle name="Normal 7 3 2 2 8 3" xfId="24953" xr:uid="{00000000-0005-0000-0000-000062BA0000}"/>
    <cellStyle name="Normal 7 3 2 2 8 3 2" xfId="50506" xr:uid="{00000000-0005-0000-0000-000063BA0000}"/>
    <cellStyle name="Normal 7 3 2 2 8 4" xfId="31436" xr:uid="{00000000-0005-0000-0000-000064BA0000}"/>
    <cellStyle name="Normal 7 3 2 2 9" xfId="7319" xr:uid="{00000000-0005-0000-0000-000065BA0000}"/>
    <cellStyle name="Normal 7 3 2 2 9 2" xfId="19728" xr:uid="{00000000-0005-0000-0000-000066BA0000}"/>
    <cellStyle name="Normal 7 3 2 2 9 2 2" xfId="45281" xr:uid="{00000000-0005-0000-0000-000067BA0000}"/>
    <cellStyle name="Normal 7 3 2 2 9 3" xfId="32876" xr:uid="{00000000-0005-0000-0000-000068BA0000}"/>
    <cellStyle name="Normal 7 3 2 2_Degree data" xfId="4059" xr:uid="{00000000-0005-0000-0000-000069BA0000}"/>
    <cellStyle name="Normal 7 3 2 3" xfId="495" xr:uid="{00000000-0005-0000-0000-00006ABA0000}"/>
    <cellStyle name="Normal 7 3 2 3 10" xfId="26424" xr:uid="{00000000-0005-0000-0000-00006BBA0000}"/>
    <cellStyle name="Normal 7 3 2 3 2" xfId="954" xr:uid="{00000000-0005-0000-0000-00006CBA0000}"/>
    <cellStyle name="Normal 7 3 2 3 2 2" xfId="3430" xr:uid="{00000000-0005-0000-0000-00006DBA0000}"/>
    <cellStyle name="Normal 7 3 2 3 2 2 2" xfId="12572" xr:uid="{00000000-0005-0000-0000-00006EBA0000}"/>
    <cellStyle name="Normal 7 3 2 3 2 2 2 2" xfId="22791" xr:uid="{00000000-0005-0000-0000-00006FBA0000}"/>
    <cellStyle name="Normal 7 3 2 3 2 2 2 2 2" xfId="48344" xr:uid="{00000000-0005-0000-0000-000070BA0000}"/>
    <cellStyle name="Normal 7 3 2 3 2 2 2 3" xfId="38127" xr:uid="{00000000-0005-0000-0000-000071BA0000}"/>
    <cellStyle name="Normal 7 3 2 3 2 2 3" xfId="8994" xr:uid="{00000000-0005-0000-0000-000072BA0000}"/>
    <cellStyle name="Normal 7 3 2 3 2 2 3 2" xfId="34551" xr:uid="{00000000-0005-0000-0000-000073BA0000}"/>
    <cellStyle name="Normal 7 3 2 3 2 2 4" xfId="17784" xr:uid="{00000000-0005-0000-0000-000074BA0000}"/>
    <cellStyle name="Normal 7 3 2 3 2 2 4 2" xfId="43337" xr:uid="{00000000-0005-0000-0000-000075BA0000}"/>
    <cellStyle name="Normal 7 3 2 3 2 2 5" xfId="29274" xr:uid="{00000000-0005-0000-0000-000076BA0000}"/>
    <cellStyle name="Normal 7 3 2 3 2 3" xfId="4760" xr:uid="{00000000-0005-0000-0000-000077BA0000}"/>
    <cellStyle name="Normal 7 3 2 3 2 3 2" xfId="13597" xr:uid="{00000000-0005-0000-0000-000078BA0000}"/>
    <cellStyle name="Normal 7 3 2 3 2 3 2 2" xfId="23848" xr:uid="{00000000-0005-0000-0000-000079BA0000}"/>
    <cellStyle name="Normal 7 3 2 3 2 3 2 2 2" xfId="49401" xr:uid="{00000000-0005-0000-0000-00007ABA0000}"/>
    <cellStyle name="Normal 7 3 2 3 2 3 2 3" xfId="39152" xr:uid="{00000000-0005-0000-0000-00007BBA0000}"/>
    <cellStyle name="Normal 7 3 2 3 2 3 3" xfId="10018" xr:uid="{00000000-0005-0000-0000-00007CBA0000}"/>
    <cellStyle name="Normal 7 3 2 3 2 3 3 2" xfId="35575" xr:uid="{00000000-0005-0000-0000-00007DBA0000}"/>
    <cellStyle name="Normal 7 3 2 3 2 3 4" xfId="18841" xr:uid="{00000000-0005-0000-0000-00007EBA0000}"/>
    <cellStyle name="Normal 7 3 2 3 2 3 4 2" xfId="44394" xr:uid="{00000000-0005-0000-0000-00007FBA0000}"/>
    <cellStyle name="Normal 7 3 2 3 2 3 5" xfId="30331" xr:uid="{00000000-0005-0000-0000-000080BA0000}"/>
    <cellStyle name="Normal 7 3 2 3 2 4" xfId="2539" xr:uid="{00000000-0005-0000-0000-000081BA0000}"/>
    <cellStyle name="Normal 7 3 2 3 2 4 2" xfId="11904" xr:uid="{00000000-0005-0000-0000-000082BA0000}"/>
    <cellStyle name="Normal 7 3 2 3 2 4 2 2" xfId="37459" xr:uid="{00000000-0005-0000-0000-000083BA0000}"/>
    <cellStyle name="Normal 7 3 2 3 2 4 3" xfId="21908" xr:uid="{00000000-0005-0000-0000-000084BA0000}"/>
    <cellStyle name="Normal 7 3 2 3 2 4 3 2" xfId="47461" xr:uid="{00000000-0005-0000-0000-000085BA0000}"/>
    <cellStyle name="Normal 7 3 2 3 2 4 4" xfId="28391" xr:uid="{00000000-0005-0000-0000-000086BA0000}"/>
    <cellStyle name="Normal 7 3 2 3 2 5" xfId="6215" xr:uid="{00000000-0005-0000-0000-000087BA0000}"/>
    <cellStyle name="Normal 7 3 2 3 2 5 2" xfId="15042" xr:uid="{00000000-0005-0000-0000-000088BA0000}"/>
    <cellStyle name="Normal 7 3 2 3 2 5 2 2" xfId="40597" xr:uid="{00000000-0005-0000-0000-000089BA0000}"/>
    <cellStyle name="Normal 7 3 2 3 2 5 3" xfId="25293" xr:uid="{00000000-0005-0000-0000-00008ABA0000}"/>
    <cellStyle name="Normal 7 3 2 3 2 5 3 2" xfId="50846" xr:uid="{00000000-0005-0000-0000-00008BBA0000}"/>
    <cellStyle name="Normal 7 3 2 3 2 5 4" xfId="31776" xr:uid="{00000000-0005-0000-0000-00008CBA0000}"/>
    <cellStyle name="Normal 7 3 2 3 2 6" xfId="7661" xr:uid="{00000000-0005-0000-0000-00008DBA0000}"/>
    <cellStyle name="Normal 7 3 2 3 2 6 2" xfId="20390" xr:uid="{00000000-0005-0000-0000-00008EBA0000}"/>
    <cellStyle name="Normal 7 3 2 3 2 6 2 2" xfId="45943" xr:uid="{00000000-0005-0000-0000-00008FBA0000}"/>
    <cellStyle name="Normal 7 3 2 3 2 6 3" xfId="33218" xr:uid="{00000000-0005-0000-0000-000090BA0000}"/>
    <cellStyle name="Normal 7 3 2 3 2 7" xfId="16901" xr:uid="{00000000-0005-0000-0000-000091BA0000}"/>
    <cellStyle name="Normal 7 3 2 3 2 7 2" xfId="42454" xr:uid="{00000000-0005-0000-0000-000092BA0000}"/>
    <cellStyle name="Normal 7 3 2 3 2 8" xfId="26873" xr:uid="{00000000-0005-0000-0000-000093BA0000}"/>
    <cellStyle name="Normal 7 3 2 3 3" xfId="1267" xr:uid="{00000000-0005-0000-0000-000094BA0000}"/>
    <cellStyle name="Normal 7 3 2 3 3 2" xfId="3696" xr:uid="{00000000-0005-0000-0000-000095BA0000}"/>
    <cellStyle name="Normal 7 3 2 3 3 2 2" xfId="12832" xr:uid="{00000000-0005-0000-0000-000096BA0000}"/>
    <cellStyle name="Normal 7 3 2 3 3 2 2 2" xfId="23051" xr:uid="{00000000-0005-0000-0000-000097BA0000}"/>
    <cellStyle name="Normal 7 3 2 3 3 2 2 2 2" xfId="48604" xr:uid="{00000000-0005-0000-0000-000098BA0000}"/>
    <cellStyle name="Normal 7 3 2 3 3 2 2 3" xfId="38387" xr:uid="{00000000-0005-0000-0000-000099BA0000}"/>
    <cellStyle name="Normal 7 3 2 3 3 2 3" xfId="9253" xr:uid="{00000000-0005-0000-0000-00009ABA0000}"/>
    <cellStyle name="Normal 7 3 2 3 3 2 3 2" xfId="34810" xr:uid="{00000000-0005-0000-0000-00009BBA0000}"/>
    <cellStyle name="Normal 7 3 2 3 3 2 4" xfId="18044" xr:uid="{00000000-0005-0000-0000-00009CBA0000}"/>
    <cellStyle name="Normal 7 3 2 3 3 2 4 2" xfId="43597" xr:uid="{00000000-0005-0000-0000-00009DBA0000}"/>
    <cellStyle name="Normal 7 3 2 3 3 2 5" xfId="29534" xr:uid="{00000000-0005-0000-0000-00009EBA0000}"/>
    <cellStyle name="Normal 7 3 2 3 3 3" xfId="5108" xr:uid="{00000000-0005-0000-0000-00009FBA0000}"/>
    <cellStyle name="Normal 7 3 2 3 3 3 2" xfId="13945" xr:uid="{00000000-0005-0000-0000-0000A0BA0000}"/>
    <cellStyle name="Normal 7 3 2 3 3 3 2 2" xfId="24196" xr:uid="{00000000-0005-0000-0000-0000A1BA0000}"/>
    <cellStyle name="Normal 7 3 2 3 3 3 2 2 2" xfId="49749" xr:uid="{00000000-0005-0000-0000-0000A2BA0000}"/>
    <cellStyle name="Normal 7 3 2 3 3 3 2 3" xfId="39500" xr:uid="{00000000-0005-0000-0000-0000A3BA0000}"/>
    <cellStyle name="Normal 7 3 2 3 3 3 3" xfId="10366" xr:uid="{00000000-0005-0000-0000-0000A4BA0000}"/>
    <cellStyle name="Normal 7 3 2 3 3 3 3 2" xfId="35923" xr:uid="{00000000-0005-0000-0000-0000A5BA0000}"/>
    <cellStyle name="Normal 7 3 2 3 3 3 4" xfId="19189" xr:uid="{00000000-0005-0000-0000-0000A6BA0000}"/>
    <cellStyle name="Normal 7 3 2 3 3 3 4 2" xfId="44742" xr:uid="{00000000-0005-0000-0000-0000A7BA0000}"/>
    <cellStyle name="Normal 7 3 2 3 3 3 5" xfId="30679" xr:uid="{00000000-0005-0000-0000-0000A8BA0000}"/>
    <cellStyle name="Normal 7 3 2 3 3 4" xfId="2090" xr:uid="{00000000-0005-0000-0000-0000A9BA0000}"/>
    <cellStyle name="Normal 7 3 2 3 3 4 2" xfId="11455" xr:uid="{00000000-0005-0000-0000-0000AABA0000}"/>
    <cellStyle name="Normal 7 3 2 3 3 4 2 2" xfId="37010" xr:uid="{00000000-0005-0000-0000-0000ABBA0000}"/>
    <cellStyle name="Normal 7 3 2 3 3 4 3" xfId="21459" xr:uid="{00000000-0005-0000-0000-0000ACBA0000}"/>
    <cellStyle name="Normal 7 3 2 3 3 4 3 2" xfId="47012" xr:uid="{00000000-0005-0000-0000-0000ADBA0000}"/>
    <cellStyle name="Normal 7 3 2 3 3 4 4" xfId="27942" xr:uid="{00000000-0005-0000-0000-0000AEBA0000}"/>
    <cellStyle name="Normal 7 3 2 3 3 5" xfId="6563" xr:uid="{00000000-0005-0000-0000-0000AFBA0000}"/>
    <cellStyle name="Normal 7 3 2 3 3 5 2" xfId="15390" xr:uid="{00000000-0005-0000-0000-0000B0BA0000}"/>
    <cellStyle name="Normal 7 3 2 3 3 5 2 2" xfId="40945" xr:uid="{00000000-0005-0000-0000-0000B1BA0000}"/>
    <cellStyle name="Normal 7 3 2 3 3 5 3" xfId="25641" xr:uid="{00000000-0005-0000-0000-0000B2BA0000}"/>
    <cellStyle name="Normal 7 3 2 3 3 5 3 2" xfId="51194" xr:uid="{00000000-0005-0000-0000-0000B3BA0000}"/>
    <cellStyle name="Normal 7 3 2 3 3 5 4" xfId="32124" xr:uid="{00000000-0005-0000-0000-0000B4BA0000}"/>
    <cellStyle name="Normal 7 3 2 3 3 6" xfId="8009" xr:uid="{00000000-0005-0000-0000-0000B5BA0000}"/>
    <cellStyle name="Normal 7 3 2 3 3 6 2" xfId="20650" xr:uid="{00000000-0005-0000-0000-0000B6BA0000}"/>
    <cellStyle name="Normal 7 3 2 3 3 6 2 2" xfId="46203" xr:uid="{00000000-0005-0000-0000-0000B7BA0000}"/>
    <cellStyle name="Normal 7 3 2 3 3 6 3" xfId="33566" xr:uid="{00000000-0005-0000-0000-0000B8BA0000}"/>
    <cellStyle name="Normal 7 3 2 3 3 7" xfId="16452" xr:uid="{00000000-0005-0000-0000-0000B9BA0000}"/>
    <cellStyle name="Normal 7 3 2 3 3 7 2" xfId="42005" xr:uid="{00000000-0005-0000-0000-0000BABA0000}"/>
    <cellStyle name="Normal 7 3 2 3 3 8" xfId="27133" xr:uid="{00000000-0005-0000-0000-0000BBBA0000}"/>
    <cellStyle name="Normal 7 3 2 3 4" xfId="2981" xr:uid="{00000000-0005-0000-0000-0000BCBA0000}"/>
    <cellStyle name="Normal 7 3 2 3 4 2" xfId="5359" xr:uid="{00000000-0005-0000-0000-0000BDBA0000}"/>
    <cellStyle name="Normal 7 3 2 3 4 2 2" xfId="14196" xr:uid="{00000000-0005-0000-0000-0000BEBA0000}"/>
    <cellStyle name="Normal 7 3 2 3 4 2 2 2" xfId="24447" xr:uid="{00000000-0005-0000-0000-0000BFBA0000}"/>
    <cellStyle name="Normal 7 3 2 3 4 2 2 2 2" xfId="50000" xr:uid="{00000000-0005-0000-0000-0000C0BA0000}"/>
    <cellStyle name="Normal 7 3 2 3 4 2 2 3" xfId="39751" xr:uid="{00000000-0005-0000-0000-0000C1BA0000}"/>
    <cellStyle name="Normal 7 3 2 3 4 2 3" xfId="10617" xr:uid="{00000000-0005-0000-0000-0000C2BA0000}"/>
    <cellStyle name="Normal 7 3 2 3 4 2 3 2" xfId="36174" xr:uid="{00000000-0005-0000-0000-0000C3BA0000}"/>
    <cellStyle name="Normal 7 3 2 3 4 2 4" xfId="19440" xr:uid="{00000000-0005-0000-0000-0000C4BA0000}"/>
    <cellStyle name="Normal 7 3 2 3 4 2 4 2" xfId="44993" xr:uid="{00000000-0005-0000-0000-0000C5BA0000}"/>
    <cellStyle name="Normal 7 3 2 3 4 2 5" xfId="30930" xr:uid="{00000000-0005-0000-0000-0000C6BA0000}"/>
    <cellStyle name="Normal 7 3 2 3 4 3" xfId="6814" xr:uid="{00000000-0005-0000-0000-0000C7BA0000}"/>
    <cellStyle name="Normal 7 3 2 3 4 3 2" xfId="15641" xr:uid="{00000000-0005-0000-0000-0000C8BA0000}"/>
    <cellStyle name="Normal 7 3 2 3 4 3 2 2" xfId="41196" xr:uid="{00000000-0005-0000-0000-0000C9BA0000}"/>
    <cellStyle name="Normal 7 3 2 3 4 3 3" xfId="25892" xr:uid="{00000000-0005-0000-0000-0000CABA0000}"/>
    <cellStyle name="Normal 7 3 2 3 4 3 3 2" xfId="51445" xr:uid="{00000000-0005-0000-0000-0000CBBA0000}"/>
    <cellStyle name="Normal 7 3 2 3 4 3 4" xfId="32375" xr:uid="{00000000-0005-0000-0000-0000CCBA0000}"/>
    <cellStyle name="Normal 7 3 2 3 4 4" xfId="8260" xr:uid="{00000000-0005-0000-0000-0000CDBA0000}"/>
    <cellStyle name="Normal 7 3 2 3 4 4 2" xfId="22342" xr:uid="{00000000-0005-0000-0000-0000CEBA0000}"/>
    <cellStyle name="Normal 7 3 2 3 4 4 2 2" xfId="47895" xr:uid="{00000000-0005-0000-0000-0000CFBA0000}"/>
    <cellStyle name="Normal 7 3 2 3 4 4 3" xfId="33817" xr:uid="{00000000-0005-0000-0000-0000D0BA0000}"/>
    <cellStyle name="Normal 7 3 2 3 4 5" xfId="17335" xr:uid="{00000000-0005-0000-0000-0000D1BA0000}"/>
    <cellStyle name="Normal 7 3 2 3 4 5 2" xfId="42888" xr:uid="{00000000-0005-0000-0000-0000D2BA0000}"/>
    <cellStyle name="Normal 7 3 2 3 4 6" xfId="28825" xr:uid="{00000000-0005-0000-0000-0000D3BA0000}"/>
    <cellStyle name="Normal 7 3 2 3 5" xfId="4315" xr:uid="{00000000-0005-0000-0000-0000D4BA0000}"/>
    <cellStyle name="Normal 7 3 2 3 5 2" xfId="13153" xr:uid="{00000000-0005-0000-0000-0000D5BA0000}"/>
    <cellStyle name="Normal 7 3 2 3 5 2 2" xfId="23404" xr:uid="{00000000-0005-0000-0000-0000D6BA0000}"/>
    <cellStyle name="Normal 7 3 2 3 5 2 2 2" xfId="48957" xr:uid="{00000000-0005-0000-0000-0000D7BA0000}"/>
    <cellStyle name="Normal 7 3 2 3 5 2 3" xfId="38708" xr:uid="{00000000-0005-0000-0000-0000D8BA0000}"/>
    <cellStyle name="Normal 7 3 2 3 5 3" xfId="9574" xr:uid="{00000000-0005-0000-0000-0000D9BA0000}"/>
    <cellStyle name="Normal 7 3 2 3 5 3 2" xfId="35131" xr:uid="{00000000-0005-0000-0000-0000DABA0000}"/>
    <cellStyle name="Normal 7 3 2 3 5 4" xfId="18397" xr:uid="{00000000-0005-0000-0000-0000DBBA0000}"/>
    <cellStyle name="Normal 7 3 2 3 5 4 2" xfId="43950" xr:uid="{00000000-0005-0000-0000-0000DCBA0000}"/>
    <cellStyle name="Normal 7 3 2 3 5 5" xfId="29887" xr:uid="{00000000-0005-0000-0000-0000DDBA0000}"/>
    <cellStyle name="Normal 7 3 2 3 6" xfId="1587" xr:uid="{00000000-0005-0000-0000-0000DEBA0000}"/>
    <cellStyle name="Normal 7 3 2 3 6 2" xfId="10964" xr:uid="{00000000-0005-0000-0000-0000DFBA0000}"/>
    <cellStyle name="Normal 7 3 2 3 6 2 2" xfId="36519" xr:uid="{00000000-0005-0000-0000-0000E0BA0000}"/>
    <cellStyle name="Normal 7 3 2 3 6 3" xfId="20968" xr:uid="{00000000-0005-0000-0000-0000E1BA0000}"/>
    <cellStyle name="Normal 7 3 2 3 6 3 2" xfId="46521" xr:uid="{00000000-0005-0000-0000-0000E2BA0000}"/>
    <cellStyle name="Normal 7 3 2 3 6 4" xfId="27451" xr:uid="{00000000-0005-0000-0000-0000E3BA0000}"/>
    <cellStyle name="Normal 7 3 2 3 7" xfId="5771" xr:uid="{00000000-0005-0000-0000-0000E4BA0000}"/>
    <cellStyle name="Normal 7 3 2 3 7 2" xfId="14598" xr:uid="{00000000-0005-0000-0000-0000E5BA0000}"/>
    <cellStyle name="Normal 7 3 2 3 7 2 2" xfId="40153" xr:uid="{00000000-0005-0000-0000-0000E6BA0000}"/>
    <cellStyle name="Normal 7 3 2 3 7 3" xfId="24849" xr:uid="{00000000-0005-0000-0000-0000E7BA0000}"/>
    <cellStyle name="Normal 7 3 2 3 7 3 2" xfId="50402" xr:uid="{00000000-0005-0000-0000-0000E8BA0000}"/>
    <cellStyle name="Normal 7 3 2 3 7 4" xfId="31332" xr:uid="{00000000-0005-0000-0000-0000E9BA0000}"/>
    <cellStyle name="Normal 7 3 2 3 8" xfId="7215" xr:uid="{00000000-0005-0000-0000-0000EABA0000}"/>
    <cellStyle name="Normal 7 3 2 3 8 2" xfId="19941" xr:uid="{00000000-0005-0000-0000-0000EBBA0000}"/>
    <cellStyle name="Normal 7 3 2 3 8 2 2" xfId="45494" xr:uid="{00000000-0005-0000-0000-0000ECBA0000}"/>
    <cellStyle name="Normal 7 3 2 3 8 3" xfId="32772" xr:uid="{00000000-0005-0000-0000-0000EDBA0000}"/>
    <cellStyle name="Normal 7 3 2 3 9" xfId="15961" xr:uid="{00000000-0005-0000-0000-0000EEBA0000}"/>
    <cellStyle name="Normal 7 3 2 3 9 2" xfId="41514" xr:uid="{00000000-0005-0000-0000-0000EFBA0000}"/>
    <cellStyle name="Normal 7 3 2 3_Degree data" xfId="4060" xr:uid="{00000000-0005-0000-0000-0000F0BA0000}"/>
    <cellStyle name="Normal 7 3 2 4" xfId="395" xr:uid="{00000000-0005-0000-0000-0000F1BA0000}"/>
    <cellStyle name="Normal 7 3 2 4 2" xfId="2881" xr:uid="{00000000-0005-0000-0000-0000F2BA0000}"/>
    <cellStyle name="Normal 7 3 2 4 2 2" xfId="12169" xr:uid="{00000000-0005-0000-0000-0000F3BA0000}"/>
    <cellStyle name="Normal 7 3 2 4 2 2 2" xfId="22242" xr:uid="{00000000-0005-0000-0000-0000F4BA0000}"/>
    <cellStyle name="Normal 7 3 2 4 2 2 2 2" xfId="47795" xr:uid="{00000000-0005-0000-0000-0000F5BA0000}"/>
    <cellStyle name="Normal 7 3 2 4 2 2 3" xfId="37724" xr:uid="{00000000-0005-0000-0000-0000F6BA0000}"/>
    <cellStyle name="Normal 7 3 2 4 2 3" xfId="8518" xr:uid="{00000000-0005-0000-0000-0000F7BA0000}"/>
    <cellStyle name="Normal 7 3 2 4 2 3 2" xfId="34075" xr:uid="{00000000-0005-0000-0000-0000F8BA0000}"/>
    <cellStyle name="Normal 7 3 2 4 2 4" xfId="17235" xr:uid="{00000000-0005-0000-0000-0000F9BA0000}"/>
    <cellStyle name="Normal 7 3 2 4 2 4 2" xfId="42788" xr:uid="{00000000-0005-0000-0000-0000FABA0000}"/>
    <cellStyle name="Normal 7 3 2 4 2 5" xfId="28725" xr:uid="{00000000-0005-0000-0000-0000FBBA0000}"/>
    <cellStyle name="Normal 7 3 2 4 3" xfId="4758" xr:uid="{00000000-0005-0000-0000-0000FCBA0000}"/>
    <cellStyle name="Normal 7 3 2 4 3 2" xfId="13595" xr:uid="{00000000-0005-0000-0000-0000FDBA0000}"/>
    <cellStyle name="Normal 7 3 2 4 3 2 2" xfId="23846" xr:uid="{00000000-0005-0000-0000-0000FEBA0000}"/>
    <cellStyle name="Normal 7 3 2 4 3 2 2 2" xfId="49399" xr:uid="{00000000-0005-0000-0000-0000FFBA0000}"/>
    <cellStyle name="Normal 7 3 2 4 3 2 3" xfId="39150" xr:uid="{00000000-0005-0000-0000-000000BB0000}"/>
    <cellStyle name="Normal 7 3 2 4 3 3" xfId="10016" xr:uid="{00000000-0005-0000-0000-000001BB0000}"/>
    <cellStyle name="Normal 7 3 2 4 3 3 2" xfId="35573" xr:uid="{00000000-0005-0000-0000-000002BB0000}"/>
    <cellStyle name="Normal 7 3 2 4 3 4" xfId="18839" xr:uid="{00000000-0005-0000-0000-000003BB0000}"/>
    <cellStyle name="Normal 7 3 2 4 3 4 2" xfId="44392" xr:uid="{00000000-0005-0000-0000-000004BB0000}"/>
    <cellStyle name="Normal 7 3 2 4 3 5" xfId="30329" xr:uid="{00000000-0005-0000-0000-000005BB0000}"/>
    <cellStyle name="Normal 7 3 2 4 4" xfId="1990" xr:uid="{00000000-0005-0000-0000-000006BB0000}"/>
    <cellStyle name="Normal 7 3 2 4 4 2" xfId="11355" xr:uid="{00000000-0005-0000-0000-000007BB0000}"/>
    <cellStyle name="Normal 7 3 2 4 4 2 2" xfId="36910" xr:uid="{00000000-0005-0000-0000-000008BB0000}"/>
    <cellStyle name="Normal 7 3 2 4 4 3" xfId="21359" xr:uid="{00000000-0005-0000-0000-000009BB0000}"/>
    <cellStyle name="Normal 7 3 2 4 4 3 2" xfId="46912" xr:uid="{00000000-0005-0000-0000-00000ABB0000}"/>
    <cellStyle name="Normal 7 3 2 4 4 4" xfId="27842" xr:uid="{00000000-0005-0000-0000-00000BBB0000}"/>
    <cellStyle name="Normal 7 3 2 4 5" xfId="6213" xr:uid="{00000000-0005-0000-0000-00000CBB0000}"/>
    <cellStyle name="Normal 7 3 2 4 5 2" xfId="15040" xr:uid="{00000000-0005-0000-0000-00000DBB0000}"/>
    <cellStyle name="Normal 7 3 2 4 5 2 2" xfId="40595" xr:uid="{00000000-0005-0000-0000-00000EBB0000}"/>
    <cellStyle name="Normal 7 3 2 4 5 3" xfId="25291" xr:uid="{00000000-0005-0000-0000-00000FBB0000}"/>
    <cellStyle name="Normal 7 3 2 4 5 3 2" xfId="50844" xr:uid="{00000000-0005-0000-0000-000010BB0000}"/>
    <cellStyle name="Normal 7 3 2 4 5 4" xfId="31774" xr:uid="{00000000-0005-0000-0000-000011BB0000}"/>
    <cellStyle name="Normal 7 3 2 4 6" xfId="7659" xr:uid="{00000000-0005-0000-0000-000012BB0000}"/>
    <cellStyle name="Normal 7 3 2 4 6 2" xfId="19841" xr:uid="{00000000-0005-0000-0000-000013BB0000}"/>
    <cellStyle name="Normal 7 3 2 4 6 2 2" xfId="45394" xr:uid="{00000000-0005-0000-0000-000014BB0000}"/>
    <cellStyle name="Normal 7 3 2 4 6 3" xfId="33216" xr:uid="{00000000-0005-0000-0000-000015BB0000}"/>
    <cellStyle name="Normal 7 3 2 4 7" xfId="16352" xr:uid="{00000000-0005-0000-0000-000016BB0000}"/>
    <cellStyle name="Normal 7 3 2 4 7 2" xfId="41905" xr:uid="{00000000-0005-0000-0000-000017BB0000}"/>
    <cellStyle name="Normal 7 3 2 4 8" xfId="26324" xr:uid="{00000000-0005-0000-0000-000018BB0000}"/>
    <cellStyle name="Normal 7 3 2 5" xfId="952" xr:uid="{00000000-0005-0000-0000-000019BB0000}"/>
    <cellStyle name="Normal 7 3 2 5 2" xfId="3428" xr:uid="{00000000-0005-0000-0000-00001ABB0000}"/>
    <cellStyle name="Normal 7 3 2 5 2 2" xfId="12570" xr:uid="{00000000-0005-0000-0000-00001BBB0000}"/>
    <cellStyle name="Normal 7 3 2 5 2 2 2" xfId="22789" xr:uid="{00000000-0005-0000-0000-00001CBB0000}"/>
    <cellStyle name="Normal 7 3 2 5 2 2 2 2" xfId="48342" xr:uid="{00000000-0005-0000-0000-00001DBB0000}"/>
    <cellStyle name="Normal 7 3 2 5 2 2 3" xfId="38125" xr:uid="{00000000-0005-0000-0000-00001EBB0000}"/>
    <cellStyle name="Normal 7 3 2 5 2 3" xfId="8992" xr:uid="{00000000-0005-0000-0000-00001FBB0000}"/>
    <cellStyle name="Normal 7 3 2 5 2 3 2" xfId="34549" xr:uid="{00000000-0005-0000-0000-000020BB0000}"/>
    <cellStyle name="Normal 7 3 2 5 2 4" xfId="17782" xr:uid="{00000000-0005-0000-0000-000021BB0000}"/>
    <cellStyle name="Normal 7 3 2 5 2 4 2" xfId="43335" xr:uid="{00000000-0005-0000-0000-000022BB0000}"/>
    <cellStyle name="Normal 7 3 2 5 2 5" xfId="29272" xr:uid="{00000000-0005-0000-0000-000023BB0000}"/>
    <cellStyle name="Normal 7 3 2 5 3" xfId="5106" xr:uid="{00000000-0005-0000-0000-000024BB0000}"/>
    <cellStyle name="Normal 7 3 2 5 3 2" xfId="13943" xr:uid="{00000000-0005-0000-0000-000025BB0000}"/>
    <cellStyle name="Normal 7 3 2 5 3 2 2" xfId="24194" xr:uid="{00000000-0005-0000-0000-000026BB0000}"/>
    <cellStyle name="Normal 7 3 2 5 3 2 2 2" xfId="49747" xr:uid="{00000000-0005-0000-0000-000027BB0000}"/>
    <cellStyle name="Normal 7 3 2 5 3 2 3" xfId="39498" xr:uid="{00000000-0005-0000-0000-000028BB0000}"/>
    <cellStyle name="Normal 7 3 2 5 3 3" xfId="10364" xr:uid="{00000000-0005-0000-0000-000029BB0000}"/>
    <cellStyle name="Normal 7 3 2 5 3 3 2" xfId="35921" xr:uid="{00000000-0005-0000-0000-00002ABB0000}"/>
    <cellStyle name="Normal 7 3 2 5 3 4" xfId="19187" xr:uid="{00000000-0005-0000-0000-00002BBB0000}"/>
    <cellStyle name="Normal 7 3 2 5 3 4 2" xfId="44740" xr:uid="{00000000-0005-0000-0000-00002CBB0000}"/>
    <cellStyle name="Normal 7 3 2 5 3 5" xfId="30677" xr:uid="{00000000-0005-0000-0000-00002DBB0000}"/>
    <cellStyle name="Normal 7 3 2 5 4" xfId="2537" xr:uid="{00000000-0005-0000-0000-00002EBB0000}"/>
    <cellStyle name="Normal 7 3 2 5 4 2" xfId="11902" xr:uid="{00000000-0005-0000-0000-00002FBB0000}"/>
    <cellStyle name="Normal 7 3 2 5 4 2 2" xfId="37457" xr:uid="{00000000-0005-0000-0000-000030BB0000}"/>
    <cellStyle name="Normal 7 3 2 5 4 3" xfId="21906" xr:uid="{00000000-0005-0000-0000-000031BB0000}"/>
    <cellStyle name="Normal 7 3 2 5 4 3 2" xfId="47459" xr:uid="{00000000-0005-0000-0000-000032BB0000}"/>
    <cellStyle name="Normal 7 3 2 5 4 4" xfId="28389" xr:uid="{00000000-0005-0000-0000-000033BB0000}"/>
    <cellStyle name="Normal 7 3 2 5 5" xfId="6561" xr:uid="{00000000-0005-0000-0000-000034BB0000}"/>
    <cellStyle name="Normal 7 3 2 5 5 2" xfId="15388" xr:uid="{00000000-0005-0000-0000-000035BB0000}"/>
    <cellStyle name="Normal 7 3 2 5 5 2 2" xfId="40943" xr:uid="{00000000-0005-0000-0000-000036BB0000}"/>
    <cellStyle name="Normal 7 3 2 5 5 3" xfId="25639" xr:uid="{00000000-0005-0000-0000-000037BB0000}"/>
    <cellStyle name="Normal 7 3 2 5 5 3 2" xfId="51192" xr:uid="{00000000-0005-0000-0000-000038BB0000}"/>
    <cellStyle name="Normal 7 3 2 5 5 4" xfId="32122" xr:uid="{00000000-0005-0000-0000-000039BB0000}"/>
    <cellStyle name="Normal 7 3 2 5 6" xfId="8007" xr:uid="{00000000-0005-0000-0000-00003ABB0000}"/>
    <cellStyle name="Normal 7 3 2 5 6 2" xfId="20388" xr:uid="{00000000-0005-0000-0000-00003BBB0000}"/>
    <cellStyle name="Normal 7 3 2 5 6 2 2" xfId="45941" xr:uid="{00000000-0005-0000-0000-00003CBB0000}"/>
    <cellStyle name="Normal 7 3 2 5 6 3" xfId="33564" xr:uid="{00000000-0005-0000-0000-00003DBB0000}"/>
    <cellStyle name="Normal 7 3 2 5 7" xfId="16899" xr:uid="{00000000-0005-0000-0000-00003EBB0000}"/>
    <cellStyle name="Normal 7 3 2 5 7 2" xfId="42452" xr:uid="{00000000-0005-0000-0000-00003FBB0000}"/>
    <cellStyle name="Normal 7 3 2 5 8" xfId="26871" xr:uid="{00000000-0005-0000-0000-000040BB0000}"/>
    <cellStyle name="Normal 7 3 2 6" xfId="1167" xr:uid="{00000000-0005-0000-0000-000041BB0000}"/>
    <cellStyle name="Normal 7 3 2 6 2" xfId="3596" xr:uid="{00000000-0005-0000-0000-000042BB0000}"/>
    <cellStyle name="Normal 7 3 2 6 2 2" xfId="12732" xr:uid="{00000000-0005-0000-0000-000043BB0000}"/>
    <cellStyle name="Normal 7 3 2 6 2 2 2" xfId="22951" xr:uid="{00000000-0005-0000-0000-000044BB0000}"/>
    <cellStyle name="Normal 7 3 2 6 2 2 2 2" xfId="48504" xr:uid="{00000000-0005-0000-0000-000045BB0000}"/>
    <cellStyle name="Normal 7 3 2 6 2 2 3" xfId="38287" xr:uid="{00000000-0005-0000-0000-000046BB0000}"/>
    <cellStyle name="Normal 7 3 2 6 2 3" xfId="9153" xr:uid="{00000000-0005-0000-0000-000047BB0000}"/>
    <cellStyle name="Normal 7 3 2 6 2 3 2" xfId="34710" xr:uid="{00000000-0005-0000-0000-000048BB0000}"/>
    <cellStyle name="Normal 7 3 2 6 2 4" xfId="17944" xr:uid="{00000000-0005-0000-0000-000049BB0000}"/>
    <cellStyle name="Normal 7 3 2 6 2 4 2" xfId="43497" xr:uid="{00000000-0005-0000-0000-00004ABB0000}"/>
    <cellStyle name="Normal 7 3 2 6 2 5" xfId="29434" xr:uid="{00000000-0005-0000-0000-00004BBB0000}"/>
    <cellStyle name="Normal 7 3 2 6 3" xfId="5259" xr:uid="{00000000-0005-0000-0000-00004CBB0000}"/>
    <cellStyle name="Normal 7 3 2 6 3 2" xfId="14096" xr:uid="{00000000-0005-0000-0000-00004DBB0000}"/>
    <cellStyle name="Normal 7 3 2 6 3 2 2" xfId="24347" xr:uid="{00000000-0005-0000-0000-00004EBB0000}"/>
    <cellStyle name="Normal 7 3 2 6 3 2 2 2" xfId="49900" xr:uid="{00000000-0005-0000-0000-00004FBB0000}"/>
    <cellStyle name="Normal 7 3 2 6 3 2 3" xfId="39651" xr:uid="{00000000-0005-0000-0000-000050BB0000}"/>
    <cellStyle name="Normal 7 3 2 6 3 3" xfId="10517" xr:uid="{00000000-0005-0000-0000-000051BB0000}"/>
    <cellStyle name="Normal 7 3 2 6 3 3 2" xfId="36074" xr:uid="{00000000-0005-0000-0000-000052BB0000}"/>
    <cellStyle name="Normal 7 3 2 6 3 4" xfId="19340" xr:uid="{00000000-0005-0000-0000-000053BB0000}"/>
    <cellStyle name="Normal 7 3 2 6 3 4 2" xfId="44893" xr:uid="{00000000-0005-0000-0000-000054BB0000}"/>
    <cellStyle name="Normal 7 3 2 6 3 5" xfId="30830" xr:uid="{00000000-0005-0000-0000-000055BB0000}"/>
    <cellStyle name="Normal 7 3 2 6 4" xfId="1767" xr:uid="{00000000-0005-0000-0000-000056BB0000}"/>
    <cellStyle name="Normal 7 3 2 6 4 2" xfId="11138" xr:uid="{00000000-0005-0000-0000-000057BB0000}"/>
    <cellStyle name="Normal 7 3 2 6 4 2 2" xfId="36693" xr:uid="{00000000-0005-0000-0000-000058BB0000}"/>
    <cellStyle name="Normal 7 3 2 6 4 3" xfId="21142" xr:uid="{00000000-0005-0000-0000-000059BB0000}"/>
    <cellStyle name="Normal 7 3 2 6 4 3 2" xfId="46695" xr:uid="{00000000-0005-0000-0000-00005ABB0000}"/>
    <cellStyle name="Normal 7 3 2 6 4 4" xfId="27625" xr:uid="{00000000-0005-0000-0000-00005BBB0000}"/>
    <cellStyle name="Normal 7 3 2 6 5" xfId="6714" xr:uid="{00000000-0005-0000-0000-00005CBB0000}"/>
    <cellStyle name="Normal 7 3 2 6 5 2" xfId="15541" xr:uid="{00000000-0005-0000-0000-00005DBB0000}"/>
    <cellStyle name="Normal 7 3 2 6 5 2 2" xfId="41096" xr:uid="{00000000-0005-0000-0000-00005EBB0000}"/>
    <cellStyle name="Normal 7 3 2 6 5 3" xfId="25792" xr:uid="{00000000-0005-0000-0000-00005FBB0000}"/>
    <cellStyle name="Normal 7 3 2 6 5 3 2" xfId="51345" xr:uid="{00000000-0005-0000-0000-000060BB0000}"/>
    <cellStyle name="Normal 7 3 2 6 5 4" xfId="32275" xr:uid="{00000000-0005-0000-0000-000061BB0000}"/>
    <cellStyle name="Normal 7 3 2 6 6" xfId="8160" xr:uid="{00000000-0005-0000-0000-000062BB0000}"/>
    <cellStyle name="Normal 7 3 2 6 6 2" xfId="20550" xr:uid="{00000000-0005-0000-0000-000063BB0000}"/>
    <cellStyle name="Normal 7 3 2 6 6 2 2" xfId="46103" xr:uid="{00000000-0005-0000-0000-000064BB0000}"/>
    <cellStyle name="Normal 7 3 2 6 6 3" xfId="33717" xr:uid="{00000000-0005-0000-0000-000065BB0000}"/>
    <cellStyle name="Normal 7 3 2 6 7" xfId="16135" xr:uid="{00000000-0005-0000-0000-000066BB0000}"/>
    <cellStyle name="Normal 7 3 2 6 7 2" xfId="41688" xr:uid="{00000000-0005-0000-0000-000067BB0000}"/>
    <cellStyle name="Normal 7 3 2 6 8" xfId="27033" xr:uid="{00000000-0005-0000-0000-000068BB0000}"/>
    <cellStyle name="Normal 7 3 2 7" xfId="2664" xr:uid="{00000000-0005-0000-0000-000069BB0000}"/>
    <cellStyle name="Normal 7 3 2 7 2" xfId="11981" xr:uid="{00000000-0005-0000-0000-00006ABB0000}"/>
    <cellStyle name="Normal 7 3 2 7 2 2" xfId="22025" xr:uid="{00000000-0005-0000-0000-00006BBB0000}"/>
    <cellStyle name="Normal 7 3 2 7 2 2 2" xfId="47578" xr:uid="{00000000-0005-0000-0000-00006CBB0000}"/>
    <cellStyle name="Normal 7 3 2 7 2 3" xfId="37536" xr:uid="{00000000-0005-0000-0000-00006DBB0000}"/>
    <cellStyle name="Normal 7 3 2 7 3" xfId="8558" xr:uid="{00000000-0005-0000-0000-00006EBB0000}"/>
    <cellStyle name="Normal 7 3 2 7 3 2" xfId="34115" xr:uid="{00000000-0005-0000-0000-00006FBB0000}"/>
    <cellStyle name="Normal 7 3 2 7 4" xfId="17018" xr:uid="{00000000-0005-0000-0000-000070BB0000}"/>
    <cellStyle name="Normal 7 3 2 7 4 2" xfId="42571" xr:uid="{00000000-0005-0000-0000-000071BB0000}"/>
    <cellStyle name="Normal 7 3 2 7 5" xfId="28508" xr:uid="{00000000-0005-0000-0000-000072BB0000}"/>
    <cellStyle name="Normal 7 3 2 8" xfId="4215" xr:uid="{00000000-0005-0000-0000-000073BB0000}"/>
    <cellStyle name="Normal 7 3 2 8 2" xfId="13053" xr:uid="{00000000-0005-0000-0000-000074BB0000}"/>
    <cellStyle name="Normal 7 3 2 8 2 2" xfId="23304" xr:uid="{00000000-0005-0000-0000-000075BB0000}"/>
    <cellStyle name="Normal 7 3 2 8 2 2 2" xfId="48857" xr:uid="{00000000-0005-0000-0000-000076BB0000}"/>
    <cellStyle name="Normal 7 3 2 8 2 3" xfId="38608" xr:uid="{00000000-0005-0000-0000-000077BB0000}"/>
    <cellStyle name="Normal 7 3 2 8 3" xfId="9474" xr:uid="{00000000-0005-0000-0000-000078BB0000}"/>
    <cellStyle name="Normal 7 3 2 8 3 2" xfId="35031" xr:uid="{00000000-0005-0000-0000-000079BB0000}"/>
    <cellStyle name="Normal 7 3 2 8 4" xfId="18297" xr:uid="{00000000-0005-0000-0000-00007ABB0000}"/>
    <cellStyle name="Normal 7 3 2 8 4 2" xfId="43850" xr:uid="{00000000-0005-0000-0000-00007BBB0000}"/>
    <cellStyle name="Normal 7 3 2 8 5" xfId="29787" xr:uid="{00000000-0005-0000-0000-00007CBB0000}"/>
    <cellStyle name="Normal 7 3 2 9" xfId="1487" xr:uid="{00000000-0005-0000-0000-00007DBB0000}"/>
    <cellStyle name="Normal 7 3 2 9 2" xfId="10864" xr:uid="{00000000-0005-0000-0000-00007EBB0000}"/>
    <cellStyle name="Normal 7 3 2 9 2 2" xfId="36419" xr:uid="{00000000-0005-0000-0000-00007FBB0000}"/>
    <cellStyle name="Normal 7 3 2 9 3" xfId="20868" xr:uid="{00000000-0005-0000-0000-000080BB0000}"/>
    <cellStyle name="Normal 7 3 2 9 3 2" xfId="46421" xr:uid="{00000000-0005-0000-0000-000081BB0000}"/>
    <cellStyle name="Normal 7 3 2 9 4" xfId="27351" xr:uid="{00000000-0005-0000-0000-000082BB0000}"/>
    <cellStyle name="Normal 7 3 2_Degree data" xfId="4058" xr:uid="{00000000-0005-0000-0000-000083BB0000}"/>
    <cellStyle name="Normal 7 3 3" xfId="212" xr:uid="{00000000-0005-0000-0000-000084BB0000}"/>
    <cellStyle name="Normal 7 3 3 10" xfId="7158" xr:uid="{00000000-0005-0000-0000-000085BB0000}"/>
    <cellStyle name="Normal 7 3 3 10 2" xfId="19667" xr:uid="{00000000-0005-0000-0000-000086BB0000}"/>
    <cellStyle name="Normal 7 3 3 10 2 2" xfId="45220" xr:uid="{00000000-0005-0000-0000-000087BB0000}"/>
    <cellStyle name="Normal 7 3 3 10 3" xfId="32715" xr:uid="{00000000-0005-0000-0000-000088BB0000}"/>
    <cellStyle name="Normal 7 3 3 11" xfId="15904" xr:uid="{00000000-0005-0000-0000-000089BB0000}"/>
    <cellStyle name="Normal 7 3 3 11 2" xfId="41457" xr:uid="{00000000-0005-0000-0000-00008ABB0000}"/>
    <cellStyle name="Normal 7 3 3 12" xfId="26150" xr:uid="{00000000-0005-0000-0000-00008BBB0000}"/>
    <cellStyle name="Normal 7 3 3 2" xfId="538" xr:uid="{00000000-0005-0000-0000-00008CBB0000}"/>
    <cellStyle name="Normal 7 3 3 2 10" xfId="26467" xr:uid="{00000000-0005-0000-0000-00008DBB0000}"/>
    <cellStyle name="Normal 7 3 3 2 2" xfId="956" xr:uid="{00000000-0005-0000-0000-00008EBB0000}"/>
    <cellStyle name="Normal 7 3 3 2 2 2" xfId="3432" xr:uid="{00000000-0005-0000-0000-00008FBB0000}"/>
    <cellStyle name="Normal 7 3 3 2 2 2 2" xfId="12574" xr:uid="{00000000-0005-0000-0000-000090BB0000}"/>
    <cellStyle name="Normal 7 3 3 2 2 2 2 2" xfId="22793" xr:uid="{00000000-0005-0000-0000-000091BB0000}"/>
    <cellStyle name="Normal 7 3 3 2 2 2 2 2 2" xfId="48346" xr:uid="{00000000-0005-0000-0000-000092BB0000}"/>
    <cellStyle name="Normal 7 3 3 2 2 2 2 3" xfId="38129" xr:uid="{00000000-0005-0000-0000-000093BB0000}"/>
    <cellStyle name="Normal 7 3 3 2 2 2 3" xfId="8996" xr:uid="{00000000-0005-0000-0000-000094BB0000}"/>
    <cellStyle name="Normal 7 3 3 2 2 2 3 2" xfId="34553" xr:uid="{00000000-0005-0000-0000-000095BB0000}"/>
    <cellStyle name="Normal 7 3 3 2 2 2 4" xfId="17786" xr:uid="{00000000-0005-0000-0000-000096BB0000}"/>
    <cellStyle name="Normal 7 3 3 2 2 2 4 2" xfId="43339" xr:uid="{00000000-0005-0000-0000-000097BB0000}"/>
    <cellStyle name="Normal 7 3 3 2 2 2 5" xfId="29276" xr:uid="{00000000-0005-0000-0000-000098BB0000}"/>
    <cellStyle name="Normal 7 3 3 2 2 3" xfId="4762" xr:uid="{00000000-0005-0000-0000-000099BB0000}"/>
    <cellStyle name="Normal 7 3 3 2 2 3 2" xfId="13599" xr:uid="{00000000-0005-0000-0000-00009ABB0000}"/>
    <cellStyle name="Normal 7 3 3 2 2 3 2 2" xfId="23850" xr:uid="{00000000-0005-0000-0000-00009BBB0000}"/>
    <cellStyle name="Normal 7 3 3 2 2 3 2 2 2" xfId="49403" xr:uid="{00000000-0005-0000-0000-00009CBB0000}"/>
    <cellStyle name="Normal 7 3 3 2 2 3 2 3" xfId="39154" xr:uid="{00000000-0005-0000-0000-00009DBB0000}"/>
    <cellStyle name="Normal 7 3 3 2 2 3 3" xfId="10020" xr:uid="{00000000-0005-0000-0000-00009EBB0000}"/>
    <cellStyle name="Normal 7 3 3 2 2 3 3 2" xfId="35577" xr:uid="{00000000-0005-0000-0000-00009FBB0000}"/>
    <cellStyle name="Normal 7 3 3 2 2 3 4" xfId="18843" xr:uid="{00000000-0005-0000-0000-0000A0BB0000}"/>
    <cellStyle name="Normal 7 3 3 2 2 3 4 2" xfId="44396" xr:uid="{00000000-0005-0000-0000-0000A1BB0000}"/>
    <cellStyle name="Normal 7 3 3 2 2 3 5" xfId="30333" xr:uid="{00000000-0005-0000-0000-0000A2BB0000}"/>
    <cellStyle name="Normal 7 3 3 2 2 4" xfId="2541" xr:uid="{00000000-0005-0000-0000-0000A3BB0000}"/>
    <cellStyle name="Normal 7 3 3 2 2 4 2" xfId="11906" xr:uid="{00000000-0005-0000-0000-0000A4BB0000}"/>
    <cellStyle name="Normal 7 3 3 2 2 4 2 2" xfId="37461" xr:uid="{00000000-0005-0000-0000-0000A5BB0000}"/>
    <cellStyle name="Normal 7 3 3 2 2 4 3" xfId="21910" xr:uid="{00000000-0005-0000-0000-0000A6BB0000}"/>
    <cellStyle name="Normal 7 3 3 2 2 4 3 2" xfId="47463" xr:uid="{00000000-0005-0000-0000-0000A7BB0000}"/>
    <cellStyle name="Normal 7 3 3 2 2 4 4" xfId="28393" xr:uid="{00000000-0005-0000-0000-0000A8BB0000}"/>
    <cellStyle name="Normal 7 3 3 2 2 5" xfId="6217" xr:uid="{00000000-0005-0000-0000-0000A9BB0000}"/>
    <cellStyle name="Normal 7 3 3 2 2 5 2" xfId="15044" xr:uid="{00000000-0005-0000-0000-0000AABB0000}"/>
    <cellStyle name="Normal 7 3 3 2 2 5 2 2" xfId="40599" xr:uid="{00000000-0005-0000-0000-0000ABBB0000}"/>
    <cellStyle name="Normal 7 3 3 2 2 5 3" xfId="25295" xr:uid="{00000000-0005-0000-0000-0000ACBB0000}"/>
    <cellStyle name="Normal 7 3 3 2 2 5 3 2" xfId="50848" xr:uid="{00000000-0005-0000-0000-0000ADBB0000}"/>
    <cellStyle name="Normal 7 3 3 2 2 5 4" xfId="31778" xr:uid="{00000000-0005-0000-0000-0000AEBB0000}"/>
    <cellStyle name="Normal 7 3 3 2 2 6" xfId="7663" xr:uid="{00000000-0005-0000-0000-0000AFBB0000}"/>
    <cellStyle name="Normal 7 3 3 2 2 6 2" xfId="20392" xr:uid="{00000000-0005-0000-0000-0000B0BB0000}"/>
    <cellStyle name="Normal 7 3 3 2 2 6 2 2" xfId="45945" xr:uid="{00000000-0005-0000-0000-0000B1BB0000}"/>
    <cellStyle name="Normal 7 3 3 2 2 6 3" xfId="33220" xr:uid="{00000000-0005-0000-0000-0000B2BB0000}"/>
    <cellStyle name="Normal 7 3 3 2 2 7" xfId="16903" xr:uid="{00000000-0005-0000-0000-0000B3BB0000}"/>
    <cellStyle name="Normal 7 3 3 2 2 7 2" xfId="42456" xr:uid="{00000000-0005-0000-0000-0000B4BB0000}"/>
    <cellStyle name="Normal 7 3 3 2 2 8" xfId="26875" xr:uid="{00000000-0005-0000-0000-0000B5BB0000}"/>
    <cellStyle name="Normal 7 3 3 2 3" xfId="1310" xr:uid="{00000000-0005-0000-0000-0000B6BB0000}"/>
    <cellStyle name="Normal 7 3 3 2 3 2" xfId="3739" xr:uid="{00000000-0005-0000-0000-0000B7BB0000}"/>
    <cellStyle name="Normal 7 3 3 2 3 2 2" xfId="12875" xr:uid="{00000000-0005-0000-0000-0000B8BB0000}"/>
    <cellStyle name="Normal 7 3 3 2 3 2 2 2" xfId="23094" xr:uid="{00000000-0005-0000-0000-0000B9BB0000}"/>
    <cellStyle name="Normal 7 3 3 2 3 2 2 2 2" xfId="48647" xr:uid="{00000000-0005-0000-0000-0000BABB0000}"/>
    <cellStyle name="Normal 7 3 3 2 3 2 2 3" xfId="38430" xr:uid="{00000000-0005-0000-0000-0000BBBB0000}"/>
    <cellStyle name="Normal 7 3 3 2 3 2 3" xfId="9296" xr:uid="{00000000-0005-0000-0000-0000BCBB0000}"/>
    <cellStyle name="Normal 7 3 3 2 3 2 3 2" xfId="34853" xr:uid="{00000000-0005-0000-0000-0000BDBB0000}"/>
    <cellStyle name="Normal 7 3 3 2 3 2 4" xfId="18087" xr:uid="{00000000-0005-0000-0000-0000BEBB0000}"/>
    <cellStyle name="Normal 7 3 3 2 3 2 4 2" xfId="43640" xr:uid="{00000000-0005-0000-0000-0000BFBB0000}"/>
    <cellStyle name="Normal 7 3 3 2 3 2 5" xfId="29577" xr:uid="{00000000-0005-0000-0000-0000C0BB0000}"/>
    <cellStyle name="Normal 7 3 3 2 3 3" xfId="5110" xr:uid="{00000000-0005-0000-0000-0000C1BB0000}"/>
    <cellStyle name="Normal 7 3 3 2 3 3 2" xfId="13947" xr:uid="{00000000-0005-0000-0000-0000C2BB0000}"/>
    <cellStyle name="Normal 7 3 3 2 3 3 2 2" xfId="24198" xr:uid="{00000000-0005-0000-0000-0000C3BB0000}"/>
    <cellStyle name="Normal 7 3 3 2 3 3 2 2 2" xfId="49751" xr:uid="{00000000-0005-0000-0000-0000C4BB0000}"/>
    <cellStyle name="Normal 7 3 3 2 3 3 2 3" xfId="39502" xr:uid="{00000000-0005-0000-0000-0000C5BB0000}"/>
    <cellStyle name="Normal 7 3 3 2 3 3 3" xfId="10368" xr:uid="{00000000-0005-0000-0000-0000C6BB0000}"/>
    <cellStyle name="Normal 7 3 3 2 3 3 3 2" xfId="35925" xr:uid="{00000000-0005-0000-0000-0000C7BB0000}"/>
    <cellStyle name="Normal 7 3 3 2 3 3 4" xfId="19191" xr:uid="{00000000-0005-0000-0000-0000C8BB0000}"/>
    <cellStyle name="Normal 7 3 3 2 3 3 4 2" xfId="44744" xr:uid="{00000000-0005-0000-0000-0000C9BB0000}"/>
    <cellStyle name="Normal 7 3 3 2 3 3 5" xfId="30681" xr:uid="{00000000-0005-0000-0000-0000CABB0000}"/>
    <cellStyle name="Normal 7 3 3 2 3 4" xfId="2133" xr:uid="{00000000-0005-0000-0000-0000CBBB0000}"/>
    <cellStyle name="Normal 7 3 3 2 3 4 2" xfId="11498" xr:uid="{00000000-0005-0000-0000-0000CCBB0000}"/>
    <cellStyle name="Normal 7 3 3 2 3 4 2 2" xfId="37053" xr:uid="{00000000-0005-0000-0000-0000CDBB0000}"/>
    <cellStyle name="Normal 7 3 3 2 3 4 3" xfId="21502" xr:uid="{00000000-0005-0000-0000-0000CEBB0000}"/>
    <cellStyle name="Normal 7 3 3 2 3 4 3 2" xfId="47055" xr:uid="{00000000-0005-0000-0000-0000CFBB0000}"/>
    <cellStyle name="Normal 7 3 3 2 3 4 4" xfId="27985" xr:uid="{00000000-0005-0000-0000-0000D0BB0000}"/>
    <cellStyle name="Normal 7 3 3 2 3 5" xfId="6565" xr:uid="{00000000-0005-0000-0000-0000D1BB0000}"/>
    <cellStyle name="Normal 7 3 3 2 3 5 2" xfId="15392" xr:uid="{00000000-0005-0000-0000-0000D2BB0000}"/>
    <cellStyle name="Normal 7 3 3 2 3 5 2 2" xfId="40947" xr:uid="{00000000-0005-0000-0000-0000D3BB0000}"/>
    <cellStyle name="Normal 7 3 3 2 3 5 3" xfId="25643" xr:uid="{00000000-0005-0000-0000-0000D4BB0000}"/>
    <cellStyle name="Normal 7 3 3 2 3 5 3 2" xfId="51196" xr:uid="{00000000-0005-0000-0000-0000D5BB0000}"/>
    <cellStyle name="Normal 7 3 3 2 3 5 4" xfId="32126" xr:uid="{00000000-0005-0000-0000-0000D6BB0000}"/>
    <cellStyle name="Normal 7 3 3 2 3 6" xfId="8011" xr:uid="{00000000-0005-0000-0000-0000D7BB0000}"/>
    <cellStyle name="Normal 7 3 3 2 3 6 2" xfId="20693" xr:uid="{00000000-0005-0000-0000-0000D8BB0000}"/>
    <cellStyle name="Normal 7 3 3 2 3 6 2 2" xfId="46246" xr:uid="{00000000-0005-0000-0000-0000D9BB0000}"/>
    <cellStyle name="Normal 7 3 3 2 3 6 3" xfId="33568" xr:uid="{00000000-0005-0000-0000-0000DABB0000}"/>
    <cellStyle name="Normal 7 3 3 2 3 7" xfId="16495" xr:uid="{00000000-0005-0000-0000-0000DBBB0000}"/>
    <cellStyle name="Normal 7 3 3 2 3 7 2" xfId="42048" xr:uid="{00000000-0005-0000-0000-0000DCBB0000}"/>
    <cellStyle name="Normal 7 3 3 2 3 8" xfId="27176" xr:uid="{00000000-0005-0000-0000-0000DDBB0000}"/>
    <cellStyle name="Normal 7 3 3 2 4" xfId="3024" xr:uid="{00000000-0005-0000-0000-0000DEBB0000}"/>
    <cellStyle name="Normal 7 3 3 2 4 2" xfId="5402" xr:uid="{00000000-0005-0000-0000-0000DFBB0000}"/>
    <cellStyle name="Normal 7 3 3 2 4 2 2" xfId="14239" xr:uid="{00000000-0005-0000-0000-0000E0BB0000}"/>
    <cellStyle name="Normal 7 3 3 2 4 2 2 2" xfId="24490" xr:uid="{00000000-0005-0000-0000-0000E1BB0000}"/>
    <cellStyle name="Normal 7 3 3 2 4 2 2 2 2" xfId="50043" xr:uid="{00000000-0005-0000-0000-0000E2BB0000}"/>
    <cellStyle name="Normal 7 3 3 2 4 2 2 3" xfId="39794" xr:uid="{00000000-0005-0000-0000-0000E3BB0000}"/>
    <cellStyle name="Normal 7 3 3 2 4 2 3" xfId="10660" xr:uid="{00000000-0005-0000-0000-0000E4BB0000}"/>
    <cellStyle name="Normal 7 3 3 2 4 2 3 2" xfId="36217" xr:uid="{00000000-0005-0000-0000-0000E5BB0000}"/>
    <cellStyle name="Normal 7 3 3 2 4 2 4" xfId="19483" xr:uid="{00000000-0005-0000-0000-0000E6BB0000}"/>
    <cellStyle name="Normal 7 3 3 2 4 2 4 2" xfId="45036" xr:uid="{00000000-0005-0000-0000-0000E7BB0000}"/>
    <cellStyle name="Normal 7 3 3 2 4 2 5" xfId="30973" xr:uid="{00000000-0005-0000-0000-0000E8BB0000}"/>
    <cellStyle name="Normal 7 3 3 2 4 3" xfId="6857" xr:uid="{00000000-0005-0000-0000-0000E9BB0000}"/>
    <cellStyle name="Normal 7 3 3 2 4 3 2" xfId="15684" xr:uid="{00000000-0005-0000-0000-0000EABB0000}"/>
    <cellStyle name="Normal 7 3 3 2 4 3 2 2" xfId="41239" xr:uid="{00000000-0005-0000-0000-0000EBBB0000}"/>
    <cellStyle name="Normal 7 3 3 2 4 3 3" xfId="25935" xr:uid="{00000000-0005-0000-0000-0000ECBB0000}"/>
    <cellStyle name="Normal 7 3 3 2 4 3 3 2" xfId="51488" xr:uid="{00000000-0005-0000-0000-0000EDBB0000}"/>
    <cellStyle name="Normal 7 3 3 2 4 3 4" xfId="32418" xr:uid="{00000000-0005-0000-0000-0000EEBB0000}"/>
    <cellStyle name="Normal 7 3 3 2 4 4" xfId="8303" xr:uid="{00000000-0005-0000-0000-0000EFBB0000}"/>
    <cellStyle name="Normal 7 3 3 2 4 4 2" xfId="22385" xr:uid="{00000000-0005-0000-0000-0000F0BB0000}"/>
    <cellStyle name="Normal 7 3 3 2 4 4 2 2" xfId="47938" xr:uid="{00000000-0005-0000-0000-0000F1BB0000}"/>
    <cellStyle name="Normal 7 3 3 2 4 4 3" xfId="33860" xr:uid="{00000000-0005-0000-0000-0000F2BB0000}"/>
    <cellStyle name="Normal 7 3 3 2 4 5" xfId="17378" xr:uid="{00000000-0005-0000-0000-0000F3BB0000}"/>
    <cellStyle name="Normal 7 3 3 2 4 5 2" xfId="42931" xr:uid="{00000000-0005-0000-0000-0000F4BB0000}"/>
    <cellStyle name="Normal 7 3 3 2 4 6" xfId="28868" xr:uid="{00000000-0005-0000-0000-0000F5BB0000}"/>
    <cellStyle name="Normal 7 3 3 2 5" xfId="4358" xr:uid="{00000000-0005-0000-0000-0000F6BB0000}"/>
    <cellStyle name="Normal 7 3 3 2 5 2" xfId="13196" xr:uid="{00000000-0005-0000-0000-0000F7BB0000}"/>
    <cellStyle name="Normal 7 3 3 2 5 2 2" xfId="23447" xr:uid="{00000000-0005-0000-0000-0000F8BB0000}"/>
    <cellStyle name="Normal 7 3 3 2 5 2 2 2" xfId="49000" xr:uid="{00000000-0005-0000-0000-0000F9BB0000}"/>
    <cellStyle name="Normal 7 3 3 2 5 2 3" xfId="38751" xr:uid="{00000000-0005-0000-0000-0000FABB0000}"/>
    <cellStyle name="Normal 7 3 3 2 5 3" xfId="9617" xr:uid="{00000000-0005-0000-0000-0000FBBB0000}"/>
    <cellStyle name="Normal 7 3 3 2 5 3 2" xfId="35174" xr:uid="{00000000-0005-0000-0000-0000FCBB0000}"/>
    <cellStyle name="Normal 7 3 3 2 5 4" xfId="18440" xr:uid="{00000000-0005-0000-0000-0000FDBB0000}"/>
    <cellStyle name="Normal 7 3 3 2 5 4 2" xfId="43993" xr:uid="{00000000-0005-0000-0000-0000FEBB0000}"/>
    <cellStyle name="Normal 7 3 3 2 5 5" xfId="29930" xr:uid="{00000000-0005-0000-0000-0000FFBB0000}"/>
    <cellStyle name="Normal 7 3 3 2 6" xfId="1630" xr:uid="{00000000-0005-0000-0000-000000BC0000}"/>
    <cellStyle name="Normal 7 3 3 2 6 2" xfId="11007" xr:uid="{00000000-0005-0000-0000-000001BC0000}"/>
    <cellStyle name="Normal 7 3 3 2 6 2 2" xfId="36562" xr:uid="{00000000-0005-0000-0000-000002BC0000}"/>
    <cellStyle name="Normal 7 3 3 2 6 3" xfId="21011" xr:uid="{00000000-0005-0000-0000-000003BC0000}"/>
    <cellStyle name="Normal 7 3 3 2 6 3 2" xfId="46564" xr:uid="{00000000-0005-0000-0000-000004BC0000}"/>
    <cellStyle name="Normal 7 3 3 2 6 4" xfId="27494" xr:uid="{00000000-0005-0000-0000-000005BC0000}"/>
    <cellStyle name="Normal 7 3 3 2 7" xfId="5814" xr:uid="{00000000-0005-0000-0000-000006BC0000}"/>
    <cellStyle name="Normal 7 3 3 2 7 2" xfId="14641" xr:uid="{00000000-0005-0000-0000-000007BC0000}"/>
    <cellStyle name="Normal 7 3 3 2 7 2 2" xfId="40196" xr:uid="{00000000-0005-0000-0000-000008BC0000}"/>
    <cellStyle name="Normal 7 3 3 2 7 3" xfId="24892" xr:uid="{00000000-0005-0000-0000-000009BC0000}"/>
    <cellStyle name="Normal 7 3 3 2 7 3 2" xfId="50445" xr:uid="{00000000-0005-0000-0000-00000ABC0000}"/>
    <cellStyle name="Normal 7 3 3 2 7 4" xfId="31375" xr:uid="{00000000-0005-0000-0000-00000BBC0000}"/>
    <cellStyle name="Normal 7 3 3 2 8" xfId="7258" xr:uid="{00000000-0005-0000-0000-00000CBC0000}"/>
    <cellStyle name="Normal 7 3 3 2 8 2" xfId="19984" xr:uid="{00000000-0005-0000-0000-00000DBC0000}"/>
    <cellStyle name="Normal 7 3 3 2 8 2 2" xfId="45537" xr:uid="{00000000-0005-0000-0000-00000EBC0000}"/>
    <cellStyle name="Normal 7 3 3 2 8 3" xfId="32815" xr:uid="{00000000-0005-0000-0000-00000FBC0000}"/>
    <cellStyle name="Normal 7 3 3 2 9" xfId="16004" xr:uid="{00000000-0005-0000-0000-000010BC0000}"/>
    <cellStyle name="Normal 7 3 3 2 9 2" xfId="41557" xr:uid="{00000000-0005-0000-0000-000011BC0000}"/>
    <cellStyle name="Normal 7 3 3 2_Degree data" xfId="4062" xr:uid="{00000000-0005-0000-0000-000012BC0000}"/>
    <cellStyle name="Normal 7 3 3 3" xfId="438" xr:uid="{00000000-0005-0000-0000-000013BC0000}"/>
    <cellStyle name="Normal 7 3 3 3 2" xfId="2924" xr:uid="{00000000-0005-0000-0000-000014BC0000}"/>
    <cellStyle name="Normal 7 3 3 3 2 2" xfId="12212" xr:uid="{00000000-0005-0000-0000-000015BC0000}"/>
    <cellStyle name="Normal 7 3 3 3 2 2 2" xfId="22285" xr:uid="{00000000-0005-0000-0000-000016BC0000}"/>
    <cellStyle name="Normal 7 3 3 3 2 2 2 2" xfId="47838" xr:uid="{00000000-0005-0000-0000-000017BC0000}"/>
    <cellStyle name="Normal 7 3 3 3 2 2 3" xfId="37767" xr:uid="{00000000-0005-0000-0000-000018BC0000}"/>
    <cellStyle name="Normal 7 3 3 3 2 3" xfId="8507" xr:uid="{00000000-0005-0000-0000-000019BC0000}"/>
    <cellStyle name="Normal 7 3 3 3 2 3 2" xfId="34064" xr:uid="{00000000-0005-0000-0000-00001ABC0000}"/>
    <cellStyle name="Normal 7 3 3 3 2 4" xfId="17278" xr:uid="{00000000-0005-0000-0000-00001BBC0000}"/>
    <cellStyle name="Normal 7 3 3 3 2 4 2" xfId="42831" xr:uid="{00000000-0005-0000-0000-00001CBC0000}"/>
    <cellStyle name="Normal 7 3 3 3 2 5" xfId="28768" xr:uid="{00000000-0005-0000-0000-00001DBC0000}"/>
    <cellStyle name="Normal 7 3 3 3 3" xfId="4761" xr:uid="{00000000-0005-0000-0000-00001EBC0000}"/>
    <cellStyle name="Normal 7 3 3 3 3 2" xfId="13598" xr:uid="{00000000-0005-0000-0000-00001FBC0000}"/>
    <cellStyle name="Normal 7 3 3 3 3 2 2" xfId="23849" xr:uid="{00000000-0005-0000-0000-000020BC0000}"/>
    <cellStyle name="Normal 7 3 3 3 3 2 2 2" xfId="49402" xr:uid="{00000000-0005-0000-0000-000021BC0000}"/>
    <cellStyle name="Normal 7 3 3 3 3 2 3" xfId="39153" xr:uid="{00000000-0005-0000-0000-000022BC0000}"/>
    <cellStyle name="Normal 7 3 3 3 3 3" xfId="10019" xr:uid="{00000000-0005-0000-0000-000023BC0000}"/>
    <cellStyle name="Normal 7 3 3 3 3 3 2" xfId="35576" xr:uid="{00000000-0005-0000-0000-000024BC0000}"/>
    <cellStyle name="Normal 7 3 3 3 3 4" xfId="18842" xr:uid="{00000000-0005-0000-0000-000025BC0000}"/>
    <cellStyle name="Normal 7 3 3 3 3 4 2" xfId="44395" xr:uid="{00000000-0005-0000-0000-000026BC0000}"/>
    <cellStyle name="Normal 7 3 3 3 3 5" xfId="30332" xr:uid="{00000000-0005-0000-0000-000027BC0000}"/>
    <cellStyle name="Normal 7 3 3 3 4" xfId="2033" xr:uid="{00000000-0005-0000-0000-000028BC0000}"/>
    <cellStyle name="Normal 7 3 3 3 4 2" xfId="11398" xr:uid="{00000000-0005-0000-0000-000029BC0000}"/>
    <cellStyle name="Normal 7 3 3 3 4 2 2" xfId="36953" xr:uid="{00000000-0005-0000-0000-00002ABC0000}"/>
    <cellStyle name="Normal 7 3 3 3 4 3" xfId="21402" xr:uid="{00000000-0005-0000-0000-00002BBC0000}"/>
    <cellStyle name="Normal 7 3 3 3 4 3 2" xfId="46955" xr:uid="{00000000-0005-0000-0000-00002CBC0000}"/>
    <cellStyle name="Normal 7 3 3 3 4 4" xfId="27885" xr:uid="{00000000-0005-0000-0000-00002DBC0000}"/>
    <cellStyle name="Normal 7 3 3 3 5" xfId="6216" xr:uid="{00000000-0005-0000-0000-00002EBC0000}"/>
    <cellStyle name="Normal 7 3 3 3 5 2" xfId="15043" xr:uid="{00000000-0005-0000-0000-00002FBC0000}"/>
    <cellStyle name="Normal 7 3 3 3 5 2 2" xfId="40598" xr:uid="{00000000-0005-0000-0000-000030BC0000}"/>
    <cellStyle name="Normal 7 3 3 3 5 3" xfId="25294" xr:uid="{00000000-0005-0000-0000-000031BC0000}"/>
    <cellStyle name="Normal 7 3 3 3 5 3 2" xfId="50847" xr:uid="{00000000-0005-0000-0000-000032BC0000}"/>
    <cellStyle name="Normal 7 3 3 3 5 4" xfId="31777" xr:uid="{00000000-0005-0000-0000-000033BC0000}"/>
    <cellStyle name="Normal 7 3 3 3 6" xfId="7662" xr:uid="{00000000-0005-0000-0000-000034BC0000}"/>
    <cellStyle name="Normal 7 3 3 3 6 2" xfId="19884" xr:uid="{00000000-0005-0000-0000-000035BC0000}"/>
    <cellStyle name="Normal 7 3 3 3 6 2 2" xfId="45437" xr:uid="{00000000-0005-0000-0000-000036BC0000}"/>
    <cellStyle name="Normal 7 3 3 3 6 3" xfId="33219" xr:uid="{00000000-0005-0000-0000-000037BC0000}"/>
    <cellStyle name="Normal 7 3 3 3 7" xfId="16395" xr:uid="{00000000-0005-0000-0000-000038BC0000}"/>
    <cellStyle name="Normal 7 3 3 3 7 2" xfId="41948" xr:uid="{00000000-0005-0000-0000-000039BC0000}"/>
    <cellStyle name="Normal 7 3 3 3 8" xfId="26367" xr:uid="{00000000-0005-0000-0000-00003ABC0000}"/>
    <cellStyle name="Normal 7 3 3 4" xfId="955" xr:uid="{00000000-0005-0000-0000-00003BBC0000}"/>
    <cellStyle name="Normal 7 3 3 4 2" xfId="3431" xr:uid="{00000000-0005-0000-0000-00003CBC0000}"/>
    <cellStyle name="Normal 7 3 3 4 2 2" xfId="12573" xr:uid="{00000000-0005-0000-0000-00003DBC0000}"/>
    <cellStyle name="Normal 7 3 3 4 2 2 2" xfId="22792" xr:uid="{00000000-0005-0000-0000-00003EBC0000}"/>
    <cellStyle name="Normal 7 3 3 4 2 2 2 2" xfId="48345" xr:uid="{00000000-0005-0000-0000-00003FBC0000}"/>
    <cellStyle name="Normal 7 3 3 4 2 2 3" xfId="38128" xr:uid="{00000000-0005-0000-0000-000040BC0000}"/>
    <cellStyle name="Normal 7 3 3 4 2 3" xfId="8995" xr:uid="{00000000-0005-0000-0000-000041BC0000}"/>
    <cellStyle name="Normal 7 3 3 4 2 3 2" xfId="34552" xr:uid="{00000000-0005-0000-0000-000042BC0000}"/>
    <cellStyle name="Normal 7 3 3 4 2 4" xfId="17785" xr:uid="{00000000-0005-0000-0000-000043BC0000}"/>
    <cellStyle name="Normal 7 3 3 4 2 4 2" xfId="43338" xr:uid="{00000000-0005-0000-0000-000044BC0000}"/>
    <cellStyle name="Normal 7 3 3 4 2 5" xfId="29275" xr:uid="{00000000-0005-0000-0000-000045BC0000}"/>
    <cellStyle name="Normal 7 3 3 4 3" xfId="5109" xr:uid="{00000000-0005-0000-0000-000046BC0000}"/>
    <cellStyle name="Normal 7 3 3 4 3 2" xfId="13946" xr:uid="{00000000-0005-0000-0000-000047BC0000}"/>
    <cellStyle name="Normal 7 3 3 4 3 2 2" xfId="24197" xr:uid="{00000000-0005-0000-0000-000048BC0000}"/>
    <cellStyle name="Normal 7 3 3 4 3 2 2 2" xfId="49750" xr:uid="{00000000-0005-0000-0000-000049BC0000}"/>
    <cellStyle name="Normal 7 3 3 4 3 2 3" xfId="39501" xr:uid="{00000000-0005-0000-0000-00004ABC0000}"/>
    <cellStyle name="Normal 7 3 3 4 3 3" xfId="10367" xr:uid="{00000000-0005-0000-0000-00004BBC0000}"/>
    <cellStyle name="Normal 7 3 3 4 3 3 2" xfId="35924" xr:uid="{00000000-0005-0000-0000-00004CBC0000}"/>
    <cellStyle name="Normal 7 3 3 4 3 4" xfId="19190" xr:uid="{00000000-0005-0000-0000-00004DBC0000}"/>
    <cellStyle name="Normal 7 3 3 4 3 4 2" xfId="44743" xr:uid="{00000000-0005-0000-0000-00004EBC0000}"/>
    <cellStyle name="Normal 7 3 3 4 3 5" xfId="30680" xr:uid="{00000000-0005-0000-0000-00004FBC0000}"/>
    <cellStyle name="Normal 7 3 3 4 4" xfId="2540" xr:uid="{00000000-0005-0000-0000-000050BC0000}"/>
    <cellStyle name="Normal 7 3 3 4 4 2" xfId="11905" xr:uid="{00000000-0005-0000-0000-000051BC0000}"/>
    <cellStyle name="Normal 7 3 3 4 4 2 2" xfId="37460" xr:uid="{00000000-0005-0000-0000-000052BC0000}"/>
    <cellStyle name="Normal 7 3 3 4 4 3" xfId="21909" xr:uid="{00000000-0005-0000-0000-000053BC0000}"/>
    <cellStyle name="Normal 7 3 3 4 4 3 2" xfId="47462" xr:uid="{00000000-0005-0000-0000-000054BC0000}"/>
    <cellStyle name="Normal 7 3 3 4 4 4" xfId="28392" xr:uid="{00000000-0005-0000-0000-000055BC0000}"/>
    <cellStyle name="Normal 7 3 3 4 5" xfId="6564" xr:uid="{00000000-0005-0000-0000-000056BC0000}"/>
    <cellStyle name="Normal 7 3 3 4 5 2" xfId="15391" xr:uid="{00000000-0005-0000-0000-000057BC0000}"/>
    <cellStyle name="Normal 7 3 3 4 5 2 2" xfId="40946" xr:uid="{00000000-0005-0000-0000-000058BC0000}"/>
    <cellStyle name="Normal 7 3 3 4 5 3" xfId="25642" xr:uid="{00000000-0005-0000-0000-000059BC0000}"/>
    <cellStyle name="Normal 7 3 3 4 5 3 2" xfId="51195" xr:uid="{00000000-0005-0000-0000-00005ABC0000}"/>
    <cellStyle name="Normal 7 3 3 4 5 4" xfId="32125" xr:uid="{00000000-0005-0000-0000-00005BBC0000}"/>
    <cellStyle name="Normal 7 3 3 4 6" xfId="8010" xr:uid="{00000000-0005-0000-0000-00005CBC0000}"/>
    <cellStyle name="Normal 7 3 3 4 6 2" xfId="20391" xr:uid="{00000000-0005-0000-0000-00005DBC0000}"/>
    <cellStyle name="Normal 7 3 3 4 6 2 2" xfId="45944" xr:uid="{00000000-0005-0000-0000-00005EBC0000}"/>
    <cellStyle name="Normal 7 3 3 4 6 3" xfId="33567" xr:uid="{00000000-0005-0000-0000-00005FBC0000}"/>
    <cellStyle name="Normal 7 3 3 4 7" xfId="16902" xr:uid="{00000000-0005-0000-0000-000060BC0000}"/>
    <cellStyle name="Normal 7 3 3 4 7 2" xfId="42455" xr:uid="{00000000-0005-0000-0000-000061BC0000}"/>
    <cellStyle name="Normal 7 3 3 4 8" xfId="26874" xr:uid="{00000000-0005-0000-0000-000062BC0000}"/>
    <cellStyle name="Normal 7 3 3 5" xfId="1210" xr:uid="{00000000-0005-0000-0000-000063BC0000}"/>
    <cellStyle name="Normal 7 3 3 5 2" xfId="3639" xr:uid="{00000000-0005-0000-0000-000064BC0000}"/>
    <cellStyle name="Normal 7 3 3 5 2 2" xfId="12775" xr:uid="{00000000-0005-0000-0000-000065BC0000}"/>
    <cellStyle name="Normal 7 3 3 5 2 2 2" xfId="22994" xr:uid="{00000000-0005-0000-0000-000066BC0000}"/>
    <cellStyle name="Normal 7 3 3 5 2 2 2 2" xfId="48547" xr:uid="{00000000-0005-0000-0000-000067BC0000}"/>
    <cellStyle name="Normal 7 3 3 5 2 2 3" xfId="38330" xr:uid="{00000000-0005-0000-0000-000068BC0000}"/>
    <cellStyle name="Normal 7 3 3 5 2 3" xfId="9196" xr:uid="{00000000-0005-0000-0000-000069BC0000}"/>
    <cellStyle name="Normal 7 3 3 5 2 3 2" xfId="34753" xr:uid="{00000000-0005-0000-0000-00006ABC0000}"/>
    <cellStyle name="Normal 7 3 3 5 2 4" xfId="17987" xr:uid="{00000000-0005-0000-0000-00006BBC0000}"/>
    <cellStyle name="Normal 7 3 3 5 2 4 2" xfId="43540" xr:uid="{00000000-0005-0000-0000-00006CBC0000}"/>
    <cellStyle name="Normal 7 3 3 5 2 5" xfId="29477" xr:uid="{00000000-0005-0000-0000-00006DBC0000}"/>
    <cellStyle name="Normal 7 3 3 5 3" xfId="5302" xr:uid="{00000000-0005-0000-0000-00006EBC0000}"/>
    <cellStyle name="Normal 7 3 3 5 3 2" xfId="14139" xr:uid="{00000000-0005-0000-0000-00006FBC0000}"/>
    <cellStyle name="Normal 7 3 3 5 3 2 2" xfId="24390" xr:uid="{00000000-0005-0000-0000-000070BC0000}"/>
    <cellStyle name="Normal 7 3 3 5 3 2 2 2" xfId="49943" xr:uid="{00000000-0005-0000-0000-000071BC0000}"/>
    <cellStyle name="Normal 7 3 3 5 3 2 3" xfId="39694" xr:uid="{00000000-0005-0000-0000-000072BC0000}"/>
    <cellStyle name="Normal 7 3 3 5 3 3" xfId="10560" xr:uid="{00000000-0005-0000-0000-000073BC0000}"/>
    <cellStyle name="Normal 7 3 3 5 3 3 2" xfId="36117" xr:uid="{00000000-0005-0000-0000-000074BC0000}"/>
    <cellStyle name="Normal 7 3 3 5 3 4" xfId="19383" xr:uid="{00000000-0005-0000-0000-000075BC0000}"/>
    <cellStyle name="Normal 7 3 3 5 3 4 2" xfId="44936" xr:uid="{00000000-0005-0000-0000-000076BC0000}"/>
    <cellStyle name="Normal 7 3 3 5 3 5" xfId="30873" xr:uid="{00000000-0005-0000-0000-000077BC0000}"/>
    <cellStyle name="Normal 7 3 3 5 4" xfId="1813" xr:uid="{00000000-0005-0000-0000-000078BC0000}"/>
    <cellStyle name="Normal 7 3 3 5 4 2" xfId="11181" xr:uid="{00000000-0005-0000-0000-000079BC0000}"/>
    <cellStyle name="Normal 7 3 3 5 4 2 2" xfId="36736" xr:uid="{00000000-0005-0000-0000-00007ABC0000}"/>
    <cellStyle name="Normal 7 3 3 5 4 3" xfId="21185" xr:uid="{00000000-0005-0000-0000-00007BBC0000}"/>
    <cellStyle name="Normal 7 3 3 5 4 3 2" xfId="46738" xr:uid="{00000000-0005-0000-0000-00007CBC0000}"/>
    <cellStyle name="Normal 7 3 3 5 4 4" xfId="27668" xr:uid="{00000000-0005-0000-0000-00007DBC0000}"/>
    <cellStyle name="Normal 7 3 3 5 5" xfId="6757" xr:uid="{00000000-0005-0000-0000-00007EBC0000}"/>
    <cellStyle name="Normal 7 3 3 5 5 2" xfId="15584" xr:uid="{00000000-0005-0000-0000-00007FBC0000}"/>
    <cellStyle name="Normal 7 3 3 5 5 2 2" xfId="41139" xr:uid="{00000000-0005-0000-0000-000080BC0000}"/>
    <cellStyle name="Normal 7 3 3 5 5 3" xfId="25835" xr:uid="{00000000-0005-0000-0000-000081BC0000}"/>
    <cellStyle name="Normal 7 3 3 5 5 3 2" xfId="51388" xr:uid="{00000000-0005-0000-0000-000082BC0000}"/>
    <cellStyle name="Normal 7 3 3 5 5 4" xfId="32318" xr:uid="{00000000-0005-0000-0000-000083BC0000}"/>
    <cellStyle name="Normal 7 3 3 5 6" xfId="8203" xr:uid="{00000000-0005-0000-0000-000084BC0000}"/>
    <cellStyle name="Normal 7 3 3 5 6 2" xfId="20593" xr:uid="{00000000-0005-0000-0000-000085BC0000}"/>
    <cellStyle name="Normal 7 3 3 5 6 2 2" xfId="46146" xr:uid="{00000000-0005-0000-0000-000086BC0000}"/>
    <cellStyle name="Normal 7 3 3 5 6 3" xfId="33760" xr:uid="{00000000-0005-0000-0000-000087BC0000}"/>
    <cellStyle name="Normal 7 3 3 5 7" xfId="16178" xr:uid="{00000000-0005-0000-0000-000088BC0000}"/>
    <cellStyle name="Normal 7 3 3 5 7 2" xfId="41731" xr:uid="{00000000-0005-0000-0000-000089BC0000}"/>
    <cellStyle name="Normal 7 3 3 5 8" xfId="27076" xr:uid="{00000000-0005-0000-0000-00008ABC0000}"/>
    <cellStyle name="Normal 7 3 3 6" xfId="2707" xr:uid="{00000000-0005-0000-0000-00008BBC0000}"/>
    <cellStyle name="Normal 7 3 3 6 2" xfId="12024" xr:uid="{00000000-0005-0000-0000-00008CBC0000}"/>
    <cellStyle name="Normal 7 3 3 6 2 2" xfId="22068" xr:uid="{00000000-0005-0000-0000-00008DBC0000}"/>
    <cellStyle name="Normal 7 3 3 6 2 2 2" xfId="47621" xr:uid="{00000000-0005-0000-0000-00008EBC0000}"/>
    <cellStyle name="Normal 7 3 3 6 2 3" xfId="37579" xr:uid="{00000000-0005-0000-0000-00008FBC0000}"/>
    <cellStyle name="Normal 7 3 3 6 3" xfId="8575" xr:uid="{00000000-0005-0000-0000-000090BC0000}"/>
    <cellStyle name="Normal 7 3 3 6 3 2" xfId="34132" xr:uid="{00000000-0005-0000-0000-000091BC0000}"/>
    <cellStyle name="Normal 7 3 3 6 4" xfId="17061" xr:uid="{00000000-0005-0000-0000-000092BC0000}"/>
    <cellStyle name="Normal 7 3 3 6 4 2" xfId="42614" xr:uid="{00000000-0005-0000-0000-000093BC0000}"/>
    <cellStyle name="Normal 7 3 3 6 5" xfId="28551" xr:uid="{00000000-0005-0000-0000-000094BC0000}"/>
    <cellStyle name="Normal 7 3 3 7" xfId="4258" xr:uid="{00000000-0005-0000-0000-000095BC0000}"/>
    <cellStyle name="Normal 7 3 3 7 2" xfId="13096" xr:uid="{00000000-0005-0000-0000-000096BC0000}"/>
    <cellStyle name="Normal 7 3 3 7 2 2" xfId="23347" xr:uid="{00000000-0005-0000-0000-000097BC0000}"/>
    <cellStyle name="Normal 7 3 3 7 2 2 2" xfId="48900" xr:uid="{00000000-0005-0000-0000-000098BC0000}"/>
    <cellStyle name="Normal 7 3 3 7 2 3" xfId="38651" xr:uid="{00000000-0005-0000-0000-000099BC0000}"/>
    <cellStyle name="Normal 7 3 3 7 3" xfId="9517" xr:uid="{00000000-0005-0000-0000-00009ABC0000}"/>
    <cellStyle name="Normal 7 3 3 7 3 2" xfId="35074" xr:uid="{00000000-0005-0000-0000-00009BBC0000}"/>
    <cellStyle name="Normal 7 3 3 7 4" xfId="18340" xr:uid="{00000000-0005-0000-0000-00009CBC0000}"/>
    <cellStyle name="Normal 7 3 3 7 4 2" xfId="43893" xr:uid="{00000000-0005-0000-0000-00009DBC0000}"/>
    <cellStyle name="Normal 7 3 3 7 5" xfId="29830" xr:uid="{00000000-0005-0000-0000-00009EBC0000}"/>
    <cellStyle name="Normal 7 3 3 8" xfId="1530" xr:uid="{00000000-0005-0000-0000-00009FBC0000}"/>
    <cellStyle name="Normal 7 3 3 8 2" xfId="10907" xr:uid="{00000000-0005-0000-0000-0000A0BC0000}"/>
    <cellStyle name="Normal 7 3 3 8 2 2" xfId="36462" xr:uid="{00000000-0005-0000-0000-0000A1BC0000}"/>
    <cellStyle name="Normal 7 3 3 8 3" xfId="20911" xr:uid="{00000000-0005-0000-0000-0000A2BC0000}"/>
    <cellStyle name="Normal 7 3 3 8 3 2" xfId="46464" xr:uid="{00000000-0005-0000-0000-0000A3BC0000}"/>
    <cellStyle name="Normal 7 3 3 8 4" xfId="27394" xr:uid="{00000000-0005-0000-0000-0000A4BC0000}"/>
    <cellStyle name="Normal 7 3 3 9" xfId="5714" xr:uid="{00000000-0005-0000-0000-0000A5BC0000}"/>
    <cellStyle name="Normal 7 3 3 9 2" xfId="14541" xr:uid="{00000000-0005-0000-0000-0000A6BC0000}"/>
    <cellStyle name="Normal 7 3 3 9 2 2" xfId="40096" xr:uid="{00000000-0005-0000-0000-0000A7BC0000}"/>
    <cellStyle name="Normal 7 3 3 9 3" xfId="24792" xr:uid="{00000000-0005-0000-0000-0000A8BC0000}"/>
    <cellStyle name="Normal 7 3 3 9 3 2" xfId="50345" xr:uid="{00000000-0005-0000-0000-0000A9BC0000}"/>
    <cellStyle name="Normal 7 3 3 9 4" xfId="31275" xr:uid="{00000000-0005-0000-0000-0000AABC0000}"/>
    <cellStyle name="Normal 7 3 3_Degree data" xfId="4061" xr:uid="{00000000-0005-0000-0000-0000ABBC0000}"/>
    <cellStyle name="Normal 7 3 4" xfId="248" xr:uid="{00000000-0005-0000-0000-0000ACBC0000}"/>
    <cellStyle name="Normal 7 3 4 10" xfId="7086" xr:uid="{00000000-0005-0000-0000-0000ADBC0000}"/>
    <cellStyle name="Normal 7 3 4 10 2" xfId="19700" xr:uid="{00000000-0005-0000-0000-0000AEBC0000}"/>
    <cellStyle name="Normal 7 3 4 10 2 2" xfId="45253" xr:uid="{00000000-0005-0000-0000-0000AFBC0000}"/>
    <cellStyle name="Normal 7 3 4 10 3" xfId="32643" xr:uid="{00000000-0005-0000-0000-0000B0BC0000}"/>
    <cellStyle name="Normal 7 3 4 11" xfId="15832" xr:uid="{00000000-0005-0000-0000-0000B1BC0000}"/>
    <cellStyle name="Normal 7 3 4 11 2" xfId="41385" xr:uid="{00000000-0005-0000-0000-0000B2BC0000}"/>
    <cellStyle name="Normal 7 3 4 12" xfId="26183" xr:uid="{00000000-0005-0000-0000-0000B3BC0000}"/>
    <cellStyle name="Normal 7 3 4 2" xfId="571" xr:uid="{00000000-0005-0000-0000-0000B4BC0000}"/>
    <cellStyle name="Normal 7 3 4 2 10" xfId="26500" xr:uid="{00000000-0005-0000-0000-0000B5BC0000}"/>
    <cellStyle name="Normal 7 3 4 2 2" xfId="958" xr:uid="{00000000-0005-0000-0000-0000B6BC0000}"/>
    <cellStyle name="Normal 7 3 4 2 2 2" xfId="3434" xr:uid="{00000000-0005-0000-0000-0000B7BC0000}"/>
    <cellStyle name="Normal 7 3 4 2 2 2 2" xfId="12576" xr:uid="{00000000-0005-0000-0000-0000B8BC0000}"/>
    <cellStyle name="Normal 7 3 4 2 2 2 2 2" xfId="22795" xr:uid="{00000000-0005-0000-0000-0000B9BC0000}"/>
    <cellStyle name="Normal 7 3 4 2 2 2 2 2 2" xfId="48348" xr:uid="{00000000-0005-0000-0000-0000BABC0000}"/>
    <cellStyle name="Normal 7 3 4 2 2 2 2 3" xfId="38131" xr:uid="{00000000-0005-0000-0000-0000BBBC0000}"/>
    <cellStyle name="Normal 7 3 4 2 2 2 3" xfId="8998" xr:uid="{00000000-0005-0000-0000-0000BCBC0000}"/>
    <cellStyle name="Normal 7 3 4 2 2 2 3 2" xfId="34555" xr:uid="{00000000-0005-0000-0000-0000BDBC0000}"/>
    <cellStyle name="Normal 7 3 4 2 2 2 4" xfId="17788" xr:uid="{00000000-0005-0000-0000-0000BEBC0000}"/>
    <cellStyle name="Normal 7 3 4 2 2 2 4 2" xfId="43341" xr:uid="{00000000-0005-0000-0000-0000BFBC0000}"/>
    <cellStyle name="Normal 7 3 4 2 2 2 5" xfId="29278" xr:uid="{00000000-0005-0000-0000-0000C0BC0000}"/>
    <cellStyle name="Normal 7 3 4 2 2 3" xfId="4764" xr:uid="{00000000-0005-0000-0000-0000C1BC0000}"/>
    <cellStyle name="Normal 7 3 4 2 2 3 2" xfId="13601" xr:uid="{00000000-0005-0000-0000-0000C2BC0000}"/>
    <cellStyle name="Normal 7 3 4 2 2 3 2 2" xfId="23852" xr:uid="{00000000-0005-0000-0000-0000C3BC0000}"/>
    <cellStyle name="Normal 7 3 4 2 2 3 2 2 2" xfId="49405" xr:uid="{00000000-0005-0000-0000-0000C4BC0000}"/>
    <cellStyle name="Normal 7 3 4 2 2 3 2 3" xfId="39156" xr:uid="{00000000-0005-0000-0000-0000C5BC0000}"/>
    <cellStyle name="Normal 7 3 4 2 2 3 3" xfId="10022" xr:uid="{00000000-0005-0000-0000-0000C6BC0000}"/>
    <cellStyle name="Normal 7 3 4 2 2 3 3 2" xfId="35579" xr:uid="{00000000-0005-0000-0000-0000C7BC0000}"/>
    <cellStyle name="Normal 7 3 4 2 2 3 4" xfId="18845" xr:uid="{00000000-0005-0000-0000-0000C8BC0000}"/>
    <cellStyle name="Normal 7 3 4 2 2 3 4 2" xfId="44398" xr:uid="{00000000-0005-0000-0000-0000C9BC0000}"/>
    <cellStyle name="Normal 7 3 4 2 2 3 5" xfId="30335" xr:uid="{00000000-0005-0000-0000-0000CABC0000}"/>
    <cellStyle name="Normal 7 3 4 2 2 4" xfId="2543" xr:uid="{00000000-0005-0000-0000-0000CBBC0000}"/>
    <cellStyle name="Normal 7 3 4 2 2 4 2" xfId="11908" xr:uid="{00000000-0005-0000-0000-0000CCBC0000}"/>
    <cellStyle name="Normal 7 3 4 2 2 4 2 2" xfId="37463" xr:uid="{00000000-0005-0000-0000-0000CDBC0000}"/>
    <cellStyle name="Normal 7 3 4 2 2 4 3" xfId="21912" xr:uid="{00000000-0005-0000-0000-0000CEBC0000}"/>
    <cellStyle name="Normal 7 3 4 2 2 4 3 2" xfId="47465" xr:uid="{00000000-0005-0000-0000-0000CFBC0000}"/>
    <cellStyle name="Normal 7 3 4 2 2 4 4" xfId="28395" xr:uid="{00000000-0005-0000-0000-0000D0BC0000}"/>
    <cellStyle name="Normal 7 3 4 2 2 5" xfId="6219" xr:uid="{00000000-0005-0000-0000-0000D1BC0000}"/>
    <cellStyle name="Normal 7 3 4 2 2 5 2" xfId="15046" xr:uid="{00000000-0005-0000-0000-0000D2BC0000}"/>
    <cellStyle name="Normal 7 3 4 2 2 5 2 2" xfId="40601" xr:uid="{00000000-0005-0000-0000-0000D3BC0000}"/>
    <cellStyle name="Normal 7 3 4 2 2 5 3" xfId="25297" xr:uid="{00000000-0005-0000-0000-0000D4BC0000}"/>
    <cellStyle name="Normal 7 3 4 2 2 5 3 2" xfId="50850" xr:uid="{00000000-0005-0000-0000-0000D5BC0000}"/>
    <cellStyle name="Normal 7 3 4 2 2 5 4" xfId="31780" xr:uid="{00000000-0005-0000-0000-0000D6BC0000}"/>
    <cellStyle name="Normal 7 3 4 2 2 6" xfId="7665" xr:uid="{00000000-0005-0000-0000-0000D7BC0000}"/>
    <cellStyle name="Normal 7 3 4 2 2 6 2" xfId="20394" xr:uid="{00000000-0005-0000-0000-0000D8BC0000}"/>
    <cellStyle name="Normal 7 3 4 2 2 6 2 2" xfId="45947" xr:uid="{00000000-0005-0000-0000-0000D9BC0000}"/>
    <cellStyle name="Normal 7 3 4 2 2 6 3" xfId="33222" xr:uid="{00000000-0005-0000-0000-0000DABC0000}"/>
    <cellStyle name="Normal 7 3 4 2 2 7" xfId="16905" xr:uid="{00000000-0005-0000-0000-0000DBBC0000}"/>
    <cellStyle name="Normal 7 3 4 2 2 7 2" xfId="42458" xr:uid="{00000000-0005-0000-0000-0000DCBC0000}"/>
    <cellStyle name="Normal 7 3 4 2 2 8" xfId="26877" xr:uid="{00000000-0005-0000-0000-0000DDBC0000}"/>
    <cellStyle name="Normal 7 3 4 2 3" xfId="1343" xr:uid="{00000000-0005-0000-0000-0000DEBC0000}"/>
    <cellStyle name="Normal 7 3 4 2 3 2" xfId="3772" xr:uid="{00000000-0005-0000-0000-0000DFBC0000}"/>
    <cellStyle name="Normal 7 3 4 2 3 2 2" xfId="12908" xr:uid="{00000000-0005-0000-0000-0000E0BC0000}"/>
    <cellStyle name="Normal 7 3 4 2 3 2 2 2" xfId="23127" xr:uid="{00000000-0005-0000-0000-0000E1BC0000}"/>
    <cellStyle name="Normal 7 3 4 2 3 2 2 2 2" xfId="48680" xr:uid="{00000000-0005-0000-0000-0000E2BC0000}"/>
    <cellStyle name="Normal 7 3 4 2 3 2 2 3" xfId="38463" xr:uid="{00000000-0005-0000-0000-0000E3BC0000}"/>
    <cellStyle name="Normal 7 3 4 2 3 2 3" xfId="9329" xr:uid="{00000000-0005-0000-0000-0000E4BC0000}"/>
    <cellStyle name="Normal 7 3 4 2 3 2 3 2" xfId="34886" xr:uid="{00000000-0005-0000-0000-0000E5BC0000}"/>
    <cellStyle name="Normal 7 3 4 2 3 2 4" xfId="18120" xr:uid="{00000000-0005-0000-0000-0000E6BC0000}"/>
    <cellStyle name="Normal 7 3 4 2 3 2 4 2" xfId="43673" xr:uid="{00000000-0005-0000-0000-0000E7BC0000}"/>
    <cellStyle name="Normal 7 3 4 2 3 2 5" xfId="29610" xr:uid="{00000000-0005-0000-0000-0000E8BC0000}"/>
    <cellStyle name="Normal 7 3 4 2 3 3" xfId="5112" xr:uid="{00000000-0005-0000-0000-0000E9BC0000}"/>
    <cellStyle name="Normal 7 3 4 2 3 3 2" xfId="13949" xr:uid="{00000000-0005-0000-0000-0000EABC0000}"/>
    <cellStyle name="Normal 7 3 4 2 3 3 2 2" xfId="24200" xr:uid="{00000000-0005-0000-0000-0000EBBC0000}"/>
    <cellStyle name="Normal 7 3 4 2 3 3 2 2 2" xfId="49753" xr:uid="{00000000-0005-0000-0000-0000ECBC0000}"/>
    <cellStyle name="Normal 7 3 4 2 3 3 2 3" xfId="39504" xr:uid="{00000000-0005-0000-0000-0000EDBC0000}"/>
    <cellStyle name="Normal 7 3 4 2 3 3 3" xfId="10370" xr:uid="{00000000-0005-0000-0000-0000EEBC0000}"/>
    <cellStyle name="Normal 7 3 4 2 3 3 3 2" xfId="35927" xr:uid="{00000000-0005-0000-0000-0000EFBC0000}"/>
    <cellStyle name="Normal 7 3 4 2 3 3 4" xfId="19193" xr:uid="{00000000-0005-0000-0000-0000F0BC0000}"/>
    <cellStyle name="Normal 7 3 4 2 3 3 4 2" xfId="44746" xr:uid="{00000000-0005-0000-0000-0000F1BC0000}"/>
    <cellStyle name="Normal 7 3 4 2 3 3 5" xfId="30683" xr:uid="{00000000-0005-0000-0000-0000F2BC0000}"/>
    <cellStyle name="Normal 7 3 4 2 3 4" xfId="2166" xr:uid="{00000000-0005-0000-0000-0000F3BC0000}"/>
    <cellStyle name="Normal 7 3 4 2 3 4 2" xfId="11531" xr:uid="{00000000-0005-0000-0000-0000F4BC0000}"/>
    <cellStyle name="Normal 7 3 4 2 3 4 2 2" xfId="37086" xr:uid="{00000000-0005-0000-0000-0000F5BC0000}"/>
    <cellStyle name="Normal 7 3 4 2 3 4 3" xfId="21535" xr:uid="{00000000-0005-0000-0000-0000F6BC0000}"/>
    <cellStyle name="Normal 7 3 4 2 3 4 3 2" xfId="47088" xr:uid="{00000000-0005-0000-0000-0000F7BC0000}"/>
    <cellStyle name="Normal 7 3 4 2 3 4 4" xfId="28018" xr:uid="{00000000-0005-0000-0000-0000F8BC0000}"/>
    <cellStyle name="Normal 7 3 4 2 3 5" xfId="6567" xr:uid="{00000000-0005-0000-0000-0000F9BC0000}"/>
    <cellStyle name="Normal 7 3 4 2 3 5 2" xfId="15394" xr:uid="{00000000-0005-0000-0000-0000FABC0000}"/>
    <cellStyle name="Normal 7 3 4 2 3 5 2 2" xfId="40949" xr:uid="{00000000-0005-0000-0000-0000FBBC0000}"/>
    <cellStyle name="Normal 7 3 4 2 3 5 3" xfId="25645" xr:uid="{00000000-0005-0000-0000-0000FCBC0000}"/>
    <cellStyle name="Normal 7 3 4 2 3 5 3 2" xfId="51198" xr:uid="{00000000-0005-0000-0000-0000FDBC0000}"/>
    <cellStyle name="Normal 7 3 4 2 3 5 4" xfId="32128" xr:uid="{00000000-0005-0000-0000-0000FEBC0000}"/>
    <cellStyle name="Normal 7 3 4 2 3 6" xfId="8013" xr:uid="{00000000-0005-0000-0000-0000FFBC0000}"/>
    <cellStyle name="Normal 7 3 4 2 3 6 2" xfId="20726" xr:uid="{00000000-0005-0000-0000-000000BD0000}"/>
    <cellStyle name="Normal 7 3 4 2 3 6 2 2" xfId="46279" xr:uid="{00000000-0005-0000-0000-000001BD0000}"/>
    <cellStyle name="Normal 7 3 4 2 3 6 3" xfId="33570" xr:uid="{00000000-0005-0000-0000-000002BD0000}"/>
    <cellStyle name="Normal 7 3 4 2 3 7" xfId="16528" xr:uid="{00000000-0005-0000-0000-000003BD0000}"/>
    <cellStyle name="Normal 7 3 4 2 3 7 2" xfId="42081" xr:uid="{00000000-0005-0000-0000-000004BD0000}"/>
    <cellStyle name="Normal 7 3 4 2 3 8" xfId="27209" xr:uid="{00000000-0005-0000-0000-000005BD0000}"/>
    <cellStyle name="Normal 7 3 4 2 4" xfId="3057" xr:uid="{00000000-0005-0000-0000-000006BD0000}"/>
    <cellStyle name="Normal 7 3 4 2 4 2" xfId="5435" xr:uid="{00000000-0005-0000-0000-000007BD0000}"/>
    <cellStyle name="Normal 7 3 4 2 4 2 2" xfId="14272" xr:uid="{00000000-0005-0000-0000-000008BD0000}"/>
    <cellStyle name="Normal 7 3 4 2 4 2 2 2" xfId="24523" xr:uid="{00000000-0005-0000-0000-000009BD0000}"/>
    <cellStyle name="Normal 7 3 4 2 4 2 2 2 2" xfId="50076" xr:uid="{00000000-0005-0000-0000-00000ABD0000}"/>
    <cellStyle name="Normal 7 3 4 2 4 2 2 3" xfId="39827" xr:uid="{00000000-0005-0000-0000-00000BBD0000}"/>
    <cellStyle name="Normal 7 3 4 2 4 2 3" xfId="10693" xr:uid="{00000000-0005-0000-0000-00000CBD0000}"/>
    <cellStyle name="Normal 7 3 4 2 4 2 3 2" xfId="36250" xr:uid="{00000000-0005-0000-0000-00000DBD0000}"/>
    <cellStyle name="Normal 7 3 4 2 4 2 4" xfId="19516" xr:uid="{00000000-0005-0000-0000-00000EBD0000}"/>
    <cellStyle name="Normal 7 3 4 2 4 2 4 2" xfId="45069" xr:uid="{00000000-0005-0000-0000-00000FBD0000}"/>
    <cellStyle name="Normal 7 3 4 2 4 2 5" xfId="31006" xr:uid="{00000000-0005-0000-0000-000010BD0000}"/>
    <cellStyle name="Normal 7 3 4 2 4 3" xfId="6890" xr:uid="{00000000-0005-0000-0000-000011BD0000}"/>
    <cellStyle name="Normal 7 3 4 2 4 3 2" xfId="15717" xr:uid="{00000000-0005-0000-0000-000012BD0000}"/>
    <cellStyle name="Normal 7 3 4 2 4 3 2 2" xfId="41272" xr:uid="{00000000-0005-0000-0000-000013BD0000}"/>
    <cellStyle name="Normal 7 3 4 2 4 3 3" xfId="25968" xr:uid="{00000000-0005-0000-0000-000014BD0000}"/>
    <cellStyle name="Normal 7 3 4 2 4 3 3 2" xfId="51521" xr:uid="{00000000-0005-0000-0000-000015BD0000}"/>
    <cellStyle name="Normal 7 3 4 2 4 3 4" xfId="32451" xr:uid="{00000000-0005-0000-0000-000016BD0000}"/>
    <cellStyle name="Normal 7 3 4 2 4 4" xfId="8336" xr:uid="{00000000-0005-0000-0000-000017BD0000}"/>
    <cellStyle name="Normal 7 3 4 2 4 4 2" xfId="22418" xr:uid="{00000000-0005-0000-0000-000018BD0000}"/>
    <cellStyle name="Normal 7 3 4 2 4 4 2 2" xfId="47971" xr:uid="{00000000-0005-0000-0000-000019BD0000}"/>
    <cellStyle name="Normal 7 3 4 2 4 4 3" xfId="33893" xr:uid="{00000000-0005-0000-0000-00001ABD0000}"/>
    <cellStyle name="Normal 7 3 4 2 4 5" xfId="17411" xr:uid="{00000000-0005-0000-0000-00001BBD0000}"/>
    <cellStyle name="Normal 7 3 4 2 4 5 2" xfId="42964" xr:uid="{00000000-0005-0000-0000-00001CBD0000}"/>
    <cellStyle name="Normal 7 3 4 2 4 6" xfId="28901" xr:uid="{00000000-0005-0000-0000-00001DBD0000}"/>
    <cellStyle name="Normal 7 3 4 2 5" xfId="4391" xr:uid="{00000000-0005-0000-0000-00001EBD0000}"/>
    <cellStyle name="Normal 7 3 4 2 5 2" xfId="13229" xr:uid="{00000000-0005-0000-0000-00001FBD0000}"/>
    <cellStyle name="Normal 7 3 4 2 5 2 2" xfId="23480" xr:uid="{00000000-0005-0000-0000-000020BD0000}"/>
    <cellStyle name="Normal 7 3 4 2 5 2 2 2" xfId="49033" xr:uid="{00000000-0005-0000-0000-000021BD0000}"/>
    <cellStyle name="Normal 7 3 4 2 5 2 3" xfId="38784" xr:uid="{00000000-0005-0000-0000-000022BD0000}"/>
    <cellStyle name="Normal 7 3 4 2 5 3" xfId="9650" xr:uid="{00000000-0005-0000-0000-000023BD0000}"/>
    <cellStyle name="Normal 7 3 4 2 5 3 2" xfId="35207" xr:uid="{00000000-0005-0000-0000-000024BD0000}"/>
    <cellStyle name="Normal 7 3 4 2 5 4" xfId="18473" xr:uid="{00000000-0005-0000-0000-000025BD0000}"/>
    <cellStyle name="Normal 7 3 4 2 5 4 2" xfId="44026" xr:uid="{00000000-0005-0000-0000-000026BD0000}"/>
    <cellStyle name="Normal 7 3 4 2 5 5" xfId="29963" xr:uid="{00000000-0005-0000-0000-000027BD0000}"/>
    <cellStyle name="Normal 7 3 4 2 6" xfId="1663" xr:uid="{00000000-0005-0000-0000-000028BD0000}"/>
    <cellStyle name="Normal 7 3 4 2 6 2" xfId="11040" xr:uid="{00000000-0005-0000-0000-000029BD0000}"/>
    <cellStyle name="Normal 7 3 4 2 6 2 2" xfId="36595" xr:uid="{00000000-0005-0000-0000-00002ABD0000}"/>
    <cellStyle name="Normal 7 3 4 2 6 3" xfId="21044" xr:uid="{00000000-0005-0000-0000-00002BBD0000}"/>
    <cellStyle name="Normal 7 3 4 2 6 3 2" xfId="46597" xr:uid="{00000000-0005-0000-0000-00002CBD0000}"/>
    <cellStyle name="Normal 7 3 4 2 6 4" xfId="27527" xr:uid="{00000000-0005-0000-0000-00002DBD0000}"/>
    <cellStyle name="Normal 7 3 4 2 7" xfId="5847" xr:uid="{00000000-0005-0000-0000-00002EBD0000}"/>
    <cellStyle name="Normal 7 3 4 2 7 2" xfId="14674" xr:uid="{00000000-0005-0000-0000-00002FBD0000}"/>
    <cellStyle name="Normal 7 3 4 2 7 2 2" xfId="40229" xr:uid="{00000000-0005-0000-0000-000030BD0000}"/>
    <cellStyle name="Normal 7 3 4 2 7 3" xfId="24925" xr:uid="{00000000-0005-0000-0000-000031BD0000}"/>
    <cellStyle name="Normal 7 3 4 2 7 3 2" xfId="50478" xr:uid="{00000000-0005-0000-0000-000032BD0000}"/>
    <cellStyle name="Normal 7 3 4 2 7 4" xfId="31408" xr:uid="{00000000-0005-0000-0000-000033BD0000}"/>
    <cellStyle name="Normal 7 3 4 2 8" xfId="7291" xr:uid="{00000000-0005-0000-0000-000034BD0000}"/>
    <cellStyle name="Normal 7 3 4 2 8 2" xfId="20017" xr:uid="{00000000-0005-0000-0000-000035BD0000}"/>
    <cellStyle name="Normal 7 3 4 2 8 2 2" xfId="45570" xr:uid="{00000000-0005-0000-0000-000036BD0000}"/>
    <cellStyle name="Normal 7 3 4 2 8 3" xfId="32848" xr:uid="{00000000-0005-0000-0000-000037BD0000}"/>
    <cellStyle name="Normal 7 3 4 2 9" xfId="16037" xr:uid="{00000000-0005-0000-0000-000038BD0000}"/>
    <cellStyle name="Normal 7 3 4 2 9 2" xfId="41590" xr:uid="{00000000-0005-0000-0000-000039BD0000}"/>
    <cellStyle name="Normal 7 3 4 2_Degree data" xfId="4064" xr:uid="{00000000-0005-0000-0000-00003ABD0000}"/>
    <cellStyle name="Normal 7 3 4 3" xfId="366" xr:uid="{00000000-0005-0000-0000-00003BBD0000}"/>
    <cellStyle name="Normal 7 3 4 3 2" xfId="2852" xr:uid="{00000000-0005-0000-0000-00003CBD0000}"/>
    <cellStyle name="Normal 7 3 4 3 2 2" xfId="12140" xr:uid="{00000000-0005-0000-0000-00003DBD0000}"/>
    <cellStyle name="Normal 7 3 4 3 2 2 2" xfId="22213" xr:uid="{00000000-0005-0000-0000-00003EBD0000}"/>
    <cellStyle name="Normal 7 3 4 3 2 2 2 2" xfId="47766" xr:uid="{00000000-0005-0000-0000-00003FBD0000}"/>
    <cellStyle name="Normal 7 3 4 3 2 2 3" xfId="37695" xr:uid="{00000000-0005-0000-0000-000040BD0000}"/>
    <cellStyle name="Normal 7 3 4 3 2 3" xfId="8389" xr:uid="{00000000-0005-0000-0000-000041BD0000}"/>
    <cellStyle name="Normal 7 3 4 3 2 3 2" xfId="33946" xr:uid="{00000000-0005-0000-0000-000042BD0000}"/>
    <cellStyle name="Normal 7 3 4 3 2 4" xfId="17206" xr:uid="{00000000-0005-0000-0000-000043BD0000}"/>
    <cellStyle name="Normal 7 3 4 3 2 4 2" xfId="42759" xr:uid="{00000000-0005-0000-0000-000044BD0000}"/>
    <cellStyle name="Normal 7 3 4 3 2 5" xfId="28696" xr:uid="{00000000-0005-0000-0000-000045BD0000}"/>
    <cellStyle name="Normal 7 3 4 3 3" xfId="4763" xr:uid="{00000000-0005-0000-0000-000046BD0000}"/>
    <cellStyle name="Normal 7 3 4 3 3 2" xfId="13600" xr:uid="{00000000-0005-0000-0000-000047BD0000}"/>
    <cellStyle name="Normal 7 3 4 3 3 2 2" xfId="23851" xr:uid="{00000000-0005-0000-0000-000048BD0000}"/>
    <cellStyle name="Normal 7 3 4 3 3 2 2 2" xfId="49404" xr:uid="{00000000-0005-0000-0000-000049BD0000}"/>
    <cellStyle name="Normal 7 3 4 3 3 2 3" xfId="39155" xr:uid="{00000000-0005-0000-0000-00004ABD0000}"/>
    <cellStyle name="Normal 7 3 4 3 3 3" xfId="10021" xr:uid="{00000000-0005-0000-0000-00004BBD0000}"/>
    <cellStyle name="Normal 7 3 4 3 3 3 2" xfId="35578" xr:uid="{00000000-0005-0000-0000-00004CBD0000}"/>
    <cellStyle name="Normal 7 3 4 3 3 4" xfId="18844" xr:uid="{00000000-0005-0000-0000-00004DBD0000}"/>
    <cellStyle name="Normal 7 3 4 3 3 4 2" xfId="44397" xr:uid="{00000000-0005-0000-0000-00004EBD0000}"/>
    <cellStyle name="Normal 7 3 4 3 3 5" xfId="30334" xr:uid="{00000000-0005-0000-0000-00004FBD0000}"/>
    <cellStyle name="Normal 7 3 4 3 4" xfId="1961" xr:uid="{00000000-0005-0000-0000-000050BD0000}"/>
    <cellStyle name="Normal 7 3 4 3 4 2" xfId="11326" xr:uid="{00000000-0005-0000-0000-000051BD0000}"/>
    <cellStyle name="Normal 7 3 4 3 4 2 2" xfId="36881" xr:uid="{00000000-0005-0000-0000-000052BD0000}"/>
    <cellStyle name="Normal 7 3 4 3 4 3" xfId="21330" xr:uid="{00000000-0005-0000-0000-000053BD0000}"/>
    <cellStyle name="Normal 7 3 4 3 4 3 2" xfId="46883" xr:uid="{00000000-0005-0000-0000-000054BD0000}"/>
    <cellStyle name="Normal 7 3 4 3 4 4" xfId="27813" xr:uid="{00000000-0005-0000-0000-000055BD0000}"/>
    <cellStyle name="Normal 7 3 4 3 5" xfId="6218" xr:uid="{00000000-0005-0000-0000-000056BD0000}"/>
    <cellStyle name="Normal 7 3 4 3 5 2" xfId="15045" xr:uid="{00000000-0005-0000-0000-000057BD0000}"/>
    <cellStyle name="Normal 7 3 4 3 5 2 2" xfId="40600" xr:uid="{00000000-0005-0000-0000-000058BD0000}"/>
    <cellStyle name="Normal 7 3 4 3 5 3" xfId="25296" xr:uid="{00000000-0005-0000-0000-000059BD0000}"/>
    <cellStyle name="Normal 7 3 4 3 5 3 2" xfId="50849" xr:uid="{00000000-0005-0000-0000-00005ABD0000}"/>
    <cellStyle name="Normal 7 3 4 3 5 4" xfId="31779" xr:uid="{00000000-0005-0000-0000-00005BBD0000}"/>
    <cellStyle name="Normal 7 3 4 3 6" xfId="7664" xr:uid="{00000000-0005-0000-0000-00005CBD0000}"/>
    <cellStyle name="Normal 7 3 4 3 6 2" xfId="19812" xr:uid="{00000000-0005-0000-0000-00005DBD0000}"/>
    <cellStyle name="Normal 7 3 4 3 6 2 2" xfId="45365" xr:uid="{00000000-0005-0000-0000-00005EBD0000}"/>
    <cellStyle name="Normal 7 3 4 3 6 3" xfId="33221" xr:uid="{00000000-0005-0000-0000-00005FBD0000}"/>
    <cellStyle name="Normal 7 3 4 3 7" xfId="16323" xr:uid="{00000000-0005-0000-0000-000060BD0000}"/>
    <cellStyle name="Normal 7 3 4 3 7 2" xfId="41876" xr:uid="{00000000-0005-0000-0000-000061BD0000}"/>
    <cellStyle name="Normal 7 3 4 3 8" xfId="26295" xr:uid="{00000000-0005-0000-0000-000062BD0000}"/>
    <cellStyle name="Normal 7 3 4 4" xfId="957" xr:uid="{00000000-0005-0000-0000-000063BD0000}"/>
    <cellStyle name="Normal 7 3 4 4 2" xfId="3433" xr:uid="{00000000-0005-0000-0000-000064BD0000}"/>
    <cellStyle name="Normal 7 3 4 4 2 2" xfId="12575" xr:uid="{00000000-0005-0000-0000-000065BD0000}"/>
    <cellStyle name="Normal 7 3 4 4 2 2 2" xfId="22794" xr:uid="{00000000-0005-0000-0000-000066BD0000}"/>
    <cellStyle name="Normal 7 3 4 4 2 2 2 2" xfId="48347" xr:uid="{00000000-0005-0000-0000-000067BD0000}"/>
    <cellStyle name="Normal 7 3 4 4 2 2 3" xfId="38130" xr:uid="{00000000-0005-0000-0000-000068BD0000}"/>
    <cellStyle name="Normal 7 3 4 4 2 3" xfId="8997" xr:uid="{00000000-0005-0000-0000-000069BD0000}"/>
    <cellStyle name="Normal 7 3 4 4 2 3 2" xfId="34554" xr:uid="{00000000-0005-0000-0000-00006ABD0000}"/>
    <cellStyle name="Normal 7 3 4 4 2 4" xfId="17787" xr:uid="{00000000-0005-0000-0000-00006BBD0000}"/>
    <cellStyle name="Normal 7 3 4 4 2 4 2" xfId="43340" xr:uid="{00000000-0005-0000-0000-00006CBD0000}"/>
    <cellStyle name="Normal 7 3 4 4 2 5" xfId="29277" xr:uid="{00000000-0005-0000-0000-00006DBD0000}"/>
    <cellStyle name="Normal 7 3 4 4 3" xfId="5111" xr:uid="{00000000-0005-0000-0000-00006EBD0000}"/>
    <cellStyle name="Normal 7 3 4 4 3 2" xfId="13948" xr:uid="{00000000-0005-0000-0000-00006FBD0000}"/>
    <cellStyle name="Normal 7 3 4 4 3 2 2" xfId="24199" xr:uid="{00000000-0005-0000-0000-000070BD0000}"/>
    <cellStyle name="Normal 7 3 4 4 3 2 2 2" xfId="49752" xr:uid="{00000000-0005-0000-0000-000071BD0000}"/>
    <cellStyle name="Normal 7 3 4 4 3 2 3" xfId="39503" xr:uid="{00000000-0005-0000-0000-000072BD0000}"/>
    <cellStyle name="Normal 7 3 4 4 3 3" xfId="10369" xr:uid="{00000000-0005-0000-0000-000073BD0000}"/>
    <cellStyle name="Normal 7 3 4 4 3 3 2" xfId="35926" xr:uid="{00000000-0005-0000-0000-000074BD0000}"/>
    <cellStyle name="Normal 7 3 4 4 3 4" xfId="19192" xr:uid="{00000000-0005-0000-0000-000075BD0000}"/>
    <cellStyle name="Normal 7 3 4 4 3 4 2" xfId="44745" xr:uid="{00000000-0005-0000-0000-000076BD0000}"/>
    <cellStyle name="Normal 7 3 4 4 3 5" xfId="30682" xr:uid="{00000000-0005-0000-0000-000077BD0000}"/>
    <cellStyle name="Normal 7 3 4 4 4" xfId="2542" xr:uid="{00000000-0005-0000-0000-000078BD0000}"/>
    <cellStyle name="Normal 7 3 4 4 4 2" xfId="11907" xr:uid="{00000000-0005-0000-0000-000079BD0000}"/>
    <cellStyle name="Normal 7 3 4 4 4 2 2" xfId="37462" xr:uid="{00000000-0005-0000-0000-00007ABD0000}"/>
    <cellStyle name="Normal 7 3 4 4 4 3" xfId="21911" xr:uid="{00000000-0005-0000-0000-00007BBD0000}"/>
    <cellStyle name="Normal 7 3 4 4 4 3 2" xfId="47464" xr:uid="{00000000-0005-0000-0000-00007CBD0000}"/>
    <cellStyle name="Normal 7 3 4 4 4 4" xfId="28394" xr:uid="{00000000-0005-0000-0000-00007DBD0000}"/>
    <cellStyle name="Normal 7 3 4 4 5" xfId="6566" xr:uid="{00000000-0005-0000-0000-00007EBD0000}"/>
    <cellStyle name="Normal 7 3 4 4 5 2" xfId="15393" xr:uid="{00000000-0005-0000-0000-00007FBD0000}"/>
    <cellStyle name="Normal 7 3 4 4 5 2 2" xfId="40948" xr:uid="{00000000-0005-0000-0000-000080BD0000}"/>
    <cellStyle name="Normal 7 3 4 4 5 3" xfId="25644" xr:uid="{00000000-0005-0000-0000-000081BD0000}"/>
    <cellStyle name="Normal 7 3 4 4 5 3 2" xfId="51197" xr:uid="{00000000-0005-0000-0000-000082BD0000}"/>
    <cellStyle name="Normal 7 3 4 4 5 4" xfId="32127" xr:uid="{00000000-0005-0000-0000-000083BD0000}"/>
    <cellStyle name="Normal 7 3 4 4 6" xfId="8012" xr:uid="{00000000-0005-0000-0000-000084BD0000}"/>
    <cellStyle name="Normal 7 3 4 4 6 2" xfId="20393" xr:uid="{00000000-0005-0000-0000-000085BD0000}"/>
    <cellStyle name="Normal 7 3 4 4 6 2 2" xfId="45946" xr:uid="{00000000-0005-0000-0000-000086BD0000}"/>
    <cellStyle name="Normal 7 3 4 4 6 3" xfId="33569" xr:uid="{00000000-0005-0000-0000-000087BD0000}"/>
    <cellStyle name="Normal 7 3 4 4 7" xfId="16904" xr:uid="{00000000-0005-0000-0000-000088BD0000}"/>
    <cellStyle name="Normal 7 3 4 4 7 2" xfId="42457" xr:uid="{00000000-0005-0000-0000-000089BD0000}"/>
    <cellStyle name="Normal 7 3 4 4 8" xfId="26876" xr:uid="{00000000-0005-0000-0000-00008ABD0000}"/>
    <cellStyle name="Normal 7 3 4 5" xfId="1138" xr:uid="{00000000-0005-0000-0000-00008BBD0000}"/>
    <cellStyle name="Normal 7 3 4 5 2" xfId="3567" xr:uid="{00000000-0005-0000-0000-00008CBD0000}"/>
    <cellStyle name="Normal 7 3 4 5 2 2" xfId="12703" xr:uid="{00000000-0005-0000-0000-00008DBD0000}"/>
    <cellStyle name="Normal 7 3 4 5 2 2 2" xfId="22922" xr:uid="{00000000-0005-0000-0000-00008EBD0000}"/>
    <cellStyle name="Normal 7 3 4 5 2 2 2 2" xfId="48475" xr:uid="{00000000-0005-0000-0000-00008FBD0000}"/>
    <cellStyle name="Normal 7 3 4 5 2 2 3" xfId="38258" xr:uid="{00000000-0005-0000-0000-000090BD0000}"/>
    <cellStyle name="Normal 7 3 4 5 2 3" xfId="9124" xr:uid="{00000000-0005-0000-0000-000091BD0000}"/>
    <cellStyle name="Normal 7 3 4 5 2 3 2" xfId="34681" xr:uid="{00000000-0005-0000-0000-000092BD0000}"/>
    <cellStyle name="Normal 7 3 4 5 2 4" xfId="17915" xr:uid="{00000000-0005-0000-0000-000093BD0000}"/>
    <cellStyle name="Normal 7 3 4 5 2 4 2" xfId="43468" xr:uid="{00000000-0005-0000-0000-000094BD0000}"/>
    <cellStyle name="Normal 7 3 4 5 2 5" xfId="29405" xr:uid="{00000000-0005-0000-0000-000095BD0000}"/>
    <cellStyle name="Normal 7 3 4 5 3" xfId="5230" xr:uid="{00000000-0005-0000-0000-000096BD0000}"/>
    <cellStyle name="Normal 7 3 4 5 3 2" xfId="14067" xr:uid="{00000000-0005-0000-0000-000097BD0000}"/>
    <cellStyle name="Normal 7 3 4 5 3 2 2" xfId="24318" xr:uid="{00000000-0005-0000-0000-000098BD0000}"/>
    <cellStyle name="Normal 7 3 4 5 3 2 2 2" xfId="49871" xr:uid="{00000000-0005-0000-0000-000099BD0000}"/>
    <cellStyle name="Normal 7 3 4 5 3 2 3" xfId="39622" xr:uid="{00000000-0005-0000-0000-00009ABD0000}"/>
    <cellStyle name="Normal 7 3 4 5 3 3" xfId="10488" xr:uid="{00000000-0005-0000-0000-00009BBD0000}"/>
    <cellStyle name="Normal 7 3 4 5 3 3 2" xfId="36045" xr:uid="{00000000-0005-0000-0000-00009CBD0000}"/>
    <cellStyle name="Normal 7 3 4 5 3 4" xfId="19311" xr:uid="{00000000-0005-0000-0000-00009DBD0000}"/>
    <cellStyle name="Normal 7 3 4 5 3 4 2" xfId="44864" xr:uid="{00000000-0005-0000-0000-00009EBD0000}"/>
    <cellStyle name="Normal 7 3 4 5 3 5" xfId="30801" xr:uid="{00000000-0005-0000-0000-00009FBD0000}"/>
    <cellStyle name="Normal 7 3 4 5 4" xfId="1846" xr:uid="{00000000-0005-0000-0000-0000A0BD0000}"/>
    <cellStyle name="Normal 7 3 4 5 4 2" xfId="11214" xr:uid="{00000000-0005-0000-0000-0000A1BD0000}"/>
    <cellStyle name="Normal 7 3 4 5 4 2 2" xfId="36769" xr:uid="{00000000-0005-0000-0000-0000A2BD0000}"/>
    <cellStyle name="Normal 7 3 4 5 4 3" xfId="21218" xr:uid="{00000000-0005-0000-0000-0000A3BD0000}"/>
    <cellStyle name="Normal 7 3 4 5 4 3 2" xfId="46771" xr:uid="{00000000-0005-0000-0000-0000A4BD0000}"/>
    <cellStyle name="Normal 7 3 4 5 4 4" xfId="27701" xr:uid="{00000000-0005-0000-0000-0000A5BD0000}"/>
    <cellStyle name="Normal 7 3 4 5 5" xfId="6685" xr:uid="{00000000-0005-0000-0000-0000A6BD0000}"/>
    <cellStyle name="Normal 7 3 4 5 5 2" xfId="15512" xr:uid="{00000000-0005-0000-0000-0000A7BD0000}"/>
    <cellStyle name="Normal 7 3 4 5 5 2 2" xfId="41067" xr:uid="{00000000-0005-0000-0000-0000A8BD0000}"/>
    <cellStyle name="Normal 7 3 4 5 5 3" xfId="25763" xr:uid="{00000000-0005-0000-0000-0000A9BD0000}"/>
    <cellStyle name="Normal 7 3 4 5 5 3 2" xfId="51316" xr:uid="{00000000-0005-0000-0000-0000AABD0000}"/>
    <cellStyle name="Normal 7 3 4 5 5 4" xfId="32246" xr:uid="{00000000-0005-0000-0000-0000ABBD0000}"/>
    <cellStyle name="Normal 7 3 4 5 6" xfId="8131" xr:uid="{00000000-0005-0000-0000-0000ACBD0000}"/>
    <cellStyle name="Normal 7 3 4 5 6 2" xfId="20521" xr:uid="{00000000-0005-0000-0000-0000ADBD0000}"/>
    <cellStyle name="Normal 7 3 4 5 6 2 2" xfId="46074" xr:uid="{00000000-0005-0000-0000-0000AEBD0000}"/>
    <cellStyle name="Normal 7 3 4 5 6 3" xfId="33688" xr:uid="{00000000-0005-0000-0000-0000AFBD0000}"/>
    <cellStyle name="Normal 7 3 4 5 7" xfId="16211" xr:uid="{00000000-0005-0000-0000-0000B0BD0000}"/>
    <cellStyle name="Normal 7 3 4 5 7 2" xfId="41764" xr:uid="{00000000-0005-0000-0000-0000B1BD0000}"/>
    <cellStyle name="Normal 7 3 4 5 8" xfId="27004" xr:uid="{00000000-0005-0000-0000-0000B2BD0000}"/>
    <cellStyle name="Normal 7 3 4 6" xfId="2740" xr:uid="{00000000-0005-0000-0000-0000B3BD0000}"/>
    <cellStyle name="Normal 7 3 4 6 2" xfId="12057" xr:uid="{00000000-0005-0000-0000-0000B4BD0000}"/>
    <cellStyle name="Normal 7 3 4 6 2 2" xfId="22101" xr:uid="{00000000-0005-0000-0000-0000B5BD0000}"/>
    <cellStyle name="Normal 7 3 4 6 2 2 2" xfId="47654" xr:uid="{00000000-0005-0000-0000-0000B6BD0000}"/>
    <cellStyle name="Normal 7 3 4 6 2 3" xfId="37612" xr:uid="{00000000-0005-0000-0000-0000B7BD0000}"/>
    <cellStyle name="Normal 7 3 4 6 3" xfId="8416" xr:uid="{00000000-0005-0000-0000-0000B8BD0000}"/>
    <cellStyle name="Normal 7 3 4 6 3 2" xfId="33973" xr:uid="{00000000-0005-0000-0000-0000B9BD0000}"/>
    <cellStyle name="Normal 7 3 4 6 4" xfId="17094" xr:uid="{00000000-0005-0000-0000-0000BABD0000}"/>
    <cellStyle name="Normal 7 3 4 6 4 2" xfId="42647" xr:uid="{00000000-0005-0000-0000-0000BBBD0000}"/>
    <cellStyle name="Normal 7 3 4 6 5" xfId="28584" xr:uid="{00000000-0005-0000-0000-0000BCBD0000}"/>
    <cellStyle name="Normal 7 3 4 7" xfId="4186" xr:uid="{00000000-0005-0000-0000-0000BDBD0000}"/>
    <cellStyle name="Normal 7 3 4 7 2" xfId="13024" xr:uid="{00000000-0005-0000-0000-0000BEBD0000}"/>
    <cellStyle name="Normal 7 3 4 7 2 2" xfId="23275" xr:uid="{00000000-0005-0000-0000-0000BFBD0000}"/>
    <cellStyle name="Normal 7 3 4 7 2 2 2" xfId="48828" xr:uid="{00000000-0005-0000-0000-0000C0BD0000}"/>
    <cellStyle name="Normal 7 3 4 7 2 3" xfId="38579" xr:uid="{00000000-0005-0000-0000-0000C1BD0000}"/>
    <cellStyle name="Normal 7 3 4 7 3" xfId="9445" xr:uid="{00000000-0005-0000-0000-0000C2BD0000}"/>
    <cellStyle name="Normal 7 3 4 7 3 2" xfId="35002" xr:uid="{00000000-0005-0000-0000-0000C3BD0000}"/>
    <cellStyle name="Normal 7 3 4 7 4" xfId="18268" xr:uid="{00000000-0005-0000-0000-0000C4BD0000}"/>
    <cellStyle name="Normal 7 3 4 7 4 2" xfId="43821" xr:uid="{00000000-0005-0000-0000-0000C5BD0000}"/>
    <cellStyle name="Normal 7 3 4 7 5" xfId="29758" xr:uid="{00000000-0005-0000-0000-0000C6BD0000}"/>
    <cellStyle name="Normal 7 3 4 8" xfId="1458" xr:uid="{00000000-0005-0000-0000-0000C7BD0000}"/>
    <cellStyle name="Normal 7 3 4 8 2" xfId="10835" xr:uid="{00000000-0005-0000-0000-0000C8BD0000}"/>
    <cellStyle name="Normal 7 3 4 8 2 2" xfId="36390" xr:uid="{00000000-0005-0000-0000-0000C9BD0000}"/>
    <cellStyle name="Normal 7 3 4 8 3" xfId="20839" xr:uid="{00000000-0005-0000-0000-0000CABD0000}"/>
    <cellStyle name="Normal 7 3 4 8 3 2" xfId="46392" xr:uid="{00000000-0005-0000-0000-0000CBBD0000}"/>
    <cellStyle name="Normal 7 3 4 8 4" xfId="27322" xr:uid="{00000000-0005-0000-0000-0000CCBD0000}"/>
    <cellStyle name="Normal 7 3 4 9" xfId="5642" xr:uid="{00000000-0005-0000-0000-0000CDBD0000}"/>
    <cellStyle name="Normal 7 3 4 9 2" xfId="14469" xr:uid="{00000000-0005-0000-0000-0000CEBD0000}"/>
    <cellStyle name="Normal 7 3 4 9 2 2" xfId="40024" xr:uid="{00000000-0005-0000-0000-0000CFBD0000}"/>
    <cellStyle name="Normal 7 3 4 9 3" xfId="24720" xr:uid="{00000000-0005-0000-0000-0000D0BD0000}"/>
    <cellStyle name="Normal 7 3 4 9 3 2" xfId="50273" xr:uid="{00000000-0005-0000-0000-0000D1BD0000}"/>
    <cellStyle name="Normal 7 3 4 9 4" xfId="31203" xr:uid="{00000000-0005-0000-0000-0000D2BD0000}"/>
    <cellStyle name="Normal 7 3 4_Degree data" xfId="4063" xr:uid="{00000000-0005-0000-0000-0000D3BD0000}"/>
    <cellStyle name="Normal 7 3 5" xfId="466" xr:uid="{00000000-0005-0000-0000-0000D4BD0000}"/>
    <cellStyle name="Normal 7 3 5 10" xfId="26395" xr:uid="{00000000-0005-0000-0000-0000D5BD0000}"/>
    <cellStyle name="Normal 7 3 5 2" xfId="959" xr:uid="{00000000-0005-0000-0000-0000D6BD0000}"/>
    <cellStyle name="Normal 7 3 5 2 2" xfId="3435" xr:uid="{00000000-0005-0000-0000-0000D7BD0000}"/>
    <cellStyle name="Normal 7 3 5 2 2 2" xfId="12577" xr:uid="{00000000-0005-0000-0000-0000D8BD0000}"/>
    <cellStyle name="Normal 7 3 5 2 2 2 2" xfId="22796" xr:uid="{00000000-0005-0000-0000-0000D9BD0000}"/>
    <cellStyle name="Normal 7 3 5 2 2 2 2 2" xfId="48349" xr:uid="{00000000-0005-0000-0000-0000DABD0000}"/>
    <cellStyle name="Normal 7 3 5 2 2 2 3" xfId="38132" xr:uid="{00000000-0005-0000-0000-0000DBBD0000}"/>
    <cellStyle name="Normal 7 3 5 2 2 3" xfId="8999" xr:uid="{00000000-0005-0000-0000-0000DCBD0000}"/>
    <cellStyle name="Normal 7 3 5 2 2 3 2" xfId="34556" xr:uid="{00000000-0005-0000-0000-0000DDBD0000}"/>
    <cellStyle name="Normal 7 3 5 2 2 4" xfId="17789" xr:uid="{00000000-0005-0000-0000-0000DEBD0000}"/>
    <cellStyle name="Normal 7 3 5 2 2 4 2" xfId="43342" xr:uid="{00000000-0005-0000-0000-0000DFBD0000}"/>
    <cellStyle name="Normal 7 3 5 2 2 5" xfId="29279" xr:uid="{00000000-0005-0000-0000-0000E0BD0000}"/>
    <cellStyle name="Normal 7 3 5 2 3" xfId="4765" xr:uid="{00000000-0005-0000-0000-0000E1BD0000}"/>
    <cellStyle name="Normal 7 3 5 2 3 2" xfId="13602" xr:uid="{00000000-0005-0000-0000-0000E2BD0000}"/>
    <cellStyle name="Normal 7 3 5 2 3 2 2" xfId="23853" xr:uid="{00000000-0005-0000-0000-0000E3BD0000}"/>
    <cellStyle name="Normal 7 3 5 2 3 2 2 2" xfId="49406" xr:uid="{00000000-0005-0000-0000-0000E4BD0000}"/>
    <cellStyle name="Normal 7 3 5 2 3 2 3" xfId="39157" xr:uid="{00000000-0005-0000-0000-0000E5BD0000}"/>
    <cellStyle name="Normal 7 3 5 2 3 3" xfId="10023" xr:uid="{00000000-0005-0000-0000-0000E6BD0000}"/>
    <cellStyle name="Normal 7 3 5 2 3 3 2" xfId="35580" xr:uid="{00000000-0005-0000-0000-0000E7BD0000}"/>
    <cellStyle name="Normal 7 3 5 2 3 4" xfId="18846" xr:uid="{00000000-0005-0000-0000-0000E8BD0000}"/>
    <cellStyle name="Normal 7 3 5 2 3 4 2" xfId="44399" xr:uid="{00000000-0005-0000-0000-0000E9BD0000}"/>
    <cellStyle name="Normal 7 3 5 2 3 5" xfId="30336" xr:uid="{00000000-0005-0000-0000-0000EABD0000}"/>
    <cellStyle name="Normal 7 3 5 2 4" xfId="2544" xr:uid="{00000000-0005-0000-0000-0000EBBD0000}"/>
    <cellStyle name="Normal 7 3 5 2 4 2" xfId="11909" xr:uid="{00000000-0005-0000-0000-0000ECBD0000}"/>
    <cellStyle name="Normal 7 3 5 2 4 2 2" xfId="37464" xr:uid="{00000000-0005-0000-0000-0000EDBD0000}"/>
    <cellStyle name="Normal 7 3 5 2 4 3" xfId="21913" xr:uid="{00000000-0005-0000-0000-0000EEBD0000}"/>
    <cellStyle name="Normal 7 3 5 2 4 3 2" xfId="47466" xr:uid="{00000000-0005-0000-0000-0000EFBD0000}"/>
    <cellStyle name="Normal 7 3 5 2 4 4" xfId="28396" xr:uid="{00000000-0005-0000-0000-0000F0BD0000}"/>
    <cellStyle name="Normal 7 3 5 2 5" xfId="6220" xr:uid="{00000000-0005-0000-0000-0000F1BD0000}"/>
    <cellStyle name="Normal 7 3 5 2 5 2" xfId="15047" xr:uid="{00000000-0005-0000-0000-0000F2BD0000}"/>
    <cellStyle name="Normal 7 3 5 2 5 2 2" xfId="40602" xr:uid="{00000000-0005-0000-0000-0000F3BD0000}"/>
    <cellStyle name="Normal 7 3 5 2 5 3" xfId="25298" xr:uid="{00000000-0005-0000-0000-0000F4BD0000}"/>
    <cellStyle name="Normal 7 3 5 2 5 3 2" xfId="50851" xr:uid="{00000000-0005-0000-0000-0000F5BD0000}"/>
    <cellStyle name="Normal 7 3 5 2 5 4" xfId="31781" xr:uid="{00000000-0005-0000-0000-0000F6BD0000}"/>
    <cellStyle name="Normal 7 3 5 2 6" xfId="7666" xr:uid="{00000000-0005-0000-0000-0000F7BD0000}"/>
    <cellStyle name="Normal 7 3 5 2 6 2" xfId="20395" xr:uid="{00000000-0005-0000-0000-0000F8BD0000}"/>
    <cellStyle name="Normal 7 3 5 2 6 2 2" xfId="45948" xr:uid="{00000000-0005-0000-0000-0000F9BD0000}"/>
    <cellStyle name="Normal 7 3 5 2 6 3" xfId="33223" xr:uid="{00000000-0005-0000-0000-0000FABD0000}"/>
    <cellStyle name="Normal 7 3 5 2 7" xfId="16906" xr:uid="{00000000-0005-0000-0000-0000FBBD0000}"/>
    <cellStyle name="Normal 7 3 5 2 7 2" xfId="42459" xr:uid="{00000000-0005-0000-0000-0000FCBD0000}"/>
    <cellStyle name="Normal 7 3 5 2 8" xfId="26878" xr:uid="{00000000-0005-0000-0000-0000FDBD0000}"/>
    <cellStyle name="Normal 7 3 5 3" xfId="1238" xr:uid="{00000000-0005-0000-0000-0000FEBD0000}"/>
    <cellStyle name="Normal 7 3 5 3 2" xfId="3667" xr:uid="{00000000-0005-0000-0000-0000FFBD0000}"/>
    <cellStyle name="Normal 7 3 5 3 2 2" xfId="12803" xr:uid="{00000000-0005-0000-0000-000000BE0000}"/>
    <cellStyle name="Normal 7 3 5 3 2 2 2" xfId="23022" xr:uid="{00000000-0005-0000-0000-000001BE0000}"/>
    <cellStyle name="Normal 7 3 5 3 2 2 2 2" xfId="48575" xr:uid="{00000000-0005-0000-0000-000002BE0000}"/>
    <cellStyle name="Normal 7 3 5 3 2 2 3" xfId="38358" xr:uid="{00000000-0005-0000-0000-000003BE0000}"/>
    <cellStyle name="Normal 7 3 5 3 2 3" xfId="9224" xr:uid="{00000000-0005-0000-0000-000004BE0000}"/>
    <cellStyle name="Normal 7 3 5 3 2 3 2" xfId="34781" xr:uid="{00000000-0005-0000-0000-000005BE0000}"/>
    <cellStyle name="Normal 7 3 5 3 2 4" xfId="18015" xr:uid="{00000000-0005-0000-0000-000006BE0000}"/>
    <cellStyle name="Normal 7 3 5 3 2 4 2" xfId="43568" xr:uid="{00000000-0005-0000-0000-000007BE0000}"/>
    <cellStyle name="Normal 7 3 5 3 2 5" xfId="29505" xr:uid="{00000000-0005-0000-0000-000008BE0000}"/>
    <cellStyle name="Normal 7 3 5 3 3" xfId="5113" xr:uid="{00000000-0005-0000-0000-000009BE0000}"/>
    <cellStyle name="Normal 7 3 5 3 3 2" xfId="13950" xr:uid="{00000000-0005-0000-0000-00000ABE0000}"/>
    <cellStyle name="Normal 7 3 5 3 3 2 2" xfId="24201" xr:uid="{00000000-0005-0000-0000-00000BBE0000}"/>
    <cellStyle name="Normal 7 3 5 3 3 2 2 2" xfId="49754" xr:uid="{00000000-0005-0000-0000-00000CBE0000}"/>
    <cellStyle name="Normal 7 3 5 3 3 2 3" xfId="39505" xr:uid="{00000000-0005-0000-0000-00000DBE0000}"/>
    <cellStyle name="Normal 7 3 5 3 3 3" xfId="10371" xr:uid="{00000000-0005-0000-0000-00000EBE0000}"/>
    <cellStyle name="Normal 7 3 5 3 3 3 2" xfId="35928" xr:uid="{00000000-0005-0000-0000-00000FBE0000}"/>
    <cellStyle name="Normal 7 3 5 3 3 4" xfId="19194" xr:uid="{00000000-0005-0000-0000-000010BE0000}"/>
    <cellStyle name="Normal 7 3 5 3 3 4 2" xfId="44747" xr:uid="{00000000-0005-0000-0000-000011BE0000}"/>
    <cellStyle name="Normal 7 3 5 3 3 5" xfId="30684" xr:uid="{00000000-0005-0000-0000-000012BE0000}"/>
    <cellStyle name="Normal 7 3 5 3 4" xfId="2061" xr:uid="{00000000-0005-0000-0000-000013BE0000}"/>
    <cellStyle name="Normal 7 3 5 3 4 2" xfId="11426" xr:uid="{00000000-0005-0000-0000-000014BE0000}"/>
    <cellStyle name="Normal 7 3 5 3 4 2 2" xfId="36981" xr:uid="{00000000-0005-0000-0000-000015BE0000}"/>
    <cellStyle name="Normal 7 3 5 3 4 3" xfId="21430" xr:uid="{00000000-0005-0000-0000-000016BE0000}"/>
    <cellStyle name="Normal 7 3 5 3 4 3 2" xfId="46983" xr:uid="{00000000-0005-0000-0000-000017BE0000}"/>
    <cellStyle name="Normal 7 3 5 3 4 4" xfId="27913" xr:uid="{00000000-0005-0000-0000-000018BE0000}"/>
    <cellStyle name="Normal 7 3 5 3 5" xfId="6568" xr:uid="{00000000-0005-0000-0000-000019BE0000}"/>
    <cellStyle name="Normal 7 3 5 3 5 2" xfId="15395" xr:uid="{00000000-0005-0000-0000-00001ABE0000}"/>
    <cellStyle name="Normal 7 3 5 3 5 2 2" xfId="40950" xr:uid="{00000000-0005-0000-0000-00001BBE0000}"/>
    <cellStyle name="Normal 7 3 5 3 5 3" xfId="25646" xr:uid="{00000000-0005-0000-0000-00001CBE0000}"/>
    <cellStyle name="Normal 7 3 5 3 5 3 2" xfId="51199" xr:uid="{00000000-0005-0000-0000-00001DBE0000}"/>
    <cellStyle name="Normal 7 3 5 3 5 4" xfId="32129" xr:uid="{00000000-0005-0000-0000-00001EBE0000}"/>
    <cellStyle name="Normal 7 3 5 3 6" xfId="8014" xr:uid="{00000000-0005-0000-0000-00001FBE0000}"/>
    <cellStyle name="Normal 7 3 5 3 6 2" xfId="20621" xr:uid="{00000000-0005-0000-0000-000020BE0000}"/>
    <cellStyle name="Normal 7 3 5 3 6 2 2" xfId="46174" xr:uid="{00000000-0005-0000-0000-000021BE0000}"/>
    <cellStyle name="Normal 7 3 5 3 6 3" xfId="33571" xr:uid="{00000000-0005-0000-0000-000022BE0000}"/>
    <cellStyle name="Normal 7 3 5 3 7" xfId="16423" xr:uid="{00000000-0005-0000-0000-000023BE0000}"/>
    <cellStyle name="Normal 7 3 5 3 7 2" xfId="41976" xr:uid="{00000000-0005-0000-0000-000024BE0000}"/>
    <cellStyle name="Normal 7 3 5 3 8" xfId="27104" xr:uid="{00000000-0005-0000-0000-000025BE0000}"/>
    <cellStyle name="Normal 7 3 5 4" xfId="2952" xr:uid="{00000000-0005-0000-0000-000026BE0000}"/>
    <cellStyle name="Normal 7 3 5 4 2" xfId="5330" xr:uid="{00000000-0005-0000-0000-000027BE0000}"/>
    <cellStyle name="Normal 7 3 5 4 2 2" xfId="14167" xr:uid="{00000000-0005-0000-0000-000028BE0000}"/>
    <cellStyle name="Normal 7 3 5 4 2 2 2" xfId="24418" xr:uid="{00000000-0005-0000-0000-000029BE0000}"/>
    <cellStyle name="Normal 7 3 5 4 2 2 2 2" xfId="49971" xr:uid="{00000000-0005-0000-0000-00002ABE0000}"/>
    <cellStyle name="Normal 7 3 5 4 2 2 3" xfId="39722" xr:uid="{00000000-0005-0000-0000-00002BBE0000}"/>
    <cellStyle name="Normal 7 3 5 4 2 3" xfId="10588" xr:uid="{00000000-0005-0000-0000-00002CBE0000}"/>
    <cellStyle name="Normal 7 3 5 4 2 3 2" xfId="36145" xr:uid="{00000000-0005-0000-0000-00002DBE0000}"/>
    <cellStyle name="Normal 7 3 5 4 2 4" xfId="19411" xr:uid="{00000000-0005-0000-0000-00002EBE0000}"/>
    <cellStyle name="Normal 7 3 5 4 2 4 2" xfId="44964" xr:uid="{00000000-0005-0000-0000-00002FBE0000}"/>
    <cellStyle name="Normal 7 3 5 4 2 5" xfId="30901" xr:uid="{00000000-0005-0000-0000-000030BE0000}"/>
    <cellStyle name="Normal 7 3 5 4 3" xfId="6785" xr:uid="{00000000-0005-0000-0000-000031BE0000}"/>
    <cellStyle name="Normal 7 3 5 4 3 2" xfId="15612" xr:uid="{00000000-0005-0000-0000-000032BE0000}"/>
    <cellStyle name="Normal 7 3 5 4 3 2 2" xfId="41167" xr:uid="{00000000-0005-0000-0000-000033BE0000}"/>
    <cellStyle name="Normal 7 3 5 4 3 3" xfId="25863" xr:uid="{00000000-0005-0000-0000-000034BE0000}"/>
    <cellStyle name="Normal 7 3 5 4 3 3 2" xfId="51416" xr:uid="{00000000-0005-0000-0000-000035BE0000}"/>
    <cellStyle name="Normal 7 3 5 4 3 4" xfId="32346" xr:uid="{00000000-0005-0000-0000-000036BE0000}"/>
    <cellStyle name="Normal 7 3 5 4 4" xfId="8231" xr:uid="{00000000-0005-0000-0000-000037BE0000}"/>
    <cellStyle name="Normal 7 3 5 4 4 2" xfId="22313" xr:uid="{00000000-0005-0000-0000-000038BE0000}"/>
    <cellStyle name="Normal 7 3 5 4 4 2 2" xfId="47866" xr:uid="{00000000-0005-0000-0000-000039BE0000}"/>
    <cellStyle name="Normal 7 3 5 4 4 3" xfId="33788" xr:uid="{00000000-0005-0000-0000-00003ABE0000}"/>
    <cellStyle name="Normal 7 3 5 4 5" xfId="17306" xr:uid="{00000000-0005-0000-0000-00003BBE0000}"/>
    <cellStyle name="Normal 7 3 5 4 5 2" xfId="42859" xr:uid="{00000000-0005-0000-0000-00003CBE0000}"/>
    <cellStyle name="Normal 7 3 5 4 6" xfId="28796" xr:uid="{00000000-0005-0000-0000-00003DBE0000}"/>
    <cellStyle name="Normal 7 3 5 5" xfId="4286" xr:uid="{00000000-0005-0000-0000-00003EBE0000}"/>
    <cellStyle name="Normal 7 3 5 5 2" xfId="13124" xr:uid="{00000000-0005-0000-0000-00003FBE0000}"/>
    <cellStyle name="Normal 7 3 5 5 2 2" xfId="23375" xr:uid="{00000000-0005-0000-0000-000040BE0000}"/>
    <cellStyle name="Normal 7 3 5 5 2 2 2" xfId="48928" xr:uid="{00000000-0005-0000-0000-000041BE0000}"/>
    <cellStyle name="Normal 7 3 5 5 2 3" xfId="38679" xr:uid="{00000000-0005-0000-0000-000042BE0000}"/>
    <cellStyle name="Normal 7 3 5 5 3" xfId="9545" xr:uid="{00000000-0005-0000-0000-000043BE0000}"/>
    <cellStyle name="Normal 7 3 5 5 3 2" xfId="35102" xr:uid="{00000000-0005-0000-0000-000044BE0000}"/>
    <cellStyle name="Normal 7 3 5 5 4" xfId="18368" xr:uid="{00000000-0005-0000-0000-000045BE0000}"/>
    <cellStyle name="Normal 7 3 5 5 4 2" xfId="43921" xr:uid="{00000000-0005-0000-0000-000046BE0000}"/>
    <cellStyle name="Normal 7 3 5 5 5" xfId="29858" xr:uid="{00000000-0005-0000-0000-000047BE0000}"/>
    <cellStyle name="Normal 7 3 5 6" xfId="1558" xr:uid="{00000000-0005-0000-0000-000048BE0000}"/>
    <cellStyle name="Normal 7 3 5 6 2" xfId="10935" xr:uid="{00000000-0005-0000-0000-000049BE0000}"/>
    <cellStyle name="Normal 7 3 5 6 2 2" xfId="36490" xr:uid="{00000000-0005-0000-0000-00004ABE0000}"/>
    <cellStyle name="Normal 7 3 5 6 3" xfId="20939" xr:uid="{00000000-0005-0000-0000-00004BBE0000}"/>
    <cellStyle name="Normal 7 3 5 6 3 2" xfId="46492" xr:uid="{00000000-0005-0000-0000-00004CBE0000}"/>
    <cellStyle name="Normal 7 3 5 6 4" xfId="27422" xr:uid="{00000000-0005-0000-0000-00004DBE0000}"/>
    <cellStyle name="Normal 7 3 5 7" xfId="5742" xr:uid="{00000000-0005-0000-0000-00004EBE0000}"/>
    <cellStyle name="Normal 7 3 5 7 2" xfId="14569" xr:uid="{00000000-0005-0000-0000-00004FBE0000}"/>
    <cellStyle name="Normal 7 3 5 7 2 2" xfId="40124" xr:uid="{00000000-0005-0000-0000-000050BE0000}"/>
    <cellStyle name="Normal 7 3 5 7 3" xfId="24820" xr:uid="{00000000-0005-0000-0000-000051BE0000}"/>
    <cellStyle name="Normal 7 3 5 7 3 2" xfId="50373" xr:uid="{00000000-0005-0000-0000-000052BE0000}"/>
    <cellStyle name="Normal 7 3 5 7 4" xfId="31303" xr:uid="{00000000-0005-0000-0000-000053BE0000}"/>
    <cellStyle name="Normal 7 3 5 8" xfId="7186" xr:uid="{00000000-0005-0000-0000-000054BE0000}"/>
    <cellStyle name="Normal 7 3 5 8 2" xfId="19912" xr:uid="{00000000-0005-0000-0000-000055BE0000}"/>
    <cellStyle name="Normal 7 3 5 8 2 2" xfId="45465" xr:uid="{00000000-0005-0000-0000-000056BE0000}"/>
    <cellStyle name="Normal 7 3 5 8 3" xfId="32743" xr:uid="{00000000-0005-0000-0000-000057BE0000}"/>
    <cellStyle name="Normal 7 3 5 9" xfId="15932" xr:uid="{00000000-0005-0000-0000-000058BE0000}"/>
    <cellStyle name="Normal 7 3 5 9 2" xfId="41485" xr:uid="{00000000-0005-0000-0000-000059BE0000}"/>
    <cellStyle name="Normal 7 3 5_Degree data" xfId="4065" xr:uid="{00000000-0005-0000-0000-00005ABE0000}"/>
    <cellStyle name="Normal 7 3 6" xfId="338" xr:uid="{00000000-0005-0000-0000-00005BBE0000}"/>
    <cellStyle name="Normal 7 3 6 10" xfId="26267" xr:uid="{00000000-0005-0000-0000-00005CBE0000}"/>
    <cellStyle name="Normal 7 3 6 2" xfId="960" xr:uid="{00000000-0005-0000-0000-00005DBE0000}"/>
    <cellStyle name="Normal 7 3 6 2 2" xfId="3436" xr:uid="{00000000-0005-0000-0000-00005EBE0000}"/>
    <cellStyle name="Normal 7 3 6 2 2 2" xfId="12578" xr:uid="{00000000-0005-0000-0000-00005FBE0000}"/>
    <cellStyle name="Normal 7 3 6 2 2 2 2" xfId="22797" xr:uid="{00000000-0005-0000-0000-000060BE0000}"/>
    <cellStyle name="Normal 7 3 6 2 2 2 2 2" xfId="48350" xr:uid="{00000000-0005-0000-0000-000061BE0000}"/>
    <cellStyle name="Normal 7 3 6 2 2 2 3" xfId="38133" xr:uid="{00000000-0005-0000-0000-000062BE0000}"/>
    <cellStyle name="Normal 7 3 6 2 2 3" xfId="9000" xr:uid="{00000000-0005-0000-0000-000063BE0000}"/>
    <cellStyle name="Normal 7 3 6 2 2 3 2" xfId="34557" xr:uid="{00000000-0005-0000-0000-000064BE0000}"/>
    <cellStyle name="Normal 7 3 6 2 2 4" xfId="17790" xr:uid="{00000000-0005-0000-0000-000065BE0000}"/>
    <cellStyle name="Normal 7 3 6 2 2 4 2" xfId="43343" xr:uid="{00000000-0005-0000-0000-000066BE0000}"/>
    <cellStyle name="Normal 7 3 6 2 2 5" xfId="29280" xr:uid="{00000000-0005-0000-0000-000067BE0000}"/>
    <cellStyle name="Normal 7 3 6 2 3" xfId="4766" xr:uid="{00000000-0005-0000-0000-000068BE0000}"/>
    <cellStyle name="Normal 7 3 6 2 3 2" xfId="13603" xr:uid="{00000000-0005-0000-0000-000069BE0000}"/>
    <cellStyle name="Normal 7 3 6 2 3 2 2" xfId="23854" xr:uid="{00000000-0005-0000-0000-00006ABE0000}"/>
    <cellStyle name="Normal 7 3 6 2 3 2 2 2" xfId="49407" xr:uid="{00000000-0005-0000-0000-00006BBE0000}"/>
    <cellStyle name="Normal 7 3 6 2 3 2 3" xfId="39158" xr:uid="{00000000-0005-0000-0000-00006CBE0000}"/>
    <cellStyle name="Normal 7 3 6 2 3 3" xfId="10024" xr:uid="{00000000-0005-0000-0000-00006DBE0000}"/>
    <cellStyle name="Normal 7 3 6 2 3 3 2" xfId="35581" xr:uid="{00000000-0005-0000-0000-00006EBE0000}"/>
    <cellStyle name="Normal 7 3 6 2 3 4" xfId="18847" xr:uid="{00000000-0005-0000-0000-00006FBE0000}"/>
    <cellStyle name="Normal 7 3 6 2 3 4 2" xfId="44400" xr:uid="{00000000-0005-0000-0000-000070BE0000}"/>
    <cellStyle name="Normal 7 3 6 2 3 5" xfId="30337" xr:uid="{00000000-0005-0000-0000-000071BE0000}"/>
    <cellStyle name="Normal 7 3 6 2 4" xfId="2545" xr:uid="{00000000-0005-0000-0000-000072BE0000}"/>
    <cellStyle name="Normal 7 3 6 2 4 2" xfId="11910" xr:uid="{00000000-0005-0000-0000-000073BE0000}"/>
    <cellStyle name="Normal 7 3 6 2 4 2 2" xfId="37465" xr:uid="{00000000-0005-0000-0000-000074BE0000}"/>
    <cellStyle name="Normal 7 3 6 2 4 3" xfId="21914" xr:uid="{00000000-0005-0000-0000-000075BE0000}"/>
    <cellStyle name="Normal 7 3 6 2 4 3 2" xfId="47467" xr:uid="{00000000-0005-0000-0000-000076BE0000}"/>
    <cellStyle name="Normal 7 3 6 2 4 4" xfId="28397" xr:uid="{00000000-0005-0000-0000-000077BE0000}"/>
    <cellStyle name="Normal 7 3 6 2 5" xfId="6221" xr:uid="{00000000-0005-0000-0000-000078BE0000}"/>
    <cellStyle name="Normal 7 3 6 2 5 2" xfId="15048" xr:uid="{00000000-0005-0000-0000-000079BE0000}"/>
    <cellStyle name="Normal 7 3 6 2 5 2 2" xfId="40603" xr:uid="{00000000-0005-0000-0000-00007ABE0000}"/>
    <cellStyle name="Normal 7 3 6 2 5 3" xfId="25299" xr:uid="{00000000-0005-0000-0000-00007BBE0000}"/>
    <cellStyle name="Normal 7 3 6 2 5 3 2" xfId="50852" xr:uid="{00000000-0005-0000-0000-00007CBE0000}"/>
    <cellStyle name="Normal 7 3 6 2 5 4" xfId="31782" xr:uid="{00000000-0005-0000-0000-00007DBE0000}"/>
    <cellStyle name="Normal 7 3 6 2 6" xfId="7667" xr:uid="{00000000-0005-0000-0000-00007EBE0000}"/>
    <cellStyle name="Normal 7 3 6 2 6 2" xfId="20396" xr:uid="{00000000-0005-0000-0000-00007FBE0000}"/>
    <cellStyle name="Normal 7 3 6 2 6 2 2" xfId="45949" xr:uid="{00000000-0005-0000-0000-000080BE0000}"/>
    <cellStyle name="Normal 7 3 6 2 6 3" xfId="33224" xr:uid="{00000000-0005-0000-0000-000081BE0000}"/>
    <cellStyle name="Normal 7 3 6 2 7" xfId="16907" xr:uid="{00000000-0005-0000-0000-000082BE0000}"/>
    <cellStyle name="Normal 7 3 6 2 7 2" xfId="42460" xr:uid="{00000000-0005-0000-0000-000083BE0000}"/>
    <cellStyle name="Normal 7 3 6 2 8" xfId="26879" xr:uid="{00000000-0005-0000-0000-000084BE0000}"/>
    <cellStyle name="Normal 7 3 6 3" xfId="1110" xr:uid="{00000000-0005-0000-0000-000085BE0000}"/>
    <cellStyle name="Normal 7 3 6 3 2" xfId="3539" xr:uid="{00000000-0005-0000-0000-000086BE0000}"/>
    <cellStyle name="Normal 7 3 6 3 2 2" xfId="12675" xr:uid="{00000000-0005-0000-0000-000087BE0000}"/>
    <cellStyle name="Normal 7 3 6 3 2 2 2" xfId="22894" xr:uid="{00000000-0005-0000-0000-000088BE0000}"/>
    <cellStyle name="Normal 7 3 6 3 2 2 2 2" xfId="48447" xr:uid="{00000000-0005-0000-0000-000089BE0000}"/>
    <cellStyle name="Normal 7 3 6 3 2 2 3" xfId="38230" xr:uid="{00000000-0005-0000-0000-00008ABE0000}"/>
    <cellStyle name="Normal 7 3 6 3 2 3" xfId="9096" xr:uid="{00000000-0005-0000-0000-00008BBE0000}"/>
    <cellStyle name="Normal 7 3 6 3 2 3 2" xfId="34653" xr:uid="{00000000-0005-0000-0000-00008CBE0000}"/>
    <cellStyle name="Normal 7 3 6 3 2 4" xfId="17887" xr:uid="{00000000-0005-0000-0000-00008DBE0000}"/>
    <cellStyle name="Normal 7 3 6 3 2 4 2" xfId="43440" xr:uid="{00000000-0005-0000-0000-00008EBE0000}"/>
    <cellStyle name="Normal 7 3 6 3 2 5" xfId="29377" xr:uid="{00000000-0005-0000-0000-00008FBE0000}"/>
    <cellStyle name="Normal 7 3 6 3 3" xfId="5114" xr:uid="{00000000-0005-0000-0000-000090BE0000}"/>
    <cellStyle name="Normal 7 3 6 3 3 2" xfId="13951" xr:uid="{00000000-0005-0000-0000-000091BE0000}"/>
    <cellStyle name="Normal 7 3 6 3 3 2 2" xfId="24202" xr:uid="{00000000-0005-0000-0000-000092BE0000}"/>
    <cellStyle name="Normal 7 3 6 3 3 2 2 2" xfId="49755" xr:uid="{00000000-0005-0000-0000-000093BE0000}"/>
    <cellStyle name="Normal 7 3 6 3 3 2 3" xfId="39506" xr:uid="{00000000-0005-0000-0000-000094BE0000}"/>
    <cellStyle name="Normal 7 3 6 3 3 3" xfId="10372" xr:uid="{00000000-0005-0000-0000-000095BE0000}"/>
    <cellStyle name="Normal 7 3 6 3 3 3 2" xfId="35929" xr:uid="{00000000-0005-0000-0000-000096BE0000}"/>
    <cellStyle name="Normal 7 3 6 3 3 4" xfId="19195" xr:uid="{00000000-0005-0000-0000-000097BE0000}"/>
    <cellStyle name="Normal 7 3 6 3 3 4 2" xfId="44748" xr:uid="{00000000-0005-0000-0000-000098BE0000}"/>
    <cellStyle name="Normal 7 3 6 3 3 5" xfId="30685" xr:uid="{00000000-0005-0000-0000-000099BE0000}"/>
    <cellStyle name="Normal 7 3 6 3 4" xfId="2599" xr:uid="{00000000-0005-0000-0000-00009ABE0000}"/>
    <cellStyle name="Normal 7 3 6 3 4 2" xfId="11963" xr:uid="{00000000-0005-0000-0000-00009BBE0000}"/>
    <cellStyle name="Normal 7 3 6 3 4 2 2" xfId="37518" xr:uid="{00000000-0005-0000-0000-00009CBE0000}"/>
    <cellStyle name="Normal 7 3 6 3 4 3" xfId="21967" xr:uid="{00000000-0005-0000-0000-00009DBE0000}"/>
    <cellStyle name="Normal 7 3 6 3 4 3 2" xfId="47520" xr:uid="{00000000-0005-0000-0000-00009EBE0000}"/>
    <cellStyle name="Normal 7 3 6 3 4 4" xfId="28450" xr:uid="{00000000-0005-0000-0000-00009FBE0000}"/>
    <cellStyle name="Normal 7 3 6 3 5" xfId="6569" xr:uid="{00000000-0005-0000-0000-0000A0BE0000}"/>
    <cellStyle name="Normal 7 3 6 3 5 2" xfId="15396" xr:uid="{00000000-0005-0000-0000-0000A1BE0000}"/>
    <cellStyle name="Normal 7 3 6 3 5 2 2" xfId="40951" xr:uid="{00000000-0005-0000-0000-0000A2BE0000}"/>
    <cellStyle name="Normal 7 3 6 3 5 3" xfId="25647" xr:uid="{00000000-0005-0000-0000-0000A3BE0000}"/>
    <cellStyle name="Normal 7 3 6 3 5 3 2" xfId="51200" xr:uid="{00000000-0005-0000-0000-0000A4BE0000}"/>
    <cellStyle name="Normal 7 3 6 3 5 4" xfId="32130" xr:uid="{00000000-0005-0000-0000-0000A5BE0000}"/>
    <cellStyle name="Normal 7 3 6 3 6" xfId="8015" xr:uid="{00000000-0005-0000-0000-0000A6BE0000}"/>
    <cellStyle name="Normal 7 3 6 3 6 2" xfId="20493" xr:uid="{00000000-0005-0000-0000-0000A7BE0000}"/>
    <cellStyle name="Normal 7 3 6 3 6 2 2" xfId="46046" xr:uid="{00000000-0005-0000-0000-0000A8BE0000}"/>
    <cellStyle name="Normal 7 3 6 3 6 3" xfId="33572" xr:uid="{00000000-0005-0000-0000-0000A9BE0000}"/>
    <cellStyle name="Normal 7 3 6 3 7" xfId="16960" xr:uid="{00000000-0005-0000-0000-0000AABE0000}"/>
    <cellStyle name="Normal 7 3 6 3 7 2" xfId="42513" xr:uid="{00000000-0005-0000-0000-0000ABBE0000}"/>
    <cellStyle name="Normal 7 3 6 3 8" xfId="26976" xr:uid="{00000000-0005-0000-0000-0000ACBE0000}"/>
    <cellStyle name="Normal 7 3 6 4" xfId="2824" xr:uid="{00000000-0005-0000-0000-0000ADBE0000}"/>
    <cellStyle name="Normal 7 3 6 4 2" xfId="5202" xr:uid="{00000000-0005-0000-0000-0000AEBE0000}"/>
    <cellStyle name="Normal 7 3 6 4 2 2" xfId="14039" xr:uid="{00000000-0005-0000-0000-0000AFBE0000}"/>
    <cellStyle name="Normal 7 3 6 4 2 2 2" xfId="24290" xr:uid="{00000000-0005-0000-0000-0000B0BE0000}"/>
    <cellStyle name="Normal 7 3 6 4 2 2 2 2" xfId="49843" xr:uid="{00000000-0005-0000-0000-0000B1BE0000}"/>
    <cellStyle name="Normal 7 3 6 4 2 2 3" xfId="39594" xr:uid="{00000000-0005-0000-0000-0000B2BE0000}"/>
    <cellStyle name="Normal 7 3 6 4 2 3" xfId="10460" xr:uid="{00000000-0005-0000-0000-0000B3BE0000}"/>
    <cellStyle name="Normal 7 3 6 4 2 3 2" xfId="36017" xr:uid="{00000000-0005-0000-0000-0000B4BE0000}"/>
    <cellStyle name="Normal 7 3 6 4 2 4" xfId="19283" xr:uid="{00000000-0005-0000-0000-0000B5BE0000}"/>
    <cellStyle name="Normal 7 3 6 4 2 4 2" xfId="44836" xr:uid="{00000000-0005-0000-0000-0000B6BE0000}"/>
    <cellStyle name="Normal 7 3 6 4 2 5" xfId="30773" xr:uid="{00000000-0005-0000-0000-0000B7BE0000}"/>
    <cellStyle name="Normal 7 3 6 4 3" xfId="6657" xr:uid="{00000000-0005-0000-0000-0000B8BE0000}"/>
    <cellStyle name="Normal 7 3 6 4 3 2" xfId="15484" xr:uid="{00000000-0005-0000-0000-0000B9BE0000}"/>
    <cellStyle name="Normal 7 3 6 4 3 2 2" xfId="41039" xr:uid="{00000000-0005-0000-0000-0000BABE0000}"/>
    <cellStyle name="Normal 7 3 6 4 3 3" xfId="25735" xr:uid="{00000000-0005-0000-0000-0000BBBE0000}"/>
    <cellStyle name="Normal 7 3 6 4 3 3 2" xfId="51288" xr:uid="{00000000-0005-0000-0000-0000BCBE0000}"/>
    <cellStyle name="Normal 7 3 6 4 3 4" xfId="32218" xr:uid="{00000000-0005-0000-0000-0000BDBE0000}"/>
    <cellStyle name="Normal 7 3 6 4 4" xfId="8103" xr:uid="{00000000-0005-0000-0000-0000BEBE0000}"/>
    <cellStyle name="Normal 7 3 6 4 4 2" xfId="22185" xr:uid="{00000000-0005-0000-0000-0000BFBE0000}"/>
    <cellStyle name="Normal 7 3 6 4 4 2 2" xfId="47738" xr:uid="{00000000-0005-0000-0000-0000C0BE0000}"/>
    <cellStyle name="Normal 7 3 6 4 4 3" xfId="33660" xr:uid="{00000000-0005-0000-0000-0000C1BE0000}"/>
    <cellStyle name="Normal 7 3 6 4 5" xfId="17178" xr:uid="{00000000-0005-0000-0000-0000C2BE0000}"/>
    <cellStyle name="Normal 7 3 6 4 5 2" xfId="42731" xr:uid="{00000000-0005-0000-0000-0000C3BE0000}"/>
    <cellStyle name="Normal 7 3 6 4 6" xfId="28668" xr:uid="{00000000-0005-0000-0000-0000C4BE0000}"/>
    <cellStyle name="Normal 7 3 6 5" xfId="4156" xr:uid="{00000000-0005-0000-0000-0000C5BE0000}"/>
    <cellStyle name="Normal 7 3 6 5 2" xfId="12994" xr:uid="{00000000-0005-0000-0000-0000C6BE0000}"/>
    <cellStyle name="Normal 7 3 6 5 2 2" xfId="23245" xr:uid="{00000000-0005-0000-0000-0000C7BE0000}"/>
    <cellStyle name="Normal 7 3 6 5 2 2 2" xfId="48798" xr:uid="{00000000-0005-0000-0000-0000C8BE0000}"/>
    <cellStyle name="Normal 7 3 6 5 2 3" xfId="38549" xr:uid="{00000000-0005-0000-0000-0000C9BE0000}"/>
    <cellStyle name="Normal 7 3 6 5 3" xfId="9415" xr:uid="{00000000-0005-0000-0000-0000CABE0000}"/>
    <cellStyle name="Normal 7 3 6 5 3 2" xfId="34972" xr:uid="{00000000-0005-0000-0000-0000CBBE0000}"/>
    <cellStyle name="Normal 7 3 6 5 4" xfId="18238" xr:uid="{00000000-0005-0000-0000-0000CCBE0000}"/>
    <cellStyle name="Normal 7 3 6 5 4 2" xfId="43791" xr:uid="{00000000-0005-0000-0000-0000CDBE0000}"/>
    <cellStyle name="Normal 7 3 6 5 5" xfId="29728" xr:uid="{00000000-0005-0000-0000-0000CEBE0000}"/>
    <cellStyle name="Normal 7 3 6 6" xfId="1933" xr:uid="{00000000-0005-0000-0000-0000CFBE0000}"/>
    <cellStyle name="Normal 7 3 6 6 2" xfId="11298" xr:uid="{00000000-0005-0000-0000-0000D0BE0000}"/>
    <cellStyle name="Normal 7 3 6 6 2 2" xfId="36853" xr:uid="{00000000-0005-0000-0000-0000D1BE0000}"/>
    <cellStyle name="Normal 7 3 6 6 3" xfId="21302" xr:uid="{00000000-0005-0000-0000-0000D2BE0000}"/>
    <cellStyle name="Normal 7 3 6 6 3 2" xfId="46855" xr:uid="{00000000-0005-0000-0000-0000D3BE0000}"/>
    <cellStyle name="Normal 7 3 6 6 4" xfId="27785" xr:uid="{00000000-0005-0000-0000-0000D4BE0000}"/>
    <cellStyle name="Normal 7 3 6 7" xfId="5614" xr:uid="{00000000-0005-0000-0000-0000D5BE0000}"/>
    <cellStyle name="Normal 7 3 6 7 2" xfId="14441" xr:uid="{00000000-0005-0000-0000-0000D6BE0000}"/>
    <cellStyle name="Normal 7 3 6 7 2 2" xfId="39996" xr:uid="{00000000-0005-0000-0000-0000D7BE0000}"/>
    <cellStyle name="Normal 7 3 6 7 3" xfId="24692" xr:uid="{00000000-0005-0000-0000-0000D8BE0000}"/>
    <cellStyle name="Normal 7 3 6 7 3 2" xfId="50245" xr:uid="{00000000-0005-0000-0000-0000D9BE0000}"/>
    <cellStyle name="Normal 7 3 6 7 4" xfId="31175" xr:uid="{00000000-0005-0000-0000-0000DABE0000}"/>
    <cellStyle name="Normal 7 3 6 8" xfId="7058" xr:uid="{00000000-0005-0000-0000-0000DBBE0000}"/>
    <cellStyle name="Normal 7 3 6 8 2" xfId="19784" xr:uid="{00000000-0005-0000-0000-0000DCBE0000}"/>
    <cellStyle name="Normal 7 3 6 8 2 2" xfId="45337" xr:uid="{00000000-0005-0000-0000-0000DDBE0000}"/>
    <cellStyle name="Normal 7 3 6 8 3" xfId="32615" xr:uid="{00000000-0005-0000-0000-0000DEBE0000}"/>
    <cellStyle name="Normal 7 3 6 9" xfId="16295" xr:uid="{00000000-0005-0000-0000-0000DFBE0000}"/>
    <cellStyle name="Normal 7 3 6 9 2" xfId="41848" xr:uid="{00000000-0005-0000-0000-0000E0BE0000}"/>
    <cellStyle name="Normal 7 3 6_Degree data" xfId="4066" xr:uid="{00000000-0005-0000-0000-0000E1BE0000}"/>
    <cellStyle name="Normal 7 3 7" xfId="951" xr:uid="{00000000-0005-0000-0000-0000E2BE0000}"/>
    <cellStyle name="Normal 7 3 7 2" xfId="3427" xr:uid="{00000000-0005-0000-0000-0000E3BE0000}"/>
    <cellStyle name="Normal 7 3 7 2 2" xfId="12569" xr:uid="{00000000-0005-0000-0000-0000E4BE0000}"/>
    <cellStyle name="Normal 7 3 7 2 2 2" xfId="22788" xr:uid="{00000000-0005-0000-0000-0000E5BE0000}"/>
    <cellStyle name="Normal 7 3 7 2 2 2 2" xfId="48341" xr:uid="{00000000-0005-0000-0000-0000E6BE0000}"/>
    <cellStyle name="Normal 7 3 7 2 2 3" xfId="38124" xr:uid="{00000000-0005-0000-0000-0000E7BE0000}"/>
    <cellStyle name="Normal 7 3 7 2 3" xfId="8991" xr:uid="{00000000-0005-0000-0000-0000E8BE0000}"/>
    <cellStyle name="Normal 7 3 7 2 3 2" xfId="34548" xr:uid="{00000000-0005-0000-0000-0000E9BE0000}"/>
    <cellStyle name="Normal 7 3 7 2 4" xfId="17781" xr:uid="{00000000-0005-0000-0000-0000EABE0000}"/>
    <cellStyle name="Normal 7 3 7 2 4 2" xfId="43334" xr:uid="{00000000-0005-0000-0000-0000EBBE0000}"/>
    <cellStyle name="Normal 7 3 7 2 5" xfId="29271" xr:uid="{00000000-0005-0000-0000-0000ECBE0000}"/>
    <cellStyle name="Normal 7 3 7 3" xfId="4757" xr:uid="{00000000-0005-0000-0000-0000EDBE0000}"/>
    <cellStyle name="Normal 7 3 7 3 2" xfId="13594" xr:uid="{00000000-0005-0000-0000-0000EEBE0000}"/>
    <cellStyle name="Normal 7 3 7 3 2 2" xfId="23845" xr:uid="{00000000-0005-0000-0000-0000EFBE0000}"/>
    <cellStyle name="Normal 7 3 7 3 2 2 2" xfId="49398" xr:uid="{00000000-0005-0000-0000-0000F0BE0000}"/>
    <cellStyle name="Normal 7 3 7 3 2 3" xfId="39149" xr:uid="{00000000-0005-0000-0000-0000F1BE0000}"/>
    <cellStyle name="Normal 7 3 7 3 3" xfId="10015" xr:uid="{00000000-0005-0000-0000-0000F2BE0000}"/>
    <cellStyle name="Normal 7 3 7 3 3 2" xfId="35572" xr:uid="{00000000-0005-0000-0000-0000F3BE0000}"/>
    <cellStyle name="Normal 7 3 7 3 4" xfId="18838" xr:uid="{00000000-0005-0000-0000-0000F4BE0000}"/>
    <cellStyle name="Normal 7 3 7 3 4 2" xfId="44391" xr:uid="{00000000-0005-0000-0000-0000F5BE0000}"/>
    <cellStyle name="Normal 7 3 7 3 5" xfId="30328" xr:uid="{00000000-0005-0000-0000-0000F6BE0000}"/>
    <cellStyle name="Normal 7 3 7 4" xfId="2536" xr:uid="{00000000-0005-0000-0000-0000F7BE0000}"/>
    <cellStyle name="Normal 7 3 7 4 2" xfId="11901" xr:uid="{00000000-0005-0000-0000-0000F8BE0000}"/>
    <cellStyle name="Normal 7 3 7 4 2 2" xfId="37456" xr:uid="{00000000-0005-0000-0000-0000F9BE0000}"/>
    <cellStyle name="Normal 7 3 7 4 3" xfId="21905" xr:uid="{00000000-0005-0000-0000-0000FABE0000}"/>
    <cellStyle name="Normal 7 3 7 4 3 2" xfId="47458" xr:uid="{00000000-0005-0000-0000-0000FBBE0000}"/>
    <cellStyle name="Normal 7 3 7 4 4" xfId="28388" xr:uid="{00000000-0005-0000-0000-0000FCBE0000}"/>
    <cellStyle name="Normal 7 3 7 5" xfId="6212" xr:uid="{00000000-0005-0000-0000-0000FDBE0000}"/>
    <cellStyle name="Normal 7 3 7 5 2" xfId="15039" xr:uid="{00000000-0005-0000-0000-0000FEBE0000}"/>
    <cellStyle name="Normal 7 3 7 5 2 2" xfId="40594" xr:uid="{00000000-0005-0000-0000-0000FFBE0000}"/>
    <cellStyle name="Normal 7 3 7 5 3" xfId="25290" xr:uid="{00000000-0005-0000-0000-000000BF0000}"/>
    <cellStyle name="Normal 7 3 7 5 3 2" xfId="50843" xr:uid="{00000000-0005-0000-0000-000001BF0000}"/>
    <cellStyle name="Normal 7 3 7 5 4" xfId="31773" xr:uid="{00000000-0005-0000-0000-000002BF0000}"/>
    <cellStyle name="Normal 7 3 7 6" xfId="7658" xr:uid="{00000000-0005-0000-0000-000003BF0000}"/>
    <cellStyle name="Normal 7 3 7 6 2" xfId="20387" xr:uid="{00000000-0005-0000-0000-000004BF0000}"/>
    <cellStyle name="Normal 7 3 7 6 2 2" xfId="45940" xr:uid="{00000000-0005-0000-0000-000005BF0000}"/>
    <cellStyle name="Normal 7 3 7 6 3" xfId="33215" xr:uid="{00000000-0005-0000-0000-000006BF0000}"/>
    <cellStyle name="Normal 7 3 7 7" xfId="16898" xr:uid="{00000000-0005-0000-0000-000007BF0000}"/>
    <cellStyle name="Normal 7 3 7 7 2" xfId="42451" xr:uid="{00000000-0005-0000-0000-000008BF0000}"/>
    <cellStyle name="Normal 7 3 7 8" xfId="26870" xr:uid="{00000000-0005-0000-0000-000009BF0000}"/>
    <cellStyle name="Normal 7 3 8" xfId="1065" xr:uid="{00000000-0005-0000-0000-00000ABF0000}"/>
    <cellStyle name="Normal 7 3 8 2" xfId="3494" xr:uid="{00000000-0005-0000-0000-00000BBF0000}"/>
    <cellStyle name="Normal 7 3 8 2 2" xfId="12630" xr:uid="{00000000-0005-0000-0000-00000CBF0000}"/>
    <cellStyle name="Normal 7 3 8 2 2 2" xfId="22849" xr:uid="{00000000-0005-0000-0000-00000DBF0000}"/>
    <cellStyle name="Normal 7 3 8 2 2 2 2" xfId="48402" xr:uid="{00000000-0005-0000-0000-00000EBF0000}"/>
    <cellStyle name="Normal 7 3 8 2 2 3" xfId="38185" xr:uid="{00000000-0005-0000-0000-00000FBF0000}"/>
    <cellStyle name="Normal 7 3 8 2 3" xfId="9052" xr:uid="{00000000-0005-0000-0000-000010BF0000}"/>
    <cellStyle name="Normal 7 3 8 2 3 2" xfId="34609" xr:uid="{00000000-0005-0000-0000-000011BF0000}"/>
    <cellStyle name="Normal 7 3 8 2 4" xfId="17842" xr:uid="{00000000-0005-0000-0000-000012BF0000}"/>
    <cellStyle name="Normal 7 3 8 2 4 2" xfId="43395" xr:uid="{00000000-0005-0000-0000-000013BF0000}"/>
    <cellStyle name="Normal 7 3 8 2 5" xfId="29332" xr:uid="{00000000-0005-0000-0000-000014BF0000}"/>
    <cellStyle name="Normal 7 3 8 3" xfId="5105" xr:uid="{00000000-0005-0000-0000-000015BF0000}"/>
    <cellStyle name="Normal 7 3 8 3 2" xfId="13942" xr:uid="{00000000-0005-0000-0000-000016BF0000}"/>
    <cellStyle name="Normal 7 3 8 3 2 2" xfId="24193" xr:uid="{00000000-0005-0000-0000-000017BF0000}"/>
    <cellStyle name="Normal 7 3 8 3 2 2 2" xfId="49746" xr:uid="{00000000-0005-0000-0000-000018BF0000}"/>
    <cellStyle name="Normal 7 3 8 3 2 3" xfId="39497" xr:uid="{00000000-0005-0000-0000-000019BF0000}"/>
    <cellStyle name="Normal 7 3 8 3 3" xfId="10363" xr:uid="{00000000-0005-0000-0000-00001ABF0000}"/>
    <cellStyle name="Normal 7 3 8 3 3 2" xfId="35920" xr:uid="{00000000-0005-0000-0000-00001BBF0000}"/>
    <cellStyle name="Normal 7 3 8 3 4" xfId="19186" xr:uid="{00000000-0005-0000-0000-00001CBF0000}"/>
    <cellStyle name="Normal 7 3 8 3 4 2" xfId="44739" xr:uid="{00000000-0005-0000-0000-00001DBF0000}"/>
    <cellStyle name="Normal 7 3 8 3 5" xfId="30676" xr:uid="{00000000-0005-0000-0000-00001EBF0000}"/>
    <cellStyle name="Normal 7 3 8 4" xfId="1734" xr:uid="{00000000-0005-0000-0000-00001FBF0000}"/>
    <cellStyle name="Normal 7 3 8 4 2" xfId="11108" xr:uid="{00000000-0005-0000-0000-000020BF0000}"/>
    <cellStyle name="Normal 7 3 8 4 2 2" xfId="36663" xr:uid="{00000000-0005-0000-0000-000021BF0000}"/>
    <cellStyle name="Normal 7 3 8 4 3" xfId="21112" xr:uid="{00000000-0005-0000-0000-000022BF0000}"/>
    <cellStyle name="Normal 7 3 8 4 3 2" xfId="46665" xr:uid="{00000000-0005-0000-0000-000023BF0000}"/>
    <cellStyle name="Normal 7 3 8 4 4" xfId="27595" xr:uid="{00000000-0005-0000-0000-000024BF0000}"/>
    <cellStyle name="Normal 7 3 8 5" xfId="6560" xr:uid="{00000000-0005-0000-0000-000025BF0000}"/>
    <cellStyle name="Normal 7 3 8 5 2" xfId="15387" xr:uid="{00000000-0005-0000-0000-000026BF0000}"/>
    <cellStyle name="Normal 7 3 8 5 2 2" xfId="40942" xr:uid="{00000000-0005-0000-0000-000027BF0000}"/>
    <cellStyle name="Normal 7 3 8 5 3" xfId="25638" xr:uid="{00000000-0005-0000-0000-000028BF0000}"/>
    <cellStyle name="Normal 7 3 8 5 3 2" xfId="51191" xr:uid="{00000000-0005-0000-0000-000029BF0000}"/>
    <cellStyle name="Normal 7 3 8 5 4" xfId="32121" xr:uid="{00000000-0005-0000-0000-00002ABF0000}"/>
    <cellStyle name="Normal 7 3 8 6" xfId="8006" xr:uid="{00000000-0005-0000-0000-00002BBF0000}"/>
    <cellStyle name="Normal 7 3 8 6 2" xfId="20448" xr:uid="{00000000-0005-0000-0000-00002CBF0000}"/>
    <cellStyle name="Normal 7 3 8 6 2 2" xfId="46001" xr:uid="{00000000-0005-0000-0000-00002DBF0000}"/>
    <cellStyle name="Normal 7 3 8 6 3" xfId="33563" xr:uid="{00000000-0005-0000-0000-00002EBF0000}"/>
    <cellStyle name="Normal 7 3 8 7" xfId="16105" xr:uid="{00000000-0005-0000-0000-00002FBF0000}"/>
    <cellStyle name="Normal 7 3 8 7 2" xfId="41658" xr:uid="{00000000-0005-0000-0000-000030BF0000}"/>
    <cellStyle name="Normal 7 3 8 8" xfId="26931" xr:uid="{00000000-0005-0000-0000-000031BF0000}"/>
    <cellStyle name="Normal 7 3 9" xfId="2634" xr:uid="{00000000-0005-0000-0000-000032BF0000}"/>
    <cellStyle name="Normal 7 3 9 2" xfId="5157" xr:uid="{00000000-0005-0000-0000-000033BF0000}"/>
    <cellStyle name="Normal 7 3 9 2 2" xfId="13994" xr:uid="{00000000-0005-0000-0000-000034BF0000}"/>
    <cellStyle name="Normal 7 3 9 2 2 2" xfId="24245" xr:uid="{00000000-0005-0000-0000-000035BF0000}"/>
    <cellStyle name="Normal 7 3 9 2 2 2 2" xfId="49798" xr:uid="{00000000-0005-0000-0000-000036BF0000}"/>
    <cellStyle name="Normal 7 3 9 2 2 3" xfId="39549" xr:uid="{00000000-0005-0000-0000-000037BF0000}"/>
    <cellStyle name="Normal 7 3 9 2 3" xfId="10415" xr:uid="{00000000-0005-0000-0000-000038BF0000}"/>
    <cellStyle name="Normal 7 3 9 2 3 2" xfId="35972" xr:uid="{00000000-0005-0000-0000-000039BF0000}"/>
    <cellStyle name="Normal 7 3 9 2 4" xfId="19238" xr:uid="{00000000-0005-0000-0000-00003ABF0000}"/>
    <cellStyle name="Normal 7 3 9 2 4 2" xfId="44791" xr:uid="{00000000-0005-0000-0000-00003BBF0000}"/>
    <cellStyle name="Normal 7 3 9 2 5" xfId="30728" xr:uid="{00000000-0005-0000-0000-00003CBF0000}"/>
    <cellStyle name="Normal 7 3 9 3" xfId="6612" xr:uid="{00000000-0005-0000-0000-00003DBF0000}"/>
    <cellStyle name="Normal 7 3 9 3 2" xfId="15439" xr:uid="{00000000-0005-0000-0000-00003EBF0000}"/>
    <cellStyle name="Normal 7 3 9 3 2 2" xfId="40994" xr:uid="{00000000-0005-0000-0000-00003FBF0000}"/>
    <cellStyle name="Normal 7 3 9 3 3" xfId="25690" xr:uid="{00000000-0005-0000-0000-000040BF0000}"/>
    <cellStyle name="Normal 7 3 9 3 3 2" xfId="51243" xr:uid="{00000000-0005-0000-0000-000041BF0000}"/>
    <cellStyle name="Normal 7 3 9 3 4" xfId="32173" xr:uid="{00000000-0005-0000-0000-000042BF0000}"/>
    <cellStyle name="Normal 7 3 9 4" xfId="8058" xr:uid="{00000000-0005-0000-0000-000043BF0000}"/>
    <cellStyle name="Normal 7 3 9 4 2" xfId="21996" xr:uid="{00000000-0005-0000-0000-000044BF0000}"/>
    <cellStyle name="Normal 7 3 9 4 2 2" xfId="47549" xr:uid="{00000000-0005-0000-0000-000045BF0000}"/>
    <cellStyle name="Normal 7 3 9 4 3" xfId="33615" xr:uid="{00000000-0005-0000-0000-000046BF0000}"/>
    <cellStyle name="Normal 7 3 9 5" xfId="16989" xr:uid="{00000000-0005-0000-0000-000047BF0000}"/>
    <cellStyle name="Normal 7 3 9 5 2" xfId="42542" xr:uid="{00000000-0005-0000-0000-000048BF0000}"/>
    <cellStyle name="Normal 7 3 9 6" xfId="28479" xr:uid="{00000000-0005-0000-0000-000049BF0000}"/>
    <cellStyle name="Normal 7 3_Degree data" xfId="4057" xr:uid="{00000000-0005-0000-0000-00004ABF0000}"/>
    <cellStyle name="Normal 7 4" xfId="140" xr:uid="{00000000-0005-0000-0000-00004BBF0000}"/>
    <cellStyle name="Normal 7 4 10" xfId="1408" xr:uid="{00000000-0005-0000-0000-00004CBF0000}"/>
    <cellStyle name="Normal 7 4 10 2" xfId="10785" xr:uid="{00000000-0005-0000-0000-00004DBF0000}"/>
    <cellStyle name="Normal 7 4 10 2 2" xfId="36340" xr:uid="{00000000-0005-0000-0000-00004EBF0000}"/>
    <cellStyle name="Normal 7 4 10 3" xfId="20789" xr:uid="{00000000-0005-0000-0000-00004FBF0000}"/>
    <cellStyle name="Normal 7 4 10 3 2" xfId="46342" xr:uid="{00000000-0005-0000-0000-000050BF0000}"/>
    <cellStyle name="Normal 7 4 10 4" xfId="27272" xr:uid="{00000000-0005-0000-0000-000051BF0000}"/>
    <cellStyle name="Normal 7 4 11" xfId="5519" xr:uid="{00000000-0005-0000-0000-000052BF0000}"/>
    <cellStyle name="Normal 7 4 11 2" xfId="14346" xr:uid="{00000000-0005-0000-0000-000053BF0000}"/>
    <cellStyle name="Normal 7 4 11 2 2" xfId="39901" xr:uid="{00000000-0005-0000-0000-000054BF0000}"/>
    <cellStyle name="Normal 7 4 11 3" xfId="24597" xr:uid="{00000000-0005-0000-0000-000055BF0000}"/>
    <cellStyle name="Normal 7 4 11 3 2" xfId="50150" xr:uid="{00000000-0005-0000-0000-000056BF0000}"/>
    <cellStyle name="Normal 7 4 11 4" xfId="31080" xr:uid="{00000000-0005-0000-0000-000057BF0000}"/>
    <cellStyle name="Normal 7 4 12" xfId="6959" xr:uid="{00000000-0005-0000-0000-000058BF0000}"/>
    <cellStyle name="Normal 7 4 12 2" xfId="19604" xr:uid="{00000000-0005-0000-0000-000059BF0000}"/>
    <cellStyle name="Normal 7 4 12 2 2" xfId="45157" xr:uid="{00000000-0005-0000-0000-00005ABF0000}"/>
    <cellStyle name="Normal 7 4 12 3" xfId="32517" xr:uid="{00000000-0005-0000-0000-00005BBF0000}"/>
    <cellStyle name="Normal 7 4 13" xfId="15782" xr:uid="{00000000-0005-0000-0000-00005CBF0000}"/>
    <cellStyle name="Normal 7 4 13 2" xfId="41335" xr:uid="{00000000-0005-0000-0000-00005DBF0000}"/>
    <cellStyle name="Normal 7 4 14" xfId="26087" xr:uid="{00000000-0005-0000-0000-00005EBF0000}"/>
    <cellStyle name="Normal 7 4 2" xfId="190" xr:uid="{00000000-0005-0000-0000-00005FBF0000}"/>
    <cellStyle name="Normal 7 4 2 10" xfId="7138" xr:uid="{00000000-0005-0000-0000-000060BF0000}"/>
    <cellStyle name="Normal 7 4 2 10 2" xfId="19647" xr:uid="{00000000-0005-0000-0000-000061BF0000}"/>
    <cellStyle name="Normal 7 4 2 10 2 2" xfId="45200" xr:uid="{00000000-0005-0000-0000-000062BF0000}"/>
    <cellStyle name="Normal 7 4 2 10 3" xfId="32695" xr:uid="{00000000-0005-0000-0000-000063BF0000}"/>
    <cellStyle name="Normal 7 4 2 11" xfId="15884" xr:uid="{00000000-0005-0000-0000-000064BF0000}"/>
    <cellStyle name="Normal 7 4 2 11 2" xfId="41437" xr:uid="{00000000-0005-0000-0000-000065BF0000}"/>
    <cellStyle name="Normal 7 4 2 12" xfId="26130" xr:uid="{00000000-0005-0000-0000-000066BF0000}"/>
    <cellStyle name="Normal 7 4 2 2" xfId="518" xr:uid="{00000000-0005-0000-0000-000067BF0000}"/>
    <cellStyle name="Normal 7 4 2 2 10" xfId="26447" xr:uid="{00000000-0005-0000-0000-000068BF0000}"/>
    <cellStyle name="Normal 7 4 2 2 2" xfId="963" xr:uid="{00000000-0005-0000-0000-000069BF0000}"/>
    <cellStyle name="Normal 7 4 2 2 2 2" xfId="3439" xr:uid="{00000000-0005-0000-0000-00006ABF0000}"/>
    <cellStyle name="Normal 7 4 2 2 2 2 2" xfId="12581" xr:uid="{00000000-0005-0000-0000-00006BBF0000}"/>
    <cellStyle name="Normal 7 4 2 2 2 2 2 2" xfId="22800" xr:uid="{00000000-0005-0000-0000-00006CBF0000}"/>
    <cellStyle name="Normal 7 4 2 2 2 2 2 2 2" xfId="48353" xr:uid="{00000000-0005-0000-0000-00006DBF0000}"/>
    <cellStyle name="Normal 7 4 2 2 2 2 2 3" xfId="38136" xr:uid="{00000000-0005-0000-0000-00006EBF0000}"/>
    <cellStyle name="Normal 7 4 2 2 2 2 3" xfId="9003" xr:uid="{00000000-0005-0000-0000-00006FBF0000}"/>
    <cellStyle name="Normal 7 4 2 2 2 2 3 2" xfId="34560" xr:uid="{00000000-0005-0000-0000-000070BF0000}"/>
    <cellStyle name="Normal 7 4 2 2 2 2 4" xfId="17793" xr:uid="{00000000-0005-0000-0000-000071BF0000}"/>
    <cellStyle name="Normal 7 4 2 2 2 2 4 2" xfId="43346" xr:uid="{00000000-0005-0000-0000-000072BF0000}"/>
    <cellStyle name="Normal 7 4 2 2 2 2 5" xfId="29283" xr:uid="{00000000-0005-0000-0000-000073BF0000}"/>
    <cellStyle name="Normal 7 4 2 2 2 3" xfId="4769" xr:uid="{00000000-0005-0000-0000-000074BF0000}"/>
    <cellStyle name="Normal 7 4 2 2 2 3 2" xfId="13606" xr:uid="{00000000-0005-0000-0000-000075BF0000}"/>
    <cellStyle name="Normal 7 4 2 2 2 3 2 2" xfId="23857" xr:uid="{00000000-0005-0000-0000-000076BF0000}"/>
    <cellStyle name="Normal 7 4 2 2 2 3 2 2 2" xfId="49410" xr:uid="{00000000-0005-0000-0000-000077BF0000}"/>
    <cellStyle name="Normal 7 4 2 2 2 3 2 3" xfId="39161" xr:uid="{00000000-0005-0000-0000-000078BF0000}"/>
    <cellStyle name="Normal 7 4 2 2 2 3 3" xfId="10027" xr:uid="{00000000-0005-0000-0000-000079BF0000}"/>
    <cellStyle name="Normal 7 4 2 2 2 3 3 2" xfId="35584" xr:uid="{00000000-0005-0000-0000-00007ABF0000}"/>
    <cellStyle name="Normal 7 4 2 2 2 3 4" xfId="18850" xr:uid="{00000000-0005-0000-0000-00007BBF0000}"/>
    <cellStyle name="Normal 7 4 2 2 2 3 4 2" xfId="44403" xr:uid="{00000000-0005-0000-0000-00007CBF0000}"/>
    <cellStyle name="Normal 7 4 2 2 2 3 5" xfId="30340" xr:uid="{00000000-0005-0000-0000-00007DBF0000}"/>
    <cellStyle name="Normal 7 4 2 2 2 4" xfId="2548" xr:uid="{00000000-0005-0000-0000-00007EBF0000}"/>
    <cellStyle name="Normal 7 4 2 2 2 4 2" xfId="11913" xr:uid="{00000000-0005-0000-0000-00007FBF0000}"/>
    <cellStyle name="Normal 7 4 2 2 2 4 2 2" xfId="37468" xr:uid="{00000000-0005-0000-0000-000080BF0000}"/>
    <cellStyle name="Normal 7 4 2 2 2 4 3" xfId="21917" xr:uid="{00000000-0005-0000-0000-000081BF0000}"/>
    <cellStyle name="Normal 7 4 2 2 2 4 3 2" xfId="47470" xr:uid="{00000000-0005-0000-0000-000082BF0000}"/>
    <cellStyle name="Normal 7 4 2 2 2 4 4" xfId="28400" xr:uid="{00000000-0005-0000-0000-000083BF0000}"/>
    <cellStyle name="Normal 7 4 2 2 2 5" xfId="6224" xr:uid="{00000000-0005-0000-0000-000084BF0000}"/>
    <cellStyle name="Normal 7 4 2 2 2 5 2" xfId="15051" xr:uid="{00000000-0005-0000-0000-000085BF0000}"/>
    <cellStyle name="Normal 7 4 2 2 2 5 2 2" xfId="40606" xr:uid="{00000000-0005-0000-0000-000086BF0000}"/>
    <cellStyle name="Normal 7 4 2 2 2 5 3" xfId="25302" xr:uid="{00000000-0005-0000-0000-000087BF0000}"/>
    <cellStyle name="Normal 7 4 2 2 2 5 3 2" xfId="50855" xr:uid="{00000000-0005-0000-0000-000088BF0000}"/>
    <cellStyle name="Normal 7 4 2 2 2 5 4" xfId="31785" xr:uid="{00000000-0005-0000-0000-000089BF0000}"/>
    <cellStyle name="Normal 7 4 2 2 2 6" xfId="7670" xr:uid="{00000000-0005-0000-0000-00008ABF0000}"/>
    <cellStyle name="Normal 7 4 2 2 2 6 2" xfId="20399" xr:uid="{00000000-0005-0000-0000-00008BBF0000}"/>
    <cellStyle name="Normal 7 4 2 2 2 6 2 2" xfId="45952" xr:uid="{00000000-0005-0000-0000-00008CBF0000}"/>
    <cellStyle name="Normal 7 4 2 2 2 6 3" xfId="33227" xr:uid="{00000000-0005-0000-0000-00008DBF0000}"/>
    <cellStyle name="Normal 7 4 2 2 2 7" xfId="16910" xr:uid="{00000000-0005-0000-0000-00008EBF0000}"/>
    <cellStyle name="Normal 7 4 2 2 2 7 2" xfId="42463" xr:uid="{00000000-0005-0000-0000-00008FBF0000}"/>
    <cellStyle name="Normal 7 4 2 2 2 8" xfId="26882" xr:uid="{00000000-0005-0000-0000-000090BF0000}"/>
    <cellStyle name="Normal 7 4 2 2 3" xfId="1290" xr:uid="{00000000-0005-0000-0000-000091BF0000}"/>
    <cellStyle name="Normal 7 4 2 2 3 2" xfId="3719" xr:uid="{00000000-0005-0000-0000-000092BF0000}"/>
    <cellStyle name="Normal 7 4 2 2 3 2 2" xfId="12855" xr:uid="{00000000-0005-0000-0000-000093BF0000}"/>
    <cellStyle name="Normal 7 4 2 2 3 2 2 2" xfId="23074" xr:uid="{00000000-0005-0000-0000-000094BF0000}"/>
    <cellStyle name="Normal 7 4 2 2 3 2 2 2 2" xfId="48627" xr:uid="{00000000-0005-0000-0000-000095BF0000}"/>
    <cellStyle name="Normal 7 4 2 2 3 2 2 3" xfId="38410" xr:uid="{00000000-0005-0000-0000-000096BF0000}"/>
    <cellStyle name="Normal 7 4 2 2 3 2 3" xfId="9276" xr:uid="{00000000-0005-0000-0000-000097BF0000}"/>
    <cellStyle name="Normal 7 4 2 2 3 2 3 2" xfId="34833" xr:uid="{00000000-0005-0000-0000-000098BF0000}"/>
    <cellStyle name="Normal 7 4 2 2 3 2 4" xfId="18067" xr:uid="{00000000-0005-0000-0000-000099BF0000}"/>
    <cellStyle name="Normal 7 4 2 2 3 2 4 2" xfId="43620" xr:uid="{00000000-0005-0000-0000-00009ABF0000}"/>
    <cellStyle name="Normal 7 4 2 2 3 2 5" xfId="29557" xr:uid="{00000000-0005-0000-0000-00009BBF0000}"/>
    <cellStyle name="Normal 7 4 2 2 3 3" xfId="5117" xr:uid="{00000000-0005-0000-0000-00009CBF0000}"/>
    <cellStyle name="Normal 7 4 2 2 3 3 2" xfId="13954" xr:uid="{00000000-0005-0000-0000-00009DBF0000}"/>
    <cellStyle name="Normal 7 4 2 2 3 3 2 2" xfId="24205" xr:uid="{00000000-0005-0000-0000-00009EBF0000}"/>
    <cellStyle name="Normal 7 4 2 2 3 3 2 2 2" xfId="49758" xr:uid="{00000000-0005-0000-0000-00009FBF0000}"/>
    <cellStyle name="Normal 7 4 2 2 3 3 2 3" xfId="39509" xr:uid="{00000000-0005-0000-0000-0000A0BF0000}"/>
    <cellStyle name="Normal 7 4 2 2 3 3 3" xfId="10375" xr:uid="{00000000-0005-0000-0000-0000A1BF0000}"/>
    <cellStyle name="Normal 7 4 2 2 3 3 3 2" xfId="35932" xr:uid="{00000000-0005-0000-0000-0000A2BF0000}"/>
    <cellStyle name="Normal 7 4 2 2 3 3 4" xfId="19198" xr:uid="{00000000-0005-0000-0000-0000A3BF0000}"/>
    <cellStyle name="Normal 7 4 2 2 3 3 4 2" xfId="44751" xr:uid="{00000000-0005-0000-0000-0000A4BF0000}"/>
    <cellStyle name="Normal 7 4 2 2 3 3 5" xfId="30688" xr:uid="{00000000-0005-0000-0000-0000A5BF0000}"/>
    <cellStyle name="Normal 7 4 2 2 3 4" xfId="2113" xr:uid="{00000000-0005-0000-0000-0000A6BF0000}"/>
    <cellStyle name="Normal 7 4 2 2 3 4 2" xfId="11478" xr:uid="{00000000-0005-0000-0000-0000A7BF0000}"/>
    <cellStyle name="Normal 7 4 2 2 3 4 2 2" xfId="37033" xr:uid="{00000000-0005-0000-0000-0000A8BF0000}"/>
    <cellStyle name="Normal 7 4 2 2 3 4 3" xfId="21482" xr:uid="{00000000-0005-0000-0000-0000A9BF0000}"/>
    <cellStyle name="Normal 7 4 2 2 3 4 3 2" xfId="47035" xr:uid="{00000000-0005-0000-0000-0000AABF0000}"/>
    <cellStyle name="Normal 7 4 2 2 3 4 4" xfId="27965" xr:uid="{00000000-0005-0000-0000-0000ABBF0000}"/>
    <cellStyle name="Normal 7 4 2 2 3 5" xfId="6572" xr:uid="{00000000-0005-0000-0000-0000ACBF0000}"/>
    <cellStyle name="Normal 7 4 2 2 3 5 2" xfId="15399" xr:uid="{00000000-0005-0000-0000-0000ADBF0000}"/>
    <cellStyle name="Normal 7 4 2 2 3 5 2 2" xfId="40954" xr:uid="{00000000-0005-0000-0000-0000AEBF0000}"/>
    <cellStyle name="Normal 7 4 2 2 3 5 3" xfId="25650" xr:uid="{00000000-0005-0000-0000-0000AFBF0000}"/>
    <cellStyle name="Normal 7 4 2 2 3 5 3 2" xfId="51203" xr:uid="{00000000-0005-0000-0000-0000B0BF0000}"/>
    <cellStyle name="Normal 7 4 2 2 3 5 4" xfId="32133" xr:uid="{00000000-0005-0000-0000-0000B1BF0000}"/>
    <cellStyle name="Normal 7 4 2 2 3 6" xfId="8018" xr:uid="{00000000-0005-0000-0000-0000B2BF0000}"/>
    <cellStyle name="Normal 7 4 2 2 3 6 2" xfId="20673" xr:uid="{00000000-0005-0000-0000-0000B3BF0000}"/>
    <cellStyle name="Normal 7 4 2 2 3 6 2 2" xfId="46226" xr:uid="{00000000-0005-0000-0000-0000B4BF0000}"/>
    <cellStyle name="Normal 7 4 2 2 3 6 3" xfId="33575" xr:uid="{00000000-0005-0000-0000-0000B5BF0000}"/>
    <cellStyle name="Normal 7 4 2 2 3 7" xfId="16475" xr:uid="{00000000-0005-0000-0000-0000B6BF0000}"/>
    <cellStyle name="Normal 7 4 2 2 3 7 2" xfId="42028" xr:uid="{00000000-0005-0000-0000-0000B7BF0000}"/>
    <cellStyle name="Normal 7 4 2 2 3 8" xfId="27156" xr:uid="{00000000-0005-0000-0000-0000B8BF0000}"/>
    <cellStyle name="Normal 7 4 2 2 4" xfId="3004" xr:uid="{00000000-0005-0000-0000-0000B9BF0000}"/>
    <cellStyle name="Normal 7 4 2 2 4 2" xfId="5382" xr:uid="{00000000-0005-0000-0000-0000BABF0000}"/>
    <cellStyle name="Normal 7 4 2 2 4 2 2" xfId="14219" xr:uid="{00000000-0005-0000-0000-0000BBBF0000}"/>
    <cellStyle name="Normal 7 4 2 2 4 2 2 2" xfId="24470" xr:uid="{00000000-0005-0000-0000-0000BCBF0000}"/>
    <cellStyle name="Normal 7 4 2 2 4 2 2 2 2" xfId="50023" xr:uid="{00000000-0005-0000-0000-0000BDBF0000}"/>
    <cellStyle name="Normal 7 4 2 2 4 2 2 3" xfId="39774" xr:uid="{00000000-0005-0000-0000-0000BEBF0000}"/>
    <cellStyle name="Normal 7 4 2 2 4 2 3" xfId="10640" xr:uid="{00000000-0005-0000-0000-0000BFBF0000}"/>
    <cellStyle name="Normal 7 4 2 2 4 2 3 2" xfId="36197" xr:uid="{00000000-0005-0000-0000-0000C0BF0000}"/>
    <cellStyle name="Normal 7 4 2 2 4 2 4" xfId="19463" xr:uid="{00000000-0005-0000-0000-0000C1BF0000}"/>
    <cellStyle name="Normal 7 4 2 2 4 2 4 2" xfId="45016" xr:uid="{00000000-0005-0000-0000-0000C2BF0000}"/>
    <cellStyle name="Normal 7 4 2 2 4 2 5" xfId="30953" xr:uid="{00000000-0005-0000-0000-0000C3BF0000}"/>
    <cellStyle name="Normal 7 4 2 2 4 3" xfId="6837" xr:uid="{00000000-0005-0000-0000-0000C4BF0000}"/>
    <cellStyle name="Normal 7 4 2 2 4 3 2" xfId="15664" xr:uid="{00000000-0005-0000-0000-0000C5BF0000}"/>
    <cellStyle name="Normal 7 4 2 2 4 3 2 2" xfId="41219" xr:uid="{00000000-0005-0000-0000-0000C6BF0000}"/>
    <cellStyle name="Normal 7 4 2 2 4 3 3" xfId="25915" xr:uid="{00000000-0005-0000-0000-0000C7BF0000}"/>
    <cellStyle name="Normal 7 4 2 2 4 3 3 2" xfId="51468" xr:uid="{00000000-0005-0000-0000-0000C8BF0000}"/>
    <cellStyle name="Normal 7 4 2 2 4 3 4" xfId="32398" xr:uid="{00000000-0005-0000-0000-0000C9BF0000}"/>
    <cellStyle name="Normal 7 4 2 2 4 4" xfId="8283" xr:uid="{00000000-0005-0000-0000-0000CABF0000}"/>
    <cellStyle name="Normal 7 4 2 2 4 4 2" xfId="22365" xr:uid="{00000000-0005-0000-0000-0000CBBF0000}"/>
    <cellStyle name="Normal 7 4 2 2 4 4 2 2" xfId="47918" xr:uid="{00000000-0005-0000-0000-0000CCBF0000}"/>
    <cellStyle name="Normal 7 4 2 2 4 4 3" xfId="33840" xr:uid="{00000000-0005-0000-0000-0000CDBF0000}"/>
    <cellStyle name="Normal 7 4 2 2 4 5" xfId="17358" xr:uid="{00000000-0005-0000-0000-0000CEBF0000}"/>
    <cellStyle name="Normal 7 4 2 2 4 5 2" xfId="42911" xr:uid="{00000000-0005-0000-0000-0000CFBF0000}"/>
    <cellStyle name="Normal 7 4 2 2 4 6" xfId="28848" xr:uid="{00000000-0005-0000-0000-0000D0BF0000}"/>
    <cellStyle name="Normal 7 4 2 2 5" xfId="4338" xr:uid="{00000000-0005-0000-0000-0000D1BF0000}"/>
    <cellStyle name="Normal 7 4 2 2 5 2" xfId="13176" xr:uid="{00000000-0005-0000-0000-0000D2BF0000}"/>
    <cellStyle name="Normal 7 4 2 2 5 2 2" xfId="23427" xr:uid="{00000000-0005-0000-0000-0000D3BF0000}"/>
    <cellStyle name="Normal 7 4 2 2 5 2 2 2" xfId="48980" xr:uid="{00000000-0005-0000-0000-0000D4BF0000}"/>
    <cellStyle name="Normal 7 4 2 2 5 2 3" xfId="38731" xr:uid="{00000000-0005-0000-0000-0000D5BF0000}"/>
    <cellStyle name="Normal 7 4 2 2 5 3" xfId="9597" xr:uid="{00000000-0005-0000-0000-0000D6BF0000}"/>
    <cellStyle name="Normal 7 4 2 2 5 3 2" xfId="35154" xr:uid="{00000000-0005-0000-0000-0000D7BF0000}"/>
    <cellStyle name="Normal 7 4 2 2 5 4" xfId="18420" xr:uid="{00000000-0005-0000-0000-0000D8BF0000}"/>
    <cellStyle name="Normal 7 4 2 2 5 4 2" xfId="43973" xr:uid="{00000000-0005-0000-0000-0000D9BF0000}"/>
    <cellStyle name="Normal 7 4 2 2 5 5" xfId="29910" xr:uid="{00000000-0005-0000-0000-0000DABF0000}"/>
    <cellStyle name="Normal 7 4 2 2 6" xfId="1610" xr:uid="{00000000-0005-0000-0000-0000DBBF0000}"/>
    <cellStyle name="Normal 7 4 2 2 6 2" xfId="10987" xr:uid="{00000000-0005-0000-0000-0000DCBF0000}"/>
    <cellStyle name="Normal 7 4 2 2 6 2 2" xfId="36542" xr:uid="{00000000-0005-0000-0000-0000DDBF0000}"/>
    <cellStyle name="Normal 7 4 2 2 6 3" xfId="20991" xr:uid="{00000000-0005-0000-0000-0000DEBF0000}"/>
    <cellStyle name="Normal 7 4 2 2 6 3 2" xfId="46544" xr:uid="{00000000-0005-0000-0000-0000DFBF0000}"/>
    <cellStyle name="Normal 7 4 2 2 6 4" xfId="27474" xr:uid="{00000000-0005-0000-0000-0000E0BF0000}"/>
    <cellStyle name="Normal 7 4 2 2 7" xfId="5794" xr:uid="{00000000-0005-0000-0000-0000E1BF0000}"/>
    <cellStyle name="Normal 7 4 2 2 7 2" xfId="14621" xr:uid="{00000000-0005-0000-0000-0000E2BF0000}"/>
    <cellStyle name="Normal 7 4 2 2 7 2 2" xfId="40176" xr:uid="{00000000-0005-0000-0000-0000E3BF0000}"/>
    <cellStyle name="Normal 7 4 2 2 7 3" xfId="24872" xr:uid="{00000000-0005-0000-0000-0000E4BF0000}"/>
    <cellStyle name="Normal 7 4 2 2 7 3 2" xfId="50425" xr:uid="{00000000-0005-0000-0000-0000E5BF0000}"/>
    <cellStyle name="Normal 7 4 2 2 7 4" xfId="31355" xr:uid="{00000000-0005-0000-0000-0000E6BF0000}"/>
    <cellStyle name="Normal 7 4 2 2 8" xfId="7238" xr:uid="{00000000-0005-0000-0000-0000E7BF0000}"/>
    <cellStyle name="Normal 7 4 2 2 8 2" xfId="19964" xr:uid="{00000000-0005-0000-0000-0000E8BF0000}"/>
    <cellStyle name="Normal 7 4 2 2 8 2 2" xfId="45517" xr:uid="{00000000-0005-0000-0000-0000E9BF0000}"/>
    <cellStyle name="Normal 7 4 2 2 8 3" xfId="32795" xr:uid="{00000000-0005-0000-0000-0000EABF0000}"/>
    <cellStyle name="Normal 7 4 2 2 9" xfId="15984" xr:uid="{00000000-0005-0000-0000-0000EBBF0000}"/>
    <cellStyle name="Normal 7 4 2 2 9 2" xfId="41537" xr:uid="{00000000-0005-0000-0000-0000ECBF0000}"/>
    <cellStyle name="Normal 7 4 2 2_Degree data" xfId="4069" xr:uid="{00000000-0005-0000-0000-0000EDBF0000}"/>
    <cellStyle name="Normal 7 4 2 3" xfId="418" xr:uid="{00000000-0005-0000-0000-0000EEBF0000}"/>
    <cellStyle name="Normal 7 4 2 3 2" xfId="2904" xr:uid="{00000000-0005-0000-0000-0000EFBF0000}"/>
    <cellStyle name="Normal 7 4 2 3 2 2" xfId="12192" xr:uid="{00000000-0005-0000-0000-0000F0BF0000}"/>
    <cellStyle name="Normal 7 4 2 3 2 2 2" xfId="22265" xr:uid="{00000000-0005-0000-0000-0000F1BF0000}"/>
    <cellStyle name="Normal 7 4 2 3 2 2 2 2" xfId="47818" xr:uid="{00000000-0005-0000-0000-0000F2BF0000}"/>
    <cellStyle name="Normal 7 4 2 3 2 2 3" xfId="37747" xr:uid="{00000000-0005-0000-0000-0000F3BF0000}"/>
    <cellStyle name="Normal 7 4 2 3 2 3" xfId="8450" xr:uid="{00000000-0005-0000-0000-0000F4BF0000}"/>
    <cellStyle name="Normal 7 4 2 3 2 3 2" xfId="34007" xr:uid="{00000000-0005-0000-0000-0000F5BF0000}"/>
    <cellStyle name="Normal 7 4 2 3 2 4" xfId="17258" xr:uid="{00000000-0005-0000-0000-0000F6BF0000}"/>
    <cellStyle name="Normal 7 4 2 3 2 4 2" xfId="42811" xr:uid="{00000000-0005-0000-0000-0000F7BF0000}"/>
    <cellStyle name="Normal 7 4 2 3 2 5" xfId="28748" xr:uid="{00000000-0005-0000-0000-0000F8BF0000}"/>
    <cellStyle name="Normal 7 4 2 3 3" xfId="4768" xr:uid="{00000000-0005-0000-0000-0000F9BF0000}"/>
    <cellStyle name="Normal 7 4 2 3 3 2" xfId="13605" xr:uid="{00000000-0005-0000-0000-0000FABF0000}"/>
    <cellStyle name="Normal 7 4 2 3 3 2 2" xfId="23856" xr:uid="{00000000-0005-0000-0000-0000FBBF0000}"/>
    <cellStyle name="Normal 7 4 2 3 3 2 2 2" xfId="49409" xr:uid="{00000000-0005-0000-0000-0000FCBF0000}"/>
    <cellStyle name="Normal 7 4 2 3 3 2 3" xfId="39160" xr:uid="{00000000-0005-0000-0000-0000FDBF0000}"/>
    <cellStyle name="Normal 7 4 2 3 3 3" xfId="10026" xr:uid="{00000000-0005-0000-0000-0000FEBF0000}"/>
    <cellStyle name="Normal 7 4 2 3 3 3 2" xfId="35583" xr:uid="{00000000-0005-0000-0000-0000FFBF0000}"/>
    <cellStyle name="Normal 7 4 2 3 3 4" xfId="18849" xr:uid="{00000000-0005-0000-0000-000000C00000}"/>
    <cellStyle name="Normal 7 4 2 3 3 4 2" xfId="44402" xr:uid="{00000000-0005-0000-0000-000001C00000}"/>
    <cellStyle name="Normal 7 4 2 3 3 5" xfId="30339" xr:uid="{00000000-0005-0000-0000-000002C00000}"/>
    <cellStyle name="Normal 7 4 2 3 4" xfId="2013" xr:uid="{00000000-0005-0000-0000-000003C00000}"/>
    <cellStyle name="Normal 7 4 2 3 4 2" xfId="11378" xr:uid="{00000000-0005-0000-0000-000004C00000}"/>
    <cellStyle name="Normal 7 4 2 3 4 2 2" xfId="36933" xr:uid="{00000000-0005-0000-0000-000005C00000}"/>
    <cellStyle name="Normal 7 4 2 3 4 3" xfId="21382" xr:uid="{00000000-0005-0000-0000-000006C00000}"/>
    <cellStyle name="Normal 7 4 2 3 4 3 2" xfId="46935" xr:uid="{00000000-0005-0000-0000-000007C00000}"/>
    <cellStyle name="Normal 7 4 2 3 4 4" xfId="27865" xr:uid="{00000000-0005-0000-0000-000008C00000}"/>
    <cellStyle name="Normal 7 4 2 3 5" xfId="6223" xr:uid="{00000000-0005-0000-0000-000009C00000}"/>
    <cellStyle name="Normal 7 4 2 3 5 2" xfId="15050" xr:uid="{00000000-0005-0000-0000-00000AC00000}"/>
    <cellStyle name="Normal 7 4 2 3 5 2 2" xfId="40605" xr:uid="{00000000-0005-0000-0000-00000BC00000}"/>
    <cellStyle name="Normal 7 4 2 3 5 3" xfId="25301" xr:uid="{00000000-0005-0000-0000-00000CC00000}"/>
    <cellStyle name="Normal 7 4 2 3 5 3 2" xfId="50854" xr:uid="{00000000-0005-0000-0000-00000DC00000}"/>
    <cellStyle name="Normal 7 4 2 3 5 4" xfId="31784" xr:uid="{00000000-0005-0000-0000-00000EC00000}"/>
    <cellStyle name="Normal 7 4 2 3 6" xfId="7669" xr:uid="{00000000-0005-0000-0000-00000FC00000}"/>
    <cellStyle name="Normal 7 4 2 3 6 2" xfId="19864" xr:uid="{00000000-0005-0000-0000-000010C00000}"/>
    <cellStyle name="Normal 7 4 2 3 6 2 2" xfId="45417" xr:uid="{00000000-0005-0000-0000-000011C00000}"/>
    <cellStyle name="Normal 7 4 2 3 6 3" xfId="33226" xr:uid="{00000000-0005-0000-0000-000012C00000}"/>
    <cellStyle name="Normal 7 4 2 3 7" xfId="16375" xr:uid="{00000000-0005-0000-0000-000013C00000}"/>
    <cellStyle name="Normal 7 4 2 3 7 2" xfId="41928" xr:uid="{00000000-0005-0000-0000-000014C00000}"/>
    <cellStyle name="Normal 7 4 2 3 8" xfId="26347" xr:uid="{00000000-0005-0000-0000-000015C00000}"/>
    <cellStyle name="Normal 7 4 2 4" xfId="962" xr:uid="{00000000-0005-0000-0000-000016C00000}"/>
    <cellStyle name="Normal 7 4 2 4 2" xfId="3438" xr:uid="{00000000-0005-0000-0000-000017C00000}"/>
    <cellStyle name="Normal 7 4 2 4 2 2" xfId="12580" xr:uid="{00000000-0005-0000-0000-000018C00000}"/>
    <cellStyle name="Normal 7 4 2 4 2 2 2" xfId="22799" xr:uid="{00000000-0005-0000-0000-000019C00000}"/>
    <cellStyle name="Normal 7 4 2 4 2 2 2 2" xfId="48352" xr:uid="{00000000-0005-0000-0000-00001AC00000}"/>
    <cellStyle name="Normal 7 4 2 4 2 2 3" xfId="38135" xr:uid="{00000000-0005-0000-0000-00001BC00000}"/>
    <cellStyle name="Normal 7 4 2 4 2 3" xfId="9002" xr:uid="{00000000-0005-0000-0000-00001CC00000}"/>
    <cellStyle name="Normal 7 4 2 4 2 3 2" xfId="34559" xr:uid="{00000000-0005-0000-0000-00001DC00000}"/>
    <cellStyle name="Normal 7 4 2 4 2 4" xfId="17792" xr:uid="{00000000-0005-0000-0000-00001EC00000}"/>
    <cellStyle name="Normal 7 4 2 4 2 4 2" xfId="43345" xr:uid="{00000000-0005-0000-0000-00001FC00000}"/>
    <cellStyle name="Normal 7 4 2 4 2 5" xfId="29282" xr:uid="{00000000-0005-0000-0000-000020C00000}"/>
    <cellStyle name="Normal 7 4 2 4 3" xfId="5116" xr:uid="{00000000-0005-0000-0000-000021C00000}"/>
    <cellStyle name="Normal 7 4 2 4 3 2" xfId="13953" xr:uid="{00000000-0005-0000-0000-000022C00000}"/>
    <cellStyle name="Normal 7 4 2 4 3 2 2" xfId="24204" xr:uid="{00000000-0005-0000-0000-000023C00000}"/>
    <cellStyle name="Normal 7 4 2 4 3 2 2 2" xfId="49757" xr:uid="{00000000-0005-0000-0000-000024C00000}"/>
    <cellStyle name="Normal 7 4 2 4 3 2 3" xfId="39508" xr:uid="{00000000-0005-0000-0000-000025C00000}"/>
    <cellStyle name="Normal 7 4 2 4 3 3" xfId="10374" xr:uid="{00000000-0005-0000-0000-000026C00000}"/>
    <cellStyle name="Normal 7 4 2 4 3 3 2" xfId="35931" xr:uid="{00000000-0005-0000-0000-000027C00000}"/>
    <cellStyle name="Normal 7 4 2 4 3 4" xfId="19197" xr:uid="{00000000-0005-0000-0000-000028C00000}"/>
    <cellStyle name="Normal 7 4 2 4 3 4 2" xfId="44750" xr:uid="{00000000-0005-0000-0000-000029C00000}"/>
    <cellStyle name="Normal 7 4 2 4 3 5" xfId="30687" xr:uid="{00000000-0005-0000-0000-00002AC00000}"/>
    <cellStyle name="Normal 7 4 2 4 4" xfId="2547" xr:uid="{00000000-0005-0000-0000-00002BC00000}"/>
    <cellStyle name="Normal 7 4 2 4 4 2" xfId="11912" xr:uid="{00000000-0005-0000-0000-00002CC00000}"/>
    <cellStyle name="Normal 7 4 2 4 4 2 2" xfId="37467" xr:uid="{00000000-0005-0000-0000-00002DC00000}"/>
    <cellStyle name="Normal 7 4 2 4 4 3" xfId="21916" xr:uid="{00000000-0005-0000-0000-00002EC00000}"/>
    <cellStyle name="Normal 7 4 2 4 4 3 2" xfId="47469" xr:uid="{00000000-0005-0000-0000-00002FC00000}"/>
    <cellStyle name="Normal 7 4 2 4 4 4" xfId="28399" xr:uid="{00000000-0005-0000-0000-000030C00000}"/>
    <cellStyle name="Normal 7 4 2 4 5" xfId="6571" xr:uid="{00000000-0005-0000-0000-000031C00000}"/>
    <cellStyle name="Normal 7 4 2 4 5 2" xfId="15398" xr:uid="{00000000-0005-0000-0000-000032C00000}"/>
    <cellStyle name="Normal 7 4 2 4 5 2 2" xfId="40953" xr:uid="{00000000-0005-0000-0000-000033C00000}"/>
    <cellStyle name="Normal 7 4 2 4 5 3" xfId="25649" xr:uid="{00000000-0005-0000-0000-000034C00000}"/>
    <cellStyle name="Normal 7 4 2 4 5 3 2" xfId="51202" xr:uid="{00000000-0005-0000-0000-000035C00000}"/>
    <cellStyle name="Normal 7 4 2 4 5 4" xfId="32132" xr:uid="{00000000-0005-0000-0000-000036C00000}"/>
    <cellStyle name="Normal 7 4 2 4 6" xfId="8017" xr:uid="{00000000-0005-0000-0000-000037C00000}"/>
    <cellStyle name="Normal 7 4 2 4 6 2" xfId="20398" xr:uid="{00000000-0005-0000-0000-000038C00000}"/>
    <cellStyle name="Normal 7 4 2 4 6 2 2" xfId="45951" xr:uid="{00000000-0005-0000-0000-000039C00000}"/>
    <cellStyle name="Normal 7 4 2 4 6 3" xfId="33574" xr:uid="{00000000-0005-0000-0000-00003AC00000}"/>
    <cellStyle name="Normal 7 4 2 4 7" xfId="16909" xr:uid="{00000000-0005-0000-0000-00003BC00000}"/>
    <cellStyle name="Normal 7 4 2 4 7 2" xfId="42462" xr:uid="{00000000-0005-0000-0000-00003CC00000}"/>
    <cellStyle name="Normal 7 4 2 4 8" xfId="26881" xr:uid="{00000000-0005-0000-0000-00003DC00000}"/>
    <cellStyle name="Normal 7 4 2 5" xfId="1190" xr:uid="{00000000-0005-0000-0000-00003EC00000}"/>
    <cellStyle name="Normal 7 4 2 5 2" xfId="3619" xr:uid="{00000000-0005-0000-0000-00003FC00000}"/>
    <cellStyle name="Normal 7 4 2 5 2 2" xfId="12755" xr:uid="{00000000-0005-0000-0000-000040C00000}"/>
    <cellStyle name="Normal 7 4 2 5 2 2 2" xfId="22974" xr:uid="{00000000-0005-0000-0000-000041C00000}"/>
    <cellStyle name="Normal 7 4 2 5 2 2 2 2" xfId="48527" xr:uid="{00000000-0005-0000-0000-000042C00000}"/>
    <cellStyle name="Normal 7 4 2 5 2 2 3" xfId="38310" xr:uid="{00000000-0005-0000-0000-000043C00000}"/>
    <cellStyle name="Normal 7 4 2 5 2 3" xfId="9176" xr:uid="{00000000-0005-0000-0000-000044C00000}"/>
    <cellStyle name="Normal 7 4 2 5 2 3 2" xfId="34733" xr:uid="{00000000-0005-0000-0000-000045C00000}"/>
    <cellStyle name="Normal 7 4 2 5 2 4" xfId="17967" xr:uid="{00000000-0005-0000-0000-000046C00000}"/>
    <cellStyle name="Normal 7 4 2 5 2 4 2" xfId="43520" xr:uid="{00000000-0005-0000-0000-000047C00000}"/>
    <cellStyle name="Normal 7 4 2 5 2 5" xfId="29457" xr:uid="{00000000-0005-0000-0000-000048C00000}"/>
    <cellStyle name="Normal 7 4 2 5 3" xfId="5282" xr:uid="{00000000-0005-0000-0000-000049C00000}"/>
    <cellStyle name="Normal 7 4 2 5 3 2" xfId="14119" xr:uid="{00000000-0005-0000-0000-00004AC00000}"/>
    <cellStyle name="Normal 7 4 2 5 3 2 2" xfId="24370" xr:uid="{00000000-0005-0000-0000-00004BC00000}"/>
    <cellStyle name="Normal 7 4 2 5 3 2 2 2" xfId="49923" xr:uid="{00000000-0005-0000-0000-00004CC00000}"/>
    <cellStyle name="Normal 7 4 2 5 3 2 3" xfId="39674" xr:uid="{00000000-0005-0000-0000-00004DC00000}"/>
    <cellStyle name="Normal 7 4 2 5 3 3" xfId="10540" xr:uid="{00000000-0005-0000-0000-00004EC00000}"/>
    <cellStyle name="Normal 7 4 2 5 3 3 2" xfId="36097" xr:uid="{00000000-0005-0000-0000-00004FC00000}"/>
    <cellStyle name="Normal 7 4 2 5 3 4" xfId="19363" xr:uid="{00000000-0005-0000-0000-000050C00000}"/>
    <cellStyle name="Normal 7 4 2 5 3 4 2" xfId="44916" xr:uid="{00000000-0005-0000-0000-000051C00000}"/>
    <cellStyle name="Normal 7 4 2 5 3 5" xfId="30853" xr:uid="{00000000-0005-0000-0000-000052C00000}"/>
    <cellStyle name="Normal 7 4 2 5 4" xfId="1792" xr:uid="{00000000-0005-0000-0000-000053C00000}"/>
    <cellStyle name="Normal 7 4 2 5 4 2" xfId="11161" xr:uid="{00000000-0005-0000-0000-000054C00000}"/>
    <cellStyle name="Normal 7 4 2 5 4 2 2" xfId="36716" xr:uid="{00000000-0005-0000-0000-000055C00000}"/>
    <cellStyle name="Normal 7 4 2 5 4 3" xfId="21165" xr:uid="{00000000-0005-0000-0000-000056C00000}"/>
    <cellStyle name="Normal 7 4 2 5 4 3 2" xfId="46718" xr:uid="{00000000-0005-0000-0000-000057C00000}"/>
    <cellStyle name="Normal 7 4 2 5 4 4" xfId="27648" xr:uid="{00000000-0005-0000-0000-000058C00000}"/>
    <cellStyle name="Normal 7 4 2 5 5" xfId="6737" xr:uid="{00000000-0005-0000-0000-000059C00000}"/>
    <cellStyle name="Normal 7 4 2 5 5 2" xfId="15564" xr:uid="{00000000-0005-0000-0000-00005AC00000}"/>
    <cellStyle name="Normal 7 4 2 5 5 2 2" xfId="41119" xr:uid="{00000000-0005-0000-0000-00005BC00000}"/>
    <cellStyle name="Normal 7 4 2 5 5 3" xfId="25815" xr:uid="{00000000-0005-0000-0000-00005CC00000}"/>
    <cellStyle name="Normal 7 4 2 5 5 3 2" xfId="51368" xr:uid="{00000000-0005-0000-0000-00005DC00000}"/>
    <cellStyle name="Normal 7 4 2 5 5 4" xfId="32298" xr:uid="{00000000-0005-0000-0000-00005EC00000}"/>
    <cellStyle name="Normal 7 4 2 5 6" xfId="8183" xr:uid="{00000000-0005-0000-0000-00005FC00000}"/>
    <cellStyle name="Normal 7 4 2 5 6 2" xfId="20573" xr:uid="{00000000-0005-0000-0000-000060C00000}"/>
    <cellStyle name="Normal 7 4 2 5 6 2 2" xfId="46126" xr:uid="{00000000-0005-0000-0000-000061C00000}"/>
    <cellStyle name="Normal 7 4 2 5 6 3" xfId="33740" xr:uid="{00000000-0005-0000-0000-000062C00000}"/>
    <cellStyle name="Normal 7 4 2 5 7" xfId="16158" xr:uid="{00000000-0005-0000-0000-000063C00000}"/>
    <cellStyle name="Normal 7 4 2 5 7 2" xfId="41711" xr:uid="{00000000-0005-0000-0000-000064C00000}"/>
    <cellStyle name="Normal 7 4 2 5 8" xfId="27056" xr:uid="{00000000-0005-0000-0000-000065C00000}"/>
    <cellStyle name="Normal 7 4 2 6" xfId="2687" xr:uid="{00000000-0005-0000-0000-000066C00000}"/>
    <cellStyle name="Normal 7 4 2 6 2" xfId="12004" xr:uid="{00000000-0005-0000-0000-000067C00000}"/>
    <cellStyle name="Normal 7 4 2 6 2 2" xfId="22048" xr:uid="{00000000-0005-0000-0000-000068C00000}"/>
    <cellStyle name="Normal 7 4 2 6 2 2 2" xfId="47601" xr:uid="{00000000-0005-0000-0000-000069C00000}"/>
    <cellStyle name="Normal 7 4 2 6 2 3" xfId="37559" xr:uid="{00000000-0005-0000-0000-00006AC00000}"/>
    <cellStyle name="Normal 7 4 2 6 3" xfId="8637" xr:uid="{00000000-0005-0000-0000-00006BC00000}"/>
    <cellStyle name="Normal 7 4 2 6 3 2" xfId="34194" xr:uid="{00000000-0005-0000-0000-00006CC00000}"/>
    <cellStyle name="Normal 7 4 2 6 4" xfId="17041" xr:uid="{00000000-0005-0000-0000-00006DC00000}"/>
    <cellStyle name="Normal 7 4 2 6 4 2" xfId="42594" xr:uid="{00000000-0005-0000-0000-00006EC00000}"/>
    <cellStyle name="Normal 7 4 2 6 5" xfId="28531" xr:uid="{00000000-0005-0000-0000-00006FC00000}"/>
    <cellStyle name="Normal 7 4 2 7" xfId="4238" xr:uid="{00000000-0005-0000-0000-000070C00000}"/>
    <cellStyle name="Normal 7 4 2 7 2" xfId="13076" xr:uid="{00000000-0005-0000-0000-000071C00000}"/>
    <cellStyle name="Normal 7 4 2 7 2 2" xfId="23327" xr:uid="{00000000-0005-0000-0000-000072C00000}"/>
    <cellStyle name="Normal 7 4 2 7 2 2 2" xfId="48880" xr:uid="{00000000-0005-0000-0000-000073C00000}"/>
    <cellStyle name="Normal 7 4 2 7 2 3" xfId="38631" xr:uid="{00000000-0005-0000-0000-000074C00000}"/>
    <cellStyle name="Normal 7 4 2 7 3" xfId="9497" xr:uid="{00000000-0005-0000-0000-000075C00000}"/>
    <cellStyle name="Normal 7 4 2 7 3 2" xfId="35054" xr:uid="{00000000-0005-0000-0000-000076C00000}"/>
    <cellStyle name="Normal 7 4 2 7 4" xfId="18320" xr:uid="{00000000-0005-0000-0000-000077C00000}"/>
    <cellStyle name="Normal 7 4 2 7 4 2" xfId="43873" xr:uid="{00000000-0005-0000-0000-000078C00000}"/>
    <cellStyle name="Normal 7 4 2 7 5" xfId="29810" xr:uid="{00000000-0005-0000-0000-000079C00000}"/>
    <cellStyle name="Normal 7 4 2 8" xfId="1510" xr:uid="{00000000-0005-0000-0000-00007AC00000}"/>
    <cellStyle name="Normal 7 4 2 8 2" xfId="10887" xr:uid="{00000000-0005-0000-0000-00007BC00000}"/>
    <cellStyle name="Normal 7 4 2 8 2 2" xfId="36442" xr:uid="{00000000-0005-0000-0000-00007CC00000}"/>
    <cellStyle name="Normal 7 4 2 8 3" xfId="20891" xr:uid="{00000000-0005-0000-0000-00007DC00000}"/>
    <cellStyle name="Normal 7 4 2 8 3 2" xfId="46444" xr:uid="{00000000-0005-0000-0000-00007EC00000}"/>
    <cellStyle name="Normal 7 4 2 8 4" xfId="27374" xr:uid="{00000000-0005-0000-0000-00007FC00000}"/>
    <cellStyle name="Normal 7 4 2 9" xfId="5694" xr:uid="{00000000-0005-0000-0000-000080C00000}"/>
    <cellStyle name="Normal 7 4 2 9 2" xfId="14521" xr:uid="{00000000-0005-0000-0000-000081C00000}"/>
    <cellStyle name="Normal 7 4 2 9 2 2" xfId="40076" xr:uid="{00000000-0005-0000-0000-000082C00000}"/>
    <cellStyle name="Normal 7 4 2 9 3" xfId="24772" xr:uid="{00000000-0005-0000-0000-000083C00000}"/>
    <cellStyle name="Normal 7 4 2 9 3 2" xfId="50325" xr:uid="{00000000-0005-0000-0000-000084C00000}"/>
    <cellStyle name="Normal 7 4 2 9 4" xfId="31255" xr:uid="{00000000-0005-0000-0000-000085C00000}"/>
    <cellStyle name="Normal 7 4 2_Degree data" xfId="4068" xr:uid="{00000000-0005-0000-0000-000086C00000}"/>
    <cellStyle name="Normal 7 4 3" xfId="257" xr:uid="{00000000-0005-0000-0000-000087C00000}"/>
    <cellStyle name="Normal 7 4 3 10" xfId="7095" xr:uid="{00000000-0005-0000-0000-000088C00000}"/>
    <cellStyle name="Normal 7 4 3 10 2" xfId="19709" xr:uid="{00000000-0005-0000-0000-000089C00000}"/>
    <cellStyle name="Normal 7 4 3 10 2 2" xfId="45262" xr:uid="{00000000-0005-0000-0000-00008AC00000}"/>
    <cellStyle name="Normal 7 4 3 10 3" xfId="32652" xr:uid="{00000000-0005-0000-0000-00008BC00000}"/>
    <cellStyle name="Normal 7 4 3 11" xfId="15841" xr:uid="{00000000-0005-0000-0000-00008CC00000}"/>
    <cellStyle name="Normal 7 4 3 11 2" xfId="41394" xr:uid="{00000000-0005-0000-0000-00008DC00000}"/>
    <cellStyle name="Normal 7 4 3 12" xfId="26192" xr:uid="{00000000-0005-0000-0000-00008EC00000}"/>
    <cellStyle name="Normal 7 4 3 2" xfId="580" xr:uid="{00000000-0005-0000-0000-00008FC00000}"/>
    <cellStyle name="Normal 7 4 3 2 10" xfId="26509" xr:uid="{00000000-0005-0000-0000-000090C00000}"/>
    <cellStyle name="Normal 7 4 3 2 2" xfId="965" xr:uid="{00000000-0005-0000-0000-000091C00000}"/>
    <cellStyle name="Normal 7 4 3 2 2 2" xfId="3441" xr:uid="{00000000-0005-0000-0000-000092C00000}"/>
    <cellStyle name="Normal 7 4 3 2 2 2 2" xfId="12583" xr:uid="{00000000-0005-0000-0000-000093C00000}"/>
    <cellStyle name="Normal 7 4 3 2 2 2 2 2" xfId="22802" xr:uid="{00000000-0005-0000-0000-000094C00000}"/>
    <cellStyle name="Normal 7 4 3 2 2 2 2 2 2" xfId="48355" xr:uid="{00000000-0005-0000-0000-000095C00000}"/>
    <cellStyle name="Normal 7 4 3 2 2 2 2 3" xfId="38138" xr:uid="{00000000-0005-0000-0000-000096C00000}"/>
    <cellStyle name="Normal 7 4 3 2 2 2 3" xfId="9005" xr:uid="{00000000-0005-0000-0000-000097C00000}"/>
    <cellStyle name="Normal 7 4 3 2 2 2 3 2" xfId="34562" xr:uid="{00000000-0005-0000-0000-000098C00000}"/>
    <cellStyle name="Normal 7 4 3 2 2 2 4" xfId="17795" xr:uid="{00000000-0005-0000-0000-000099C00000}"/>
    <cellStyle name="Normal 7 4 3 2 2 2 4 2" xfId="43348" xr:uid="{00000000-0005-0000-0000-00009AC00000}"/>
    <cellStyle name="Normal 7 4 3 2 2 2 5" xfId="29285" xr:uid="{00000000-0005-0000-0000-00009BC00000}"/>
    <cellStyle name="Normal 7 4 3 2 2 3" xfId="4771" xr:uid="{00000000-0005-0000-0000-00009CC00000}"/>
    <cellStyle name="Normal 7 4 3 2 2 3 2" xfId="13608" xr:uid="{00000000-0005-0000-0000-00009DC00000}"/>
    <cellStyle name="Normal 7 4 3 2 2 3 2 2" xfId="23859" xr:uid="{00000000-0005-0000-0000-00009EC00000}"/>
    <cellStyle name="Normal 7 4 3 2 2 3 2 2 2" xfId="49412" xr:uid="{00000000-0005-0000-0000-00009FC00000}"/>
    <cellStyle name="Normal 7 4 3 2 2 3 2 3" xfId="39163" xr:uid="{00000000-0005-0000-0000-0000A0C00000}"/>
    <cellStyle name="Normal 7 4 3 2 2 3 3" xfId="10029" xr:uid="{00000000-0005-0000-0000-0000A1C00000}"/>
    <cellStyle name="Normal 7 4 3 2 2 3 3 2" xfId="35586" xr:uid="{00000000-0005-0000-0000-0000A2C00000}"/>
    <cellStyle name="Normal 7 4 3 2 2 3 4" xfId="18852" xr:uid="{00000000-0005-0000-0000-0000A3C00000}"/>
    <cellStyle name="Normal 7 4 3 2 2 3 4 2" xfId="44405" xr:uid="{00000000-0005-0000-0000-0000A4C00000}"/>
    <cellStyle name="Normal 7 4 3 2 2 3 5" xfId="30342" xr:uid="{00000000-0005-0000-0000-0000A5C00000}"/>
    <cellStyle name="Normal 7 4 3 2 2 4" xfId="2550" xr:uid="{00000000-0005-0000-0000-0000A6C00000}"/>
    <cellStyle name="Normal 7 4 3 2 2 4 2" xfId="11915" xr:uid="{00000000-0005-0000-0000-0000A7C00000}"/>
    <cellStyle name="Normal 7 4 3 2 2 4 2 2" xfId="37470" xr:uid="{00000000-0005-0000-0000-0000A8C00000}"/>
    <cellStyle name="Normal 7 4 3 2 2 4 3" xfId="21919" xr:uid="{00000000-0005-0000-0000-0000A9C00000}"/>
    <cellStyle name="Normal 7 4 3 2 2 4 3 2" xfId="47472" xr:uid="{00000000-0005-0000-0000-0000AAC00000}"/>
    <cellStyle name="Normal 7 4 3 2 2 4 4" xfId="28402" xr:uid="{00000000-0005-0000-0000-0000ABC00000}"/>
    <cellStyle name="Normal 7 4 3 2 2 5" xfId="6226" xr:uid="{00000000-0005-0000-0000-0000ACC00000}"/>
    <cellStyle name="Normal 7 4 3 2 2 5 2" xfId="15053" xr:uid="{00000000-0005-0000-0000-0000ADC00000}"/>
    <cellStyle name="Normal 7 4 3 2 2 5 2 2" xfId="40608" xr:uid="{00000000-0005-0000-0000-0000AEC00000}"/>
    <cellStyle name="Normal 7 4 3 2 2 5 3" xfId="25304" xr:uid="{00000000-0005-0000-0000-0000AFC00000}"/>
    <cellStyle name="Normal 7 4 3 2 2 5 3 2" xfId="50857" xr:uid="{00000000-0005-0000-0000-0000B0C00000}"/>
    <cellStyle name="Normal 7 4 3 2 2 5 4" xfId="31787" xr:uid="{00000000-0005-0000-0000-0000B1C00000}"/>
    <cellStyle name="Normal 7 4 3 2 2 6" xfId="7672" xr:uid="{00000000-0005-0000-0000-0000B2C00000}"/>
    <cellStyle name="Normal 7 4 3 2 2 6 2" xfId="20401" xr:uid="{00000000-0005-0000-0000-0000B3C00000}"/>
    <cellStyle name="Normal 7 4 3 2 2 6 2 2" xfId="45954" xr:uid="{00000000-0005-0000-0000-0000B4C00000}"/>
    <cellStyle name="Normal 7 4 3 2 2 6 3" xfId="33229" xr:uid="{00000000-0005-0000-0000-0000B5C00000}"/>
    <cellStyle name="Normal 7 4 3 2 2 7" xfId="16912" xr:uid="{00000000-0005-0000-0000-0000B6C00000}"/>
    <cellStyle name="Normal 7 4 3 2 2 7 2" xfId="42465" xr:uid="{00000000-0005-0000-0000-0000B7C00000}"/>
    <cellStyle name="Normal 7 4 3 2 2 8" xfId="26884" xr:uid="{00000000-0005-0000-0000-0000B8C00000}"/>
    <cellStyle name="Normal 7 4 3 2 3" xfId="1352" xr:uid="{00000000-0005-0000-0000-0000B9C00000}"/>
    <cellStyle name="Normal 7 4 3 2 3 2" xfId="3781" xr:uid="{00000000-0005-0000-0000-0000BAC00000}"/>
    <cellStyle name="Normal 7 4 3 2 3 2 2" xfId="12917" xr:uid="{00000000-0005-0000-0000-0000BBC00000}"/>
    <cellStyle name="Normal 7 4 3 2 3 2 2 2" xfId="23136" xr:uid="{00000000-0005-0000-0000-0000BCC00000}"/>
    <cellStyle name="Normal 7 4 3 2 3 2 2 2 2" xfId="48689" xr:uid="{00000000-0005-0000-0000-0000BDC00000}"/>
    <cellStyle name="Normal 7 4 3 2 3 2 2 3" xfId="38472" xr:uid="{00000000-0005-0000-0000-0000BEC00000}"/>
    <cellStyle name="Normal 7 4 3 2 3 2 3" xfId="9338" xr:uid="{00000000-0005-0000-0000-0000BFC00000}"/>
    <cellStyle name="Normal 7 4 3 2 3 2 3 2" xfId="34895" xr:uid="{00000000-0005-0000-0000-0000C0C00000}"/>
    <cellStyle name="Normal 7 4 3 2 3 2 4" xfId="18129" xr:uid="{00000000-0005-0000-0000-0000C1C00000}"/>
    <cellStyle name="Normal 7 4 3 2 3 2 4 2" xfId="43682" xr:uid="{00000000-0005-0000-0000-0000C2C00000}"/>
    <cellStyle name="Normal 7 4 3 2 3 2 5" xfId="29619" xr:uid="{00000000-0005-0000-0000-0000C3C00000}"/>
    <cellStyle name="Normal 7 4 3 2 3 3" xfId="5119" xr:uid="{00000000-0005-0000-0000-0000C4C00000}"/>
    <cellStyle name="Normal 7 4 3 2 3 3 2" xfId="13956" xr:uid="{00000000-0005-0000-0000-0000C5C00000}"/>
    <cellStyle name="Normal 7 4 3 2 3 3 2 2" xfId="24207" xr:uid="{00000000-0005-0000-0000-0000C6C00000}"/>
    <cellStyle name="Normal 7 4 3 2 3 3 2 2 2" xfId="49760" xr:uid="{00000000-0005-0000-0000-0000C7C00000}"/>
    <cellStyle name="Normal 7 4 3 2 3 3 2 3" xfId="39511" xr:uid="{00000000-0005-0000-0000-0000C8C00000}"/>
    <cellStyle name="Normal 7 4 3 2 3 3 3" xfId="10377" xr:uid="{00000000-0005-0000-0000-0000C9C00000}"/>
    <cellStyle name="Normal 7 4 3 2 3 3 3 2" xfId="35934" xr:uid="{00000000-0005-0000-0000-0000CAC00000}"/>
    <cellStyle name="Normal 7 4 3 2 3 3 4" xfId="19200" xr:uid="{00000000-0005-0000-0000-0000CBC00000}"/>
    <cellStyle name="Normal 7 4 3 2 3 3 4 2" xfId="44753" xr:uid="{00000000-0005-0000-0000-0000CCC00000}"/>
    <cellStyle name="Normal 7 4 3 2 3 3 5" xfId="30690" xr:uid="{00000000-0005-0000-0000-0000CDC00000}"/>
    <cellStyle name="Normal 7 4 3 2 3 4" xfId="2175" xr:uid="{00000000-0005-0000-0000-0000CEC00000}"/>
    <cellStyle name="Normal 7 4 3 2 3 4 2" xfId="11540" xr:uid="{00000000-0005-0000-0000-0000CFC00000}"/>
    <cellStyle name="Normal 7 4 3 2 3 4 2 2" xfId="37095" xr:uid="{00000000-0005-0000-0000-0000D0C00000}"/>
    <cellStyle name="Normal 7 4 3 2 3 4 3" xfId="21544" xr:uid="{00000000-0005-0000-0000-0000D1C00000}"/>
    <cellStyle name="Normal 7 4 3 2 3 4 3 2" xfId="47097" xr:uid="{00000000-0005-0000-0000-0000D2C00000}"/>
    <cellStyle name="Normal 7 4 3 2 3 4 4" xfId="28027" xr:uid="{00000000-0005-0000-0000-0000D3C00000}"/>
    <cellStyle name="Normal 7 4 3 2 3 5" xfId="6574" xr:uid="{00000000-0005-0000-0000-0000D4C00000}"/>
    <cellStyle name="Normal 7 4 3 2 3 5 2" xfId="15401" xr:uid="{00000000-0005-0000-0000-0000D5C00000}"/>
    <cellStyle name="Normal 7 4 3 2 3 5 2 2" xfId="40956" xr:uid="{00000000-0005-0000-0000-0000D6C00000}"/>
    <cellStyle name="Normal 7 4 3 2 3 5 3" xfId="25652" xr:uid="{00000000-0005-0000-0000-0000D7C00000}"/>
    <cellStyle name="Normal 7 4 3 2 3 5 3 2" xfId="51205" xr:uid="{00000000-0005-0000-0000-0000D8C00000}"/>
    <cellStyle name="Normal 7 4 3 2 3 5 4" xfId="32135" xr:uid="{00000000-0005-0000-0000-0000D9C00000}"/>
    <cellStyle name="Normal 7 4 3 2 3 6" xfId="8020" xr:uid="{00000000-0005-0000-0000-0000DAC00000}"/>
    <cellStyle name="Normal 7 4 3 2 3 6 2" xfId="20735" xr:uid="{00000000-0005-0000-0000-0000DBC00000}"/>
    <cellStyle name="Normal 7 4 3 2 3 6 2 2" xfId="46288" xr:uid="{00000000-0005-0000-0000-0000DCC00000}"/>
    <cellStyle name="Normal 7 4 3 2 3 6 3" xfId="33577" xr:uid="{00000000-0005-0000-0000-0000DDC00000}"/>
    <cellStyle name="Normal 7 4 3 2 3 7" xfId="16537" xr:uid="{00000000-0005-0000-0000-0000DEC00000}"/>
    <cellStyle name="Normal 7 4 3 2 3 7 2" xfId="42090" xr:uid="{00000000-0005-0000-0000-0000DFC00000}"/>
    <cellStyle name="Normal 7 4 3 2 3 8" xfId="27218" xr:uid="{00000000-0005-0000-0000-0000E0C00000}"/>
    <cellStyle name="Normal 7 4 3 2 4" xfId="3066" xr:uid="{00000000-0005-0000-0000-0000E1C00000}"/>
    <cellStyle name="Normal 7 4 3 2 4 2" xfId="5444" xr:uid="{00000000-0005-0000-0000-0000E2C00000}"/>
    <cellStyle name="Normal 7 4 3 2 4 2 2" xfId="14281" xr:uid="{00000000-0005-0000-0000-0000E3C00000}"/>
    <cellStyle name="Normal 7 4 3 2 4 2 2 2" xfId="24532" xr:uid="{00000000-0005-0000-0000-0000E4C00000}"/>
    <cellStyle name="Normal 7 4 3 2 4 2 2 2 2" xfId="50085" xr:uid="{00000000-0005-0000-0000-0000E5C00000}"/>
    <cellStyle name="Normal 7 4 3 2 4 2 2 3" xfId="39836" xr:uid="{00000000-0005-0000-0000-0000E6C00000}"/>
    <cellStyle name="Normal 7 4 3 2 4 2 3" xfId="10702" xr:uid="{00000000-0005-0000-0000-0000E7C00000}"/>
    <cellStyle name="Normal 7 4 3 2 4 2 3 2" xfId="36259" xr:uid="{00000000-0005-0000-0000-0000E8C00000}"/>
    <cellStyle name="Normal 7 4 3 2 4 2 4" xfId="19525" xr:uid="{00000000-0005-0000-0000-0000E9C00000}"/>
    <cellStyle name="Normal 7 4 3 2 4 2 4 2" xfId="45078" xr:uid="{00000000-0005-0000-0000-0000EAC00000}"/>
    <cellStyle name="Normal 7 4 3 2 4 2 5" xfId="31015" xr:uid="{00000000-0005-0000-0000-0000EBC00000}"/>
    <cellStyle name="Normal 7 4 3 2 4 3" xfId="6899" xr:uid="{00000000-0005-0000-0000-0000ECC00000}"/>
    <cellStyle name="Normal 7 4 3 2 4 3 2" xfId="15726" xr:uid="{00000000-0005-0000-0000-0000EDC00000}"/>
    <cellStyle name="Normal 7 4 3 2 4 3 2 2" xfId="41281" xr:uid="{00000000-0005-0000-0000-0000EEC00000}"/>
    <cellStyle name="Normal 7 4 3 2 4 3 3" xfId="25977" xr:uid="{00000000-0005-0000-0000-0000EFC00000}"/>
    <cellStyle name="Normal 7 4 3 2 4 3 3 2" xfId="51530" xr:uid="{00000000-0005-0000-0000-0000F0C00000}"/>
    <cellStyle name="Normal 7 4 3 2 4 3 4" xfId="32460" xr:uid="{00000000-0005-0000-0000-0000F1C00000}"/>
    <cellStyle name="Normal 7 4 3 2 4 4" xfId="8345" xr:uid="{00000000-0005-0000-0000-0000F2C00000}"/>
    <cellStyle name="Normal 7 4 3 2 4 4 2" xfId="22427" xr:uid="{00000000-0005-0000-0000-0000F3C00000}"/>
    <cellStyle name="Normal 7 4 3 2 4 4 2 2" xfId="47980" xr:uid="{00000000-0005-0000-0000-0000F4C00000}"/>
    <cellStyle name="Normal 7 4 3 2 4 4 3" xfId="33902" xr:uid="{00000000-0005-0000-0000-0000F5C00000}"/>
    <cellStyle name="Normal 7 4 3 2 4 5" xfId="17420" xr:uid="{00000000-0005-0000-0000-0000F6C00000}"/>
    <cellStyle name="Normal 7 4 3 2 4 5 2" xfId="42973" xr:uid="{00000000-0005-0000-0000-0000F7C00000}"/>
    <cellStyle name="Normal 7 4 3 2 4 6" xfId="28910" xr:uid="{00000000-0005-0000-0000-0000F8C00000}"/>
    <cellStyle name="Normal 7 4 3 2 5" xfId="4400" xr:uid="{00000000-0005-0000-0000-0000F9C00000}"/>
    <cellStyle name="Normal 7 4 3 2 5 2" xfId="13238" xr:uid="{00000000-0005-0000-0000-0000FAC00000}"/>
    <cellStyle name="Normal 7 4 3 2 5 2 2" xfId="23489" xr:uid="{00000000-0005-0000-0000-0000FBC00000}"/>
    <cellStyle name="Normal 7 4 3 2 5 2 2 2" xfId="49042" xr:uid="{00000000-0005-0000-0000-0000FCC00000}"/>
    <cellStyle name="Normal 7 4 3 2 5 2 3" xfId="38793" xr:uid="{00000000-0005-0000-0000-0000FDC00000}"/>
    <cellStyle name="Normal 7 4 3 2 5 3" xfId="9659" xr:uid="{00000000-0005-0000-0000-0000FEC00000}"/>
    <cellStyle name="Normal 7 4 3 2 5 3 2" xfId="35216" xr:uid="{00000000-0005-0000-0000-0000FFC00000}"/>
    <cellStyle name="Normal 7 4 3 2 5 4" xfId="18482" xr:uid="{00000000-0005-0000-0000-000000C10000}"/>
    <cellStyle name="Normal 7 4 3 2 5 4 2" xfId="44035" xr:uid="{00000000-0005-0000-0000-000001C10000}"/>
    <cellStyle name="Normal 7 4 3 2 5 5" xfId="29972" xr:uid="{00000000-0005-0000-0000-000002C10000}"/>
    <cellStyle name="Normal 7 4 3 2 6" xfId="1672" xr:uid="{00000000-0005-0000-0000-000003C10000}"/>
    <cellStyle name="Normal 7 4 3 2 6 2" xfId="11049" xr:uid="{00000000-0005-0000-0000-000004C10000}"/>
    <cellStyle name="Normal 7 4 3 2 6 2 2" xfId="36604" xr:uid="{00000000-0005-0000-0000-000005C10000}"/>
    <cellStyle name="Normal 7 4 3 2 6 3" xfId="21053" xr:uid="{00000000-0005-0000-0000-000006C10000}"/>
    <cellStyle name="Normal 7 4 3 2 6 3 2" xfId="46606" xr:uid="{00000000-0005-0000-0000-000007C10000}"/>
    <cellStyle name="Normal 7 4 3 2 6 4" xfId="27536" xr:uid="{00000000-0005-0000-0000-000008C10000}"/>
    <cellStyle name="Normal 7 4 3 2 7" xfId="5856" xr:uid="{00000000-0005-0000-0000-000009C10000}"/>
    <cellStyle name="Normal 7 4 3 2 7 2" xfId="14683" xr:uid="{00000000-0005-0000-0000-00000AC10000}"/>
    <cellStyle name="Normal 7 4 3 2 7 2 2" xfId="40238" xr:uid="{00000000-0005-0000-0000-00000BC10000}"/>
    <cellStyle name="Normal 7 4 3 2 7 3" xfId="24934" xr:uid="{00000000-0005-0000-0000-00000CC10000}"/>
    <cellStyle name="Normal 7 4 3 2 7 3 2" xfId="50487" xr:uid="{00000000-0005-0000-0000-00000DC10000}"/>
    <cellStyle name="Normal 7 4 3 2 7 4" xfId="31417" xr:uid="{00000000-0005-0000-0000-00000EC10000}"/>
    <cellStyle name="Normal 7 4 3 2 8" xfId="7300" xr:uid="{00000000-0005-0000-0000-00000FC10000}"/>
    <cellStyle name="Normal 7 4 3 2 8 2" xfId="20026" xr:uid="{00000000-0005-0000-0000-000010C10000}"/>
    <cellStyle name="Normal 7 4 3 2 8 2 2" xfId="45579" xr:uid="{00000000-0005-0000-0000-000011C10000}"/>
    <cellStyle name="Normal 7 4 3 2 8 3" xfId="32857" xr:uid="{00000000-0005-0000-0000-000012C10000}"/>
    <cellStyle name="Normal 7 4 3 2 9" xfId="16046" xr:uid="{00000000-0005-0000-0000-000013C10000}"/>
    <cellStyle name="Normal 7 4 3 2 9 2" xfId="41599" xr:uid="{00000000-0005-0000-0000-000014C10000}"/>
    <cellStyle name="Normal 7 4 3 2_Degree data" xfId="4071" xr:uid="{00000000-0005-0000-0000-000015C10000}"/>
    <cellStyle name="Normal 7 4 3 3" xfId="375" xr:uid="{00000000-0005-0000-0000-000016C10000}"/>
    <cellStyle name="Normal 7 4 3 3 2" xfId="2861" xr:uid="{00000000-0005-0000-0000-000017C10000}"/>
    <cellStyle name="Normal 7 4 3 3 2 2" xfId="12149" xr:uid="{00000000-0005-0000-0000-000018C10000}"/>
    <cellStyle name="Normal 7 4 3 3 2 2 2" xfId="22222" xr:uid="{00000000-0005-0000-0000-000019C10000}"/>
    <cellStyle name="Normal 7 4 3 3 2 2 2 2" xfId="47775" xr:uid="{00000000-0005-0000-0000-00001AC10000}"/>
    <cellStyle name="Normal 7 4 3 3 2 2 3" xfId="37704" xr:uid="{00000000-0005-0000-0000-00001BC10000}"/>
    <cellStyle name="Normal 7 4 3 3 2 3" xfId="8523" xr:uid="{00000000-0005-0000-0000-00001CC10000}"/>
    <cellStyle name="Normal 7 4 3 3 2 3 2" xfId="34080" xr:uid="{00000000-0005-0000-0000-00001DC10000}"/>
    <cellStyle name="Normal 7 4 3 3 2 4" xfId="17215" xr:uid="{00000000-0005-0000-0000-00001EC10000}"/>
    <cellStyle name="Normal 7 4 3 3 2 4 2" xfId="42768" xr:uid="{00000000-0005-0000-0000-00001FC10000}"/>
    <cellStyle name="Normal 7 4 3 3 2 5" xfId="28705" xr:uid="{00000000-0005-0000-0000-000020C10000}"/>
    <cellStyle name="Normal 7 4 3 3 3" xfId="4770" xr:uid="{00000000-0005-0000-0000-000021C10000}"/>
    <cellStyle name="Normal 7 4 3 3 3 2" xfId="13607" xr:uid="{00000000-0005-0000-0000-000022C10000}"/>
    <cellStyle name="Normal 7 4 3 3 3 2 2" xfId="23858" xr:uid="{00000000-0005-0000-0000-000023C10000}"/>
    <cellStyle name="Normal 7 4 3 3 3 2 2 2" xfId="49411" xr:uid="{00000000-0005-0000-0000-000024C10000}"/>
    <cellStyle name="Normal 7 4 3 3 3 2 3" xfId="39162" xr:uid="{00000000-0005-0000-0000-000025C10000}"/>
    <cellStyle name="Normal 7 4 3 3 3 3" xfId="10028" xr:uid="{00000000-0005-0000-0000-000026C10000}"/>
    <cellStyle name="Normal 7 4 3 3 3 3 2" xfId="35585" xr:uid="{00000000-0005-0000-0000-000027C10000}"/>
    <cellStyle name="Normal 7 4 3 3 3 4" xfId="18851" xr:uid="{00000000-0005-0000-0000-000028C10000}"/>
    <cellStyle name="Normal 7 4 3 3 3 4 2" xfId="44404" xr:uid="{00000000-0005-0000-0000-000029C10000}"/>
    <cellStyle name="Normal 7 4 3 3 3 5" xfId="30341" xr:uid="{00000000-0005-0000-0000-00002AC10000}"/>
    <cellStyle name="Normal 7 4 3 3 4" xfId="1970" xr:uid="{00000000-0005-0000-0000-00002BC10000}"/>
    <cellStyle name="Normal 7 4 3 3 4 2" xfId="11335" xr:uid="{00000000-0005-0000-0000-00002CC10000}"/>
    <cellStyle name="Normal 7 4 3 3 4 2 2" xfId="36890" xr:uid="{00000000-0005-0000-0000-00002DC10000}"/>
    <cellStyle name="Normal 7 4 3 3 4 3" xfId="21339" xr:uid="{00000000-0005-0000-0000-00002EC10000}"/>
    <cellStyle name="Normal 7 4 3 3 4 3 2" xfId="46892" xr:uid="{00000000-0005-0000-0000-00002FC10000}"/>
    <cellStyle name="Normal 7 4 3 3 4 4" xfId="27822" xr:uid="{00000000-0005-0000-0000-000030C10000}"/>
    <cellStyle name="Normal 7 4 3 3 5" xfId="6225" xr:uid="{00000000-0005-0000-0000-000031C10000}"/>
    <cellStyle name="Normal 7 4 3 3 5 2" xfId="15052" xr:uid="{00000000-0005-0000-0000-000032C10000}"/>
    <cellStyle name="Normal 7 4 3 3 5 2 2" xfId="40607" xr:uid="{00000000-0005-0000-0000-000033C10000}"/>
    <cellStyle name="Normal 7 4 3 3 5 3" xfId="25303" xr:uid="{00000000-0005-0000-0000-000034C10000}"/>
    <cellStyle name="Normal 7 4 3 3 5 3 2" xfId="50856" xr:uid="{00000000-0005-0000-0000-000035C10000}"/>
    <cellStyle name="Normal 7 4 3 3 5 4" xfId="31786" xr:uid="{00000000-0005-0000-0000-000036C10000}"/>
    <cellStyle name="Normal 7 4 3 3 6" xfId="7671" xr:uid="{00000000-0005-0000-0000-000037C10000}"/>
    <cellStyle name="Normal 7 4 3 3 6 2" xfId="19821" xr:uid="{00000000-0005-0000-0000-000038C10000}"/>
    <cellStyle name="Normal 7 4 3 3 6 2 2" xfId="45374" xr:uid="{00000000-0005-0000-0000-000039C10000}"/>
    <cellStyle name="Normal 7 4 3 3 6 3" xfId="33228" xr:uid="{00000000-0005-0000-0000-00003AC10000}"/>
    <cellStyle name="Normal 7 4 3 3 7" xfId="16332" xr:uid="{00000000-0005-0000-0000-00003BC10000}"/>
    <cellStyle name="Normal 7 4 3 3 7 2" xfId="41885" xr:uid="{00000000-0005-0000-0000-00003CC10000}"/>
    <cellStyle name="Normal 7 4 3 3 8" xfId="26304" xr:uid="{00000000-0005-0000-0000-00003DC10000}"/>
    <cellStyle name="Normal 7 4 3 4" xfId="964" xr:uid="{00000000-0005-0000-0000-00003EC10000}"/>
    <cellStyle name="Normal 7 4 3 4 2" xfId="3440" xr:uid="{00000000-0005-0000-0000-00003FC10000}"/>
    <cellStyle name="Normal 7 4 3 4 2 2" xfId="12582" xr:uid="{00000000-0005-0000-0000-000040C10000}"/>
    <cellStyle name="Normal 7 4 3 4 2 2 2" xfId="22801" xr:uid="{00000000-0005-0000-0000-000041C10000}"/>
    <cellStyle name="Normal 7 4 3 4 2 2 2 2" xfId="48354" xr:uid="{00000000-0005-0000-0000-000042C10000}"/>
    <cellStyle name="Normal 7 4 3 4 2 2 3" xfId="38137" xr:uid="{00000000-0005-0000-0000-000043C10000}"/>
    <cellStyle name="Normal 7 4 3 4 2 3" xfId="9004" xr:uid="{00000000-0005-0000-0000-000044C10000}"/>
    <cellStyle name="Normal 7 4 3 4 2 3 2" xfId="34561" xr:uid="{00000000-0005-0000-0000-000045C10000}"/>
    <cellStyle name="Normal 7 4 3 4 2 4" xfId="17794" xr:uid="{00000000-0005-0000-0000-000046C10000}"/>
    <cellStyle name="Normal 7 4 3 4 2 4 2" xfId="43347" xr:uid="{00000000-0005-0000-0000-000047C10000}"/>
    <cellStyle name="Normal 7 4 3 4 2 5" xfId="29284" xr:uid="{00000000-0005-0000-0000-000048C10000}"/>
    <cellStyle name="Normal 7 4 3 4 3" xfId="5118" xr:uid="{00000000-0005-0000-0000-000049C10000}"/>
    <cellStyle name="Normal 7 4 3 4 3 2" xfId="13955" xr:uid="{00000000-0005-0000-0000-00004AC10000}"/>
    <cellStyle name="Normal 7 4 3 4 3 2 2" xfId="24206" xr:uid="{00000000-0005-0000-0000-00004BC10000}"/>
    <cellStyle name="Normal 7 4 3 4 3 2 2 2" xfId="49759" xr:uid="{00000000-0005-0000-0000-00004CC10000}"/>
    <cellStyle name="Normal 7 4 3 4 3 2 3" xfId="39510" xr:uid="{00000000-0005-0000-0000-00004DC10000}"/>
    <cellStyle name="Normal 7 4 3 4 3 3" xfId="10376" xr:uid="{00000000-0005-0000-0000-00004EC10000}"/>
    <cellStyle name="Normal 7 4 3 4 3 3 2" xfId="35933" xr:uid="{00000000-0005-0000-0000-00004FC10000}"/>
    <cellStyle name="Normal 7 4 3 4 3 4" xfId="19199" xr:uid="{00000000-0005-0000-0000-000050C10000}"/>
    <cellStyle name="Normal 7 4 3 4 3 4 2" xfId="44752" xr:uid="{00000000-0005-0000-0000-000051C10000}"/>
    <cellStyle name="Normal 7 4 3 4 3 5" xfId="30689" xr:uid="{00000000-0005-0000-0000-000052C10000}"/>
    <cellStyle name="Normal 7 4 3 4 4" xfId="2549" xr:uid="{00000000-0005-0000-0000-000053C10000}"/>
    <cellStyle name="Normal 7 4 3 4 4 2" xfId="11914" xr:uid="{00000000-0005-0000-0000-000054C10000}"/>
    <cellStyle name="Normal 7 4 3 4 4 2 2" xfId="37469" xr:uid="{00000000-0005-0000-0000-000055C10000}"/>
    <cellStyle name="Normal 7 4 3 4 4 3" xfId="21918" xr:uid="{00000000-0005-0000-0000-000056C10000}"/>
    <cellStyle name="Normal 7 4 3 4 4 3 2" xfId="47471" xr:uid="{00000000-0005-0000-0000-000057C10000}"/>
    <cellStyle name="Normal 7 4 3 4 4 4" xfId="28401" xr:uid="{00000000-0005-0000-0000-000058C10000}"/>
    <cellStyle name="Normal 7 4 3 4 5" xfId="6573" xr:uid="{00000000-0005-0000-0000-000059C10000}"/>
    <cellStyle name="Normal 7 4 3 4 5 2" xfId="15400" xr:uid="{00000000-0005-0000-0000-00005AC10000}"/>
    <cellStyle name="Normal 7 4 3 4 5 2 2" xfId="40955" xr:uid="{00000000-0005-0000-0000-00005BC10000}"/>
    <cellStyle name="Normal 7 4 3 4 5 3" xfId="25651" xr:uid="{00000000-0005-0000-0000-00005CC10000}"/>
    <cellStyle name="Normal 7 4 3 4 5 3 2" xfId="51204" xr:uid="{00000000-0005-0000-0000-00005DC10000}"/>
    <cellStyle name="Normal 7 4 3 4 5 4" xfId="32134" xr:uid="{00000000-0005-0000-0000-00005EC10000}"/>
    <cellStyle name="Normal 7 4 3 4 6" xfId="8019" xr:uid="{00000000-0005-0000-0000-00005FC10000}"/>
    <cellStyle name="Normal 7 4 3 4 6 2" xfId="20400" xr:uid="{00000000-0005-0000-0000-000060C10000}"/>
    <cellStyle name="Normal 7 4 3 4 6 2 2" xfId="45953" xr:uid="{00000000-0005-0000-0000-000061C10000}"/>
    <cellStyle name="Normal 7 4 3 4 6 3" xfId="33576" xr:uid="{00000000-0005-0000-0000-000062C10000}"/>
    <cellStyle name="Normal 7 4 3 4 7" xfId="16911" xr:uid="{00000000-0005-0000-0000-000063C10000}"/>
    <cellStyle name="Normal 7 4 3 4 7 2" xfId="42464" xr:uid="{00000000-0005-0000-0000-000064C10000}"/>
    <cellStyle name="Normal 7 4 3 4 8" xfId="26883" xr:uid="{00000000-0005-0000-0000-000065C10000}"/>
    <cellStyle name="Normal 7 4 3 5" xfId="1147" xr:uid="{00000000-0005-0000-0000-000066C10000}"/>
    <cellStyle name="Normal 7 4 3 5 2" xfId="3576" xr:uid="{00000000-0005-0000-0000-000067C10000}"/>
    <cellStyle name="Normal 7 4 3 5 2 2" xfId="12712" xr:uid="{00000000-0005-0000-0000-000068C10000}"/>
    <cellStyle name="Normal 7 4 3 5 2 2 2" xfId="22931" xr:uid="{00000000-0005-0000-0000-000069C10000}"/>
    <cellStyle name="Normal 7 4 3 5 2 2 2 2" xfId="48484" xr:uid="{00000000-0005-0000-0000-00006AC10000}"/>
    <cellStyle name="Normal 7 4 3 5 2 2 3" xfId="38267" xr:uid="{00000000-0005-0000-0000-00006BC10000}"/>
    <cellStyle name="Normal 7 4 3 5 2 3" xfId="9133" xr:uid="{00000000-0005-0000-0000-00006CC10000}"/>
    <cellStyle name="Normal 7 4 3 5 2 3 2" xfId="34690" xr:uid="{00000000-0005-0000-0000-00006DC10000}"/>
    <cellStyle name="Normal 7 4 3 5 2 4" xfId="17924" xr:uid="{00000000-0005-0000-0000-00006EC10000}"/>
    <cellStyle name="Normal 7 4 3 5 2 4 2" xfId="43477" xr:uid="{00000000-0005-0000-0000-00006FC10000}"/>
    <cellStyle name="Normal 7 4 3 5 2 5" xfId="29414" xr:uid="{00000000-0005-0000-0000-000070C10000}"/>
    <cellStyle name="Normal 7 4 3 5 3" xfId="5239" xr:uid="{00000000-0005-0000-0000-000071C10000}"/>
    <cellStyle name="Normal 7 4 3 5 3 2" xfId="14076" xr:uid="{00000000-0005-0000-0000-000072C10000}"/>
    <cellStyle name="Normal 7 4 3 5 3 2 2" xfId="24327" xr:uid="{00000000-0005-0000-0000-000073C10000}"/>
    <cellStyle name="Normal 7 4 3 5 3 2 2 2" xfId="49880" xr:uid="{00000000-0005-0000-0000-000074C10000}"/>
    <cellStyle name="Normal 7 4 3 5 3 2 3" xfId="39631" xr:uid="{00000000-0005-0000-0000-000075C10000}"/>
    <cellStyle name="Normal 7 4 3 5 3 3" xfId="10497" xr:uid="{00000000-0005-0000-0000-000076C10000}"/>
    <cellStyle name="Normal 7 4 3 5 3 3 2" xfId="36054" xr:uid="{00000000-0005-0000-0000-000077C10000}"/>
    <cellStyle name="Normal 7 4 3 5 3 4" xfId="19320" xr:uid="{00000000-0005-0000-0000-000078C10000}"/>
    <cellStyle name="Normal 7 4 3 5 3 4 2" xfId="44873" xr:uid="{00000000-0005-0000-0000-000079C10000}"/>
    <cellStyle name="Normal 7 4 3 5 3 5" xfId="30810" xr:uid="{00000000-0005-0000-0000-00007AC10000}"/>
    <cellStyle name="Normal 7 4 3 5 4" xfId="1855" xr:uid="{00000000-0005-0000-0000-00007BC10000}"/>
    <cellStyle name="Normal 7 4 3 5 4 2" xfId="11223" xr:uid="{00000000-0005-0000-0000-00007CC10000}"/>
    <cellStyle name="Normal 7 4 3 5 4 2 2" xfId="36778" xr:uid="{00000000-0005-0000-0000-00007DC10000}"/>
    <cellStyle name="Normal 7 4 3 5 4 3" xfId="21227" xr:uid="{00000000-0005-0000-0000-00007EC10000}"/>
    <cellStyle name="Normal 7 4 3 5 4 3 2" xfId="46780" xr:uid="{00000000-0005-0000-0000-00007FC10000}"/>
    <cellStyle name="Normal 7 4 3 5 4 4" xfId="27710" xr:uid="{00000000-0005-0000-0000-000080C10000}"/>
    <cellStyle name="Normal 7 4 3 5 5" xfId="6694" xr:uid="{00000000-0005-0000-0000-000081C10000}"/>
    <cellStyle name="Normal 7 4 3 5 5 2" xfId="15521" xr:uid="{00000000-0005-0000-0000-000082C10000}"/>
    <cellStyle name="Normal 7 4 3 5 5 2 2" xfId="41076" xr:uid="{00000000-0005-0000-0000-000083C10000}"/>
    <cellStyle name="Normal 7 4 3 5 5 3" xfId="25772" xr:uid="{00000000-0005-0000-0000-000084C10000}"/>
    <cellStyle name="Normal 7 4 3 5 5 3 2" xfId="51325" xr:uid="{00000000-0005-0000-0000-000085C10000}"/>
    <cellStyle name="Normal 7 4 3 5 5 4" xfId="32255" xr:uid="{00000000-0005-0000-0000-000086C10000}"/>
    <cellStyle name="Normal 7 4 3 5 6" xfId="8140" xr:uid="{00000000-0005-0000-0000-000087C10000}"/>
    <cellStyle name="Normal 7 4 3 5 6 2" xfId="20530" xr:uid="{00000000-0005-0000-0000-000088C10000}"/>
    <cellStyle name="Normal 7 4 3 5 6 2 2" xfId="46083" xr:uid="{00000000-0005-0000-0000-000089C10000}"/>
    <cellStyle name="Normal 7 4 3 5 6 3" xfId="33697" xr:uid="{00000000-0005-0000-0000-00008AC10000}"/>
    <cellStyle name="Normal 7 4 3 5 7" xfId="16220" xr:uid="{00000000-0005-0000-0000-00008BC10000}"/>
    <cellStyle name="Normal 7 4 3 5 7 2" xfId="41773" xr:uid="{00000000-0005-0000-0000-00008CC10000}"/>
    <cellStyle name="Normal 7 4 3 5 8" xfId="27013" xr:uid="{00000000-0005-0000-0000-00008DC10000}"/>
    <cellStyle name="Normal 7 4 3 6" xfId="2749" xr:uid="{00000000-0005-0000-0000-00008EC10000}"/>
    <cellStyle name="Normal 7 4 3 6 2" xfId="12066" xr:uid="{00000000-0005-0000-0000-00008FC10000}"/>
    <cellStyle name="Normal 7 4 3 6 2 2" xfId="22110" xr:uid="{00000000-0005-0000-0000-000090C10000}"/>
    <cellStyle name="Normal 7 4 3 6 2 2 2" xfId="47663" xr:uid="{00000000-0005-0000-0000-000091C10000}"/>
    <cellStyle name="Normal 7 4 3 6 2 3" xfId="37621" xr:uid="{00000000-0005-0000-0000-000092C10000}"/>
    <cellStyle name="Normal 7 4 3 6 3" xfId="8543" xr:uid="{00000000-0005-0000-0000-000093C10000}"/>
    <cellStyle name="Normal 7 4 3 6 3 2" xfId="34100" xr:uid="{00000000-0005-0000-0000-000094C10000}"/>
    <cellStyle name="Normal 7 4 3 6 4" xfId="17103" xr:uid="{00000000-0005-0000-0000-000095C10000}"/>
    <cellStyle name="Normal 7 4 3 6 4 2" xfId="42656" xr:uid="{00000000-0005-0000-0000-000096C10000}"/>
    <cellStyle name="Normal 7 4 3 6 5" xfId="28593" xr:uid="{00000000-0005-0000-0000-000097C10000}"/>
    <cellStyle name="Normal 7 4 3 7" xfId="4195" xr:uid="{00000000-0005-0000-0000-000098C10000}"/>
    <cellStyle name="Normal 7 4 3 7 2" xfId="13033" xr:uid="{00000000-0005-0000-0000-000099C10000}"/>
    <cellStyle name="Normal 7 4 3 7 2 2" xfId="23284" xr:uid="{00000000-0005-0000-0000-00009AC10000}"/>
    <cellStyle name="Normal 7 4 3 7 2 2 2" xfId="48837" xr:uid="{00000000-0005-0000-0000-00009BC10000}"/>
    <cellStyle name="Normal 7 4 3 7 2 3" xfId="38588" xr:uid="{00000000-0005-0000-0000-00009CC10000}"/>
    <cellStyle name="Normal 7 4 3 7 3" xfId="9454" xr:uid="{00000000-0005-0000-0000-00009DC10000}"/>
    <cellStyle name="Normal 7 4 3 7 3 2" xfId="35011" xr:uid="{00000000-0005-0000-0000-00009EC10000}"/>
    <cellStyle name="Normal 7 4 3 7 4" xfId="18277" xr:uid="{00000000-0005-0000-0000-00009FC10000}"/>
    <cellStyle name="Normal 7 4 3 7 4 2" xfId="43830" xr:uid="{00000000-0005-0000-0000-0000A0C10000}"/>
    <cellStyle name="Normal 7 4 3 7 5" xfId="29767" xr:uid="{00000000-0005-0000-0000-0000A1C10000}"/>
    <cellStyle name="Normal 7 4 3 8" xfId="1467" xr:uid="{00000000-0005-0000-0000-0000A2C10000}"/>
    <cellStyle name="Normal 7 4 3 8 2" xfId="10844" xr:uid="{00000000-0005-0000-0000-0000A3C10000}"/>
    <cellStyle name="Normal 7 4 3 8 2 2" xfId="36399" xr:uid="{00000000-0005-0000-0000-0000A4C10000}"/>
    <cellStyle name="Normal 7 4 3 8 3" xfId="20848" xr:uid="{00000000-0005-0000-0000-0000A5C10000}"/>
    <cellStyle name="Normal 7 4 3 8 3 2" xfId="46401" xr:uid="{00000000-0005-0000-0000-0000A6C10000}"/>
    <cellStyle name="Normal 7 4 3 8 4" xfId="27331" xr:uid="{00000000-0005-0000-0000-0000A7C10000}"/>
    <cellStyle name="Normal 7 4 3 9" xfId="5651" xr:uid="{00000000-0005-0000-0000-0000A8C10000}"/>
    <cellStyle name="Normal 7 4 3 9 2" xfId="14478" xr:uid="{00000000-0005-0000-0000-0000A9C10000}"/>
    <cellStyle name="Normal 7 4 3 9 2 2" xfId="40033" xr:uid="{00000000-0005-0000-0000-0000AAC10000}"/>
    <cellStyle name="Normal 7 4 3 9 3" xfId="24729" xr:uid="{00000000-0005-0000-0000-0000ABC10000}"/>
    <cellStyle name="Normal 7 4 3 9 3 2" xfId="50282" xr:uid="{00000000-0005-0000-0000-0000ACC10000}"/>
    <cellStyle name="Normal 7 4 3 9 4" xfId="31212" xr:uid="{00000000-0005-0000-0000-0000ADC10000}"/>
    <cellStyle name="Normal 7 4 3_Degree data" xfId="4070" xr:uid="{00000000-0005-0000-0000-0000AEC10000}"/>
    <cellStyle name="Normal 7 4 4" xfId="475" xr:uid="{00000000-0005-0000-0000-0000AFC10000}"/>
    <cellStyle name="Normal 7 4 4 10" xfId="26404" xr:uid="{00000000-0005-0000-0000-0000B0C10000}"/>
    <cellStyle name="Normal 7 4 4 2" xfId="966" xr:uid="{00000000-0005-0000-0000-0000B1C10000}"/>
    <cellStyle name="Normal 7 4 4 2 2" xfId="3442" xr:uid="{00000000-0005-0000-0000-0000B2C10000}"/>
    <cellStyle name="Normal 7 4 4 2 2 2" xfId="12584" xr:uid="{00000000-0005-0000-0000-0000B3C10000}"/>
    <cellStyle name="Normal 7 4 4 2 2 2 2" xfId="22803" xr:uid="{00000000-0005-0000-0000-0000B4C10000}"/>
    <cellStyle name="Normal 7 4 4 2 2 2 2 2" xfId="48356" xr:uid="{00000000-0005-0000-0000-0000B5C10000}"/>
    <cellStyle name="Normal 7 4 4 2 2 2 3" xfId="38139" xr:uid="{00000000-0005-0000-0000-0000B6C10000}"/>
    <cellStyle name="Normal 7 4 4 2 2 3" xfId="9006" xr:uid="{00000000-0005-0000-0000-0000B7C10000}"/>
    <cellStyle name="Normal 7 4 4 2 2 3 2" xfId="34563" xr:uid="{00000000-0005-0000-0000-0000B8C10000}"/>
    <cellStyle name="Normal 7 4 4 2 2 4" xfId="17796" xr:uid="{00000000-0005-0000-0000-0000B9C10000}"/>
    <cellStyle name="Normal 7 4 4 2 2 4 2" xfId="43349" xr:uid="{00000000-0005-0000-0000-0000BAC10000}"/>
    <cellStyle name="Normal 7 4 4 2 2 5" xfId="29286" xr:uid="{00000000-0005-0000-0000-0000BBC10000}"/>
    <cellStyle name="Normal 7 4 4 2 3" xfId="4772" xr:uid="{00000000-0005-0000-0000-0000BCC10000}"/>
    <cellStyle name="Normal 7 4 4 2 3 2" xfId="13609" xr:uid="{00000000-0005-0000-0000-0000BDC10000}"/>
    <cellStyle name="Normal 7 4 4 2 3 2 2" xfId="23860" xr:uid="{00000000-0005-0000-0000-0000BEC10000}"/>
    <cellStyle name="Normal 7 4 4 2 3 2 2 2" xfId="49413" xr:uid="{00000000-0005-0000-0000-0000BFC10000}"/>
    <cellStyle name="Normal 7 4 4 2 3 2 3" xfId="39164" xr:uid="{00000000-0005-0000-0000-0000C0C10000}"/>
    <cellStyle name="Normal 7 4 4 2 3 3" xfId="10030" xr:uid="{00000000-0005-0000-0000-0000C1C10000}"/>
    <cellStyle name="Normal 7 4 4 2 3 3 2" xfId="35587" xr:uid="{00000000-0005-0000-0000-0000C2C10000}"/>
    <cellStyle name="Normal 7 4 4 2 3 4" xfId="18853" xr:uid="{00000000-0005-0000-0000-0000C3C10000}"/>
    <cellStyle name="Normal 7 4 4 2 3 4 2" xfId="44406" xr:uid="{00000000-0005-0000-0000-0000C4C10000}"/>
    <cellStyle name="Normal 7 4 4 2 3 5" xfId="30343" xr:uid="{00000000-0005-0000-0000-0000C5C10000}"/>
    <cellStyle name="Normal 7 4 4 2 4" xfId="2551" xr:uid="{00000000-0005-0000-0000-0000C6C10000}"/>
    <cellStyle name="Normal 7 4 4 2 4 2" xfId="11916" xr:uid="{00000000-0005-0000-0000-0000C7C10000}"/>
    <cellStyle name="Normal 7 4 4 2 4 2 2" xfId="37471" xr:uid="{00000000-0005-0000-0000-0000C8C10000}"/>
    <cellStyle name="Normal 7 4 4 2 4 3" xfId="21920" xr:uid="{00000000-0005-0000-0000-0000C9C10000}"/>
    <cellStyle name="Normal 7 4 4 2 4 3 2" xfId="47473" xr:uid="{00000000-0005-0000-0000-0000CAC10000}"/>
    <cellStyle name="Normal 7 4 4 2 4 4" xfId="28403" xr:uid="{00000000-0005-0000-0000-0000CBC10000}"/>
    <cellStyle name="Normal 7 4 4 2 5" xfId="6227" xr:uid="{00000000-0005-0000-0000-0000CCC10000}"/>
    <cellStyle name="Normal 7 4 4 2 5 2" xfId="15054" xr:uid="{00000000-0005-0000-0000-0000CDC10000}"/>
    <cellStyle name="Normal 7 4 4 2 5 2 2" xfId="40609" xr:uid="{00000000-0005-0000-0000-0000CEC10000}"/>
    <cellStyle name="Normal 7 4 4 2 5 3" xfId="25305" xr:uid="{00000000-0005-0000-0000-0000CFC10000}"/>
    <cellStyle name="Normal 7 4 4 2 5 3 2" xfId="50858" xr:uid="{00000000-0005-0000-0000-0000D0C10000}"/>
    <cellStyle name="Normal 7 4 4 2 5 4" xfId="31788" xr:uid="{00000000-0005-0000-0000-0000D1C10000}"/>
    <cellStyle name="Normal 7 4 4 2 6" xfId="7673" xr:uid="{00000000-0005-0000-0000-0000D2C10000}"/>
    <cellStyle name="Normal 7 4 4 2 6 2" xfId="20402" xr:uid="{00000000-0005-0000-0000-0000D3C10000}"/>
    <cellStyle name="Normal 7 4 4 2 6 2 2" xfId="45955" xr:uid="{00000000-0005-0000-0000-0000D4C10000}"/>
    <cellStyle name="Normal 7 4 4 2 6 3" xfId="33230" xr:uid="{00000000-0005-0000-0000-0000D5C10000}"/>
    <cellStyle name="Normal 7 4 4 2 7" xfId="16913" xr:uid="{00000000-0005-0000-0000-0000D6C10000}"/>
    <cellStyle name="Normal 7 4 4 2 7 2" xfId="42466" xr:uid="{00000000-0005-0000-0000-0000D7C10000}"/>
    <cellStyle name="Normal 7 4 4 2 8" xfId="26885" xr:uid="{00000000-0005-0000-0000-0000D8C10000}"/>
    <cellStyle name="Normal 7 4 4 3" xfId="1247" xr:uid="{00000000-0005-0000-0000-0000D9C10000}"/>
    <cellStyle name="Normal 7 4 4 3 2" xfId="3676" xr:uid="{00000000-0005-0000-0000-0000DAC10000}"/>
    <cellStyle name="Normal 7 4 4 3 2 2" xfId="12812" xr:uid="{00000000-0005-0000-0000-0000DBC10000}"/>
    <cellStyle name="Normal 7 4 4 3 2 2 2" xfId="23031" xr:uid="{00000000-0005-0000-0000-0000DCC10000}"/>
    <cellStyle name="Normal 7 4 4 3 2 2 2 2" xfId="48584" xr:uid="{00000000-0005-0000-0000-0000DDC10000}"/>
    <cellStyle name="Normal 7 4 4 3 2 2 3" xfId="38367" xr:uid="{00000000-0005-0000-0000-0000DEC10000}"/>
    <cellStyle name="Normal 7 4 4 3 2 3" xfId="9233" xr:uid="{00000000-0005-0000-0000-0000DFC10000}"/>
    <cellStyle name="Normal 7 4 4 3 2 3 2" xfId="34790" xr:uid="{00000000-0005-0000-0000-0000E0C10000}"/>
    <cellStyle name="Normal 7 4 4 3 2 4" xfId="18024" xr:uid="{00000000-0005-0000-0000-0000E1C10000}"/>
    <cellStyle name="Normal 7 4 4 3 2 4 2" xfId="43577" xr:uid="{00000000-0005-0000-0000-0000E2C10000}"/>
    <cellStyle name="Normal 7 4 4 3 2 5" xfId="29514" xr:uid="{00000000-0005-0000-0000-0000E3C10000}"/>
    <cellStyle name="Normal 7 4 4 3 3" xfId="5120" xr:uid="{00000000-0005-0000-0000-0000E4C10000}"/>
    <cellStyle name="Normal 7 4 4 3 3 2" xfId="13957" xr:uid="{00000000-0005-0000-0000-0000E5C10000}"/>
    <cellStyle name="Normal 7 4 4 3 3 2 2" xfId="24208" xr:uid="{00000000-0005-0000-0000-0000E6C10000}"/>
    <cellStyle name="Normal 7 4 4 3 3 2 2 2" xfId="49761" xr:uid="{00000000-0005-0000-0000-0000E7C10000}"/>
    <cellStyle name="Normal 7 4 4 3 3 2 3" xfId="39512" xr:uid="{00000000-0005-0000-0000-0000E8C10000}"/>
    <cellStyle name="Normal 7 4 4 3 3 3" xfId="10378" xr:uid="{00000000-0005-0000-0000-0000E9C10000}"/>
    <cellStyle name="Normal 7 4 4 3 3 3 2" xfId="35935" xr:uid="{00000000-0005-0000-0000-0000EAC10000}"/>
    <cellStyle name="Normal 7 4 4 3 3 4" xfId="19201" xr:uid="{00000000-0005-0000-0000-0000EBC10000}"/>
    <cellStyle name="Normal 7 4 4 3 3 4 2" xfId="44754" xr:uid="{00000000-0005-0000-0000-0000ECC10000}"/>
    <cellStyle name="Normal 7 4 4 3 3 5" xfId="30691" xr:uid="{00000000-0005-0000-0000-0000EDC10000}"/>
    <cellStyle name="Normal 7 4 4 3 4" xfId="2070" xr:uid="{00000000-0005-0000-0000-0000EEC10000}"/>
    <cellStyle name="Normal 7 4 4 3 4 2" xfId="11435" xr:uid="{00000000-0005-0000-0000-0000EFC10000}"/>
    <cellStyle name="Normal 7 4 4 3 4 2 2" xfId="36990" xr:uid="{00000000-0005-0000-0000-0000F0C10000}"/>
    <cellStyle name="Normal 7 4 4 3 4 3" xfId="21439" xr:uid="{00000000-0005-0000-0000-0000F1C10000}"/>
    <cellStyle name="Normal 7 4 4 3 4 3 2" xfId="46992" xr:uid="{00000000-0005-0000-0000-0000F2C10000}"/>
    <cellStyle name="Normal 7 4 4 3 4 4" xfId="27922" xr:uid="{00000000-0005-0000-0000-0000F3C10000}"/>
    <cellStyle name="Normal 7 4 4 3 5" xfId="6575" xr:uid="{00000000-0005-0000-0000-0000F4C10000}"/>
    <cellStyle name="Normal 7 4 4 3 5 2" xfId="15402" xr:uid="{00000000-0005-0000-0000-0000F5C10000}"/>
    <cellStyle name="Normal 7 4 4 3 5 2 2" xfId="40957" xr:uid="{00000000-0005-0000-0000-0000F6C10000}"/>
    <cellStyle name="Normal 7 4 4 3 5 3" xfId="25653" xr:uid="{00000000-0005-0000-0000-0000F7C10000}"/>
    <cellStyle name="Normal 7 4 4 3 5 3 2" xfId="51206" xr:uid="{00000000-0005-0000-0000-0000F8C10000}"/>
    <cellStyle name="Normal 7 4 4 3 5 4" xfId="32136" xr:uid="{00000000-0005-0000-0000-0000F9C10000}"/>
    <cellStyle name="Normal 7 4 4 3 6" xfId="8021" xr:uid="{00000000-0005-0000-0000-0000FAC10000}"/>
    <cellStyle name="Normal 7 4 4 3 6 2" xfId="20630" xr:uid="{00000000-0005-0000-0000-0000FBC10000}"/>
    <cellStyle name="Normal 7 4 4 3 6 2 2" xfId="46183" xr:uid="{00000000-0005-0000-0000-0000FCC10000}"/>
    <cellStyle name="Normal 7 4 4 3 6 3" xfId="33578" xr:uid="{00000000-0005-0000-0000-0000FDC10000}"/>
    <cellStyle name="Normal 7 4 4 3 7" xfId="16432" xr:uid="{00000000-0005-0000-0000-0000FEC10000}"/>
    <cellStyle name="Normal 7 4 4 3 7 2" xfId="41985" xr:uid="{00000000-0005-0000-0000-0000FFC10000}"/>
    <cellStyle name="Normal 7 4 4 3 8" xfId="27113" xr:uid="{00000000-0005-0000-0000-000000C20000}"/>
    <cellStyle name="Normal 7 4 4 4" xfId="2961" xr:uid="{00000000-0005-0000-0000-000001C20000}"/>
    <cellStyle name="Normal 7 4 4 4 2" xfId="5339" xr:uid="{00000000-0005-0000-0000-000002C20000}"/>
    <cellStyle name="Normal 7 4 4 4 2 2" xfId="14176" xr:uid="{00000000-0005-0000-0000-000003C20000}"/>
    <cellStyle name="Normal 7 4 4 4 2 2 2" xfId="24427" xr:uid="{00000000-0005-0000-0000-000004C20000}"/>
    <cellStyle name="Normal 7 4 4 4 2 2 2 2" xfId="49980" xr:uid="{00000000-0005-0000-0000-000005C20000}"/>
    <cellStyle name="Normal 7 4 4 4 2 2 3" xfId="39731" xr:uid="{00000000-0005-0000-0000-000006C20000}"/>
    <cellStyle name="Normal 7 4 4 4 2 3" xfId="10597" xr:uid="{00000000-0005-0000-0000-000007C20000}"/>
    <cellStyle name="Normal 7 4 4 4 2 3 2" xfId="36154" xr:uid="{00000000-0005-0000-0000-000008C20000}"/>
    <cellStyle name="Normal 7 4 4 4 2 4" xfId="19420" xr:uid="{00000000-0005-0000-0000-000009C20000}"/>
    <cellStyle name="Normal 7 4 4 4 2 4 2" xfId="44973" xr:uid="{00000000-0005-0000-0000-00000AC20000}"/>
    <cellStyle name="Normal 7 4 4 4 2 5" xfId="30910" xr:uid="{00000000-0005-0000-0000-00000BC20000}"/>
    <cellStyle name="Normal 7 4 4 4 3" xfId="6794" xr:uid="{00000000-0005-0000-0000-00000CC20000}"/>
    <cellStyle name="Normal 7 4 4 4 3 2" xfId="15621" xr:uid="{00000000-0005-0000-0000-00000DC20000}"/>
    <cellStyle name="Normal 7 4 4 4 3 2 2" xfId="41176" xr:uid="{00000000-0005-0000-0000-00000EC20000}"/>
    <cellStyle name="Normal 7 4 4 4 3 3" xfId="25872" xr:uid="{00000000-0005-0000-0000-00000FC20000}"/>
    <cellStyle name="Normal 7 4 4 4 3 3 2" xfId="51425" xr:uid="{00000000-0005-0000-0000-000010C20000}"/>
    <cellStyle name="Normal 7 4 4 4 3 4" xfId="32355" xr:uid="{00000000-0005-0000-0000-000011C20000}"/>
    <cellStyle name="Normal 7 4 4 4 4" xfId="8240" xr:uid="{00000000-0005-0000-0000-000012C20000}"/>
    <cellStyle name="Normal 7 4 4 4 4 2" xfId="22322" xr:uid="{00000000-0005-0000-0000-000013C20000}"/>
    <cellStyle name="Normal 7 4 4 4 4 2 2" xfId="47875" xr:uid="{00000000-0005-0000-0000-000014C20000}"/>
    <cellStyle name="Normal 7 4 4 4 4 3" xfId="33797" xr:uid="{00000000-0005-0000-0000-000015C20000}"/>
    <cellStyle name="Normal 7 4 4 4 5" xfId="17315" xr:uid="{00000000-0005-0000-0000-000016C20000}"/>
    <cellStyle name="Normal 7 4 4 4 5 2" xfId="42868" xr:uid="{00000000-0005-0000-0000-000017C20000}"/>
    <cellStyle name="Normal 7 4 4 4 6" xfId="28805" xr:uid="{00000000-0005-0000-0000-000018C20000}"/>
    <cellStyle name="Normal 7 4 4 5" xfId="4295" xr:uid="{00000000-0005-0000-0000-000019C20000}"/>
    <cellStyle name="Normal 7 4 4 5 2" xfId="13133" xr:uid="{00000000-0005-0000-0000-00001AC20000}"/>
    <cellStyle name="Normal 7 4 4 5 2 2" xfId="23384" xr:uid="{00000000-0005-0000-0000-00001BC20000}"/>
    <cellStyle name="Normal 7 4 4 5 2 2 2" xfId="48937" xr:uid="{00000000-0005-0000-0000-00001CC20000}"/>
    <cellStyle name="Normal 7 4 4 5 2 3" xfId="38688" xr:uid="{00000000-0005-0000-0000-00001DC20000}"/>
    <cellStyle name="Normal 7 4 4 5 3" xfId="9554" xr:uid="{00000000-0005-0000-0000-00001EC20000}"/>
    <cellStyle name="Normal 7 4 4 5 3 2" xfId="35111" xr:uid="{00000000-0005-0000-0000-00001FC20000}"/>
    <cellStyle name="Normal 7 4 4 5 4" xfId="18377" xr:uid="{00000000-0005-0000-0000-000020C20000}"/>
    <cellStyle name="Normal 7 4 4 5 4 2" xfId="43930" xr:uid="{00000000-0005-0000-0000-000021C20000}"/>
    <cellStyle name="Normal 7 4 4 5 5" xfId="29867" xr:uid="{00000000-0005-0000-0000-000022C20000}"/>
    <cellStyle name="Normal 7 4 4 6" xfId="1567" xr:uid="{00000000-0005-0000-0000-000023C20000}"/>
    <cellStyle name="Normal 7 4 4 6 2" xfId="10944" xr:uid="{00000000-0005-0000-0000-000024C20000}"/>
    <cellStyle name="Normal 7 4 4 6 2 2" xfId="36499" xr:uid="{00000000-0005-0000-0000-000025C20000}"/>
    <cellStyle name="Normal 7 4 4 6 3" xfId="20948" xr:uid="{00000000-0005-0000-0000-000026C20000}"/>
    <cellStyle name="Normal 7 4 4 6 3 2" xfId="46501" xr:uid="{00000000-0005-0000-0000-000027C20000}"/>
    <cellStyle name="Normal 7 4 4 6 4" xfId="27431" xr:uid="{00000000-0005-0000-0000-000028C20000}"/>
    <cellStyle name="Normal 7 4 4 7" xfId="5751" xr:uid="{00000000-0005-0000-0000-000029C20000}"/>
    <cellStyle name="Normal 7 4 4 7 2" xfId="14578" xr:uid="{00000000-0005-0000-0000-00002AC20000}"/>
    <cellStyle name="Normal 7 4 4 7 2 2" xfId="40133" xr:uid="{00000000-0005-0000-0000-00002BC20000}"/>
    <cellStyle name="Normal 7 4 4 7 3" xfId="24829" xr:uid="{00000000-0005-0000-0000-00002CC20000}"/>
    <cellStyle name="Normal 7 4 4 7 3 2" xfId="50382" xr:uid="{00000000-0005-0000-0000-00002DC20000}"/>
    <cellStyle name="Normal 7 4 4 7 4" xfId="31312" xr:uid="{00000000-0005-0000-0000-00002EC20000}"/>
    <cellStyle name="Normal 7 4 4 8" xfId="7195" xr:uid="{00000000-0005-0000-0000-00002FC20000}"/>
    <cellStyle name="Normal 7 4 4 8 2" xfId="19921" xr:uid="{00000000-0005-0000-0000-000030C20000}"/>
    <cellStyle name="Normal 7 4 4 8 2 2" xfId="45474" xr:uid="{00000000-0005-0000-0000-000031C20000}"/>
    <cellStyle name="Normal 7 4 4 8 3" xfId="32752" xr:uid="{00000000-0005-0000-0000-000032C20000}"/>
    <cellStyle name="Normal 7 4 4 9" xfId="15941" xr:uid="{00000000-0005-0000-0000-000033C20000}"/>
    <cellStyle name="Normal 7 4 4 9 2" xfId="41494" xr:uid="{00000000-0005-0000-0000-000034C20000}"/>
    <cellStyle name="Normal 7 4 4_Degree data" xfId="4072" xr:uid="{00000000-0005-0000-0000-000035C20000}"/>
    <cellStyle name="Normal 7 4 5" xfId="316" xr:uid="{00000000-0005-0000-0000-000036C20000}"/>
    <cellStyle name="Normal 7 4 5 2" xfId="2802" xr:uid="{00000000-0005-0000-0000-000037C20000}"/>
    <cellStyle name="Normal 7 4 5 2 2" xfId="12106" xr:uid="{00000000-0005-0000-0000-000038C20000}"/>
    <cellStyle name="Normal 7 4 5 2 2 2" xfId="22163" xr:uid="{00000000-0005-0000-0000-000039C20000}"/>
    <cellStyle name="Normal 7 4 5 2 2 2 2" xfId="47716" xr:uid="{00000000-0005-0000-0000-00003AC20000}"/>
    <cellStyle name="Normal 7 4 5 2 2 3" xfId="37661" xr:uid="{00000000-0005-0000-0000-00003BC20000}"/>
    <cellStyle name="Normal 7 4 5 2 3" xfId="8423" xr:uid="{00000000-0005-0000-0000-00003CC20000}"/>
    <cellStyle name="Normal 7 4 5 2 3 2" xfId="33980" xr:uid="{00000000-0005-0000-0000-00003DC20000}"/>
    <cellStyle name="Normal 7 4 5 2 4" xfId="17156" xr:uid="{00000000-0005-0000-0000-00003EC20000}"/>
    <cellStyle name="Normal 7 4 5 2 4 2" xfId="42709" xr:uid="{00000000-0005-0000-0000-00003FC20000}"/>
    <cellStyle name="Normal 7 4 5 2 5" xfId="28646" xr:uid="{00000000-0005-0000-0000-000040C20000}"/>
    <cellStyle name="Normal 7 4 5 3" xfId="4767" xr:uid="{00000000-0005-0000-0000-000041C20000}"/>
    <cellStyle name="Normal 7 4 5 3 2" xfId="13604" xr:uid="{00000000-0005-0000-0000-000042C20000}"/>
    <cellStyle name="Normal 7 4 5 3 2 2" xfId="23855" xr:uid="{00000000-0005-0000-0000-000043C20000}"/>
    <cellStyle name="Normal 7 4 5 3 2 2 2" xfId="49408" xr:uid="{00000000-0005-0000-0000-000044C20000}"/>
    <cellStyle name="Normal 7 4 5 3 2 3" xfId="39159" xr:uid="{00000000-0005-0000-0000-000045C20000}"/>
    <cellStyle name="Normal 7 4 5 3 3" xfId="10025" xr:uid="{00000000-0005-0000-0000-000046C20000}"/>
    <cellStyle name="Normal 7 4 5 3 3 2" xfId="35582" xr:uid="{00000000-0005-0000-0000-000047C20000}"/>
    <cellStyle name="Normal 7 4 5 3 4" xfId="18848" xr:uid="{00000000-0005-0000-0000-000048C20000}"/>
    <cellStyle name="Normal 7 4 5 3 4 2" xfId="44401" xr:uid="{00000000-0005-0000-0000-000049C20000}"/>
    <cellStyle name="Normal 7 4 5 3 5" xfId="30338" xr:uid="{00000000-0005-0000-0000-00004AC20000}"/>
    <cellStyle name="Normal 7 4 5 4" xfId="1911" xr:uid="{00000000-0005-0000-0000-00004BC20000}"/>
    <cellStyle name="Normal 7 4 5 4 2" xfId="11276" xr:uid="{00000000-0005-0000-0000-00004CC20000}"/>
    <cellStyle name="Normal 7 4 5 4 2 2" xfId="36831" xr:uid="{00000000-0005-0000-0000-00004DC20000}"/>
    <cellStyle name="Normal 7 4 5 4 3" xfId="21280" xr:uid="{00000000-0005-0000-0000-00004EC20000}"/>
    <cellStyle name="Normal 7 4 5 4 3 2" xfId="46833" xr:uid="{00000000-0005-0000-0000-00004FC20000}"/>
    <cellStyle name="Normal 7 4 5 4 4" xfId="27763" xr:uid="{00000000-0005-0000-0000-000050C20000}"/>
    <cellStyle name="Normal 7 4 5 5" xfId="6222" xr:uid="{00000000-0005-0000-0000-000051C20000}"/>
    <cellStyle name="Normal 7 4 5 5 2" xfId="15049" xr:uid="{00000000-0005-0000-0000-000052C20000}"/>
    <cellStyle name="Normal 7 4 5 5 2 2" xfId="40604" xr:uid="{00000000-0005-0000-0000-000053C20000}"/>
    <cellStyle name="Normal 7 4 5 5 3" xfId="25300" xr:uid="{00000000-0005-0000-0000-000054C20000}"/>
    <cellStyle name="Normal 7 4 5 5 3 2" xfId="50853" xr:uid="{00000000-0005-0000-0000-000055C20000}"/>
    <cellStyle name="Normal 7 4 5 5 4" xfId="31783" xr:uid="{00000000-0005-0000-0000-000056C20000}"/>
    <cellStyle name="Normal 7 4 5 6" xfId="7668" xr:uid="{00000000-0005-0000-0000-000057C20000}"/>
    <cellStyle name="Normal 7 4 5 6 2" xfId="19762" xr:uid="{00000000-0005-0000-0000-000058C20000}"/>
    <cellStyle name="Normal 7 4 5 6 2 2" xfId="45315" xr:uid="{00000000-0005-0000-0000-000059C20000}"/>
    <cellStyle name="Normal 7 4 5 6 3" xfId="33225" xr:uid="{00000000-0005-0000-0000-00005AC20000}"/>
    <cellStyle name="Normal 7 4 5 7" xfId="16273" xr:uid="{00000000-0005-0000-0000-00005BC20000}"/>
    <cellStyle name="Normal 7 4 5 7 2" xfId="41826" xr:uid="{00000000-0005-0000-0000-00005CC20000}"/>
    <cellStyle name="Normal 7 4 5 8" xfId="26245" xr:uid="{00000000-0005-0000-0000-00005DC20000}"/>
    <cellStyle name="Normal 7 4 6" xfId="961" xr:uid="{00000000-0005-0000-0000-00005EC20000}"/>
    <cellStyle name="Normal 7 4 6 2" xfId="3437" xr:uid="{00000000-0005-0000-0000-00005FC20000}"/>
    <cellStyle name="Normal 7 4 6 2 2" xfId="12579" xr:uid="{00000000-0005-0000-0000-000060C20000}"/>
    <cellStyle name="Normal 7 4 6 2 2 2" xfId="22798" xr:uid="{00000000-0005-0000-0000-000061C20000}"/>
    <cellStyle name="Normal 7 4 6 2 2 2 2" xfId="48351" xr:uid="{00000000-0005-0000-0000-000062C20000}"/>
    <cellStyle name="Normal 7 4 6 2 2 3" xfId="38134" xr:uid="{00000000-0005-0000-0000-000063C20000}"/>
    <cellStyle name="Normal 7 4 6 2 3" xfId="9001" xr:uid="{00000000-0005-0000-0000-000064C20000}"/>
    <cellStyle name="Normal 7 4 6 2 3 2" xfId="34558" xr:uid="{00000000-0005-0000-0000-000065C20000}"/>
    <cellStyle name="Normal 7 4 6 2 4" xfId="17791" xr:uid="{00000000-0005-0000-0000-000066C20000}"/>
    <cellStyle name="Normal 7 4 6 2 4 2" xfId="43344" xr:uid="{00000000-0005-0000-0000-000067C20000}"/>
    <cellStyle name="Normal 7 4 6 2 5" xfId="29281" xr:uid="{00000000-0005-0000-0000-000068C20000}"/>
    <cellStyle name="Normal 7 4 6 3" xfId="5115" xr:uid="{00000000-0005-0000-0000-000069C20000}"/>
    <cellStyle name="Normal 7 4 6 3 2" xfId="13952" xr:uid="{00000000-0005-0000-0000-00006AC20000}"/>
    <cellStyle name="Normal 7 4 6 3 2 2" xfId="24203" xr:uid="{00000000-0005-0000-0000-00006BC20000}"/>
    <cellStyle name="Normal 7 4 6 3 2 2 2" xfId="49756" xr:uid="{00000000-0005-0000-0000-00006CC20000}"/>
    <cellStyle name="Normal 7 4 6 3 2 3" xfId="39507" xr:uid="{00000000-0005-0000-0000-00006DC20000}"/>
    <cellStyle name="Normal 7 4 6 3 3" xfId="10373" xr:uid="{00000000-0005-0000-0000-00006EC20000}"/>
    <cellStyle name="Normal 7 4 6 3 3 2" xfId="35930" xr:uid="{00000000-0005-0000-0000-00006FC20000}"/>
    <cellStyle name="Normal 7 4 6 3 4" xfId="19196" xr:uid="{00000000-0005-0000-0000-000070C20000}"/>
    <cellStyle name="Normal 7 4 6 3 4 2" xfId="44749" xr:uid="{00000000-0005-0000-0000-000071C20000}"/>
    <cellStyle name="Normal 7 4 6 3 5" xfId="30686" xr:uid="{00000000-0005-0000-0000-000072C20000}"/>
    <cellStyle name="Normal 7 4 6 4" xfId="2546" xr:uid="{00000000-0005-0000-0000-000073C20000}"/>
    <cellStyle name="Normal 7 4 6 4 2" xfId="11911" xr:uid="{00000000-0005-0000-0000-000074C20000}"/>
    <cellStyle name="Normal 7 4 6 4 2 2" xfId="37466" xr:uid="{00000000-0005-0000-0000-000075C20000}"/>
    <cellStyle name="Normal 7 4 6 4 3" xfId="21915" xr:uid="{00000000-0005-0000-0000-000076C20000}"/>
    <cellStyle name="Normal 7 4 6 4 3 2" xfId="47468" xr:uid="{00000000-0005-0000-0000-000077C20000}"/>
    <cellStyle name="Normal 7 4 6 4 4" xfId="28398" xr:uid="{00000000-0005-0000-0000-000078C20000}"/>
    <cellStyle name="Normal 7 4 6 5" xfId="6570" xr:uid="{00000000-0005-0000-0000-000079C20000}"/>
    <cellStyle name="Normal 7 4 6 5 2" xfId="15397" xr:uid="{00000000-0005-0000-0000-00007AC20000}"/>
    <cellStyle name="Normal 7 4 6 5 2 2" xfId="40952" xr:uid="{00000000-0005-0000-0000-00007BC20000}"/>
    <cellStyle name="Normal 7 4 6 5 3" xfId="25648" xr:uid="{00000000-0005-0000-0000-00007CC20000}"/>
    <cellStyle name="Normal 7 4 6 5 3 2" xfId="51201" xr:uid="{00000000-0005-0000-0000-00007DC20000}"/>
    <cellStyle name="Normal 7 4 6 5 4" xfId="32131" xr:uid="{00000000-0005-0000-0000-00007EC20000}"/>
    <cellStyle name="Normal 7 4 6 6" xfId="8016" xr:uid="{00000000-0005-0000-0000-00007FC20000}"/>
    <cellStyle name="Normal 7 4 6 6 2" xfId="20397" xr:uid="{00000000-0005-0000-0000-000080C20000}"/>
    <cellStyle name="Normal 7 4 6 6 2 2" xfId="45950" xr:uid="{00000000-0005-0000-0000-000081C20000}"/>
    <cellStyle name="Normal 7 4 6 6 3" xfId="33573" xr:uid="{00000000-0005-0000-0000-000082C20000}"/>
    <cellStyle name="Normal 7 4 6 7" xfId="16908" xr:uid="{00000000-0005-0000-0000-000083C20000}"/>
    <cellStyle name="Normal 7 4 6 7 2" xfId="42461" xr:uid="{00000000-0005-0000-0000-000084C20000}"/>
    <cellStyle name="Normal 7 4 6 8" xfId="26880" xr:uid="{00000000-0005-0000-0000-000085C20000}"/>
    <cellStyle name="Normal 7 4 7" xfId="1088" xr:uid="{00000000-0005-0000-0000-000086C20000}"/>
    <cellStyle name="Normal 7 4 7 2" xfId="3517" xr:uid="{00000000-0005-0000-0000-000087C20000}"/>
    <cellStyle name="Normal 7 4 7 2 2" xfId="12653" xr:uid="{00000000-0005-0000-0000-000088C20000}"/>
    <cellStyle name="Normal 7 4 7 2 2 2" xfId="22872" xr:uid="{00000000-0005-0000-0000-000089C20000}"/>
    <cellStyle name="Normal 7 4 7 2 2 2 2" xfId="48425" xr:uid="{00000000-0005-0000-0000-00008AC20000}"/>
    <cellStyle name="Normal 7 4 7 2 2 3" xfId="38208" xr:uid="{00000000-0005-0000-0000-00008BC20000}"/>
    <cellStyle name="Normal 7 4 7 2 3" xfId="9075" xr:uid="{00000000-0005-0000-0000-00008CC20000}"/>
    <cellStyle name="Normal 7 4 7 2 3 2" xfId="34632" xr:uid="{00000000-0005-0000-0000-00008DC20000}"/>
    <cellStyle name="Normal 7 4 7 2 4" xfId="17865" xr:uid="{00000000-0005-0000-0000-00008EC20000}"/>
    <cellStyle name="Normal 7 4 7 2 4 2" xfId="43418" xr:uid="{00000000-0005-0000-0000-00008FC20000}"/>
    <cellStyle name="Normal 7 4 7 2 5" xfId="29355" xr:uid="{00000000-0005-0000-0000-000090C20000}"/>
    <cellStyle name="Normal 7 4 7 3" xfId="5180" xr:uid="{00000000-0005-0000-0000-000091C20000}"/>
    <cellStyle name="Normal 7 4 7 3 2" xfId="14017" xr:uid="{00000000-0005-0000-0000-000092C20000}"/>
    <cellStyle name="Normal 7 4 7 3 2 2" xfId="24268" xr:uid="{00000000-0005-0000-0000-000093C20000}"/>
    <cellStyle name="Normal 7 4 7 3 2 2 2" xfId="49821" xr:uid="{00000000-0005-0000-0000-000094C20000}"/>
    <cellStyle name="Normal 7 4 7 3 2 3" xfId="39572" xr:uid="{00000000-0005-0000-0000-000095C20000}"/>
    <cellStyle name="Normal 7 4 7 3 3" xfId="10438" xr:uid="{00000000-0005-0000-0000-000096C20000}"/>
    <cellStyle name="Normal 7 4 7 3 3 2" xfId="35995" xr:uid="{00000000-0005-0000-0000-000097C20000}"/>
    <cellStyle name="Normal 7 4 7 3 4" xfId="19261" xr:uid="{00000000-0005-0000-0000-000098C20000}"/>
    <cellStyle name="Normal 7 4 7 3 4 2" xfId="44814" xr:uid="{00000000-0005-0000-0000-000099C20000}"/>
    <cellStyle name="Normal 7 4 7 3 5" xfId="30751" xr:uid="{00000000-0005-0000-0000-00009AC20000}"/>
    <cellStyle name="Normal 7 4 7 4" xfId="1746" xr:uid="{00000000-0005-0000-0000-00009BC20000}"/>
    <cellStyle name="Normal 7 4 7 4 2" xfId="11117" xr:uid="{00000000-0005-0000-0000-00009CC20000}"/>
    <cellStyle name="Normal 7 4 7 4 2 2" xfId="36672" xr:uid="{00000000-0005-0000-0000-00009DC20000}"/>
    <cellStyle name="Normal 7 4 7 4 3" xfId="21121" xr:uid="{00000000-0005-0000-0000-00009EC20000}"/>
    <cellStyle name="Normal 7 4 7 4 3 2" xfId="46674" xr:uid="{00000000-0005-0000-0000-00009FC20000}"/>
    <cellStyle name="Normal 7 4 7 4 4" xfId="27604" xr:uid="{00000000-0005-0000-0000-0000A0C20000}"/>
    <cellStyle name="Normal 7 4 7 5" xfId="6635" xr:uid="{00000000-0005-0000-0000-0000A1C20000}"/>
    <cellStyle name="Normal 7 4 7 5 2" xfId="15462" xr:uid="{00000000-0005-0000-0000-0000A2C20000}"/>
    <cellStyle name="Normal 7 4 7 5 2 2" xfId="41017" xr:uid="{00000000-0005-0000-0000-0000A3C20000}"/>
    <cellStyle name="Normal 7 4 7 5 3" xfId="25713" xr:uid="{00000000-0005-0000-0000-0000A4C20000}"/>
    <cellStyle name="Normal 7 4 7 5 3 2" xfId="51266" xr:uid="{00000000-0005-0000-0000-0000A5C20000}"/>
    <cellStyle name="Normal 7 4 7 5 4" xfId="32196" xr:uid="{00000000-0005-0000-0000-0000A6C20000}"/>
    <cellStyle name="Normal 7 4 7 6" xfId="8081" xr:uid="{00000000-0005-0000-0000-0000A7C20000}"/>
    <cellStyle name="Normal 7 4 7 6 2" xfId="20471" xr:uid="{00000000-0005-0000-0000-0000A8C20000}"/>
    <cellStyle name="Normal 7 4 7 6 2 2" xfId="46024" xr:uid="{00000000-0005-0000-0000-0000A9C20000}"/>
    <cellStyle name="Normal 7 4 7 6 3" xfId="33638" xr:uid="{00000000-0005-0000-0000-0000AAC20000}"/>
    <cellStyle name="Normal 7 4 7 7" xfId="16114" xr:uid="{00000000-0005-0000-0000-0000ABC20000}"/>
    <cellStyle name="Normal 7 4 7 7 2" xfId="41667" xr:uid="{00000000-0005-0000-0000-0000ACC20000}"/>
    <cellStyle name="Normal 7 4 7 8" xfId="26954" xr:uid="{00000000-0005-0000-0000-0000ADC20000}"/>
    <cellStyle name="Normal 7 4 8" xfId="2644" xr:uid="{00000000-0005-0000-0000-0000AEC20000}"/>
    <cellStyle name="Normal 7 4 8 2" xfId="5592" xr:uid="{00000000-0005-0000-0000-0000AFC20000}"/>
    <cellStyle name="Normal 7 4 8 2 2" xfId="14419" xr:uid="{00000000-0005-0000-0000-0000B0C20000}"/>
    <cellStyle name="Normal 7 4 8 2 2 2" xfId="39974" xr:uid="{00000000-0005-0000-0000-0000B1C20000}"/>
    <cellStyle name="Normal 7 4 8 2 3" xfId="24670" xr:uid="{00000000-0005-0000-0000-0000B2C20000}"/>
    <cellStyle name="Normal 7 4 8 2 3 2" xfId="50223" xr:uid="{00000000-0005-0000-0000-0000B3C20000}"/>
    <cellStyle name="Normal 7 4 8 2 4" xfId="31153" xr:uid="{00000000-0005-0000-0000-0000B4C20000}"/>
    <cellStyle name="Normal 7 4 8 3" xfId="7036" xr:uid="{00000000-0005-0000-0000-0000B5C20000}"/>
    <cellStyle name="Normal 7 4 8 3 2" xfId="22005" xr:uid="{00000000-0005-0000-0000-0000B6C20000}"/>
    <cellStyle name="Normal 7 4 8 3 2 2" xfId="47558" xr:uid="{00000000-0005-0000-0000-0000B7C20000}"/>
    <cellStyle name="Normal 7 4 8 3 3" xfId="32593" xr:uid="{00000000-0005-0000-0000-0000B8C20000}"/>
    <cellStyle name="Normal 7 4 8 4" xfId="16998" xr:uid="{00000000-0005-0000-0000-0000B9C20000}"/>
    <cellStyle name="Normal 7 4 8 4 2" xfId="42551" xr:uid="{00000000-0005-0000-0000-0000BAC20000}"/>
    <cellStyle name="Normal 7 4 8 5" xfId="28488" xr:uid="{00000000-0005-0000-0000-0000BBC20000}"/>
    <cellStyle name="Normal 7 4 9" xfId="4134" xr:uid="{00000000-0005-0000-0000-0000BCC20000}"/>
    <cellStyle name="Normal 7 4 9 2" xfId="12972" xr:uid="{00000000-0005-0000-0000-0000BDC20000}"/>
    <cellStyle name="Normal 7 4 9 2 2" xfId="23223" xr:uid="{00000000-0005-0000-0000-0000BEC20000}"/>
    <cellStyle name="Normal 7 4 9 2 2 2" xfId="48776" xr:uid="{00000000-0005-0000-0000-0000BFC20000}"/>
    <cellStyle name="Normal 7 4 9 2 3" xfId="38527" xr:uid="{00000000-0005-0000-0000-0000C0C20000}"/>
    <cellStyle name="Normal 7 4 9 3" xfId="9393" xr:uid="{00000000-0005-0000-0000-0000C1C20000}"/>
    <cellStyle name="Normal 7 4 9 3 2" xfId="34950" xr:uid="{00000000-0005-0000-0000-0000C2C20000}"/>
    <cellStyle name="Normal 7 4 9 4" xfId="18216" xr:uid="{00000000-0005-0000-0000-0000C3C20000}"/>
    <cellStyle name="Normal 7 4 9 4 2" xfId="43769" xr:uid="{00000000-0005-0000-0000-0000C4C20000}"/>
    <cellStyle name="Normal 7 4 9 5" xfId="29706" xr:uid="{00000000-0005-0000-0000-0000C5C20000}"/>
    <cellStyle name="Normal 7 4_Degree data" xfId="4067" xr:uid="{00000000-0005-0000-0000-0000C6C20000}"/>
    <cellStyle name="Normal 7 5" xfId="173" xr:uid="{00000000-0005-0000-0000-0000C7C20000}"/>
    <cellStyle name="Normal 7 5 10" xfId="7121" xr:uid="{00000000-0005-0000-0000-0000C8C20000}"/>
    <cellStyle name="Normal 7 5 10 2" xfId="19630" xr:uid="{00000000-0005-0000-0000-0000C9C20000}"/>
    <cellStyle name="Normal 7 5 10 2 2" xfId="45183" xr:uid="{00000000-0005-0000-0000-0000CAC20000}"/>
    <cellStyle name="Normal 7 5 10 3" xfId="32678" xr:uid="{00000000-0005-0000-0000-0000CBC20000}"/>
    <cellStyle name="Normal 7 5 11" xfId="15867" xr:uid="{00000000-0005-0000-0000-0000CCC20000}"/>
    <cellStyle name="Normal 7 5 11 2" xfId="41420" xr:uid="{00000000-0005-0000-0000-0000CDC20000}"/>
    <cellStyle name="Normal 7 5 12" xfId="26113" xr:uid="{00000000-0005-0000-0000-0000CEC20000}"/>
    <cellStyle name="Normal 7 5 2" xfId="501" xr:uid="{00000000-0005-0000-0000-0000CFC20000}"/>
    <cellStyle name="Normal 7 5 2 10" xfId="26430" xr:uid="{00000000-0005-0000-0000-0000D0C20000}"/>
    <cellStyle name="Normal 7 5 2 2" xfId="968" xr:uid="{00000000-0005-0000-0000-0000D1C20000}"/>
    <cellStyle name="Normal 7 5 2 2 2" xfId="3444" xr:uid="{00000000-0005-0000-0000-0000D2C20000}"/>
    <cellStyle name="Normal 7 5 2 2 2 2" xfId="12586" xr:uid="{00000000-0005-0000-0000-0000D3C20000}"/>
    <cellStyle name="Normal 7 5 2 2 2 2 2" xfId="22805" xr:uid="{00000000-0005-0000-0000-0000D4C20000}"/>
    <cellStyle name="Normal 7 5 2 2 2 2 2 2" xfId="48358" xr:uid="{00000000-0005-0000-0000-0000D5C20000}"/>
    <cellStyle name="Normal 7 5 2 2 2 2 3" xfId="38141" xr:uid="{00000000-0005-0000-0000-0000D6C20000}"/>
    <cellStyle name="Normal 7 5 2 2 2 3" xfId="9008" xr:uid="{00000000-0005-0000-0000-0000D7C20000}"/>
    <cellStyle name="Normal 7 5 2 2 2 3 2" xfId="34565" xr:uid="{00000000-0005-0000-0000-0000D8C20000}"/>
    <cellStyle name="Normal 7 5 2 2 2 4" xfId="17798" xr:uid="{00000000-0005-0000-0000-0000D9C20000}"/>
    <cellStyle name="Normal 7 5 2 2 2 4 2" xfId="43351" xr:uid="{00000000-0005-0000-0000-0000DAC20000}"/>
    <cellStyle name="Normal 7 5 2 2 2 5" xfId="29288" xr:uid="{00000000-0005-0000-0000-0000DBC20000}"/>
    <cellStyle name="Normal 7 5 2 2 3" xfId="4774" xr:uid="{00000000-0005-0000-0000-0000DCC20000}"/>
    <cellStyle name="Normal 7 5 2 2 3 2" xfId="13611" xr:uid="{00000000-0005-0000-0000-0000DDC20000}"/>
    <cellStyle name="Normal 7 5 2 2 3 2 2" xfId="23862" xr:uid="{00000000-0005-0000-0000-0000DEC20000}"/>
    <cellStyle name="Normal 7 5 2 2 3 2 2 2" xfId="49415" xr:uid="{00000000-0005-0000-0000-0000DFC20000}"/>
    <cellStyle name="Normal 7 5 2 2 3 2 3" xfId="39166" xr:uid="{00000000-0005-0000-0000-0000E0C20000}"/>
    <cellStyle name="Normal 7 5 2 2 3 3" xfId="10032" xr:uid="{00000000-0005-0000-0000-0000E1C20000}"/>
    <cellStyle name="Normal 7 5 2 2 3 3 2" xfId="35589" xr:uid="{00000000-0005-0000-0000-0000E2C20000}"/>
    <cellStyle name="Normal 7 5 2 2 3 4" xfId="18855" xr:uid="{00000000-0005-0000-0000-0000E3C20000}"/>
    <cellStyle name="Normal 7 5 2 2 3 4 2" xfId="44408" xr:uid="{00000000-0005-0000-0000-0000E4C20000}"/>
    <cellStyle name="Normal 7 5 2 2 3 5" xfId="30345" xr:uid="{00000000-0005-0000-0000-0000E5C20000}"/>
    <cellStyle name="Normal 7 5 2 2 4" xfId="2553" xr:uid="{00000000-0005-0000-0000-0000E6C20000}"/>
    <cellStyle name="Normal 7 5 2 2 4 2" xfId="11918" xr:uid="{00000000-0005-0000-0000-0000E7C20000}"/>
    <cellStyle name="Normal 7 5 2 2 4 2 2" xfId="37473" xr:uid="{00000000-0005-0000-0000-0000E8C20000}"/>
    <cellStyle name="Normal 7 5 2 2 4 3" xfId="21922" xr:uid="{00000000-0005-0000-0000-0000E9C20000}"/>
    <cellStyle name="Normal 7 5 2 2 4 3 2" xfId="47475" xr:uid="{00000000-0005-0000-0000-0000EAC20000}"/>
    <cellStyle name="Normal 7 5 2 2 4 4" xfId="28405" xr:uid="{00000000-0005-0000-0000-0000EBC20000}"/>
    <cellStyle name="Normal 7 5 2 2 5" xfId="6229" xr:uid="{00000000-0005-0000-0000-0000ECC20000}"/>
    <cellStyle name="Normal 7 5 2 2 5 2" xfId="15056" xr:uid="{00000000-0005-0000-0000-0000EDC20000}"/>
    <cellStyle name="Normal 7 5 2 2 5 2 2" xfId="40611" xr:uid="{00000000-0005-0000-0000-0000EEC20000}"/>
    <cellStyle name="Normal 7 5 2 2 5 3" xfId="25307" xr:uid="{00000000-0005-0000-0000-0000EFC20000}"/>
    <cellStyle name="Normal 7 5 2 2 5 3 2" xfId="50860" xr:uid="{00000000-0005-0000-0000-0000F0C20000}"/>
    <cellStyle name="Normal 7 5 2 2 5 4" xfId="31790" xr:uid="{00000000-0005-0000-0000-0000F1C20000}"/>
    <cellStyle name="Normal 7 5 2 2 6" xfId="7675" xr:uid="{00000000-0005-0000-0000-0000F2C20000}"/>
    <cellStyle name="Normal 7 5 2 2 6 2" xfId="20404" xr:uid="{00000000-0005-0000-0000-0000F3C20000}"/>
    <cellStyle name="Normal 7 5 2 2 6 2 2" xfId="45957" xr:uid="{00000000-0005-0000-0000-0000F4C20000}"/>
    <cellStyle name="Normal 7 5 2 2 6 3" xfId="33232" xr:uid="{00000000-0005-0000-0000-0000F5C20000}"/>
    <cellStyle name="Normal 7 5 2 2 7" xfId="16915" xr:uid="{00000000-0005-0000-0000-0000F6C20000}"/>
    <cellStyle name="Normal 7 5 2 2 7 2" xfId="42468" xr:uid="{00000000-0005-0000-0000-0000F7C20000}"/>
    <cellStyle name="Normal 7 5 2 2 8" xfId="26887" xr:uid="{00000000-0005-0000-0000-0000F8C20000}"/>
    <cellStyle name="Normal 7 5 2 3" xfId="1273" xr:uid="{00000000-0005-0000-0000-0000F9C20000}"/>
    <cellStyle name="Normal 7 5 2 3 2" xfId="3702" xr:uid="{00000000-0005-0000-0000-0000FAC20000}"/>
    <cellStyle name="Normal 7 5 2 3 2 2" xfId="12838" xr:uid="{00000000-0005-0000-0000-0000FBC20000}"/>
    <cellStyle name="Normal 7 5 2 3 2 2 2" xfId="23057" xr:uid="{00000000-0005-0000-0000-0000FCC20000}"/>
    <cellStyle name="Normal 7 5 2 3 2 2 2 2" xfId="48610" xr:uid="{00000000-0005-0000-0000-0000FDC20000}"/>
    <cellStyle name="Normal 7 5 2 3 2 2 3" xfId="38393" xr:uid="{00000000-0005-0000-0000-0000FEC20000}"/>
    <cellStyle name="Normal 7 5 2 3 2 3" xfId="9259" xr:uid="{00000000-0005-0000-0000-0000FFC20000}"/>
    <cellStyle name="Normal 7 5 2 3 2 3 2" xfId="34816" xr:uid="{00000000-0005-0000-0000-000000C30000}"/>
    <cellStyle name="Normal 7 5 2 3 2 4" xfId="18050" xr:uid="{00000000-0005-0000-0000-000001C30000}"/>
    <cellStyle name="Normal 7 5 2 3 2 4 2" xfId="43603" xr:uid="{00000000-0005-0000-0000-000002C30000}"/>
    <cellStyle name="Normal 7 5 2 3 2 5" xfId="29540" xr:uid="{00000000-0005-0000-0000-000003C30000}"/>
    <cellStyle name="Normal 7 5 2 3 3" xfId="5122" xr:uid="{00000000-0005-0000-0000-000004C30000}"/>
    <cellStyle name="Normal 7 5 2 3 3 2" xfId="13959" xr:uid="{00000000-0005-0000-0000-000005C30000}"/>
    <cellStyle name="Normal 7 5 2 3 3 2 2" xfId="24210" xr:uid="{00000000-0005-0000-0000-000006C30000}"/>
    <cellStyle name="Normal 7 5 2 3 3 2 2 2" xfId="49763" xr:uid="{00000000-0005-0000-0000-000007C30000}"/>
    <cellStyle name="Normal 7 5 2 3 3 2 3" xfId="39514" xr:uid="{00000000-0005-0000-0000-000008C30000}"/>
    <cellStyle name="Normal 7 5 2 3 3 3" xfId="10380" xr:uid="{00000000-0005-0000-0000-000009C30000}"/>
    <cellStyle name="Normal 7 5 2 3 3 3 2" xfId="35937" xr:uid="{00000000-0005-0000-0000-00000AC30000}"/>
    <cellStyle name="Normal 7 5 2 3 3 4" xfId="19203" xr:uid="{00000000-0005-0000-0000-00000BC30000}"/>
    <cellStyle name="Normal 7 5 2 3 3 4 2" xfId="44756" xr:uid="{00000000-0005-0000-0000-00000CC30000}"/>
    <cellStyle name="Normal 7 5 2 3 3 5" xfId="30693" xr:uid="{00000000-0005-0000-0000-00000DC30000}"/>
    <cellStyle name="Normal 7 5 2 3 4" xfId="2096" xr:uid="{00000000-0005-0000-0000-00000EC30000}"/>
    <cellStyle name="Normal 7 5 2 3 4 2" xfId="11461" xr:uid="{00000000-0005-0000-0000-00000FC30000}"/>
    <cellStyle name="Normal 7 5 2 3 4 2 2" xfId="37016" xr:uid="{00000000-0005-0000-0000-000010C30000}"/>
    <cellStyle name="Normal 7 5 2 3 4 3" xfId="21465" xr:uid="{00000000-0005-0000-0000-000011C30000}"/>
    <cellStyle name="Normal 7 5 2 3 4 3 2" xfId="47018" xr:uid="{00000000-0005-0000-0000-000012C30000}"/>
    <cellStyle name="Normal 7 5 2 3 4 4" xfId="27948" xr:uid="{00000000-0005-0000-0000-000013C30000}"/>
    <cellStyle name="Normal 7 5 2 3 5" xfId="6577" xr:uid="{00000000-0005-0000-0000-000014C30000}"/>
    <cellStyle name="Normal 7 5 2 3 5 2" xfId="15404" xr:uid="{00000000-0005-0000-0000-000015C30000}"/>
    <cellStyle name="Normal 7 5 2 3 5 2 2" xfId="40959" xr:uid="{00000000-0005-0000-0000-000016C30000}"/>
    <cellStyle name="Normal 7 5 2 3 5 3" xfId="25655" xr:uid="{00000000-0005-0000-0000-000017C30000}"/>
    <cellStyle name="Normal 7 5 2 3 5 3 2" xfId="51208" xr:uid="{00000000-0005-0000-0000-000018C30000}"/>
    <cellStyle name="Normal 7 5 2 3 5 4" xfId="32138" xr:uid="{00000000-0005-0000-0000-000019C30000}"/>
    <cellStyle name="Normal 7 5 2 3 6" xfId="8023" xr:uid="{00000000-0005-0000-0000-00001AC30000}"/>
    <cellStyle name="Normal 7 5 2 3 6 2" xfId="20656" xr:uid="{00000000-0005-0000-0000-00001BC30000}"/>
    <cellStyle name="Normal 7 5 2 3 6 2 2" xfId="46209" xr:uid="{00000000-0005-0000-0000-00001CC30000}"/>
    <cellStyle name="Normal 7 5 2 3 6 3" xfId="33580" xr:uid="{00000000-0005-0000-0000-00001DC30000}"/>
    <cellStyle name="Normal 7 5 2 3 7" xfId="16458" xr:uid="{00000000-0005-0000-0000-00001EC30000}"/>
    <cellStyle name="Normal 7 5 2 3 7 2" xfId="42011" xr:uid="{00000000-0005-0000-0000-00001FC30000}"/>
    <cellStyle name="Normal 7 5 2 3 8" xfId="27139" xr:uid="{00000000-0005-0000-0000-000020C30000}"/>
    <cellStyle name="Normal 7 5 2 4" xfId="2987" xr:uid="{00000000-0005-0000-0000-000021C30000}"/>
    <cellStyle name="Normal 7 5 2 4 2" xfId="5365" xr:uid="{00000000-0005-0000-0000-000022C30000}"/>
    <cellStyle name="Normal 7 5 2 4 2 2" xfId="14202" xr:uid="{00000000-0005-0000-0000-000023C30000}"/>
    <cellStyle name="Normal 7 5 2 4 2 2 2" xfId="24453" xr:uid="{00000000-0005-0000-0000-000024C30000}"/>
    <cellStyle name="Normal 7 5 2 4 2 2 2 2" xfId="50006" xr:uid="{00000000-0005-0000-0000-000025C30000}"/>
    <cellStyle name="Normal 7 5 2 4 2 2 3" xfId="39757" xr:uid="{00000000-0005-0000-0000-000026C30000}"/>
    <cellStyle name="Normal 7 5 2 4 2 3" xfId="10623" xr:uid="{00000000-0005-0000-0000-000027C30000}"/>
    <cellStyle name="Normal 7 5 2 4 2 3 2" xfId="36180" xr:uid="{00000000-0005-0000-0000-000028C30000}"/>
    <cellStyle name="Normal 7 5 2 4 2 4" xfId="19446" xr:uid="{00000000-0005-0000-0000-000029C30000}"/>
    <cellStyle name="Normal 7 5 2 4 2 4 2" xfId="44999" xr:uid="{00000000-0005-0000-0000-00002AC30000}"/>
    <cellStyle name="Normal 7 5 2 4 2 5" xfId="30936" xr:uid="{00000000-0005-0000-0000-00002BC30000}"/>
    <cellStyle name="Normal 7 5 2 4 3" xfId="6820" xr:uid="{00000000-0005-0000-0000-00002CC30000}"/>
    <cellStyle name="Normal 7 5 2 4 3 2" xfId="15647" xr:uid="{00000000-0005-0000-0000-00002DC30000}"/>
    <cellStyle name="Normal 7 5 2 4 3 2 2" xfId="41202" xr:uid="{00000000-0005-0000-0000-00002EC30000}"/>
    <cellStyle name="Normal 7 5 2 4 3 3" xfId="25898" xr:uid="{00000000-0005-0000-0000-00002FC30000}"/>
    <cellStyle name="Normal 7 5 2 4 3 3 2" xfId="51451" xr:uid="{00000000-0005-0000-0000-000030C30000}"/>
    <cellStyle name="Normal 7 5 2 4 3 4" xfId="32381" xr:uid="{00000000-0005-0000-0000-000031C30000}"/>
    <cellStyle name="Normal 7 5 2 4 4" xfId="8266" xr:uid="{00000000-0005-0000-0000-000032C30000}"/>
    <cellStyle name="Normal 7 5 2 4 4 2" xfId="22348" xr:uid="{00000000-0005-0000-0000-000033C30000}"/>
    <cellStyle name="Normal 7 5 2 4 4 2 2" xfId="47901" xr:uid="{00000000-0005-0000-0000-000034C30000}"/>
    <cellStyle name="Normal 7 5 2 4 4 3" xfId="33823" xr:uid="{00000000-0005-0000-0000-000035C30000}"/>
    <cellStyle name="Normal 7 5 2 4 5" xfId="17341" xr:uid="{00000000-0005-0000-0000-000036C30000}"/>
    <cellStyle name="Normal 7 5 2 4 5 2" xfId="42894" xr:uid="{00000000-0005-0000-0000-000037C30000}"/>
    <cellStyle name="Normal 7 5 2 4 6" xfId="28831" xr:uid="{00000000-0005-0000-0000-000038C30000}"/>
    <cellStyle name="Normal 7 5 2 5" xfId="4321" xr:uid="{00000000-0005-0000-0000-000039C30000}"/>
    <cellStyle name="Normal 7 5 2 5 2" xfId="13159" xr:uid="{00000000-0005-0000-0000-00003AC30000}"/>
    <cellStyle name="Normal 7 5 2 5 2 2" xfId="23410" xr:uid="{00000000-0005-0000-0000-00003BC30000}"/>
    <cellStyle name="Normal 7 5 2 5 2 2 2" xfId="48963" xr:uid="{00000000-0005-0000-0000-00003CC30000}"/>
    <cellStyle name="Normal 7 5 2 5 2 3" xfId="38714" xr:uid="{00000000-0005-0000-0000-00003DC30000}"/>
    <cellStyle name="Normal 7 5 2 5 3" xfId="9580" xr:uid="{00000000-0005-0000-0000-00003EC30000}"/>
    <cellStyle name="Normal 7 5 2 5 3 2" xfId="35137" xr:uid="{00000000-0005-0000-0000-00003FC30000}"/>
    <cellStyle name="Normal 7 5 2 5 4" xfId="18403" xr:uid="{00000000-0005-0000-0000-000040C30000}"/>
    <cellStyle name="Normal 7 5 2 5 4 2" xfId="43956" xr:uid="{00000000-0005-0000-0000-000041C30000}"/>
    <cellStyle name="Normal 7 5 2 5 5" xfId="29893" xr:uid="{00000000-0005-0000-0000-000042C30000}"/>
    <cellStyle name="Normal 7 5 2 6" xfId="1593" xr:uid="{00000000-0005-0000-0000-000043C30000}"/>
    <cellStyle name="Normal 7 5 2 6 2" xfId="10970" xr:uid="{00000000-0005-0000-0000-000044C30000}"/>
    <cellStyle name="Normal 7 5 2 6 2 2" xfId="36525" xr:uid="{00000000-0005-0000-0000-000045C30000}"/>
    <cellStyle name="Normal 7 5 2 6 3" xfId="20974" xr:uid="{00000000-0005-0000-0000-000046C30000}"/>
    <cellStyle name="Normal 7 5 2 6 3 2" xfId="46527" xr:uid="{00000000-0005-0000-0000-000047C30000}"/>
    <cellStyle name="Normal 7 5 2 6 4" xfId="27457" xr:uid="{00000000-0005-0000-0000-000048C30000}"/>
    <cellStyle name="Normal 7 5 2 7" xfId="5777" xr:uid="{00000000-0005-0000-0000-000049C30000}"/>
    <cellStyle name="Normal 7 5 2 7 2" xfId="14604" xr:uid="{00000000-0005-0000-0000-00004AC30000}"/>
    <cellStyle name="Normal 7 5 2 7 2 2" xfId="40159" xr:uid="{00000000-0005-0000-0000-00004BC30000}"/>
    <cellStyle name="Normal 7 5 2 7 3" xfId="24855" xr:uid="{00000000-0005-0000-0000-00004CC30000}"/>
    <cellStyle name="Normal 7 5 2 7 3 2" xfId="50408" xr:uid="{00000000-0005-0000-0000-00004DC30000}"/>
    <cellStyle name="Normal 7 5 2 7 4" xfId="31338" xr:uid="{00000000-0005-0000-0000-00004EC30000}"/>
    <cellStyle name="Normal 7 5 2 8" xfId="7221" xr:uid="{00000000-0005-0000-0000-00004FC30000}"/>
    <cellStyle name="Normal 7 5 2 8 2" xfId="19947" xr:uid="{00000000-0005-0000-0000-000050C30000}"/>
    <cellStyle name="Normal 7 5 2 8 2 2" xfId="45500" xr:uid="{00000000-0005-0000-0000-000051C30000}"/>
    <cellStyle name="Normal 7 5 2 8 3" xfId="32778" xr:uid="{00000000-0005-0000-0000-000052C30000}"/>
    <cellStyle name="Normal 7 5 2 9" xfId="15967" xr:uid="{00000000-0005-0000-0000-000053C30000}"/>
    <cellStyle name="Normal 7 5 2 9 2" xfId="41520" xr:uid="{00000000-0005-0000-0000-000054C30000}"/>
    <cellStyle name="Normal 7 5 2_Degree data" xfId="4074" xr:uid="{00000000-0005-0000-0000-000055C30000}"/>
    <cellStyle name="Normal 7 5 3" xfId="401" xr:uid="{00000000-0005-0000-0000-000056C30000}"/>
    <cellStyle name="Normal 7 5 3 2" xfId="2887" xr:uid="{00000000-0005-0000-0000-000057C30000}"/>
    <cellStyle name="Normal 7 5 3 2 2" xfId="12175" xr:uid="{00000000-0005-0000-0000-000058C30000}"/>
    <cellStyle name="Normal 7 5 3 2 2 2" xfId="22248" xr:uid="{00000000-0005-0000-0000-000059C30000}"/>
    <cellStyle name="Normal 7 5 3 2 2 2 2" xfId="47801" xr:uid="{00000000-0005-0000-0000-00005AC30000}"/>
    <cellStyle name="Normal 7 5 3 2 2 3" xfId="37730" xr:uid="{00000000-0005-0000-0000-00005BC30000}"/>
    <cellStyle name="Normal 7 5 3 2 3" xfId="8580" xr:uid="{00000000-0005-0000-0000-00005CC30000}"/>
    <cellStyle name="Normal 7 5 3 2 3 2" xfId="34137" xr:uid="{00000000-0005-0000-0000-00005DC30000}"/>
    <cellStyle name="Normal 7 5 3 2 4" xfId="17241" xr:uid="{00000000-0005-0000-0000-00005EC30000}"/>
    <cellStyle name="Normal 7 5 3 2 4 2" xfId="42794" xr:uid="{00000000-0005-0000-0000-00005FC30000}"/>
    <cellStyle name="Normal 7 5 3 2 5" xfId="28731" xr:uid="{00000000-0005-0000-0000-000060C30000}"/>
    <cellStyle name="Normal 7 5 3 3" xfId="4773" xr:uid="{00000000-0005-0000-0000-000061C30000}"/>
    <cellStyle name="Normal 7 5 3 3 2" xfId="13610" xr:uid="{00000000-0005-0000-0000-000062C30000}"/>
    <cellStyle name="Normal 7 5 3 3 2 2" xfId="23861" xr:uid="{00000000-0005-0000-0000-000063C30000}"/>
    <cellStyle name="Normal 7 5 3 3 2 2 2" xfId="49414" xr:uid="{00000000-0005-0000-0000-000064C30000}"/>
    <cellStyle name="Normal 7 5 3 3 2 3" xfId="39165" xr:uid="{00000000-0005-0000-0000-000065C30000}"/>
    <cellStyle name="Normal 7 5 3 3 3" xfId="10031" xr:uid="{00000000-0005-0000-0000-000066C30000}"/>
    <cellStyle name="Normal 7 5 3 3 3 2" xfId="35588" xr:uid="{00000000-0005-0000-0000-000067C30000}"/>
    <cellStyle name="Normal 7 5 3 3 4" xfId="18854" xr:uid="{00000000-0005-0000-0000-000068C30000}"/>
    <cellStyle name="Normal 7 5 3 3 4 2" xfId="44407" xr:uid="{00000000-0005-0000-0000-000069C30000}"/>
    <cellStyle name="Normal 7 5 3 3 5" xfId="30344" xr:uid="{00000000-0005-0000-0000-00006AC30000}"/>
    <cellStyle name="Normal 7 5 3 4" xfId="1996" xr:uid="{00000000-0005-0000-0000-00006BC30000}"/>
    <cellStyle name="Normal 7 5 3 4 2" xfId="11361" xr:uid="{00000000-0005-0000-0000-00006CC30000}"/>
    <cellStyle name="Normal 7 5 3 4 2 2" xfId="36916" xr:uid="{00000000-0005-0000-0000-00006DC30000}"/>
    <cellStyle name="Normal 7 5 3 4 3" xfId="21365" xr:uid="{00000000-0005-0000-0000-00006EC30000}"/>
    <cellStyle name="Normal 7 5 3 4 3 2" xfId="46918" xr:uid="{00000000-0005-0000-0000-00006FC30000}"/>
    <cellStyle name="Normal 7 5 3 4 4" xfId="27848" xr:uid="{00000000-0005-0000-0000-000070C30000}"/>
    <cellStyle name="Normal 7 5 3 5" xfId="6228" xr:uid="{00000000-0005-0000-0000-000071C30000}"/>
    <cellStyle name="Normal 7 5 3 5 2" xfId="15055" xr:uid="{00000000-0005-0000-0000-000072C30000}"/>
    <cellStyle name="Normal 7 5 3 5 2 2" xfId="40610" xr:uid="{00000000-0005-0000-0000-000073C30000}"/>
    <cellStyle name="Normal 7 5 3 5 3" xfId="25306" xr:uid="{00000000-0005-0000-0000-000074C30000}"/>
    <cellStyle name="Normal 7 5 3 5 3 2" xfId="50859" xr:uid="{00000000-0005-0000-0000-000075C30000}"/>
    <cellStyle name="Normal 7 5 3 5 4" xfId="31789" xr:uid="{00000000-0005-0000-0000-000076C30000}"/>
    <cellStyle name="Normal 7 5 3 6" xfId="7674" xr:uid="{00000000-0005-0000-0000-000077C30000}"/>
    <cellStyle name="Normal 7 5 3 6 2" xfId="19847" xr:uid="{00000000-0005-0000-0000-000078C30000}"/>
    <cellStyle name="Normal 7 5 3 6 2 2" xfId="45400" xr:uid="{00000000-0005-0000-0000-000079C30000}"/>
    <cellStyle name="Normal 7 5 3 6 3" xfId="33231" xr:uid="{00000000-0005-0000-0000-00007AC30000}"/>
    <cellStyle name="Normal 7 5 3 7" xfId="16358" xr:uid="{00000000-0005-0000-0000-00007BC30000}"/>
    <cellStyle name="Normal 7 5 3 7 2" xfId="41911" xr:uid="{00000000-0005-0000-0000-00007CC30000}"/>
    <cellStyle name="Normal 7 5 3 8" xfId="26330" xr:uid="{00000000-0005-0000-0000-00007DC30000}"/>
    <cellStyle name="Normal 7 5 4" xfId="967" xr:uid="{00000000-0005-0000-0000-00007EC30000}"/>
    <cellStyle name="Normal 7 5 4 2" xfId="3443" xr:uid="{00000000-0005-0000-0000-00007FC30000}"/>
    <cellStyle name="Normal 7 5 4 2 2" xfId="12585" xr:uid="{00000000-0005-0000-0000-000080C30000}"/>
    <cellStyle name="Normal 7 5 4 2 2 2" xfId="22804" xr:uid="{00000000-0005-0000-0000-000081C30000}"/>
    <cellStyle name="Normal 7 5 4 2 2 2 2" xfId="48357" xr:uid="{00000000-0005-0000-0000-000082C30000}"/>
    <cellStyle name="Normal 7 5 4 2 2 3" xfId="38140" xr:uid="{00000000-0005-0000-0000-000083C30000}"/>
    <cellStyle name="Normal 7 5 4 2 3" xfId="9007" xr:uid="{00000000-0005-0000-0000-000084C30000}"/>
    <cellStyle name="Normal 7 5 4 2 3 2" xfId="34564" xr:uid="{00000000-0005-0000-0000-000085C30000}"/>
    <cellStyle name="Normal 7 5 4 2 4" xfId="17797" xr:uid="{00000000-0005-0000-0000-000086C30000}"/>
    <cellStyle name="Normal 7 5 4 2 4 2" xfId="43350" xr:uid="{00000000-0005-0000-0000-000087C30000}"/>
    <cellStyle name="Normal 7 5 4 2 5" xfId="29287" xr:uid="{00000000-0005-0000-0000-000088C30000}"/>
    <cellStyle name="Normal 7 5 4 3" xfId="5121" xr:uid="{00000000-0005-0000-0000-000089C30000}"/>
    <cellStyle name="Normal 7 5 4 3 2" xfId="13958" xr:uid="{00000000-0005-0000-0000-00008AC30000}"/>
    <cellStyle name="Normal 7 5 4 3 2 2" xfId="24209" xr:uid="{00000000-0005-0000-0000-00008BC30000}"/>
    <cellStyle name="Normal 7 5 4 3 2 2 2" xfId="49762" xr:uid="{00000000-0005-0000-0000-00008CC30000}"/>
    <cellStyle name="Normal 7 5 4 3 2 3" xfId="39513" xr:uid="{00000000-0005-0000-0000-00008DC30000}"/>
    <cellStyle name="Normal 7 5 4 3 3" xfId="10379" xr:uid="{00000000-0005-0000-0000-00008EC30000}"/>
    <cellStyle name="Normal 7 5 4 3 3 2" xfId="35936" xr:uid="{00000000-0005-0000-0000-00008FC30000}"/>
    <cellStyle name="Normal 7 5 4 3 4" xfId="19202" xr:uid="{00000000-0005-0000-0000-000090C30000}"/>
    <cellStyle name="Normal 7 5 4 3 4 2" xfId="44755" xr:uid="{00000000-0005-0000-0000-000091C30000}"/>
    <cellStyle name="Normal 7 5 4 3 5" xfId="30692" xr:uid="{00000000-0005-0000-0000-000092C30000}"/>
    <cellStyle name="Normal 7 5 4 4" xfId="2552" xr:uid="{00000000-0005-0000-0000-000093C30000}"/>
    <cellStyle name="Normal 7 5 4 4 2" xfId="11917" xr:uid="{00000000-0005-0000-0000-000094C30000}"/>
    <cellStyle name="Normal 7 5 4 4 2 2" xfId="37472" xr:uid="{00000000-0005-0000-0000-000095C30000}"/>
    <cellStyle name="Normal 7 5 4 4 3" xfId="21921" xr:uid="{00000000-0005-0000-0000-000096C30000}"/>
    <cellStyle name="Normal 7 5 4 4 3 2" xfId="47474" xr:uid="{00000000-0005-0000-0000-000097C30000}"/>
    <cellStyle name="Normal 7 5 4 4 4" xfId="28404" xr:uid="{00000000-0005-0000-0000-000098C30000}"/>
    <cellStyle name="Normal 7 5 4 5" xfId="6576" xr:uid="{00000000-0005-0000-0000-000099C30000}"/>
    <cellStyle name="Normal 7 5 4 5 2" xfId="15403" xr:uid="{00000000-0005-0000-0000-00009AC30000}"/>
    <cellStyle name="Normal 7 5 4 5 2 2" xfId="40958" xr:uid="{00000000-0005-0000-0000-00009BC30000}"/>
    <cellStyle name="Normal 7 5 4 5 3" xfId="25654" xr:uid="{00000000-0005-0000-0000-00009CC30000}"/>
    <cellStyle name="Normal 7 5 4 5 3 2" xfId="51207" xr:uid="{00000000-0005-0000-0000-00009DC30000}"/>
    <cellStyle name="Normal 7 5 4 5 4" xfId="32137" xr:uid="{00000000-0005-0000-0000-00009EC30000}"/>
    <cellStyle name="Normal 7 5 4 6" xfId="8022" xr:uid="{00000000-0005-0000-0000-00009FC30000}"/>
    <cellStyle name="Normal 7 5 4 6 2" xfId="20403" xr:uid="{00000000-0005-0000-0000-0000A0C30000}"/>
    <cellStyle name="Normal 7 5 4 6 2 2" xfId="45956" xr:uid="{00000000-0005-0000-0000-0000A1C30000}"/>
    <cellStyle name="Normal 7 5 4 6 3" xfId="33579" xr:uid="{00000000-0005-0000-0000-0000A2C30000}"/>
    <cellStyle name="Normal 7 5 4 7" xfId="16914" xr:uid="{00000000-0005-0000-0000-0000A3C30000}"/>
    <cellStyle name="Normal 7 5 4 7 2" xfId="42467" xr:uid="{00000000-0005-0000-0000-0000A4C30000}"/>
    <cellStyle name="Normal 7 5 4 8" xfId="26886" xr:uid="{00000000-0005-0000-0000-0000A5C30000}"/>
    <cellStyle name="Normal 7 5 5" xfId="1173" xr:uid="{00000000-0005-0000-0000-0000A6C30000}"/>
    <cellStyle name="Normal 7 5 5 2" xfId="3602" xr:uid="{00000000-0005-0000-0000-0000A7C30000}"/>
    <cellStyle name="Normal 7 5 5 2 2" xfId="12738" xr:uid="{00000000-0005-0000-0000-0000A8C30000}"/>
    <cellStyle name="Normal 7 5 5 2 2 2" xfId="22957" xr:uid="{00000000-0005-0000-0000-0000A9C30000}"/>
    <cellStyle name="Normal 7 5 5 2 2 2 2" xfId="48510" xr:uid="{00000000-0005-0000-0000-0000AAC30000}"/>
    <cellStyle name="Normal 7 5 5 2 2 3" xfId="38293" xr:uid="{00000000-0005-0000-0000-0000ABC30000}"/>
    <cellStyle name="Normal 7 5 5 2 3" xfId="9159" xr:uid="{00000000-0005-0000-0000-0000ACC30000}"/>
    <cellStyle name="Normal 7 5 5 2 3 2" xfId="34716" xr:uid="{00000000-0005-0000-0000-0000ADC30000}"/>
    <cellStyle name="Normal 7 5 5 2 4" xfId="17950" xr:uid="{00000000-0005-0000-0000-0000AEC30000}"/>
    <cellStyle name="Normal 7 5 5 2 4 2" xfId="43503" xr:uid="{00000000-0005-0000-0000-0000AFC30000}"/>
    <cellStyle name="Normal 7 5 5 2 5" xfId="29440" xr:uid="{00000000-0005-0000-0000-0000B0C30000}"/>
    <cellStyle name="Normal 7 5 5 3" xfId="5265" xr:uid="{00000000-0005-0000-0000-0000B1C30000}"/>
    <cellStyle name="Normal 7 5 5 3 2" xfId="14102" xr:uid="{00000000-0005-0000-0000-0000B2C30000}"/>
    <cellStyle name="Normal 7 5 5 3 2 2" xfId="24353" xr:uid="{00000000-0005-0000-0000-0000B3C30000}"/>
    <cellStyle name="Normal 7 5 5 3 2 2 2" xfId="49906" xr:uid="{00000000-0005-0000-0000-0000B4C30000}"/>
    <cellStyle name="Normal 7 5 5 3 2 3" xfId="39657" xr:uid="{00000000-0005-0000-0000-0000B5C30000}"/>
    <cellStyle name="Normal 7 5 5 3 3" xfId="10523" xr:uid="{00000000-0005-0000-0000-0000B6C30000}"/>
    <cellStyle name="Normal 7 5 5 3 3 2" xfId="36080" xr:uid="{00000000-0005-0000-0000-0000B7C30000}"/>
    <cellStyle name="Normal 7 5 5 3 4" xfId="19346" xr:uid="{00000000-0005-0000-0000-0000B8C30000}"/>
    <cellStyle name="Normal 7 5 5 3 4 2" xfId="44899" xr:uid="{00000000-0005-0000-0000-0000B9C30000}"/>
    <cellStyle name="Normal 7 5 5 3 5" xfId="30836" xr:uid="{00000000-0005-0000-0000-0000BAC30000}"/>
    <cellStyle name="Normal 7 5 5 4" xfId="1775" xr:uid="{00000000-0005-0000-0000-0000BBC30000}"/>
    <cellStyle name="Normal 7 5 5 4 2" xfId="11144" xr:uid="{00000000-0005-0000-0000-0000BCC30000}"/>
    <cellStyle name="Normal 7 5 5 4 2 2" xfId="36699" xr:uid="{00000000-0005-0000-0000-0000BDC30000}"/>
    <cellStyle name="Normal 7 5 5 4 3" xfId="21148" xr:uid="{00000000-0005-0000-0000-0000BEC30000}"/>
    <cellStyle name="Normal 7 5 5 4 3 2" xfId="46701" xr:uid="{00000000-0005-0000-0000-0000BFC30000}"/>
    <cellStyle name="Normal 7 5 5 4 4" xfId="27631" xr:uid="{00000000-0005-0000-0000-0000C0C30000}"/>
    <cellStyle name="Normal 7 5 5 5" xfId="6720" xr:uid="{00000000-0005-0000-0000-0000C1C30000}"/>
    <cellStyle name="Normal 7 5 5 5 2" xfId="15547" xr:uid="{00000000-0005-0000-0000-0000C2C30000}"/>
    <cellStyle name="Normal 7 5 5 5 2 2" xfId="41102" xr:uid="{00000000-0005-0000-0000-0000C3C30000}"/>
    <cellStyle name="Normal 7 5 5 5 3" xfId="25798" xr:uid="{00000000-0005-0000-0000-0000C4C30000}"/>
    <cellStyle name="Normal 7 5 5 5 3 2" xfId="51351" xr:uid="{00000000-0005-0000-0000-0000C5C30000}"/>
    <cellStyle name="Normal 7 5 5 5 4" xfId="32281" xr:uid="{00000000-0005-0000-0000-0000C6C30000}"/>
    <cellStyle name="Normal 7 5 5 6" xfId="8166" xr:uid="{00000000-0005-0000-0000-0000C7C30000}"/>
    <cellStyle name="Normal 7 5 5 6 2" xfId="20556" xr:uid="{00000000-0005-0000-0000-0000C8C30000}"/>
    <cellStyle name="Normal 7 5 5 6 2 2" xfId="46109" xr:uid="{00000000-0005-0000-0000-0000C9C30000}"/>
    <cellStyle name="Normal 7 5 5 6 3" xfId="33723" xr:uid="{00000000-0005-0000-0000-0000CAC30000}"/>
    <cellStyle name="Normal 7 5 5 7" xfId="16141" xr:uid="{00000000-0005-0000-0000-0000CBC30000}"/>
    <cellStyle name="Normal 7 5 5 7 2" xfId="41694" xr:uid="{00000000-0005-0000-0000-0000CCC30000}"/>
    <cellStyle name="Normal 7 5 5 8" xfId="27039" xr:uid="{00000000-0005-0000-0000-0000CDC30000}"/>
    <cellStyle name="Normal 7 5 6" xfId="2670" xr:uid="{00000000-0005-0000-0000-0000CEC30000}"/>
    <cellStyle name="Normal 7 5 6 2" xfId="11987" xr:uid="{00000000-0005-0000-0000-0000CFC30000}"/>
    <cellStyle name="Normal 7 5 6 2 2" xfId="22031" xr:uid="{00000000-0005-0000-0000-0000D0C30000}"/>
    <cellStyle name="Normal 7 5 6 2 2 2" xfId="47584" xr:uid="{00000000-0005-0000-0000-0000D1C30000}"/>
    <cellStyle name="Normal 7 5 6 2 3" xfId="37542" xr:uid="{00000000-0005-0000-0000-0000D2C30000}"/>
    <cellStyle name="Normal 7 5 6 3" xfId="8422" xr:uid="{00000000-0005-0000-0000-0000D3C30000}"/>
    <cellStyle name="Normal 7 5 6 3 2" xfId="33979" xr:uid="{00000000-0005-0000-0000-0000D4C30000}"/>
    <cellStyle name="Normal 7 5 6 4" xfId="17024" xr:uid="{00000000-0005-0000-0000-0000D5C30000}"/>
    <cellStyle name="Normal 7 5 6 4 2" xfId="42577" xr:uid="{00000000-0005-0000-0000-0000D6C30000}"/>
    <cellStyle name="Normal 7 5 6 5" xfId="28514" xr:uid="{00000000-0005-0000-0000-0000D7C30000}"/>
    <cellStyle name="Normal 7 5 7" xfId="4221" xr:uid="{00000000-0005-0000-0000-0000D8C30000}"/>
    <cellStyle name="Normal 7 5 7 2" xfId="13059" xr:uid="{00000000-0005-0000-0000-0000D9C30000}"/>
    <cellStyle name="Normal 7 5 7 2 2" xfId="23310" xr:uid="{00000000-0005-0000-0000-0000DAC30000}"/>
    <cellStyle name="Normal 7 5 7 2 2 2" xfId="48863" xr:uid="{00000000-0005-0000-0000-0000DBC30000}"/>
    <cellStyle name="Normal 7 5 7 2 3" xfId="38614" xr:uid="{00000000-0005-0000-0000-0000DCC30000}"/>
    <cellStyle name="Normal 7 5 7 3" xfId="9480" xr:uid="{00000000-0005-0000-0000-0000DDC30000}"/>
    <cellStyle name="Normal 7 5 7 3 2" xfId="35037" xr:uid="{00000000-0005-0000-0000-0000DEC30000}"/>
    <cellStyle name="Normal 7 5 7 4" xfId="18303" xr:uid="{00000000-0005-0000-0000-0000DFC30000}"/>
    <cellStyle name="Normal 7 5 7 4 2" xfId="43856" xr:uid="{00000000-0005-0000-0000-0000E0C30000}"/>
    <cellStyle name="Normal 7 5 7 5" xfId="29793" xr:uid="{00000000-0005-0000-0000-0000E1C30000}"/>
    <cellStyle name="Normal 7 5 8" xfId="1493" xr:uid="{00000000-0005-0000-0000-0000E2C30000}"/>
    <cellStyle name="Normal 7 5 8 2" xfId="10870" xr:uid="{00000000-0005-0000-0000-0000E3C30000}"/>
    <cellStyle name="Normal 7 5 8 2 2" xfId="36425" xr:uid="{00000000-0005-0000-0000-0000E4C30000}"/>
    <cellStyle name="Normal 7 5 8 3" xfId="20874" xr:uid="{00000000-0005-0000-0000-0000E5C30000}"/>
    <cellStyle name="Normal 7 5 8 3 2" xfId="46427" xr:uid="{00000000-0005-0000-0000-0000E6C30000}"/>
    <cellStyle name="Normal 7 5 8 4" xfId="27357" xr:uid="{00000000-0005-0000-0000-0000E7C30000}"/>
    <cellStyle name="Normal 7 5 9" xfId="5677" xr:uid="{00000000-0005-0000-0000-0000E8C30000}"/>
    <cellStyle name="Normal 7 5 9 2" xfId="14504" xr:uid="{00000000-0005-0000-0000-0000E9C30000}"/>
    <cellStyle name="Normal 7 5 9 2 2" xfId="40059" xr:uid="{00000000-0005-0000-0000-0000EAC30000}"/>
    <cellStyle name="Normal 7 5 9 3" xfId="24755" xr:uid="{00000000-0005-0000-0000-0000EBC30000}"/>
    <cellStyle name="Normal 7 5 9 3 2" xfId="50308" xr:uid="{00000000-0005-0000-0000-0000ECC30000}"/>
    <cellStyle name="Normal 7 5 9 4" xfId="31238" xr:uid="{00000000-0005-0000-0000-0000EDC30000}"/>
    <cellStyle name="Normal 7 5_Degree data" xfId="4073" xr:uid="{00000000-0005-0000-0000-0000EEC30000}"/>
    <cellStyle name="Normal 7 6" xfId="226" xr:uid="{00000000-0005-0000-0000-0000EFC30000}"/>
    <cellStyle name="Normal 7 6 10" xfId="7064" xr:uid="{00000000-0005-0000-0000-0000F0C30000}"/>
    <cellStyle name="Normal 7 6 10 2" xfId="19678" xr:uid="{00000000-0005-0000-0000-0000F1C30000}"/>
    <cellStyle name="Normal 7 6 10 2 2" xfId="45231" xr:uid="{00000000-0005-0000-0000-0000F2C30000}"/>
    <cellStyle name="Normal 7 6 10 3" xfId="32621" xr:uid="{00000000-0005-0000-0000-0000F3C30000}"/>
    <cellStyle name="Normal 7 6 11" xfId="15810" xr:uid="{00000000-0005-0000-0000-0000F4C30000}"/>
    <cellStyle name="Normal 7 6 11 2" xfId="41363" xr:uid="{00000000-0005-0000-0000-0000F5C30000}"/>
    <cellStyle name="Normal 7 6 12" xfId="26161" xr:uid="{00000000-0005-0000-0000-0000F6C30000}"/>
    <cellStyle name="Normal 7 6 2" xfId="549" xr:uid="{00000000-0005-0000-0000-0000F7C30000}"/>
    <cellStyle name="Normal 7 6 2 10" xfId="26478" xr:uid="{00000000-0005-0000-0000-0000F8C30000}"/>
    <cellStyle name="Normal 7 6 2 2" xfId="970" xr:uid="{00000000-0005-0000-0000-0000F9C30000}"/>
    <cellStyle name="Normal 7 6 2 2 2" xfId="3446" xr:uid="{00000000-0005-0000-0000-0000FAC30000}"/>
    <cellStyle name="Normal 7 6 2 2 2 2" xfId="12588" xr:uid="{00000000-0005-0000-0000-0000FBC30000}"/>
    <cellStyle name="Normal 7 6 2 2 2 2 2" xfId="22807" xr:uid="{00000000-0005-0000-0000-0000FCC30000}"/>
    <cellStyle name="Normal 7 6 2 2 2 2 2 2" xfId="48360" xr:uid="{00000000-0005-0000-0000-0000FDC30000}"/>
    <cellStyle name="Normal 7 6 2 2 2 2 3" xfId="38143" xr:uid="{00000000-0005-0000-0000-0000FEC30000}"/>
    <cellStyle name="Normal 7 6 2 2 2 3" xfId="9010" xr:uid="{00000000-0005-0000-0000-0000FFC30000}"/>
    <cellStyle name="Normal 7 6 2 2 2 3 2" xfId="34567" xr:uid="{00000000-0005-0000-0000-000000C40000}"/>
    <cellStyle name="Normal 7 6 2 2 2 4" xfId="17800" xr:uid="{00000000-0005-0000-0000-000001C40000}"/>
    <cellStyle name="Normal 7 6 2 2 2 4 2" xfId="43353" xr:uid="{00000000-0005-0000-0000-000002C40000}"/>
    <cellStyle name="Normal 7 6 2 2 2 5" xfId="29290" xr:uid="{00000000-0005-0000-0000-000003C40000}"/>
    <cellStyle name="Normal 7 6 2 2 3" xfId="4776" xr:uid="{00000000-0005-0000-0000-000004C40000}"/>
    <cellStyle name="Normal 7 6 2 2 3 2" xfId="13613" xr:uid="{00000000-0005-0000-0000-000005C40000}"/>
    <cellStyle name="Normal 7 6 2 2 3 2 2" xfId="23864" xr:uid="{00000000-0005-0000-0000-000006C40000}"/>
    <cellStyle name="Normal 7 6 2 2 3 2 2 2" xfId="49417" xr:uid="{00000000-0005-0000-0000-000007C40000}"/>
    <cellStyle name="Normal 7 6 2 2 3 2 3" xfId="39168" xr:uid="{00000000-0005-0000-0000-000008C40000}"/>
    <cellStyle name="Normal 7 6 2 2 3 3" xfId="10034" xr:uid="{00000000-0005-0000-0000-000009C40000}"/>
    <cellStyle name="Normal 7 6 2 2 3 3 2" xfId="35591" xr:uid="{00000000-0005-0000-0000-00000AC40000}"/>
    <cellStyle name="Normal 7 6 2 2 3 4" xfId="18857" xr:uid="{00000000-0005-0000-0000-00000BC40000}"/>
    <cellStyle name="Normal 7 6 2 2 3 4 2" xfId="44410" xr:uid="{00000000-0005-0000-0000-00000CC40000}"/>
    <cellStyle name="Normal 7 6 2 2 3 5" xfId="30347" xr:uid="{00000000-0005-0000-0000-00000DC40000}"/>
    <cellStyle name="Normal 7 6 2 2 4" xfId="2555" xr:uid="{00000000-0005-0000-0000-00000EC40000}"/>
    <cellStyle name="Normal 7 6 2 2 4 2" xfId="11920" xr:uid="{00000000-0005-0000-0000-00000FC40000}"/>
    <cellStyle name="Normal 7 6 2 2 4 2 2" xfId="37475" xr:uid="{00000000-0005-0000-0000-000010C40000}"/>
    <cellStyle name="Normal 7 6 2 2 4 3" xfId="21924" xr:uid="{00000000-0005-0000-0000-000011C40000}"/>
    <cellStyle name="Normal 7 6 2 2 4 3 2" xfId="47477" xr:uid="{00000000-0005-0000-0000-000012C40000}"/>
    <cellStyle name="Normal 7 6 2 2 4 4" xfId="28407" xr:uid="{00000000-0005-0000-0000-000013C40000}"/>
    <cellStyle name="Normal 7 6 2 2 5" xfId="6231" xr:uid="{00000000-0005-0000-0000-000014C40000}"/>
    <cellStyle name="Normal 7 6 2 2 5 2" xfId="15058" xr:uid="{00000000-0005-0000-0000-000015C40000}"/>
    <cellStyle name="Normal 7 6 2 2 5 2 2" xfId="40613" xr:uid="{00000000-0005-0000-0000-000016C40000}"/>
    <cellStyle name="Normal 7 6 2 2 5 3" xfId="25309" xr:uid="{00000000-0005-0000-0000-000017C40000}"/>
    <cellStyle name="Normal 7 6 2 2 5 3 2" xfId="50862" xr:uid="{00000000-0005-0000-0000-000018C40000}"/>
    <cellStyle name="Normal 7 6 2 2 5 4" xfId="31792" xr:uid="{00000000-0005-0000-0000-000019C40000}"/>
    <cellStyle name="Normal 7 6 2 2 6" xfId="7677" xr:uid="{00000000-0005-0000-0000-00001AC40000}"/>
    <cellStyle name="Normal 7 6 2 2 6 2" xfId="20406" xr:uid="{00000000-0005-0000-0000-00001BC40000}"/>
    <cellStyle name="Normal 7 6 2 2 6 2 2" xfId="45959" xr:uid="{00000000-0005-0000-0000-00001CC40000}"/>
    <cellStyle name="Normal 7 6 2 2 6 3" xfId="33234" xr:uid="{00000000-0005-0000-0000-00001DC40000}"/>
    <cellStyle name="Normal 7 6 2 2 7" xfId="16917" xr:uid="{00000000-0005-0000-0000-00001EC40000}"/>
    <cellStyle name="Normal 7 6 2 2 7 2" xfId="42470" xr:uid="{00000000-0005-0000-0000-00001FC40000}"/>
    <cellStyle name="Normal 7 6 2 2 8" xfId="26889" xr:uid="{00000000-0005-0000-0000-000020C40000}"/>
    <cellStyle name="Normal 7 6 2 3" xfId="1321" xr:uid="{00000000-0005-0000-0000-000021C40000}"/>
    <cellStyle name="Normal 7 6 2 3 2" xfId="3750" xr:uid="{00000000-0005-0000-0000-000022C40000}"/>
    <cellStyle name="Normal 7 6 2 3 2 2" xfId="12886" xr:uid="{00000000-0005-0000-0000-000023C40000}"/>
    <cellStyle name="Normal 7 6 2 3 2 2 2" xfId="23105" xr:uid="{00000000-0005-0000-0000-000024C40000}"/>
    <cellStyle name="Normal 7 6 2 3 2 2 2 2" xfId="48658" xr:uid="{00000000-0005-0000-0000-000025C40000}"/>
    <cellStyle name="Normal 7 6 2 3 2 2 3" xfId="38441" xr:uid="{00000000-0005-0000-0000-000026C40000}"/>
    <cellStyle name="Normal 7 6 2 3 2 3" xfId="9307" xr:uid="{00000000-0005-0000-0000-000027C40000}"/>
    <cellStyle name="Normal 7 6 2 3 2 3 2" xfId="34864" xr:uid="{00000000-0005-0000-0000-000028C40000}"/>
    <cellStyle name="Normal 7 6 2 3 2 4" xfId="18098" xr:uid="{00000000-0005-0000-0000-000029C40000}"/>
    <cellStyle name="Normal 7 6 2 3 2 4 2" xfId="43651" xr:uid="{00000000-0005-0000-0000-00002AC40000}"/>
    <cellStyle name="Normal 7 6 2 3 2 5" xfId="29588" xr:uid="{00000000-0005-0000-0000-00002BC40000}"/>
    <cellStyle name="Normal 7 6 2 3 3" xfId="5124" xr:uid="{00000000-0005-0000-0000-00002CC40000}"/>
    <cellStyle name="Normal 7 6 2 3 3 2" xfId="13961" xr:uid="{00000000-0005-0000-0000-00002DC40000}"/>
    <cellStyle name="Normal 7 6 2 3 3 2 2" xfId="24212" xr:uid="{00000000-0005-0000-0000-00002EC40000}"/>
    <cellStyle name="Normal 7 6 2 3 3 2 2 2" xfId="49765" xr:uid="{00000000-0005-0000-0000-00002FC40000}"/>
    <cellStyle name="Normal 7 6 2 3 3 2 3" xfId="39516" xr:uid="{00000000-0005-0000-0000-000030C40000}"/>
    <cellStyle name="Normal 7 6 2 3 3 3" xfId="10382" xr:uid="{00000000-0005-0000-0000-000031C40000}"/>
    <cellStyle name="Normal 7 6 2 3 3 3 2" xfId="35939" xr:uid="{00000000-0005-0000-0000-000032C40000}"/>
    <cellStyle name="Normal 7 6 2 3 3 4" xfId="19205" xr:uid="{00000000-0005-0000-0000-000033C40000}"/>
    <cellStyle name="Normal 7 6 2 3 3 4 2" xfId="44758" xr:uid="{00000000-0005-0000-0000-000034C40000}"/>
    <cellStyle name="Normal 7 6 2 3 3 5" xfId="30695" xr:uid="{00000000-0005-0000-0000-000035C40000}"/>
    <cellStyle name="Normal 7 6 2 3 4" xfId="2144" xr:uid="{00000000-0005-0000-0000-000036C40000}"/>
    <cellStyle name="Normal 7 6 2 3 4 2" xfId="11509" xr:uid="{00000000-0005-0000-0000-000037C40000}"/>
    <cellStyle name="Normal 7 6 2 3 4 2 2" xfId="37064" xr:uid="{00000000-0005-0000-0000-000038C40000}"/>
    <cellStyle name="Normal 7 6 2 3 4 3" xfId="21513" xr:uid="{00000000-0005-0000-0000-000039C40000}"/>
    <cellStyle name="Normal 7 6 2 3 4 3 2" xfId="47066" xr:uid="{00000000-0005-0000-0000-00003AC40000}"/>
    <cellStyle name="Normal 7 6 2 3 4 4" xfId="27996" xr:uid="{00000000-0005-0000-0000-00003BC40000}"/>
    <cellStyle name="Normal 7 6 2 3 5" xfId="6579" xr:uid="{00000000-0005-0000-0000-00003CC40000}"/>
    <cellStyle name="Normal 7 6 2 3 5 2" xfId="15406" xr:uid="{00000000-0005-0000-0000-00003DC40000}"/>
    <cellStyle name="Normal 7 6 2 3 5 2 2" xfId="40961" xr:uid="{00000000-0005-0000-0000-00003EC40000}"/>
    <cellStyle name="Normal 7 6 2 3 5 3" xfId="25657" xr:uid="{00000000-0005-0000-0000-00003FC40000}"/>
    <cellStyle name="Normal 7 6 2 3 5 3 2" xfId="51210" xr:uid="{00000000-0005-0000-0000-000040C40000}"/>
    <cellStyle name="Normal 7 6 2 3 5 4" xfId="32140" xr:uid="{00000000-0005-0000-0000-000041C40000}"/>
    <cellStyle name="Normal 7 6 2 3 6" xfId="8025" xr:uid="{00000000-0005-0000-0000-000042C40000}"/>
    <cellStyle name="Normal 7 6 2 3 6 2" xfId="20704" xr:uid="{00000000-0005-0000-0000-000043C40000}"/>
    <cellStyle name="Normal 7 6 2 3 6 2 2" xfId="46257" xr:uid="{00000000-0005-0000-0000-000044C40000}"/>
    <cellStyle name="Normal 7 6 2 3 6 3" xfId="33582" xr:uid="{00000000-0005-0000-0000-000045C40000}"/>
    <cellStyle name="Normal 7 6 2 3 7" xfId="16506" xr:uid="{00000000-0005-0000-0000-000046C40000}"/>
    <cellStyle name="Normal 7 6 2 3 7 2" xfId="42059" xr:uid="{00000000-0005-0000-0000-000047C40000}"/>
    <cellStyle name="Normal 7 6 2 3 8" xfId="27187" xr:uid="{00000000-0005-0000-0000-000048C40000}"/>
    <cellStyle name="Normal 7 6 2 4" xfId="3035" xr:uid="{00000000-0005-0000-0000-000049C40000}"/>
    <cellStyle name="Normal 7 6 2 4 2" xfId="5413" xr:uid="{00000000-0005-0000-0000-00004AC40000}"/>
    <cellStyle name="Normal 7 6 2 4 2 2" xfId="14250" xr:uid="{00000000-0005-0000-0000-00004BC40000}"/>
    <cellStyle name="Normal 7 6 2 4 2 2 2" xfId="24501" xr:uid="{00000000-0005-0000-0000-00004CC40000}"/>
    <cellStyle name="Normal 7 6 2 4 2 2 2 2" xfId="50054" xr:uid="{00000000-0005-0000-0000-00004DC40000}"/>
    <cellStyle name="Normal 7 6 2 4 2 2 3" xfId="39805" xr:uid="{00000000-0005-0000-0000-00004EC40000}"/>
    <cellStyle name="Normal 7 6 2 4 2 3" xfId="10671" xr:uid="{00000000-0005-0000-0000-00004FC40000}"/>
    <cellStyle name="Normal 7 6 2 4 2 3 2" xfId="36228" xr:uid="{00000000-0005-0000-0000-000050C40000}"/>
    <cellStyle name="Normal 7 6 2 4 2 4" xfId="19494" xr:uid="{00000000-0005-0000-0000-000051C40000}"/>
    <cellStyle name="Normal 7 6 2 4 2 4 2" xfId="45047" xr:uid="{00000000-0005-0000-0000-000052C40000}"/>
    <cellStyle name="Normal 7 6 2 4 2 5" xfId="30984" xr:uid="{00000000-0005-0000-0000-000053C40000}"/>
    <cellStyle name="Normal 7 6 2 4 3" xfId="6868" xr:uid="{00000000-0005-0000-0000-000054C40000}"/>
    <cellStyle name="Normal 7 6 2 4 3 2" xfId="15695" xr:uid="{00000000-0005-0000-0000-000055C40000}"/>
    <cellStyle name="Normal 7 6 2 4 3 2 2" xfId="41250" xr:uid="{00000000-0005-0000-0000-000056C40000}"/>
    <cellStyle name="Normal 7 6 2 4 3 3" xfId="25946" xr:uid="{00000000-0005-0000-0000-000057C40000}"/>
    <cellStyle name="Normal 7 6 2 4 3 3 2" xfId="51499" xr:uid="{00000000-0005-0000-0000-000058C40000}"/>
    <cellStyle name="Normal 7 6 2 4 3 4" xfId="32429" xr:uid="{00000000-0005-0000-0000-000059C40000}"/>
    <cellStyle name="Normal 7 6 2 4 4" xfId="8314" xr:uid="{00000000-0005-0000-0000-00005AC40000}"/>
    <cellStyle name="Normal 7 6 2 4 4 2" xfId="22396" xr:uid="{00000000-0005-0000-0000-00005BC40000}"/>
    <cellStyle name="Normal 7 6 2 4 4 2 2" xfId="47949" xr:uid="{00000000-0005-0000-0000-00005CC40000}"/>
    <cellStyle name="Normal 7 6 2 4 4 3" xfId="33871" xr:uid="{00000000-0005-0000-0000-00005DC40000}"/>
    <cellStyle name="Normal 7 6 2 4 5" xfId="17389" xr:uid="{00000000-0005-0000-0000-00005EC40000}"/>
    <cellStyle name="Normal 7 6 2 4 5 2" xfId="42942" xr:uid="{00000000-0005-0000-0000-00005FC40000}"/>
    <cellStyle name="Normal 7 6 2 4 6" xfId="28879" xr:uid="{00000000-0005-0000-0000-000060C40000}"/>
    <cellStyle name="Normal 7 6 2 5" xfId="4369" xr:uid="{00000000-0005-0000-0000-000061C40000}"/>
    <cellStyle name="Normal 7 6 2 5 2" xfId="13207" xr:uid="{00000000-0005-0000-0000-000062C40000}"/>
    <cellStyle name="Normal 7 6 2 5 2 2" xfId="23458" xr:uid="{00000000-0005-0000-0000-000063C40000}"/>
    <cellStyle name="Normal 7 6 2 5 2 2 2" xfId="49011" xr:uid="{00000000-0005-0000-0000-000064C40000}"/>
    <cellStyle name="Normal 7 6 2 5 2 3" xfId="38762" xr:uid="{00000000-0005-0000-0000-000065C40000}"/>
    <cellStyle name="Normal 7 6 2 5 3" xfId="9628" xr:uid="{00000000-0005-0000-0000-000066C40000}"/>
    <cellStyle name="Normal 7 6 2 5 3 2" xfId="35185" xr:uid="{00000000-0005-0000-0000-000067C40000}"/>
    <cellStyle name="Normal 7 6 2 5 4" xfId="18451" xr:uid="{00000000-0005-0000-0000-000068C40000}"/>
    <cellStyle name="Normal 7 6 2 5 4 2" xfId="44004" xr:uid="{00000000-0005-0000-0000-000069C40000}"/>
    <cellStyle name="Normal 7 6 2 5 5" xfId="29941" xr:uid="{00000000-0005-0000-0000-00006AC40000}"/>
    <cellStyle name="Normal 7 6 2 6" xfId="1641" xr:uid="{00000000-0005-0000-0000-00006BC40000}"/>
    <cellStyle name="Normal 7 6 2 6 2" xfId="11018" xr:uid="{00000000-0005-0000-0000-00006CC40000}"/>
    <cellStyle name="Normal 7 6 2 6 2 2" xfId="36573" xr:uid="{00000000-0005-0000-0000-00006DC40000}"/>
    <cellStyle name="Normal 7 6 2 6 3" xfId="21022" xr:uid="{00000000-0005-0000-0000-00006EC40000}"/>
    <cellStyle name="Normal 7 6 2 6 3 2" xfId="46575" xr:uid="{00000000-0005-0000-0000-00006FC40000}"/>
    <cellStyle name="Normal 7 6 2 6 4" xfId="27505" xr:uid="{00000000-0005-0000-0000-000070C40000}"/>
    <cellStyle name="Normal 7 6 2 7" xfId="5825" xr:uid="{00000000-0005-0000-0000-000071C40000}"/>
    <cellStyle name="Normal 7 6 2 7 2" xfId="14652" xr:uid="{00000000-0005-0000-0000-000072C40000}"/>
    <cellStyle name="Normal 7 6 2 7 2 2" xfId="40207" xr:uid="{00000000-0005-0000-0000-000073C40000}"/>
    <cellStyle name="Normal 7 6 2 7 3" xfId="24903" xr:uid="{00000000-0005-0000-0000-000074C40000}"/>
    <cellStyle name="Normal 7 6 2 7 3 2" xfId="50456" xr:uid="{00000000-0005-0000-0000-000075C40000}"/>
    <cellStyle name="Normal 7 6 2 7 4" xfId="31386" xr:uid="{00000000-0005-0000-0000-000076C40000}"/>
    <cellStyle name="Normal 7 6 2 8" xfId="7269" xr:uid="{00000000-0005-0000-0000-000077C40000}"/>
    <cellStyle name="Normal 7 6 2 8 2" xfId="19995" xr:uid="{00000000-0005-0000-0000-000078C40000}"/>
    <cellStyle name="Normal 7 6 2 8 2 2" xfId="45548" xr:uid="{00000000-0005-0000-0000-000079C40000}"/>
    <cellStyle name="Normal 7 6 2 8 3" xfId="32826" xr:uid="{00000000-0005-0000-0000-00007AC40000}"/>
    <cellStyle name="Normal 7 6 2 9" xfId="16015" xr:uid="{00000000-0005-0000-0000-00007BC40000}"/>
    <cellStyle name="Normal 7 6 2 9 2" xfId="41568" xr:uid="{00000000-0005-0000-0000-00007CC40000}"/>
    <cellStyle name="Normal 7 6 2_Degree data" xfId="4076" xr:uid="{00000000-0005-0000-0000-00007DC40000}"/>
    <cellStyle name="Normal 7 6 3" xfId="344" xr:uid="{00000000-0005-0000-0000-00007EC40000}"/>
    <cellStyle name="Normal 7 6 3 2" xfId="2830" xr:uid="{00000000-0005-0000-0000-00007FC40000}"/>
    <cellStyle name="Normal 7 6 3 2 2" xfId="12118" xr:uid="{00000000-0005-0000-0000-000080C40000}"/>
    <cellStyle name="Normal 7 6 3 2 2 2" xfId="22191" xr:uid="{00000000-0005-0000-0000-000081C40000}"/>
    <cellStyle name="Normal 7 6 3 2 2 2 2" xfId="47744" xr:uid="{00000000-0005-0000-0000-000082C40000}"/>
    <cellStyle name="Normal 7 6 3 2 2 3" xfId="37673" xr:uid="{00000000-0005-0000-0000-000083C40000}"/>
    <cellStyle name="Normal 7 6 3 2 3" xfId="8427" xr:uid="{00000000-0005-0000-0000-000084C40000}"/>
    <cellStyle name="Normal 7 6 3 2 3 2" xfId="33984" xr:uid="{00000000-0005-0000-0000-000085C40000}"/>
    <cellStyle name="Normal 7 6 3 2 4" xfId="17184" xr:uid="{00000000-0005-0000-0000-000086C40000}"/>
    <cellStyle name="Normal 7 6 3 2 4 2" xfId="42737" xr:uid="{00000000-0005-0000-0000-000087C40000}"/>
    <cellStyle name="Normal 7 6 3 2 5" xfId="28674" xr:uid="{00000000-0005-0000-0000-000088C40000}"/>
    <cellStyle name="Normal 7 6 3 3" xfId="4775" xr:uid="{00000000-0005-0000-0000-000089C40000}"/>
    <cellStyle name="Normal 7 6 3 3 2" xfId="13612" xr:uid="{00000000-0005-0000-0000-00008AC40000}"/>
    <cellStyle name="Normal 7 6 3 3 2 2" xfId="23863" xr:uid="{00000000-0005-0000-0000-00008BC40000}"/>
    <cellStyle name="Normal 7 6 3 3 2 2 2" xfId="49416" xr:uid="{00000000-0005-0000-0000-00008CC40000}"/>
    <cellStyle name="Normal 7 6 3 3 2 3" xfId="39167" xr:uid="{00000000-0005-0000-0000-00008DC40000}"/>
    <cellStyle name="Normal 7 6 3 3 3" xfId="10033" xr:uid="{00000000-0005-0000-0000-00008EC40000}"/>
    <cellStyle name="Normal 7 6 3 3 3 2" xfId="35590" xr:uid="{00000000-0005-0000-0000-00008FC40000}"/>
    <cellStyle name="Normal 7 6 3 3 4" xfId="18856" xr:uid="{00000000-0005-0000-0000-000090C40000}"/>
    <cellStyle name="Normal 7 6 3 3 4 2" xfId="44409" xr:uid="{00000000-0005-0000-0000-000091C40000}"/>
    <cellStyle name="Normal 7 6 3 3 5" xfId="30346" xr:uid="{00000000-0005-0000-0000-000092C40000}"/>
    <cellStyle name="Normal 7 6 3 4" xfId="1939" xr:uid="{00000000-0005-0000-0000-000093C40000}"/>
    <cellStyle name="Normal 7 6 3 4 2" xfId="11304" xr:uid="{00000000-0005-0000-0000-000094C40000}"/>
    <cellStyle name="Normal 7 6 3 4 2 2" xfId="36859" xr:uid="{00000000-0005-0000-0000-000095C40000}"/>
    <cellStyle name="Normal 7 6 3 4 3" xfId="21308" xr:uid="{00000000-0005-0000-0000-000096C40000}"/>
    <cellStyle name="Normal 7 6 3 4 3 2" xfId="46861" xr:uid="{00000000-0005-0000-0000-000097C40000}"/>
    <cellStyle name="Normal 7 6 3 4 4" xfId="27791" xr:uid="{00000000-0005-0000-0000-000098C40000}"/>
    <cellStyle name="Normal 7 6 3 5" xfId="6230" xr:uid="{00000000-0005-0000-0000-000099C40000}"/>
    <cellStyle name="Normal 7 6 3 5 2" xfId="15057" xr:uid="{00000000-0005-0000-0000-00009AC40000}"/>
    <cellStyle name="Normal 7 6 3 5 2 2" xfId="40612" xr:uid="{00000000-0005-0000-0000-00009BC40000}"/>
    <cellStyle name="Normal 7 6 3 5 3" xfId="25308" xr:uid="{00000000-0005-0000-0000-00009CC40000}"/>
    <cellStyle name="Normal 7 6 3 5 3 2" xfId="50861" xr:uid="{00000000-0005-0000-0000-00009DC40000}"/>
    <cellStyle name="Normal 7 6 3 5 4" xfId="31791" xr:uid="{00000000-0005-0000-0000-00009EC40000}"/>
    <cellStyle name="Normal 7 6 3 6" xfId="7676" xr:uid="{00000000-0005-0000-0000-00009FC40000}"/>
    <cellStyle name="Normal 7 6 3 6 2" xfId="19790" xr:uid="{00000000-0005-0000-0000-0000A0C40000}"/>
    <cellStyle name="Normal 7 6 3 6 2 2" xfId="45343" xr:uid="{00000000-0005-0000-0000-0000A1C40000}"/>
    <cellStyle name="Normal 7 6 3 6 3" xfId="33233" xr:uid="{00000000-0005-0000-0000-0000A2C40000}"/>
    <cellStyle name="Normal 7 6 3 7" xfId="16301" xr:uid="{00000000-0005-0000-0000-0000A3C40000}"/>
    <cellStyle name="Normal 7 6 3 7 2" xfId="41854" xr:uid="{00000000-0005-0000-0000-0000A4C40000}"/>
    <cellStyle name="Normal 7 6 3 8" xfId="26273" xr:uid="{00000000-0005-0000-0000-0000A5C40000}"/>
    <cellStyle name="Normal 7 6 4" xfId="969" xr:uid="{00000000-0005-0000-0000-0000A6C40000}"/>
    <cellStyle name="Normal 7 6 4 2" xfId="3445" xr:uid="{00000000-0005-0000-0000-0000A7C40000}"/>
    <cellStyle name="Normal 7 6 4 2 2" xfId="12587" xr:uid="{00000000-0005-0000-0000-0000A8C40000}"/>
    <cellStyle name="Normal 7 6 4 2 2 2" xfId="22806" xr:uid="{00000000-0005-0000-0000-0000A9C40000}"/>
    <cellStyle name="Normal 7 6 4 2 2 2 2" xfId="48359" xr:uid="{00000000-0005-0000-0000-0000AAC40000}"/>
    <cellStyle name="Normal 7 6 4 2 2 3" xfId="38142" xr:uid="{00000000-0005-0000-0000-0000ABC40000}"/>
    <cellStyle name="Normal 7 6 4 2 3" xfId="9009" xr:uid="{00000000-0005-0000-0000-0000ACC40000}"/>
    <cellStyle name="Normal 7 6 4 2 3 2" xfId="34566" xr:uid="{00000000-0005-0000-0000-0000ADC40000}"/>
    <cellStyle name="Normal 7 6 4 2 4" xfId="17799" xr:uid="{00000000-0005-0000-0000-0000AEC40000}"/>
    <cellStyle name="Normal 7 6 4 2 4 2" xfId="43352" xr:uid="{00000000-0005-0000-0000-0000AFC40000}"/>
    <cellStyle name="Normal 7 6 4 2 5" xfId="29289" xr:uid="{00000000-0005-0000-0000-0000B0C40000}"/>
    <cellStyle name="Normal 7 6 4 3" xfId="5123" xr:uid="{00000000-0005-0000-0000-0000B1C40000}"/>
    <cellStyle name="Normal 7 6 4 3 2" xfId="13960" xr:uid="{00000000-0005-0000-0000-0000B2C40000}"/>
    <cellStyle name="Normal 7 6 4 3 2 2" xfId="24211" xr:uid="{00000000-0005-0000-0000-0000B3C40000}"/>
    <cellStyle name="Normal 7 6 4 3 2 2 2" xfId="49764" xr:uid="{00000000-0005-0000-0000-0000B4C40000}"/>
    <cellStyle name="Normal 7 6 4 3 2 3" xfId="39515" xr:uid="{00000000-0005-0000-0000-0000B5C40000}"/>
    <cellStyle name="Normal 7 6 4 3 3" xfId="10381" xr:uid="{00000000-0005-0000-0000-0000B6C40000}"/>
    <cellStyle name="Normal 7 6 4 3 3 2" xfId="35938" xr:uid="{00000000-0005-0000-0000-0000B7C40000}"/>
    <cellStyle name="Normal 7 6 4 3 4" xfId="19204" xr:uid="{00000000-0005-0000-0000-0000B8C40000}"/>
    <cellStyle name="Normal 7 6 4 3 4 2" xfId="44757" xr:uid="{00000000-0005-0000-0000-0000B9C40000}"/>
    <cellStyle name="Normal 7 6 4 3 5" xfId="30694" xr:uid="{00000000-0005-0000-0000-0000BAC40000}"/>
    <cellStyle name="Normal 7 6 4 4" xfId="2554" xr:uid="{00000000-0005-0000-0000-0000BBC40000}"/>
    <cellStyle name="Normal 7 6 4 4 2" xfId="11919" xr:uid="{00000000-0005-0000-0000-0000BCC40000}"/>
    <cellStyle name="Normal 7 6 4 4 2 2" xfId="37474" xr:uid="{00000000-0005-0000-0000-0000BDC40000}"/>
    <cellStyle name="Normal 7 6 4 4 3" xfId="21923" xr:uid="{00000000-0005-0000-0000-0000BEC40000}"/>
    <cellStyle name="Normal 7 6 4 4 3 2" xfId="47476" xr:uid="{00000000-0005-0000-0000-0000BFC40000}"/>
    <cellStyle name="Normal 7 6 4 4 4" xfId="28406" xr:uid="{00000000-0005-0000-0000-0000C0C40000}"/>
    <cellStyle name="Normal 7 6 4 5" xfId="6578" xr:uid="{00000000-0005-0000-0000-0000C1C40000}"/>
    <cellStyle name="Normal 7 6 4 5 2" xfId="15405" xr:uid="{00000000-0005-0000-0000-0000C2C40000}"/>
    <cellStyle name="Normal 7 6 4 5 2 2" xfId="40960" xr:uid="{00000000-0005-0000-0000-0000C3C40000}"/>
    <cellStyle name="Normal 7 6 4 5 3" xfId="25656" xr:uid="{00000000-0005-0000-0000-0000C4C40000}"/>
    <cellStyle name="Normal 7 6 4 5 3 2" xfId="51209" xr:uid="{00000000-0005-0000-0000-0000C5C40000}"/>
    <cellStyle name="Normal 7 6 4 5 4" xfId="32139" xr:uid="{00000000-0005-0000-0000-0000C6C40000}"/>
    <cellStyle name="Normal 7 6 4 6" xfId="8024" xr:uid="{00000000-0005-0000-0000-0000C7C40000}"/>
    <cellStyle name="Normal 7 6 4 6 2" xfId="20405" xr:uid="{00000000-0005-0000-0000-0000C8C40000}"/>
    <cellStyle name="Normal 7 6 4 6 2 2" xfId="45958" xr:uid="{00000000-0005-0000-0000-0000C9C40000}"/>
    <cellStyle name="Normal 7 6 4 6 3" xfId="33581" xr:uid="{00000000-0005-0000-0000-0000CAC40000}"/>
    <cellStyle name="Normal 7 6 4 7" xfId="16916" xr:uid="{00000000-0005-0000-0000-0000CBC40000}"/>
    <cellStyle name="Normal 7 6 4 7 2" xfId="42469" xr:uid="{00000000-0005-0000-0000-0000CCC40000}"/>
    <cellStyle name="Normal 7 6 4 8" xfId="26888" xr:uid="{00000000-0005-0000-0000-0000CDC40000}"/>
    <cellStyle name="Normal 7 6 5" xfId="1116" xr:uid="{00000000-0005-0000-0000-0000CEC40000}"/>
    <cellStyle name="Normal 7 6 5 2" xfId="3545" xr:uid="{00000000-0005-0000-0000-0000CFC40000}"/>
    <cellStyle name="Normal 7 6 5 2 2" xfId="12681" xr:uid="{00000000-0005-0000-0000-0000D0C40000}"/>
    <cellStyle name="Normal 7 6 5 2 2 2" xfId="22900" xr:uid="{00000000-0005-0000-0000-0000D1C40000}"/>
    <cellStyle name="Normal 7 6 5 2 2 2 2" xfId="48453" xr:uid="{00000000-0005-0000-0000-0000D2C40000}"/>
    <cellStyle name="Normal 7 6 5 2 2 3" xfId="38236" xr:uid="{00000000-0005-0000-0000-0000D3C40000}"/>
    <cellStyle name="Normal 7 6 5 2 3" xfId="9102" xr:uid="{00000000-0005-0000-0000-0000D4C40000}"/>
    <cellStyle name="Normal 7 6 5 2 3 2" xfId="34659" xr:uid="{00000000-0005-0000-0000-0000D5C40000}"/>
    <cellStyle name="Normal 7 6 5 2 4" xfId="17893" xr:uid="{00000000-0005-0000-0000-0000D6C40000}"/>
    <cellStyle name="Normal 7 6 5 2 4 2" xfId="43446" xr:uid="{00000000-0005-0000-0000-0000D7C40000}"/>
    <cellStyle name="Normal 7 6 5 2 5" xfId="29383" xr:uid="{00000000-0005-0000-0000-0000D8C40000}"/>
    <cellStyle name="Normal 7 6 5 3" xfId="5208" xr:uid="{00000000-0005-0000-0000-0000D9C40000}"/>
    <cellStyle name="Normal 7 6 5 3 2" xfId="14045" xr:uid="{00000000-0005-0000-0000-0000DAC40000}"/>
    <cellStyle name="Normal 7 6 5 3 2 2" xfId="24296" xr:uid="{00000000-0005-0000-0000-0000DBC40000}"/>
    <cellStyle name="Normal 7 6 5 3 2 2 2" xfId="49849" xr:uid="{00000000-0005-0000-0000-0000DCC40000}"/>
    <cellStyle name="Normal 7 6 5 3 2 3" xfId="39600" xr:uid="{00000000-0005-0000-0000-0000DDC40000}"/>
    <cellStyle name="Normal 7 6 5 3 3" xfId="10466" xr:uid="{00000000-0005-0000-0000-0000DEC40000}"/>
    <cellStyle name="Normal 7 6 5 3 3 2" xfId="36023" xr:uid="{00000000-0005-0000-0000-0000DFC40000}"/>
    <cellStyle name="Normal 7 6 5 3 4" xfId="19289" xr:uid="{00000000-0005-0000-0000-0000E0C40000}"/>
    <cellStyle name="Normal 7 6 5 3 4 2" xfId="44842" xr:uid="{00000000-0005-0000-0000-0000E1C40000}"/>
    <cellStyle name="Normal 7 6 5 3 5" xfId="30779" xr:uid="{00000000-0005-0000-0000-0000E2C40000}"/>
    <cellStyle name="Normal 7 6 5 4" xfId="1824" xr:uid="{00000000-0005-0000-0000-0000E3C40000}"/>
    <cellStyle name="Normal 7 6 5 4 2" xfId="11192" xr:uid="{00000000-0005-0000-0000-0000E4C40000}"/>
    <cellStyle name="Normal 7 6 5 4 2 2" xfId="36747" xr:uid="{00000000-0005-0000-0000-0000E5C40000}"/>
    <cellStyle name="Normal 7 6 5 4 3" xfId="21196" xr:uid="{00000000-0005-0000-0000-0000E6C40000}"/>
    <cellStyle name="Normal 7 6 5 4 3 2" xfId="46749" xr:uid="{00000000-0005-0000-0000-0000E7C40000}"/>
    <cellStyle name="Normal 7 6 5 4 4" xfId="27679" xr:uid="{00000000-0005-0000-0000-0000E8C40000}"/>
    <cellStyle name="Normal 7 6 5 5" xfId="6663" xr:uid="{00000000-0005-0000-0000-0000E9C40000}"/>
    <cellStyle name="Normal 7 6 5 5 2" xfId="15490" xr:uid="{00000000-0005-0000-0000-0000EAC40000}"/>
    <cellStyle name="Normal 7 6 5 5 2 2" xfId="41045" xr:uid="{00000000-0005-0000-0000-0000EBC40000}"/>
    <cellStyle name="Normal 7 6 5 5 3" xfId="25741" xr:uid="{00000000-0005-0000-0000-0000ECC40000}"/>
    <cellStyle name="Normal 7 6 5 5 3 2" xfId="51294" xr:uid="{00000000-0005-0000-0000-0000EDC40000}"/>
    <cellStyle name="Normal 7 6 5 5 4" xfId="32224" xr:uid="{00000000-0005-0000-0000-0000EEC40000}"/>
    <cellStyle name="Normal 7 6 5 6" xfId="8109" xr:uid="{00000000-0005-0000-0000-0000EFC40000}"/>
    <cellStyle name="Normal 7 6 5 6 2" xfId="20499" xr:uid="{00000000-0005-0000-0000-0000F0C40000}"/>
    <cellStyle name="Normal 7 6 5 6 2 2" xfId="46052" xr:uid="{00000000-0005-0000-0000-0000F1C40000}"/>
    <cellStyle name="Normal 7 6 5 6 3" xfId="33666" xr:uid="{00000000-0005-0000-0000-0000F2C40000}"/>
    <cellStyle name="Normal 7 6 5 7" xfId="16189" xr:uid="{00000000-0005-0000-0000-0000F3C40000}"/>
    <cellStyle name="Normal 7 6 5 7 2" xfId="41742" xr:uid="{00000000-0005-0000-0000-0000F4C40000}"/>
    <cellStyle name="Normal 7 6 5 8" xfId="26982" xr:uid="{00000000-0005-0000-0000-0000F5C40000}"/>
    <cellStyle name="Normal 7 6 6" xfId="2718" xr:uid="{00000000-0005-0000-0000-0000F6C40000}"/>
    <cellStyle name="Normal 7 6 6 2" xfId="12035" xr:uid="{00000000-0005-0000-0000-0000F7C40000}"/>
    <cellStyle name="Normal 7 6 6 2 2" xfId="22079" xr:uid="{00000000-0005-0000-0000-0000F8C40000}"/>
    <cellStyle name="Normal 7 6 6 2 2 2" xfId="47632" xr:uid="{00000000-0005-0000-0000-0000F9C40000}"/>
    <cellStyle name="Normal 7 6 6 2 3" xfId="37590" xr:uid="{00000000-0005-0000-0000-0000FAC40000}"/>
    <cellStyle name="Normal 7 6 6 3" xfId="8593" xr:uid="{00000000-0005-0000-0000-0000FBC40000}"/>
    <cellStyle name="Normal 7 6 6 3 2" xfId="34150" xr:uid="{00000000-0005-0000-0000-0000FCC40000}"/>
    <cellStyle name="Normal 7 6 6 4" xfId="17072" xr:uid="{00000000-0005-0000-0000-0000FDC40000}"/>
    <cellStyle name="Normal 7 6 6 4 2" xfId="42625" xr:uid="{00000000-0005-0000-0000-0000FEC40000}"/>
    <cellStyle name="Normal 7 6 6 5" xfId="28562" xr:uid="{00000000-0005-0000-0000-0000FFC40000}"/>
    <cellStyle name="Normal 7 6 7" xfId="4164" xr:uid="{00000000-0005-0000-0000-000000C50000}"/>
    <cellStyle name="Normal 7 6 7 2" xfId="13002" xr:uid="{00000000-0005-0000-0000-000001C50000}"/>
    <cellStyle name="Normal 7 6 7 2 2" xfId="23253" xr:uid="{00000000-0005-0000-0000-000002C50000}"/>
    <cellStyle name="Normal 7 6 7 2 2 2" xfId="48806" xr:uid="{00000000-0005-0000-0000-000003C50000}"/>
    <cellStyle name="Normal 7 6 7 2 3" xfId="38557" xr:uid="{00000000-0005-0000-0000-000004C50000}"/>
    <cellStyle name="Normal 7 6 7 3" xfId="9423" xr:uid="{00000000-0005-0000-0000-000005C50000}"/>
    <cellStyle name="Normal 7 6 7 3 2" xfId="34980" xr:uid="{00000000-0005-0000-0000-000006C50000}"/>
    <cellStyle name="Normal 7 6 7 4" xfId="18246" xr:uid="{00000000-0005-0000-0000-000007C50000}"/>
    <cellStyle name="Normal 7 6 7 4 2" xfId="43799" xr:uid="{00000000-0005-0000-0000-000008C50000}"/>
    <cellStyle name="Normal 7 6 7 5" xfId="29736" xr:uid="{00000000-0005-0000-0000-000009C50000}"/>
    <cellStyle name="Normal 7 6 8" xfId="1436" xr:uid="{00000000-0005-0000-0000-00000AC50000}"/>
    <cellStyle name="Normal 7 6 8 2" xfId="10813" xr:uid="{00000000-0005-0000-0000-00000BC50000}"/>
    <cellStyle name="Normal 7 6 8 2 2" xfId="36368" xr:uid="{00000000-0005-0000-0000-00000CC50000}"/>
    <cellStyle name="Normal 7 6 8 3" xfId="20817" xr:uid="{00000000-0005-0000-0000-00000DC50000}"/>
    <cellStyle name="Normal 7 6 8 3 2" xfId="46370" xr:uid="{00000000-0005-0000-0000-00000EC50000}"/>
    <cellStyle name="Normal 7 6 8 4" xfId="27300" xr:uid="{00000000-0005-0000-0000-00000FC50000}"/>
    <cellStyle name="Normal 7 6 9" xfId="5620" xr:uid="{00000000-0005-0000-0000-000010C50000}"/>
    <cellStyle name="Normal 7 6 9 2" xfId="14447" xr:uid="{00000000-0005-0000-0000-000011C50000}"/>
    <cellStyle name="Normal 7 6 9 2 2" xfId="40002" xr:uid="{00000000-0005-0000-0000-000012C50000}"/>
    <cellStyle name="Normal 7 6 9 3" xfId="24698" xr:uid="{00000000-0005-0000-0000-000013C50000}"/>
    <cellStyle name="Normal 7 6 9 3 2" xfId="50251" xr:uid="{00000000-0005-0000-0000-000014C50000}"/>
    <cellStyle name="Normal 7 6 9 4" xfId="31181" xr:uid="{00000000-0005-0000-0000-000015C50000}"/>
    <cellStyle name="Normal 7 6_Degree data" xfId="4075" xr:uid="{00000000-0005-0000-0000-000016C50000}"/>
    <cellStyle name="Normal 7 7" xfId="283" xr:uid="{00000000-0005-0000-0000-000017C50000}"/>
    <cellStyle name="Normal 7 7 10" xfId="16071" xr:uid="{00000000-0005-0000-0000-000018C50000}"/>
    <cellStyle name="Normal 7 7 10 2" xfId="41624" xr:uid="{00000000-0005-0000-0000-000019C50000}"/>
    <cellStyle name="Normal 7 7 11" xfId="26217" xr:uid="{00000000-0005-0000-0000-00001AC50000}"/>
    <cellStyle name="Normal 7 7 2" xfId="605" xr:uid="{00000000-0005-0000-0000-00001BC50000}"/>
    <cellStyle name="Normal 7 7 2 2" xfId="3091" xr:uid="{00000000-0005-0000-0000-00001CC50000}"/>
    <cellStyle name="Normal 7 7 2 2 2" xfId="12234" xr:uid="{00000000-0005-0000-0000-00001DC50000}"/>
    <cellStyle name="Normal 7 7 2 2 2 2" xfId="22452" xr:uid="{00000000-0005-0000-0000-00001EC50000}"/>
    <cellStyle name="Normal 7 7 2 2 2 2 2" xfId="48005" xr:uid="{00000000-0005-0000-0000-00001FC50000}"/>
    <cellStyle name="Normal 7 7 2 2 2 3" xfId="37789" xr:uid="{00000000-0005-0000-0000-000020C50000}"/>
    <cellStyle name="Normal 7 7 2 2 3" xfId="8656" xr:uid="{00000000-0005-0000-0000-000021C50000}"/>
    <cellStyle name="Normal 7 7 2 2 3 2" xfId="34213" xr:uid="{00000000-0005-0000-0000-000022C50000}"/>
    <cellStyle name="Normal 7 7 2 2 4" xfId="17445" xr:uid="{00000000-0005-0000-0000-000023C50000}"/>
    <cellStyle name="Normal 7 7 2 2 4 2" xfId="42998" xr:uid="{00000000-0005-0000-0000-000024C50000}"/>
    <cellStyle name="Normal 7 7 2 2 5" xfId="28935" xr:uid="{00000000-0005-0000-0000-000025C50000}"/>
    <cellStyle name="Normal 7 7 2 3" xfId="4777" xr:uid="{00000000-0005-0000-0000-000026C50000}"/>
    <cellStyle name="Normal 7 7 2 3 2" xfId="13614" xr:uid="{00000000-0005-0000-0000-000027C50000}"/>
    <cellStyle name="Normal 7 7 2 3 2 2" xfId="23865" xr:uid="{00000000-0005-0000-0000-000028C50000}"/>
    <cellStyle name="Normal 7 7 2 3 2 2 2" xfId="49418" xr:uid="{00000000-0005-0000-0000-000029C50000}"/>
    <cellStyle name="Normal 7 7 2 3 2 3" xfId="39169" xr:uid="{00000000-0005-0000-0000-00002AC50000}"/>
    <cellStyle name="Normal 7 7 2 3 3" xfId="10035" xr:uid="{00000000-0005-0000-0000-00002BC50000}"/>
    <cellStyle name="Normal 7 7 2 3 3 2" xfId="35592" xr:uid="{00000000-0005-0000-0000-00002CC50000}"/>
    <cellStyle name="Normal 7 7 2 3 4" xfId="18858" xr:uid="{00000000-0005-0000-0000-00002DC50000}"/>
    <cellStyle name="Normal 7 7 2 3 4 2" xfId="44411" xr:uid="{00000000-0005-0000-0000-00002EC50000}"/>
    <cellStyle name="Normal 7 7 2 3 5" xfId="30348" xr:uid="{00000000-0005-0000-0000-00002FC50000}"/>
    <cellStyle name="Normal 7 7 2 4" xfId="2200" xr:uid="{00000000-0005-0000-0000-000030C50000}"/>
    <cellStyle name="Normal 7 7 2 4 2" xfId="11565" xr:uid="{00000000-0005-0000-0000-000031C50000}"/>
    <cellStyle name="Normal 7 7 2 4 2 2" xfId="37120" xr:uid="{00000000-0005-0000-0000-000032C50000}"/>
    <cellStyle name="Normal 7 7 2 4 3" xfId="21569" xr:uid="{00000000-0005-0000-0000-000033C50000}"/>
    <cellStyle name="Normal 7 7 2 4 3 2" xfId="47122" xr:uid="{00000000-0005-0000-0000-000034C50000}"/>
    <cellStyle name="Normal 7 7 2 4 4" xfId="28052" xr:uid="{00000000-0005-0000-0000-000035C50000}"/>
    <cellStyle name="Normal 7 7 2 5" xfId="6232" xr:uid="{00000000-0005-0000-0000-000036C50000}"/>
    <cellStyle name="Normal 7 7 2 5 2" xfId="15059" xr:uid="{00000000-0005-0000-0000-000037C50000}"/>
    <cellStyle name="Normal 7 7 2 5 2 2" xfId="40614" xr:uid="{00000000-0005-0000-0000-000038C50000}"/>
    <cellStyle name="Normal 7 7 2 5 3" xfId="25310" xr:uid="{00000000-0005-0000-0000-000039C50000}"/>
    <cellStyle name="Normal 7 7 2 5 3 2" xfId="50863" xr:uid="{00000000-0005-0000-0000-00003AC50000}"/>
    <cellStyle name="Normal 7 7 2 5 4" xfId="31793" xr:uid="{00000000-0005-0000-0000-00003BC50000}"/>
    <cellStyle name="Normal 7 7 2 6" xfId="7678" xr:uid="{00000000-0005-0000-0000-00003CC50000}"/>
    <cellStyle name="Normal 7 7 2 6 2" xfId="20051" xr:uid="{00000000-0005-0000-0000-00003DC50000}"/>
    <cellStyle name="Normal 7 7 2 6 2 2" xfId="45604" xr:uid="{00000000-0005-0000-0000-00003EC50000}"/>
    <cellStyle name="Normal 7 7 2 6 3" xfId="33235" xr:uid="{00000000-0005-0000-0000-00003FC50000}"/>
    <cellStyle name="Normal 7 7 2 7" xfId="16562" xr:uid="{00000000-0005-0000-0000-000040C50000}"/>
    <cellStyle name="Normal 7 7 2 7 2" xfId="42115" xr:uid="{00000000-0005-0000-0000-000041C50000}"/>
    <cellStyle name="Normal 7 7 2 8" xfId="26534" xr:uid="{00000000-0005-0000-0000-000042C50000}"/>
    <cellStyle name="Normal 7 7 3" xfId="971" xr:uid="{00000000-0005-0000-0000-000043C50000}"/>
    <cellStyle name="Normal 7 7 3 2" xfId="3447" xr:uid="{00000000-0005-0000-0000-000044C50000}"/>
    <cellStyle name="Normal 7 7 3 2 2" xfId="12589" xr:uid="{00000000-0005-0000-0000-000045C50000}"/>
    <cellStyle name="Normal 7 7 3 2 2 2" xfId="22808" xr:uid="{00000000-0005-0000-0000-000046C50000}"/>
    <cellStyle name="Normal 7 7 3 2 2 2 2" xfId="48361" xr:uid="{00000000-0005-0000-0000-000047C50000}"/>
    <cellStyle name="Normal 7 7 3 2 2 3" xfId="38144" xr:uid="{00000000-0005-0000-0000-000048C50000}"/>
    <cellStyle name="Normal 7 7 3 2 3" xfId="9011" xr:uid="{00000000-0005-0000-0000-000049C50000}"/>
    <cellStyle name="Normal 7 7 3 2 3 2" xfId="34568" xr:uid="{00000000-0005-0000-0000-00004AC50000}"/>
    <cellStyle name="Normal 7 7 3 2 4" xfId="17801" xr:uid="{00000000-0005-0000-0000-00004BC50000}"/>
    <cellStyle name="Normal 7 7 3 2 4 2" xfId="43354" xr:uid="{00000000-0005-0000-0000-00004CC50000}"/>
    <cellStyle name="Normal 7 7 3 2 5" xfId="29291" xr:uid="{00000000-0005-0000-0000-00004DC50000}"/>
    <cellStyle name="Normal 7 7 3 3" xfId="5125" xr:uid="{00000000-0005-0000-0000-00004EC50000}"/>
    <cellStyle name="Normal 7 7 3 3 2" xfId="13962" xr:uid="{00000000-0005-0000-0000-00004FC50000}"/>
    <cellStyle name="Normal 7 7 3 3 2 2" xfId="24213" xr:uid="{00000000-0005-0000-0000-000050C50000}"/>
    <cellStyle name="Normal 7 7 3 3 2 2 2" xfId="49766" xr:uid="{00000000-0005-0000-0000-000051C50000}"/>
    <cellStyle name="Normal 7 7 3 3 2 3" xfId="39517" xr:uid="{00000000-0005-0000-0000-000052C50000}"/>
    <cellStyle name="Normal 7 7 3 3 3" xfId="10383" xr:uid="{00000000-0005-0000-0000-000053C50000}"/>
    <cellStyle name="Normal 7 7 3 3 3 2" xfId="35940" xr:uid="{00000000-0005-0000-0000-000054C50000}"/>
    <cellStyle name="Normal 7 7 3 3 4" xfId="19206" xr:uid="{00000000-0005-0000-0000-000055C50000}"/>
    <cellStyle name="Normal 7 7 3 3 4 2" xfId="44759" xr:uid="{00000000-0005-0000-0000-000056C50000}"/>
    <cellStyle name="Normal 7 7 3 3 5" xfId="30696" xr:uid="{00000000-0005-0000-0000-000057C50000}"/>
    <cellStyle name="Normal 7 7 3 4" xfId="2556" xr:uid="{00000000-0005-0000-0000-000058C50000}"/>
    <cellStyle name="Normal 7 7 3 4 2" xfId="11921" xr:uid="{00000000-0005-0000-0000-000059C50000}"/>
    <cellStyle name="Normal 7 7 3 4 2 2" xfId="37476" xr:uid="{00000000-0005-0000-0000-00005AC50000}"/>
    <cellStyle name="Normal 7 7 3 4 3" xfId="21925" xr:uid="{00000000-0005-0000-0000-00005BC50000}"/>
    <cellStyle name="Normal 7 7 3 4 3 2" xfId="47478" xr:uid="{00000000-0005-0000-0000-00005CC50000}"/>
    <cellStyle name="Normal 7 7 3 4 4" xfId="28408" xr:uid="{00000000-0005-0000-0000-00005DC50000}"/>
    <cellStyle name="Normal 7 7 3 5" xfId="6580" xr:uid="{00000000-0005-0000-0000-00005EC50000}"/>
    <cellStyle name="Normal 7 7 3 5 2" xfId="15407" xr:uid="{00000000-0005-0000-0000-00005FC50000}"/>
    <cellStyle name="Normal 7 7 3 5 2 2" xfId="40962" xr:uid="{00000000-0005-0000-0000-000060C50000}"/>
    <cellStyle name="Normal 7 7 3 5 3" xfId="25658" xr:uid="{00000000-0005-0000-0000-000061C50000}"/>
    <cellStyle name="Normal 7 7 3 5 3 2" xfId="51211" xr:uid="{00000000-0005-0000-0000-000062C50000}"/>
    <cellStyle name="Normal 7 7 3 5 4" xfId="32141" xr:uid="{00000000-0005-0000-0000-000063C50000}"/>
    <cellStyle name="Normal 7 7 3 6" xfId="8026" xr:uid="{00000000-0005-0000-0000-000064C50000}"/>
    <cellStyle name="Normal 7 7 3 6 2" xfId="20407" xr:uid="{00000000-0005-0000-0000-000065C50000}"/>
    <cellStyle name="Normal 7 7 3 6 2 2" xfId="45960" xr:uid="{00000000-0005-0000-0000-000066C50000}"/>
    <cellStyle name="Normal 7 7 3 6 3" xfId="33583" xr:uid="{00000000-0005-0000-0000-000067C50000}"/>
    <cellStyle name="Normal 7 7 3 7" xfId="16918" xr:uid="{00000000-0005-0000-0000-000068C50000}"/>
    <cellStyle name="Normal 7 7 3 7 2" xfId="42471" xr:uid="{00000000-0005-0000-0000-000069C50000}"/>
    <cellStyle name="Normal 7 7 3 8" xfId="26890" xr:uid="{00000000-0005-0000-0000-00006AC50000}"/>
    <cellStyle name="Normal 7 7 4" xfId="1377" xr:uid="{00000000-0005-0000-0000-00006BC50000}"/>
    <cellStyle name="Normal 7 7 4 2" xfId="3806" xr:uid="{00000000-0005-0000-0000-00006CC50000}"/>
    <cellStyle name="Normal 7 7 4 2 2" xfId="12942" xr:uid="{00000000-0005-0000-0000-00006DC50000}"/>
    <cellStyle name="Normal 7 7 4 2 2 2" xfId="23161" xr:uid="{00000000-0005-0000-0000-00006EC50000}"/>
    <cellStyle name="Normal 7 7 4 2 2 2 2" xfId="48714" xr:uid="{00000000-0005-0000-0000-00006FC50000}"/>
    <cellStyle name="Normal 7 7 4 2 2 3" xfId="38497" xr:uid="{00000000-0005-0000-0000-000070C50000}"/>
    <cellStyle name="Normal 7 7 4 2 3" xfId="9363" xr:uid="{00000000-0005-0000-0000-000071C50000}"/>
    <cellStyle name="Normal 7 7 4 2 3 2" xfId="34920" xr:uid="{00000000-0005-0000-0000-000072C50000}"/>
    <cellStyle name="Normal 7 7 4 2 4" xfId="18154" xr:uid="{00000000-0005-0000-0000-000073C50000}"/>
    <cellStyle name="Normal 7 7 4 2 4 2" xfId="43707" xr:uid="{00000000-0005-0000-0000-000074C50000}"/>
    <cellStyle name="Normal 7 7 4 2 5" xfId="29644" xr:uid="{00000000-0005-0000-0000-000075C50000}"/>
    <cellStyle name="Normal 7 7 4 3" xfId="5469" xr:uid="{00000000-0005-0000-0000-000076C50000}"/>
    <cellStyle name="Normal 7 7 4 3 2" xfId="14306" xr:uid="{00000000-0005-0000-0000-000077C50000}"/>
    <cellStyle name="Normal 7 7 4 3 2 2" xfId="24557" xr:uid="{00000000-0005-0000-0000-000078C50000}"/>
    <cellStyle name="Normal 7 7 4 3 2 2 2" xfId="50110" xr:uid="{00000000-0005-0000-0000-000079C50000}"/>
    <cellStyle name="Normal 7 7 4 3 2 3" xfId="39861" xr:uid="{00000000-0005-0000-0000-00007AC50000}"/>
    <cellStyle name="Normal 7 7 4 3 3" xfId="10727" xr:uid="{00000000-0005-0000-0000-00007BC50000}"/>
    <cellStyle name="Normal 7 7 4 3 3 2" xfId="36284" xr:uid="{00000000-0005-0000-0000-00007CC50000}"/>
    <cellStyle name="Normal 7 7 4 3 4" xfId="19550" xr:uid="{00000000-0005-0000-0000-00007DC50000}"/>
    <cellStyle name="Normal 7 7 4 3 4 2" xfId="45103" xr:uid="{00000000-0005-0000-0000-00007EC50000}"/>
    <cellStyle name="Normal 7 7 4 3 5" xfId="31040" xr:uid="{00000000-0005-0000-0000-00007FC50000}"/>
    <cellStyle name="Normal 7 7 4 4" xfId="1880" xr:uid="{00000000-0005-0000-0000-000080C50000}"/>
    <cellStyle name="Normal 7 7 4 4 2" xfId="11248" xr:uid="{00000000-0005-0000-0000-000081C50000}"/>
    <cellStyle name="Normal 7 7 4 4 2 2" xfId="36803" xr:uid="{00000000-0005-0000-0000-000082C50000}"/>
    <cellStyle name="Normal 7 7 4 4 3" xfId="21252" xr:uid="{00000000-0005-0000-0000-000083C50000}"/>
    <cellStyle name="Normal 7 7 4 4 3 2" xfId="46805" xr:uid="{00000000-0005-0000-0000-000084C50000}"/>
    <cellStyle name="Normal 7 7 4 4 4" xfId="27735" xr:uid="{00000000-0005-0000-0000-000085C50000}"/>
    <cellStyle name="Normal 7 7 4 5" xfId="6924" xr:uid="{00000000-0005-0000-0000-000086C50000}"/>
    <cellStyle name="Normal 7 7 4 5 2" xfId="15751" xr:uid="{00000000-0005-0000-0000-000087C50000}"/>
    <cellStyle name="Normal 7 7 4 5 2 2" xfId="41306" xr:uid="{00000000-0005-0000-0000-000088C50000}"/>
    <cellStyle name="Normal 7 7 4 5 3" xfId="26002" xr:uid="{00000000-0005-0000-0000-000089C50000}"/>
    <cellStyle name="Normal 7 7 4 5 3 2" xfId="51555" xr:uid="{00000000-0005-0000-0000-00008AC50000}"/>
    <cellStyle name="Normal 7 7 4 5 4" xfId="32485" xr:uid="{00000000-0005-0000-0000-00008BC50000}"/>
    <cellStyle name="Normal 7 7 4 6" xfId="8370" xr:uid="{00000000-0005-0000-0000-00008CC50000}"/>
    <cellStyle name="Normal 7 7 4 6 2" xfId="20760" xr:uid="{00000000-0005-0000-0000-00008DC50000}"/>
    <cellStyle name="Normal 7 7 4 6 2 2" xfId="46313" xr:uid="{00000000-0005-0000-0000-00008EC50000}"/>
    <cellStyle name="Normal 7 7 4 6 3" xfId="33927" xr:uid="{00000000-0005-0000-0000-00008FC50000}"/>
    <cellStyle name="Normal 7 7 4 7" xfId="16245" xr:uid="{00000000-0005-0000-0000-000090C50000}"/>
    <cellStyle name="Normal 7 7 4 7 2" xfId="41798" xr:uid="{00000000-0005-0000-0000-000091C50000}"/>
    <cellStyle name="Normal 7 7 4 8" xfId="27243" xr:uid="{00000000-0005-0000-0000-000092C50000}"/>
    <cellStyle name="Normal 7 7 5" xfId="2774" xr:uid="{00000000-0005-0000-0000-000093C50000}"/>
    <cellStyle name="Normal 7 7 5 2" xfId="12091" xr:uid="{00000000-0005-0000-0000-000094C50000}"/>
    <cellStyle name="Normal 7 7 5 2 2" xfId="22135" xr:uid="{00000000-0005-0000-0000-000095C50000}"/>
    <cellStyle name="Normal 7 7 5 2 2 2" xfId="47688" xr:uid="{00000000-0005-0000-0000-000096C50000}"/>
    <cellStyle name="Normal 7 7 5 2 3" xfId="37646" xr:uid="{00000000-0005-0000-0000-000097C50000}"/>
    <cellStyle name="Normal 7 7 5 3" xfId="8473" xr:uid="{00000000-0005-0000-0000-000098C50000}"/>
    <cellStyle name="Normal 7 7 5 3 2" xfId="34030" xr:uid="{00000000-0005-0000-0000-000099C50000}"/>
    <cellStyle name="Normal 7 7 5 4" xfId="17128" xr:uid="{00000000-0005-0000-0000-00009AC50000}"/>
    <cellStyle name="Normal 7 7 5 4 2" xfId="42681" xr:uid="{00000000-0005-0000-0000-00009BC50000}"/>
    <cellStyle name="Normal 7 7 5 5" xfId="28618" xr:uid="{00000000-0005-0000-0000-00009CC50000}"/>
    <cellStyle name="Normal 7 7 6" xfId="4425" xr:uid="{00000000-0005-0000-0000-00009DC50000}"/>
    <cellStyle name="Normal 7 7 6 2" xfId="13263" xr:uid="{00000000-0005-0000-0000-00009EC50000}"/>
    <cellStyle name="Normal 7 7 6 2 2" xfId="23514" xr:uid="{00000000-0005-0000-0000-00009FC50000}"/>
    <cellStyle name="Normal 7 7 6 2 2 2" xfId="49067" xr:uid="{00000000-0005-0000-0000-0000A0C50000}"/>
    <cellStyle name="Normal 7 7 6 2 3" xfId="38818" xr:uid="{00000000-0005-0000-0000-0000A1C50000}"/>
    <cellStyle name="Normal 7 7 6 3" xfId="9684" xr:uid="{00000000-0005-0000-0000-0000A2C50000}"/>
    <cellStyle name="Normal 7 7 6 3 2" xfId="35241" xr:uid="{00000000-0005-0000-0000-0000A3C50000}"/>
    <cellStyle name="Normal 7 7 6 4" xfId="18507" xr:uid="{00000000-0005-0000-0000-0000A4C50000}"/>
    <cellStyle name="Normal 7 7 6 4 2" xfId="44060" xr:uid="{00000000-0005-0000-0000-0000A5C50000}"/>
    <cellStyle name="Normal 7 7 6 5" xfId="29997" xr:uid="{00000000-0005-0000-0000-0000A6C50000}"/>
    <cellStyle name="Normal 7 7 7" xfId="1697" xr:uid="{00000000-0005-0000-0000-0000A7C50000}"/>
    <cellStyle name="Normal 7 7 7 2" xfId="11074" xr:uid="{00000000-0005-0000-0000-0000A8C50000}"/>
    <cellStyle name="Normal 7 7 7 2 2" xfId="36629" xr:uid="{00000000-0005-0000-0000-0000A9C50000}"/>
    <cellStyle name="Normal 7 7 7 3" xfId="21078" xr:uid="{00000000-0005-0000-0000-0000AAC50000}"/>
    <cellStyle name="Normal 7 7 7 3 2" xfId="46631" xr:uid="{00000000-0005-0000-0000-0000ABC50000}"/>
    <cellStyle name="Normal 7 7 7 4" xfId="27561" xr:uid="{00000000-0005-0000-0000-0000ACC50000}"/>
    <cellStyle name="Normal 7 7 8" xfId="5881" xr:uid="{00000000-0005-0000-0000-0000ADC50000}"/>
    <cellStyle name="Normal 7 7 8 2" xfId="14708" xr:uid="{00000000-0005-0000-0000-0000AEC50000}"/>
    <cellStyle name="Normal 7 7 8 2 2" xfId="40263" xr:uid="{00000000-0005-0000-0000-0000AFC50000}"/>
    <cellStyle name="Normal 7 7 8 3" xfId="24959" xr:uid="{00000000-0005-0000-0000-0000B0C50000}"/>
    <cellStyle name="Normal 7 7 8 3 2" xfId="50512" xr:uid="{00000000-0005-0000-0000-0000B1C50000}"/>
    <cellStyle name="Normal 7 7 8 4" xfId="31442" xr:uid="{00000000-0005-0000-0000-0000B2C50000}"/>
    <cellStyle name="Normal 7 7 9" xfId="7325" xr:uid="{00000000-0005-0000-0000-0000B3C50000}"/>
    <cellStyle name="Normal 7 7 9 2" xfId="19734" xr:uid="{00000000-0005-0000-0000-0000B4C50000}"/>
    <cellStyle name="Normal 7 7 9 2 2" xfId="45287" xr:uid="{00000000-0005-0000-0000-0000B5C50000}"/>
    <cellStyle name="Normal 7 7 9 3" xfId="32882" xr:uid="{00000000-0005-0000-0000-0000B6C50000}"/>
    <cellStyle name="Normal 7 7_Degree data" xfId="4077" xr:uid="{00000000-0005-0000-0000-0000B7C50000}"/>
    <cellStyle name="Normal 7 8" xfId="444" xr:uid="{00000000-0005-0000-0000-0000B8C50000}"/>
    <cellStyle name="Normal 7 8 10" xfId="26373" xr:uid="{00000000-0005-0000-0000-0000B9C50000}"/>
    <cellStyle name="Normal 7 8 2" xfId="972" xr:uid="{00000000-0005-0000-0000-0000BAC50000}"/>
    <cellStyle name="Normal 7 8 2 2" xfId="3448" xr:uid="{00000000-0005-0000-0000-0000BBC50000}"/>
    <cellStyle name="Normal 7 8 2 2 2" xfId="12590" xr:uid="{00000000-0005-0000-0000-0000BCC50000}"/>
    <cellStyle name="Normal 7 8 2 2 2 2" xfId="22809" xr:uid="{00000000-0005-0000-0000-0000BDC50000}"/>
    <cellStyle name="Normal 7 8 2 2 2 2 2" xfId="48362" xr:uid="{00000000-0005-0000-0000-0000BEC50000}"/>
    <cellStyle name="Normal 7 8 2 2 2 3" xfId="38145" xr:uid="{00000000-0005-0000-0000-0000BFC50000}"/>
    <cellStyle name="Normal 7 8 2 2 3" xfId="9012" xr:uid="{00000000-0005-0000-0000-0000C0C50000}"/>
    <cellStyle name="Normal 7 8 2 2 3 2" xfId="34569" xr:uid="{00000000-0005-0000-0000-0000C1C50000}"/>
    <cellStyle name="Normal 7 8 2 2 4" xfId="17802" xr:uid="{00000000-0005-0000-0000-0000C2C50000}"/>
    <cellStyle name="Normal 7 8 2 2 4 2" xfId="43355" xr:uid="{00000000-0005-0000-0000-0000C3C50000}"/>
    <cellStyle name="Normal 7 8 2 2 5" xfId="29292" xr:uid="{00000000-0005-0000-0000-0000C4C50000}"/>
    <cellStyle name="Normal 7 8 2 3" xfId="4778" xr:uid="{00000000-0005-0000-0000-0000C5C50000}"/>
    <cellStyle name="Normal 7 8 2 3 2" xfId="13615" xr:uid="{00000000-0005-0000-0000-0000C6C50000}"/>
    <cellStyle name="Normal 7 8 2 3 2 2" xfId="23866" xr:uid="{00000000-0005-0000-0000-0000C7C50000}"/>
    <cellStyle name="Normal 7 8 2 3 2 2 2" xfId="49419" xr:uid="{00000000-0005-0000-0000-0000C8C50000}"/>
    <cellStyle name="Normal 7 8 2 3 2 3" xfId="39170" xr:uid="{00000000-0005-0000-0000-0000C9C50000}"/>
    <cellStyle name="Normal 7 8 2 3 3" xfId="10036" xr:uid="{00000000-0005-0000-0000-0000CAC50000}"/>
    <cellStyle name="Normal 7 8 2 3 3 2" xfId="35593" xr:uid="{00000000-0005-0000-0000-0000CBC50000}"/>
    <cellStyle name="Normal 7 8 2 3 4" xfId="18859" xr:uid="{00000000-0005-0000-0000-0000CCC50000}"/>
    <cellStyle name="Normal 7 8 2 3 4 2" xfId="44412" xr:uid="{00000000-0005-0000-0000-0000CDC50000}"/>
    <cellStyle name="Normal 7 8 2 3 5" xfId="30349" xr:uid="{00000000-0005-0000-0000-0000CEC50000}"/>
    <cellStyle name="Normal 7 8 2 4" xfId="2557" xr:uid="{00000000-0005-0000-0000-0000CFC50000}"/>
    <cellStyle name="Normal 7 8 2 4 2" xfId="11922" xr:uid="{00000000-0005-0000-0000-0000D0C50000}"/>
    <cellStyle name="Normal 7 8 2 4 2 2" xfId="37477" xr:uid="{00000000-0005-0000-0000-0000D1C50000}"/>
    <cellStyle name="Normal 7 8 2 4 3" xfId="21926" xr:uid="{00000000-0005-0000-0000-0000D2C50000}"/>
    <cellStyle name="Normal 7 8 2 4 3 2" xfId="47479" xr:uid="{00000000-0005-0000-0000-0000D3C50000}"/>
    <cellStyle name="Normal 7 8 2 4 4" xfId="28409" xr:uid="{00000000-0005-0000-0000-0000D4C50000}"/>
    <cellStyle name="Normal 7 8 2 5" xfId="6233" xr:uid="{00000000-0005-0000-0000-0000D5C50000}"/>
    <cellStyle name="Normal 7 8 2 5 2" xfId="15060" xr:uid="{00000000-0005-0000-0000-0000D6C50000}"/>
    <cellStyle name="Normal 7 8 2 5 2 2" xfId="40615" xr:uid="{00000000-0005-0000-0000-0000D7C50000}"/>
    <cellStyle name="Normal 7 8 2 5 3" xfId="25311" xr:uid="{00000000-0005-0000-0000-0000D8C50000}"/>
    <cellStyle name="Normal 7 8 2 5 3 2" xfId="50864" xr:uid="{00000000-0005-0000-0000-0000D9C50000}"/>
    <cellStyle name="Normal 7 8 2 5 4" xfId="31794" xr:uid="{00000000-0005-0000-0000-0000DAC50000}"/>
    <cellStyle name="Normal 7 8 2 6" xfId="7679" xr:uid="{00000000-0005-0000-0000-0000DBC50000}"/>
    <cellStyle name="Normal 7 8 2 6 2" xfId="20408" xr:uid="{00000000-0005-0000-0000-0000DCC50000}"/>
    <cellStyle name="Normal 7 8 2 6 2 2" xfId="45961" xr:uid="{00000000-0005-0000-0000-0000DDC50000}"/>
    <cellStyle name="Normal 7 8 2 6 3" xfId="33236" xr:uid="{00000000-0005-0000-0000-0000DEC50000}"/>
    <cellStyle name="Normal 7 8 2 7" xfId="16919" xr:uid="{00000000-0005-0000-0000-0000DFC50000}"/>
    <cellStyle name="Normal 7 8 2 7 2" xfId="42472" xr:uid="{00000000-0005-0000-0000-0000E0C50000}"/>
    <cellStyle name="Normal 7 8 2 8" xfId="26891" xr:uid="{00000000-0005-0000-0000-0000E1C50000}"/>
    <cellStyle name="Normal 7 8 3" xfId="1216" xr:uid="{00000000-0005-0000-0000-0000E2C50000}"/>
    <cellStyle name="Normal 7 8 3 2" xfId="3645" xr:uid="{00000000-0005-0000-0000-0000E3C50000}"/>
    <cellStyle name="Normal 7 8 3 2 2" xfId="12781" xr:uid="{00000000-0005-0000-0000-0000E4C50000}"/>
    <cellStyle name="Normal 7 8 3 2 2 2" xfId="23000" xr:uid="{00000000-0005-0000-0000-0000E5C50000}"/>
    <cellStyle name="Normal 7 8 3 2 2 2 2" xfId="48553" xr:uid="{00000000-0005-0000-0000-0000E6C50000}"/>
    <cellStyle name="Normal 7 8 3 2 2 3" xfId="38336" xr:uid="{00000000-0005-0000-0000-0000E7C50000}"/>
    <cellStyle name="Normal 7 8 3 2 3" xfId="9202" xr:uid="{00000000-0005-0000-0000-0000E8C50000}"/>
    <cellStyle name="Normal 7 8 3 2 3 2" xfId="34759" xr:uid="{00000000-0005-0000-0000-0000E9C50000}"/>
    <cellStyle name="Normal 7 8 3 2 4" xfId="17993" xr:uid="{00000000-0005-0000-0000-0000EAC50000}"/>
    <cellStyle name="Normal 7 8 3 2 4 2" xfId="43546" xr:uid="{00000000-0005-0000-0000-0000EBC50000}"/>
    <cellStyle name="Normal 7 8 3 2 5" xfId="29483" xr:uid="{00000000-0005-0000-0000-0000ECC50000}"/>
    <cellStyle name="Normal 7 8 3 3" xfId="5126" xr:uid="{00000000-0005-0000-0000-0000EDC50000}"/>
    <cellStyle name="Normal 7 8 3 3 2" xfId="13963" xr:uid="{00000000-0005-0000-0000-0000EEC50000}"/>
    <cellStyle name="Normal 7 8 3 3 2 2" xfId="24214" xr:uid="{00000000-0005-0000-0000-0000EFC50000}"/>
    <cellStyle name="Normal 7 8 3 3 2 2 2" xfId="49767" xr:uid="{00000000-0005-0000-0000-0000F0C50000}"/>
    <cellStyle name="Normal 7 8 3 3 2 3" xfId="39518" xr:uid="{00000000-0005-0000-0000-0000F1C50000}"/>
    <cellStyle name="Normal 7 8 3 3 3" xfId="10384" xr:uid="{00000000-0005-0000-0000-0000F2C50000}"/>
    <cellStyle name="Normal 7 8 3 3 3 2" xfId="35941" xr:uid="{00000000-0005-0000-0000-0000F3C50000}"/>
    <cellStyle name="Normal 7 8 3 3 4" xfId="19207" xr:uid="{00000000-0005-0000-0000-0000F4C50000}"/>
    <cellStyle name="Normal 7 8 3 3 4 2" xfId="44760" xr:uid="{00000000-0005-0000-0000-0000F5C50000}"/>
    <cellStyle name="Normal 7 8 3 3 5" xfId="30697" xr:uid="{00000000-0005-0000-0000-0000F6C50000}"/>
    <cellStyle name="Normal 7 8 3 4" xfId="2039" xr:uid="{00000000-0005-0000-0000-0000F7C50000}"/>
    <cellStyle name="Normal 7 8 3 4 2" xfId="11404" xr:uid="{00000000-0005-0000-0000-0000F8C50000}"/>
    <cellStyle name="Normal 7 8 3 4 2 2" xfId="36959" xr:uid="{00000000-0005-0000-0000-0000F9C50000}"/>
    <cellStyle name="Normal 7 8 3 4 3" xfId="21408" xr:uid="{00000000-0005-0000-0000-0000FAC50000}"/>
    <cellStyle name="Normal 7 8 3 4 3 2" xfId="46961" xr:uid="{00000000-0005-0000-0000-0000FBC50000}"/>
    <cellStyle name="Normal 7 8 3 4 4" xfId="27891" xr:uid="{00000000-0005-0000-0000-0000FCC50000}"/>
    <cellStyle name="Normal 7 8 3 5" xfId="6581" xr:uid="{00000000-0005-0000-0000-0000FDC50000}"/>
    <cellStyle name="Normal 7 8 3 5 2" xfId="15408" xr:uid="{00000000-0005-0000-0000-0000FEC50000}"/>
    <cellStyle name="Normal 7 8 3 5 2 2" xfId="40963" xr:uid="{00000000-0005-0000-0000-0000FFC50000}"/>
    <cellStyle name="Normal 7 8 3 5 3" xfId="25659" xr:uid="{00000000-0005-0000-0000-000000C60000}"/>
    <cellStyle name="Normal 7 8 3 5 3 2" xfId="51212" xr:uid="{00000000-0005-0000-0000-000001C60000}"/>
    <cellStyle name="Normal 7 8 3 5 4" xfId="32142" xr:uid="{00000000-0005-0000-0000-000002C60000}"/>
    <cellStyle name="Normal 7 8 3 6" xfId="8027" xr:uid="{00000000-0005-0000-0000-000003C60000}"/>
    <cellStyle name="Normal 7 8 3 6 2" xfId="20599" xr:uid="{00000000-0005-0000-0000-000004C60000}"/>
    <cellStyle name="Normal 7 8 3 6 2 2" xfId="46152" xr:uid="{00000000-0005-0000-0000-000005C60000}"/>
    <cellStyle name="Normal 7 8 3 6 3" xfId="33584" xr:uid="{00000000-0005-0000-0000-000006C60000}"/>
    <cellStyle name="Normal 7 8 3 7" xfId="16401" xr:uid="{00000000-0005-0000-0000-000007C60000}"/>
    <cellStyle name="Normal 7 8 3 7 2" xfId="41954" xr:uid="{00000000-0005-0000-0000-000008C60000}"/>
    <cellStyle name="Normal 7 8 3 8" xfId="27082" xr:uid="{00000000-0005-0000-0000-000009C60000}"/>
    <cellStyle name="Normal 7 8 4" xfId="2930" xr:uid="{00000000-0005-0000-0000-00000AC60000}"/>
    <cellStyle name="Normal 7 8 4 2" xfId="5308" xr:uid="{00000000-0005-0000-0000-00000BC60000}"/>
    <cellStyle name="Normal 7 8 4 2 2" xfId="14145" xr:uid="{00000000-0005-0000-0000-00000CC60000}"/>
    <cellStyle name="Normal 7 8 4 2 2 2" xfId="24396" xr:uid="{00000000-0005-0000-0000-00000DC60000}"/>
    <cellStyle name="Normal 7 8 4 2 2 2 2" xfId="49949" xr:uid="{00000000-0005-0000-0000-00000EC60000}"/>
    <cellStyle name="Normal 7 8 4 2 2 3" xfId="39700" xr:uid="{00000000-0005-0000-0000-00000FC60000}"/>
    <cellStyle name="Normal 7 8 4 2 3" xfId="10566" xr:uid="{00000000-0005-0000-0000-000010C60000}"/>
    <cellStyle name="Normal 7 8 4 2 3 2" xfId="36123" xr:uid="{00000000-0005-0000-0000-000011C60000}"/>
    <cellStyle name="Normal 7 8 4 2 4" xfId="19389" xr:uid="{00000000-0005-0000-0000-000012C60000}"/>
    <cellStyle name="Normal 7 8 4 2 4 2" xfId="44942" xr:uid="{00000000-0005-0000-0000-000013C60000}"/>
    <cellStyle name="Normal 7 8 4 2 5" xfId="30879" xr:uid="{00000000-0005-0000-0000-000014C60000}"/>
    <cellStyle name="Normal 7 8 4 3" xfId="6763" xr:uid="{00000000-0005-0000-0000-000015C60000}"/>
    <cellStyle name="Normal 7 8 4 3 2" xfId="15590" xr:uid="{00000000-0005-0000-0000-000016C60000}"/>
    <cellStyle name="Normal 7 8 4 3 2 2" xfId="41145" xr:uid="{00000000-0005-0000-0000-000017C60000}"/>
    <cellStyle name="Normal 7 8 4 3 3" xfId="25841" xr:uid="{00000000-0005-0000-0000-000018C60000}"/>
    <cellStyle name="Normal 7 8 4 3 3 2" xfId="51394" xr:uid="{00000000-0005-0000-0000-000019C60000}"/>
    <cellStyle name="Normal 7 8 4 3 4" xfId="32324" xr:uid="{00000000-0005-0000-0000-00001AC60000}"/>
    <cellStyle name="Normal 7 8 4 4" xfId="8209" xr:uid="{00000000-0005-0000-0000-00001BC60000}"/>
    <cellStyle name="Normal 7 8 4 4 2" xfId="22291" xr:uid="{00000000-0005-0000-0000-00001CC60000}"/>
    <cellStyle name="Normal 7 8 4 4 2 2" xfId="47844" xr:uid="{00000000-0005-0000-0000-00001DC60000}"/>
    <cellStyle name="Normal 7 8 4 4 3" xfId="33766" xr:uid="{00000000-0005-0000-0000-00001EC60000}"/>
    <cellStyle name="Normal 7 8 4 5" xfId="17284" xr:uid="{00000000-0005-0000-0000-00001FC60000}"/>
    <cellStyle name="Normal 7 8 4 5 2" xfId="42837" xr:uid="{00000000-0005-0000-0000-000020C60000}"/>
    <cellStyle name="Normal 7 8 4 6" xfId="28774" xr:uid="{00000000-0005-0000-0000-000021C60000}"/>
    <cellStyle name="Normal 7 8 5" xfId="4264" xr:uid="{00000000-0005-0000-0000-000022C60000}"/>
    <cellStyle name="Normal 7 8 5 2" xfId="13102" xr:uid="{00000000-0005-0000-0000-000023C60000}"/>
    <cellStyle name="Normal 7 8 5 2 2" xfId="23353" xr:uid="{00000000-0005-0000-0000-000024C60000}"/>
    <cellStyle name="Normal 7 8 5 2 2 2" xfId="48906" xr:uid="{00000000-0005-0000-0000-000025C60000}"/>
    <cellStyle name="Normal 7 8 5 2 3" xfId="38657" xr:uid="{00000000-0005-0000-0000-000026C60000}"/>
    <cellStyle name="Normal 7 8 5 3" xfId="9523" xr:uid="{00000000-0005-0000-0000-000027C60000}"/>
    <cellStyle name="Normal 7 8 5 3 2" xfId="35080" xr:uid="{00000000-0005-0000-0000-000028C60000}"/>
    <cellStyle name="Normal 7 8 5 4" xfId="18346" xr:uid="{00000000-0005-0000-0000-000029C60000}"/>
    <cellStyle name="Normal 7 8 5 4 2" xfId="43899" xr:uid="{00000000-0005-0000-0000-00002AC60000}"/>
    <cellStyle name="Normal 7 8 5 5" xfId="29836" xr:uid="{00000000-0005-0000-0000-00002BC60000}"/>
    <cellStyle name="Normal 7 8 6" xfId="1536" xr:uid="{00000000-0005-0000-0000-00002CC60000}"/>
    <cellStyle name="Normal 7 8 6 2" xfId="10913" xr:uid="{00000000-0005-0000-0000-00002DC60000}"/>
    <cellStyle name="Normal 7 8 6 2 2" xfId="36468" xr:uid="{00000000-0005-0000-0000-00002EC60000}"/>
    <cellStyle name="Normal 7 8 6 3" xfId="20917" xr:uid="{00000000-0005-0000-0000-00002FC60000}"/>
    <cellStyle name="Normal 7 8 6 3 2" xfId="46470" xr:uid="{00000000-0005-0000-0000-000030C60000}"/>
    <cellStyle name="Normal 7 8 6 4" xfId="27400" xr:uid="{00000000-0005-0000-0000-000031C60000}"/>
    <cellStyle name="Normal 7 8 7" xfId="5720" xr:uid="{00000000-0005-0000-0000-000032C60000}"/>
    <cellStyle name="Normal 7 8 7 2" xfId="14547" xr:uid="{00000000-0005-0000-0000-000033C60000}"/>
    <cellStyle name="Normal 7 8 7 2 2" xfId="40102" xr:uid="{00000000-0005-0000-0000-000034C60000}"/>
    <cellStyle name="Normal 7 8 7 3" xfId="24798" xr:uid="{00000000-0005-0000-0000-000035C60000}"/>
    <cellStyle name="Normal 7 8 7 3 2" xfId="50351" xr:uid="{00000000-0005-0000-0000-000036C60000}"/>
    <cellStyle name="Normal 7 8 7 4" xfId="31281" xr:uid="{00000000-0005-0000-0000-000037C60000}"/>
    <cellStyle name="Normal 7 8 8" xfId="7164" xr:uid="{00000000-0005-0000-0000-000038C60000}"/>
    <cellStyle name="Normal 7 8 8 2" xfId="19890" xr:uid="{00000000-0005-0000-0000-000039C60000}"/>
    <cellStyle name="Normal 7 8 8 2 2" xfId="45443" xr:uid="{00000000-0005-0000-0000-00003AC60000}"/>
    <cellStyle name="Normal 7 8 8 3" xfId="32721" xr:uid="{00000000-0005-0000-0000-00003BC60000}"/>
    <cellStyle name="Normal 7 8 9" xfId="15910" xr:uid="{00000000-0005-0000-0000-00003CC60000}"/>
    <cellStyle name="Normal 7 8 9 2" xfId="41463" xr:uid="{00000000-0005-0000-0000-00003DC60000}"/>
    <cellStyle name="Normal 7 8_Degree data" xfId="4078" xr:uid="{00000000-0005-0000-0000-00003EC60000}"/>
    <cellStyle name="Normal 7 9" xfId="305" xr:uid="{00000000-0005-0000-0000-00003FC60000}"/>
    <cellStyle name="Normal 7 9 10" xfId="26234" xr:uid="{00000000-0005-0000-0000-000040C60000}"/>
    <cellStyle name="Normal 7 9 2" xfId="973" xr:uid="{00000000-0005-0000-0000-000041C60000}"/>
    <cellStyle name="Normal 7 9 2 2" xfId="3449" xr:uid="{00000000-0005-0000-0000-000042C60000}"/>
    <cellStyle name="Normal 7 9 2 2 2" xfId="12591" xr:uid="{00000000-0005-0000-0000-000043C60000}"/>
    <cellStyle name="Normal 7 9 2 2 2 2" xfId="22810" xr:uid="{00000000-0005-0000-0000-000044C60000}"/>
    <cellStyle name="Normal 7 9 2 2 2 2 2" xfId="48363" xr:uid="{00000000-0005-0000-0000-000045C60000}"/>
    <cellStyle name="Normal 7 9 2 2 2 3" xfId="38146" xr:uid="{00000000-0005-0000-0000-000046C60000}"/>
    <cellStyle name="Normal 7 9 2 2 3" xfId="9013" xr:uid="{00000000-0005-0000-0000-000047C60000}"/>
    <cellStyle name="Normal 7 9 2 2 3 2" xfId="34570" xr:uid="{00000000-0005-0000-0000-000048C60000}"/>
    <cellStyle name="Normal 7 9 2 2 4" xfId="17803" xr:uid="{00000000-0005-0000-0000-000049C60000}"/>
    <cellStyle name="Normal 7 9 2 2 4 2" xfId="43356" xr:uid="{00000000-0005-0000-0000-00004AC60000}"/>
    <cellStyle name="Normal 7 9 2 2 5" xfId="29293" xr:uid="{00000000-0005-0000-0000-00004BC60000}"/>
    <cellStyle name="Normal 7 9 2 3" xfId="4779" xr:uid="{00000000-0005-0000-0000-00004CC60000}"/>
    <cellStyle name="Normal 7 9 2 3 2" xfId="13616" xr:uid="{00000000-0005-0000-0000-00004DC60000}"/>
    <cellStyle name="Normal 7 9 2 3 2 2" xfId="23867" xr:uid="{00000000-0005-0000-0000-00004EC60000}"/>
    <cellStyle name="Normal 7 9 2 3 2 2 2" xfId="49420" xr:uid="{00000000-0005-0000-0000-00004FC60000}"/>
    <cellStyle name="Normal 7 9 2 3 2 3" xfId="39171" xr:uid="{00000000-0005-0000-0000-000050C60000}"/>
    <cellStyle name="Normal 7 9 2 3 3" xfId="10037" xr:uid="{00000000-0005-0000-0000-000051C60000}"/>
    <cellStyle name="Normal 7 9 2 3 3 2" xfId="35594" xr:uid="{00000000-0005-0000-0000-000052C60000}"/>
    <cellStyle name="Normal 7 9 2 3 4" xfId="18860" xr:uid="{00000000-0005-0000-0000-000053C60000}"/>
    <cellStyle name="Normal 7 9 2 3 4 2" xfId="44413" xr:uid="{00000000-0005-0000-0000-000054C60000}"/>
    <cellStyle name="Normal 7 9 2 3 5" xfId="30350" xr:uid="{00000000-0005-0000-0000-000055C60000}"/>
    <cellStyle name="Normal 7 9 2 4" xfId="2558" xr:uid="{00000000-0005-0000-0000-000056C60000}"/>
    <cellStyle name="Normal 7 9 2 4 2" xfId="11923" xr:uid="{00000000-0005-0000-0000-000057C60000}"/>
    <cellStyle name="Normal 7 9 2 4 2 2" xfId="37478" xr:uid="{00000000-0005-0000-0000-000058C60000}"/>
    <cellStyle name="Normal 7 9 2 4 3" xfId="21927" xr:uid="{00000000-0005-0000-0000-000059C60000}"/>
    <cellStyle name="Normal 7 9 2 4 3 2" xfId="47480" xr:uid="{00000000-0005-0000-0000-00005AC60000}"/>
    <cellStyle name="Normal 7 9 2 4 4" xfId="28410" xr:uid="{00000000-0005-0000-0000-00005BC60000}"/>
    <cellStyle name="Normal 7 9 2 5" xfId="6234" xr:uid="{00000000-0005-0000-0000-00005CC60000}"/>
    <cellStyle name="Normal 7 9 2 5 2" xfId="15061" xr:uid="{00000000-0005-0000-0000-00005DC60000}"/>
    <cellStyle name="Normal 7 9 2 5 2 2" xfId="40616" xr:uid="{00000000-0005-0000-0000-00005EC60000}"/>
    <cellStyle name="Normal 7 9 2 5 3" xfId="25312" xr:uid="{00000000-0005-0000-0000-00005FC60000}"/>
    <cellStyle name="Normal 7 9 2 5 3 2" xfId="50865" xr:uid="{00000000-0005-0000-0000-000060C60000}"/>
    <cellStyle name="Normal 7 9 2 5 4" xfId="31795" xr:uid="{00000000-0005-0000-0000-000061C60000}"/>
    <cellStyle name="Normal 7 9 2 6" xfId="7680" xr:uid="{00000000-0005-0000-0000-000062C60000}"/>
    <cellStyle name="Normal 7 9 2 6 2" xfId="20409" xr:uid="{00000000-0005-0000-0000-000063C60000}"/>
    <cellStyle name="Normal 7 9 2 6 2 2" xfId="45962" xr:uid="{00000000-0005-0000-0000-000064C60000}"/>
    <cellStyle name="Normal 7 9 2 6 3" xfId="33237" xr:uid="{00000000-0005-0000-0000-000065C60000}"/>
    <cellStyle name="Normal 7 9 2 7" xfId="16920" xr:uid="{00000000-0005-0000-0000-000066C60000}"/>
    <cellStyle name="Normal 7 9 2 7 2" xfId="42473" xr:uid="{00000000-0005-0000-0000-000067C60000}"/>
    <cellStyle name="Normal 7 9 2 8" xfId="26892" xr:uid="{00000000-0005-0000-0000-000068C60000}"/>
    <cellStyle name="Normal 7 9 3" xfId="1077" xr:uid="{00000000-0005-0000-0000-000069C60000}"/>
    <cellStyle name="Normal 7 9 3 2" xfId="3506" xr:uid="{00000000-0005-0000-0000-00006AC60000}"/>
    <cellStyle name="Normal 7 9 3 2 2" xfId="12642" xr:uid="{00000000-0005-0000-0000-00006BC60000}"/>
    <cellStyle name="Normal 7 9 3 2 2 2" xfId="22861" xr:uid="{00000000-0005-0000-0000-00006CC60000}"/>
    <cellStyle name="Normal 7 9 3 2 2 2 2" xfId="48414" xr:uid="{00000000-0005-0000-0000-00006DC60000}"/>
    <cellStyle name="Normal 7 9 3 2 2 3" xfId="38197" xr:uid="{00000000-0005-0000-0000-00006EC60000}"/>
    <cellStyle name="Normal 7 9 3 2 3" xfId="9064" xr:uid="{00000000-0005-0000-0000-00006FC60000}"/>
    <cellStyle name="Normal 7 9 3 2 3 2" xfId="34621" xr:uid="{00000000-0005-0000-0000-000070C60000}"/>
    <cellStyle name="Normal 7 9 3 2 4" xfId="17854" xr:uid="{00000000-0005-0000-0000-000071C60000}"/>
    <cellStyle name="Normal 7 9 3 2 4 2" xfId="43407" xr:uid="{00000000-0005-0000-0000-000072C60000}"/>
    <cellStyle name="Normal 7 9 3 2 5" xfId="29344" xr:uid="{00000000-0005-0000-0000-000073C60000}"/>
    <cellStyle name="Normal 7 9 3 3" xfId="5127" xr:uid="{00000000-0005-0000-0000-000074C60000}"/>
    <cellStyle name="Normal 7 9 3 3 2" xfId="13964" xr:uid="{00000000-0005-0000-0000-000075C60000}"/>
    <cellStyle name="Normal 7 9 3 3 2 2" xfId="24215" xr:uid="{00000000-0005-0000-0000-000076C60000}"/>
    <cellStyle name="Normal 7 9 3 3 2 2 2" xfId="49768" xr:uid="{00000000-0005-0000-0000-000077C60000}"/>
    <cellStyle name="Normal 7 9 3 3 2 3" xfId="39519" xr:uid="{00000000-0005-0000-0000-000078C60000}"/>
    <cellStyle name="Normal 7 9 3 3 3" xfId="10385" xr:uid="{00000000-0005-0000-0000-000079C60000}"/>
    <cellStyle name="Normal 7 9 3 3 3 2" xfId="35942" xr:uid="{00000000-0005-0000-0000-00007AC60000}"/>
    <cellStyle name="Normal 7 9 3 3 4" xfId="19208" xr:uid="{00000000-0005-0000-0000-00007BC60000}"/>
    <cellStyle name="Normal 7 9 3 3 4 2" xfId="44761" xr:uid="{00000000-0005-0000-0000-00007CC60000}"/>
    <cellStyle name="Normal 7 9 3 3 5" xfId="30698" xr:uid="{00000000-0005-0000-0000-00007DC60000}"/>
    <cellStyle name="Normal 7 9 3 4" xfId="2600" xr:uid="{00000000-0005-0000-0000-00007EC60000}"/>
    <cellStyle name="Normal 7 9 3 4 2" xfId="11964" xr:uid="{00000000-0005-0000-0000-00007FC60000}"/>
    <cellStyle name="Normal 7 9 3 4 2 2" xfId="37519" xr:uid="{00000000-0005-0000-0000-000080C60000}"/>
    <cellStyle name="Normal 7 9 3 4 3" xfId="21968" xr:uid="{00000000-0005-0000-0000-000081C60000}"/>
    <cellStyle name="Normal 7 9 3 4 3 2" xfId="47521" xr:uid="{00000000-0005-0000-0000-000082C60000}"/>
    <cellStyle name="Normal 7 9 3 4 4" xfId="28451" xr:uid="{00000000-0005-0000-0000-000083C60000}"/>
    <cellStyle name="Normal 7 9 3 5" xfId="6582" xr:uid="{00000000-0005-0000-0000-000084C60000}"/>
    <cellStyle name="Normal 7 9 3 5 2" xfId="15409" xr:uid="{00000000-0005-0000-0000-000085C60000}"/>
    <cellStyle name="Normal 7 9 3 5 2 2" xfId="40964" xr:uid="{00000000-0005-0000-0000-000086C60000}"/>
    <cellStyle name="Normal 7 9 3 5 3" xfId="25660" xr:uid="{00000000-0005-0000-0000-000087C60000}"/>
    <cellStyle name="Normal 7 9 3 5 3 2" xfId="51213" xr:uid="{00000000-0005-0000-0000-000088C60000}"/>
    <cellStyle name="Normal 7 9 3 5 4" xfId="32143" xr:uid="{00000000-0005-0000-0000-000089C60000}"/>
    <cellStyle name="Normal 7 9 3 6" xfId="8028" xr:uid="{00000000-0005-0000-0000-00008AC60000}"/>
    <cellStyle name="Normal 7 9 3 6 2" xfId="20460" xr:uid="{00000000-0005-0000-0000-00008BC60000}"/>
    <cellStyle name="Normal 7 9 3 6 2 2" xfId="46013" xr:uid="{00000000-0005-0000-0000-00008CC60000}"/>
    <cellStyle name="Normal 7 9 3 6 3" xfId="33585" xr:uid="{00000000-0005-0000-0000-00008DC60000}"/>
    <cellStyle name="Normal 7 9 3 7" xfId="16961" xr:uid="{00000000-0005-0000-0000-00008EC60000}"/>
    <cellStyle name="Normal 7 9 3 7 2" xfId="42514" xr:uid="{00000000-0005-0000-0000-00008FC60000}"/>
    <cellStyle name="Normal 7 9 3 8" xfId="26943" xr:uid="{00000000-0005-0000-0000-000090C60000}"/>
    <cellStyle name="Normal 7 9 4" xfId="2791" xr:uid="{00000000-0005-0000-0000-000091C60000}"/>
    <cellStyle name="Normal 7 9 4 2" xfId="5169" xr:uid="{00000000-0005-0000-0000-000092C60000}"/>
    <cellStyle name="Normal 7 9 4 2 2" xfId="14006" xr:uid="{00000000-0005-0000-0000-000093C60000}"/>
    <cellStyle name="Normal 7 9 4 2 2 2" xfId="24257" xr:uid="{00000000-0005-0000-0000-000094C60000}"/>
    <cellStyle name="Normal 7 9 4 2 2 2 2" xfId="49810" xr:uid="{00000000-0005-0000-0000-000095C60000}"/>
    <cellStyle name="Normal 7 9 4 2 2 3" xfId="39561" xr:uid="{00000000-0005-0000-0000-000096C60000}"/>
    <cellStyle name="Normal 7 9 4 2 3" xfId="10427" xr:uid="{00000000-0005-0000-0000-000097C60000}"/>
    <cellStyle name="Normal 7 9 4 2 3 2" xfId="35984" xr:uid="{00000000-0005-0000-0000-000098C60000}"/>
    <cellStyle name="Normal 7 9 4 2 4" xfId="19250" xr:uid="{00000000-0005-0000-0000-000099C60000}"/>
    <cellStyle name="Normal 7 9 4 2 4 2" xfId="44803" xr:uid="{00000000-0005-0000-0000-00009AC60000}"/>
    <cellStyle name="Normal 7 9 4 2 5" xfId="30740" xr:uid="{00000000-0005-0000-0000-00009BC60000}"/>
    <cellStyle name="Normal 7 9 4 3" xfId="6624" xr:uid="{00000000-0005-0000-0000-00009CC60000}"/>
    <cellStyle name="Normal 7 9 4 3 2" xfId="15451" xr:uid="{00000000-0005-0000-0000-00009DC60000}"/>
    <cellStyle name="Normal 7 9 4 3 2 2" xfId="41006" xr:uid="{00000000-0005-0000-0000-00009EC60000}"/>
    <cellStyle name="Normal 7 9 4 3 3" xfId="25702" xr:uid="{00000000-0005-0000-0000-00009FC60000}"/>
    <cellStyle name="Normal 7 9 4 3 3 2" xfId="51255" xr:uid="{00000000-0005-0000-0000-0000A0C60000}"/>
    <cellStyle name="Normal 7 9 4 3 4" xfId="32185" xr:uid="{00000000-0005-0000-0000-0000A1C60000}"/>
    <cellStyle name="Normal 7 9 4 4" xfId="8070" xr:uid="{00000000-0005-0000-0000-0000A2C60000}"/>
    <cellStyle name="Normal 7 9 4 4 2" xfId="22152" xr:uid="{00000000-0005-0000-0000-0000A3C60000}"/>
    <cellStyle name="Normal 7 9 4 4 2 2" xfId="47705" xr:uid="{00000000-0005-0000-0000-0000A4C60000}"/>
    <cellStyle name="Normal 7 9 4 4 3" xfId="33627" xr:uid="{00000000-0005-0000-0000-0000A5C60000}"/>
    <cellStyle name="Normal 7 9 4 5" xfId="17145" xr:uid="{00000000-0005-0000-0000-0000A6C60000}"/>
    <cellStyle name="Normal 7 9 4 5 2" xfId="42698" xr:uid="{00000000-0005-0000-0000-0000A7C60000}"/>
    <cellStyle name="Normal 7 9 4 6" xfId="28635" xr:uid="{00000000-0005-0000-0000-0000A8C60000}"/>
    <cellStyle name="Normal 7 9 5" xfId="4123" xr:uid="{00000000-0005-0000-0000-0000A9C60000}"/>
    <cellStyle name="Normal 7 9 5 2" xfId="12961" xr:uid="{00000000-0005-0000-0000-0000AAC60000}"/>
    <cellStyle name="Normal 7 9 5 2 2" xfId="23212" xr:uid="{00000000-0005-0000-0000-0000ABC60000}"/>
    <cellStyle name="Normal 7 9 5 2 2 2" xfId="48765" xr:uid="{00000000-0005-0000-0000-0000ACC60000}"/>
    <cellStyle name="Normal 7 9 5 2 3" xfId="38516" xr:uid="{00000000-0005-0000-0000-0000ADC60000}"/>
    <cellStyle name="Normal 7 9 5 3" xfId="9382" xr:uid="{00000000-0005-0000-0000-0000AEC60000}"/>
    <cellStyle name="Normal 7 9 5 3 2" xfId="34939" xr:uid="{00000000-0005-0000-0000-0000AFC60000}"/>
    <cellStyle name="Normal 7 9 5 4" xfId="18205" xr:uid="{00000000-0005-0000-0000-0000B0C60000}"/>
    <cellStyle name="Normal 7 9 5 4 2" xfId="43758" xr:uid="{00000000-0005-0000-0000-0000B1C60000}"/>
    <cellStyle name="Normal 7 9 5 5" xfId="29695" xr:uid="{00000000-0005-0000-0000-0000B2C60000}"/>
    <cellStyle name="Normal 7 9 6" xfId="1900" xr:uid="{00000000-0005-0000-0000-0000B3C60000}"/>
    <cellStyle name="Normal 7 9 6 2" xfId="11265" xr:uid="{00000000-0005-0000-0000-0000B4C60000}"/>
    <cellStyle name="Normal 7 9 6 2 2" xfId="36820" xr:uid="{00000000-0005-0000-0000-0000B5C60000}"/>
    <cellStyle name="Normal 7 9 6 3" xfId="21269" xr:uid="{00000000-0005-0000-0000-0000B6C60000}"/>
    <cellStyle name="Normal 7 9 6 3 2" xfId="46822" xr:uid="{00000000-0005-0000-0000-0000B7C60000}"/>
    <cellStyle name="Normal 7 9 6 4" xfId="27752" xr:uid="{00000000-0005-0000-0000-0000B8C60000}"/>
    <cellStyle name="Normal 7 9 7" xfId="5581" xr:uid="{00000000-0005-0000-0000-0000B9C60000}"/>
    <cellStyle name="Normal 7 9 7 2" xfId="14408" xr:uid="{00000000-0005-0000-0000-0000BAC60000}"/>
    <cellStyle name="Normal 7 9 7 2 2" xfId="39963" xr:uid="{00000000-0005-0000-0000-0000BBC60000}"/>
    <cellStyle name="Normal 7 9 7 3" xfId="24659" xr:uid="{00000000-0005-0000-0000-0000BCC60000}"/>
    <cellStyle name="Normal 7 9 7 3 2" xfId="50212" xr:uid="{00000000-0005-0000-0000-0000BDC60000}"/>
    <cellStyle name="Normal 7 9 7 4" xfId="31142" xr:uid="{00000000-0005-0000-0000-0000BEC60000}"/>
    <cellStyle name="Normal 7 9 8" xfId="7025" xr:uid="{00000000-0005-0000-0000-0000BFC60000}"/>
    <cellStyle name="Normal 7 9 8 2" xfId="19751" xr:uid="{00000000-0005-0000-0000-0000C0C60000}"/>
    <cellStyle name="Normal 7 9 8 2 2" xfId="45304" xr:uid="{00000000-0005-0000-0000-0000C1C60000}"/>
    <cellStyle name="Normal 7 9 8 3" xfId="32582" xr:uid="{00000000-0005-0000-0000-0000C2C60000}"/>
    <cellStyle name="Normal 7 9 9" xfId="16262" xr:uid="{00000000-0005-0000-0000-0000C3C60000}"/>
    <cellStyle name="Normal 7 9 9 2" xfId="41815" xr:uid="{00000000-0005-0000-0000-0000C4C60000}"/>
    <cellStyle name="Normal 7 9_Degree data" xfId="4079" xr:uid="{00000000-0005-0000-0000-0000C5C60000}"/>
    <cellStyle name="Normal 7_Degree data" xfId="4046" xr:uid="{00000000-0005-0000-0000-0000C6C60000}"/>
    <cellStyle name="Normal 70" xfId="293" xr:uid="{00000000-0005-0000-0000-0000C7C60000}"/>
    <cellStyle name="Normal 70 2" xfId="974" xr:uid="{00000000-0005-0000-0000-0000C8C60000}"/>
    <cellStyle name="Normal 70 2 2" xfId="3450" xr:uid="{00000000-0005-0000-0000-0000C9C60000}"/>
    <cellStyle name="Normal 70 2 2 2" xfId="12592" xr:uid="{00000000-0005-0000-0000-0000CAC60000}"/>
    <cellStyle name="Normal 70 2 2 2 2" xfId="22811" xr:uid="{00000000-0005-0000-0000-0000CBC60000}"/>
    <cellStyle name="Normal 70 2 2 2 2 2" xfId="48364" xr:uid="{00000000-0005-0000-0000-0000CCC60000}"/>
    <cellStyle name="Normal 70 2 2 2 3" xfId="38147" xr:uid="{00000000-0005-0000-0000-0000CDC60000}"/>
    <cellStyle name="Normal 70 2 2 3" xfId="9014" xr:uid="{00000000-0005-0000-0000-0000CEC60000}"/>
    <cellStyle name="Normal 70 2 2 3 2" xfId="34571" xr:uid="{00000000-0005-0000-0000-0000CFC60000}"/>
    <cellStyle name="Normal 70 2 2 4" xfId="17804" xr:uid="{00000000-0005-0000-0000-0000D0C60000}"/>
    <cellStyle name="Normal 70 2 2 4 2" xfId="43357" xr:uid="{00000000-0005-0000-0000-0000D1C60000}"/>
    <cellStyle name="Normal 70 2 2 5" xfId="29294" xr:uid="{00000000-0005-0000-0000-0000D2C60000}"/>
    <cellStyle name="Normal 70 2 3" xfId="5485" xr:uid="{00000000-0005-0000-0000-0000D3C60000}"/>
    <cellStyle name="Normal 70 2 3 2" xfId="14321" xr:uid="{00000000-0005-0000-0000-0000D4C60000}"/>
    <cellStyle name="Normal 70 2 3 2 2" xfId="24572" xr:uid="{00000000-0005-0000-0000-0000D5C60000}"/>
    <cellStyle name="Normal 70 2 3 2 2 2" xfId="50125" xr:uid="{00000000-0005-0000-0000-0000D6C60000}"/>
    <cellStyle name="Normal 70 2 3 2 3" xfId="39876" xr:uid="{00000000-0005-0000-0000-0000D7C60000}"/>
    <cellStyle name="Normal 70 2 3 3" xfId="10742" xr:uid="{00000000-0005-0000-0000-0000D8C60000}"/>
    <cellStyle name="Normal 70 2 3 3 2" xfId="36299" xr:uid="{00000000-0005-0000-0000-0000D9C60000}"/>
    <cellStyle name="Normal 70 2 3 4" xfId="19565" xr:uid="{00000000-0005-0000-0000-0000DAC60000}"/>
    <cellStyle name="Normal 70 2 3 4 2" xfId="45118" xr:uid="{00000000-0005-0000-0000-0000DBC60000}"/>
    <cellStyle name="Normal 70 2 3 5" xfId="31055" xr:uid="{00000000-0005-0000-0000-0000DCC60000}"/>
    <cellStyle name="Normal 70 2 4" xfId="2559" xr:uid="{00000000-0005-0000-0000-0000DDC60000}"/>
    <cellStyle name="Normal 70 2 4 2" xfId="11924" xr:uid="{00000000-0005-0000-0000-0000DEC60000}"/>
    <cellStyle name="Normal 70 2 4 2 2" xfId="37479" xr:uid="{00000000-0005-0000-0000-0000DFC60000}"/>
    <cellStyle name="Normal 70 2 4 3" xfId="21928" xr:uid="{00000000-0005-0000-0000-0000E0C60000}"/>
    <cellStyle name="Normal 70 2 4 3 2" xfId="47481" xr:uid="{00000000-0005-0000-0000-0000E1C60000}"/>
    <cellStyle name="Normal 70 2 4 4" xfId="28411" xr:uid="{00000000-0005-0000-0000-0000E2C60000}"/>
    <cellStyle name="Normal 70 2 5" xfId="10754" xr:uid="{00000000-0005-0000-0000-0000E3C60000}"/>
    <cellStyle name="Normal 70 2 5 2" xfId="20410" xr:uid="{00000000-0005-0000-0000-0000E4C60000}"/>
    <cellStyle name="Normal 70 2 5 2 2" xfId="45963" xr:uid="{00000000-0005-0000-0000-0000E5C60000}"/>
    <cellStyle name="Normal 70 2 5 3" xfId="36310" xr:uid="{00000000-0005-0000-0000-0000E6C60000}"/>
    <cellStyle name="Normal 70 2 6" xfId="8564" xr:uid="{00000000-0005-0000-0000-0000E7C60000}"/>
    <cellStyle name="Normal 70 2 6 2" xfId="34121" xr:uid="{00000000-0005-0000-0000-0000E8C60000}"/>
    <cellStyle name="Normal 70 2 7" xfId="16921" xr:uid="{00000000-0005-0000-0000-0000E9C60000}"/>
    <cellStyle name="Normal 70 2 7 2" xfId="42474" xr:uid="{00000000-0005-0000-0000-0000EAC60000}"/>
    <cellStyle name="Normal 70 2 8" xfId="26893" xr:uid="{00000000-0005-0000-0000-0000EBC60000}"/>
    <cellStyle name="Normal 70 3" xfId="1888" xr:uid="{00000000-0005-0000-0000-0000ECC60000}"/>
    <cellStyle name="Normal 71" xfId="50" xr:uid="{00000000-0005-0000-0000-0000EDC60000}"/>
    <cellStyle name="Normal 72" xfId="51" xr:uid="{00000000-0005-0000-0000-0000EEC60000}"/>
    <cellStyle name="Normal 73" xfId="294" xr:uid="{00000000-0005-0000-0000-0000EFC60000}"/>
    <cellStyle name="Normal 73 2" xfId="975" xr:uid="{00000000-0005-0000-0000-0000F0C60000}"/>
    <cellStyle name="Normal 73 2 2" xfId="3451" xr:uid="{00000000-0005-0000-0000-0000F1C60000}"/>
    <cellStyle name="Normal 73 2 2 2" xfId="12593" xr:uid="{00000000-0005-0000-0000-0000F2C60000}"/>
    <cellStyle name="Normal 73 2 2 2 2" xfId="22812" xr:uid="{00000000-0005-0000-0000-0000F3C60000}"/>
    <cellStyle name="Normal 73 2 2 2 2 2" xfId="48365" xr:uid="{00000000-0005-0000-0000-0000F4C60000}"/>
    <cellStyle name="Normal 73 2 2 2 3" xfId="38148" xr:uid="{00000000-0005-0000-0000-0000F5C60000}"/>
    <cellStyle name="Normal 73 2 2 3" xfId="9015" xr:uid="{00000000-0005-0000-0000-0000F6C60000}"/>
    <cellStyle name="Normal 73 2 2 3 2" xfId="34572" xr:uid="{00000000-0005-0000-0000-0000F7C60000}"/>
    <cellStyle name="Normal 73 2 2 4" xfId="17805" xr:uid="{00000000-0005-0000-0000-0000F8C60000}"/>
    <cellStyle name="Normal 73 2 2 4 2" xfId="43358" xr:uid="{00000000-0005-0000-0000-0000F9C60000}"/>
    <cellStyle name="Normal 73 2 2 5" xfId="29295" xr:uid="{00000000-0005-0000-0000-0000FAC60000}"/>
    <cellStyle name="Normal 73 2 3" xfId="5483" xr:uid="{00000000-0005-0000-0000-0000FBC60000}"/>
    <cellStyle name="Normal 73 2 3 2" xfId="14319" xr:uid="{00000000-0005-0000-0000-0000FCC60000}"/>
    <cellStyle name="Normal 73 2 3 2 2" xfId="24570" xr:uid="{00000000-0005-0000-0000-0000FDC60000}"/>
    <cellStyle name="Normal 73 2 3 2 2 2" xfId="50123" xr:uid="{00000000-0005-0000-0000-0000FEC60000}"/>
    <cellStyle name="Normal 73 2 3 2 3" xfId="39874" xr:uid="{00000000-0005-0000-0000-0000FFC60000}"/>
    <cellStyle name="Normal 73 2 3 3" xfId="10740" xr:uid="{00000000-0005-0000-0000-000000C70000}"/>
    <cellStyle name="Normal 73 2 3 3 2" xfId="36297" xr:uid="{00000000-0005-0000-0000-000001C70000}"/>
    <cellStyle name="Normal 73 2 3 4" xfId="19563" xr:uid="{00000000-0005-0000-0000-000002C70000}"/>
    <cellStyle name="Normal 73 2 3 4 2" xfId="45116" xr:uid="{00000000-0005-0000-0000-000003C70000}"/>
    <cellStyle name="Normal 73 2 3 5" xfId="31053" xr:uid="{00000000-0005-0000-0000-000004C70000}"/>
    <cellStyle name="Normal 73 2 4" xfId="2560" xr:uid="{00000000-0005-0000-0000-000005C70000}"/>
    <cellStyle name="Normal 73 2 4 2" xfId="11925" xr:uid="{00000000-0005-0000-0000-000006C70000}"/>
    <cellStyle name="Normal 73 2 4 2 2" xfId="37480" xr:uid="{00000000-0005-0000-0000-000007C70000}"/>
    <cellStyle name="Normal 73 2 4 3" xfId="21929" xr:uid="{00000000-0005-0000-0000-000008C70000}"/>
    <cellStyle name="Normal 73 2 4 3 2" xfId="47482" xr:uid="{00000000-0005-0000-0000-000009C70000}"/>
    <cellStyle name="Normal 73 2 4 4" xfId="28412" xr:uid="{00000000-0005-0000-0000-00000AC70000}"/>
    <cellStyle name="Normal 73 2 5" xfId="10755" xr:uid="{00000000-0005-0000-0000-00000BC70000}"/>
    <cellStyle name="Normal 73 2 5 2" xfId="20411" xr:uid="{00000000-0005-0000-0000-00000CC70000}"/>
    <cellStyle name="Normal 73 2 5 2 2" xfId="45964" xr:uid="{00000000-0005-0000-0000-00000DC70000}"/>
    <cellStyle name="Normal 73 2 5 3" xfId="36311" xr:uid="{00000000-0005-0000-0000-00000EC70000}"/>
    <cellStyle name="Normal 73 2 6" xfId="8503" xr:uid="{00000000-0005-0000-0000-00000FC70000}"/>
    <cellStyle name="Normal 73 2 6 2" xfId="34060" xr:uid="{00000000-0005-0000-0000-000010C70000}"/>
    <cellStyle name="Normal 73 2 7" xfId="16922" xr:uid="{00000000-0005-0000-0000-000011C70000}"/>
    <cellStyle name="Normal 73 2 7 2" xfId="42475" xr:uid="{00000000-0005-0000-0000-000012C70000}"/>
    <cellStyle name="Normal 73 2 8" xfId="26894" xr:uid="{00000000-0005-0000-0000-000013C70000}"/>
    <cellStyle name="Normal 73 3" xfId="1889" xr:uid="{00000000-0005-0000-0000-000014C70000}"/>
    <cellStyle name="Normal 74" xfId="976" xr:uid="{00000000-0005-0000-0000-000015C70000}"/>
    <cellStyle name="Normal 74 2" xfId="3452" xr:uid="{00000000-0005-0000-0000-000016C70000}"/>
    <cellStyle name="Normal 74 2 2" xfId="12594" xr:uid="{00000000-0005-0000-0000-000017C70000}"/>
    <cellStyle name="Normal 74 2 2 2" xfId="22813" xr:uid="{00000000-0005-0000-0000-000018C70000}"/>
    <cellStyle name="Normal 74 2 2 2 2" xfId="48366" xr:uid="{00000000-0005-0000-0000-000019C70000}"/>
    <cellStyle name="Normal 74 2 2 3" xfId="38149" xr:uid="{00000000-0005-0000-0000-00001AC70000}"/>
    <cellStyle name="Normal 74 2 3" xfId="9016" xr:uid="{00000000-0005-0000-0000-00001BC70000}"/>
    <cellStyle name="Normal 74 2 3 2" xfId="34573" xr:uid="{00000000-0005-0000-0000-00001CC70000}"/>
    <cellStyle name="Normal 74 2 4" xfId="17806" xr:uid="{00000000-0005-0000-0000-00001DC70000}"/>
    <cellStyle name="Normal 74 2 4 2" xfId="43359" xr:uid="{00000000-0005-0000-0000-00001EC70000}"/>
    <cellStyle name="Normal 74 2 5" xfId="29296" xr:uid="{00000000-0005-0000-0000-00001FC70000}"/>
    <cellStyle name="Normal 74 3" xfId="5481" xr:uid="{00000000-0005-0000-0000-000020C70000}"/>
    <cellStyle name="Normal 74 3 2" xfId="14318" xr:uid="{00000000-0005-0000-0000-000021C70000}"/>
    <cellStyle name="Normal 74 3 2 2" xfId="24569" xr:uid="{00000000-0005-0000-0000-000022C70000}"/>
    <cellStyle name="Normal 74 3 2 2 2" xfId="50122" xr:uid="{00000000-0005-0000-0000-000023C70000}"/>
    <cellStyle name="Normal 74 3 2 3" xfId="39873" xr:uid="{00000000-0005-0000-0000-000024C70000}"/>
    <cellStyle name="Normal 74 3 3" xfId="10739" xr:uid="{00000000-0005-0000-0000-000025C70000}"/>
    <cellStyle name="Normal 74 3 3 2" xfId="36296" xr:uid="{00000000-0005-0000-0000-000026C70000}"/>
    <cellStyle name="Normal 74 3 4" xfId="19562" xr:uid="{00000000-0005-0000-0000-000027C70000}"/>
    <cellStyle name="Normal 74 3 4 2" xfId="45115" xr:uid="{00000000-0005-0000-0000-000028C70000}"/>
    <cellStyle name="Normal 74 3 5" xfId="31052" xr:uid="{00000000-0005-0000-0000-000029C70000}"/>
    <cellStyle name="Normal 74 4" xfId="2561" xr:uid="{00000000-0005-0000-0000-00002AC70000}"/>
    <cellStyle name="Normal 74 4 2" xfId="11926" xr:uid="{00000000-0005-0000-0000-00002BC70000}"/>
    <cellStyle name="Normal 74 4 2 2" xfId="37481" xr:uid="{00000000-0005-0000-0000-00002CC70000}"/>
    <cellStyle name="Normal 74 4 3" xfId="21930" xr:uid="{00000000-0005-0000-0000-00002DC70000}"/>
    <cellStyle name="Normal 74 4 3 2" xfId="47483" xr:uid="{00000000-0005-0000-0000-00002EC70000}"/>
    <cellStyle name="Normal 74 4 4" xfId="28413" xr:uid="{00000000-0005-0000-0000-00002FC70000}"/>
    <cellStyle name="Normal 74 5" xfId="10756" xr:uid="{00000000-0005-0000-0000-000030C70000}"/>
    <cellStyle name="Normal 74 5 2" xfId="20412" xr:uid="{00000000-0005-0000-0000-000031C70000}"/>
    <cellStyle name="Normal 74 5 2 2" xfId="45965" xr:uid="{00000000-0005-0000-0000-000032C70000}"/>
    <cellStyle name="Normal 74 5 3" xfId="36312" xr:uid="{00000000-0005-0000-0000-000033C70000}"/>
    <cellStyle name="Normal 74 6" xfId="8438" xr:uid="{00000000-0005-0000-0000-000034C70000}"/>
    <cellStyle name="Normal 74 6 2" xfId="33995" xr:uid="{00000000-0005-0000-0000-000035C70000}"/>
    <cellStyle name="Normal 74 7" xfId="16923" xr:uid="{00000000-0005-0000-0000-000036C70000}"/>
    <cellStyle name="Normal 74 7 2" xfId="42476" xr:uid="{00000000-0005-0000-0000-000037C70000}"/>
    <cellStyle name="Normal 74 8" xfId="26895" xr:uid="{00000000-0005-0000-0000-000038C70000}"/>
    <cellStyle name="Normal 75" xfId="977" xr:uid="{00000000-0005-0000-0000-000039C70000}"/>
    <cellStyle name="Normal 75 2" xfId="3453" xr:uid="{00000000-0005-0000-0000-00003AC70000}"/>
    <cellStyle name="Normal 75 2 2" xfId="12595" xr:uid="{00000000-0005-0000-0000-00003BC70000}"/>
    <cellStyle name="Normal 75 2 2 2" xfId="22814" xr:uid="{00000000-0005-0000-0000-00003CC70000}"/>
    <cellStyle name="Normal 75 2 2 2 2" xfId="48367" xr:uid="{00000000-0005-0000-0000-00003DC70000}"/>
    <cellStyle name="Normal 75 2 2 3" xfId="38150" xr:uid="{00000000-0005-0000-0000-00003EC70000}"/>
    <cellStyle name="Normal 75 2 3" xfId="9017" xr:uid="{00000000-0005-0000-0000-00003FC70000}"/>
    <cellStyle name="Normal 75 2 3 2" xfId="34574" xr:uid="{00000000-0005-0000-0000-000040C70000}"/>
    <cellStyle name="Normal 75 2 4" xfId="17807" xr:uid="{00000000-0005-0000-0000-000041C70000}"/>
    <cellStyle name="Normal 75 2 4 2" xfId="43360" xr:uid="{00000000-0005-0000-0000-000042C70000}"/>
    <cellStyle name="Normal 75 2 5" xfId="29297" xr:uid="{00000000-0005-0000-0000-000043C70000}"/>
    <cellStyle name="Normal 75 3" xfId="5478" xr:uid="{00000000-0005-0000-0000-000044C70000}"/>
    <cellStyle name="Normal 75 3 2" xfId="14315" xr:uid="{00000000-0005-0000-0000-000045C70000}"/>
    <cellStyle name="Normal 75 3 2 2" xfId="24566" xr:uid="{00000000-0005-0000-0000-000046C70000}"/>
    <cellStyle name="Normal 75 3 2 2 2" xfId="50119" xr:uid="{00000000-0005-0000-0000-000047C70000}"/>
    <cellStyle name="Normal 75 3 2 3" xfId="39870" xr:uid="{00000000-0005-0000-0000-000048C70000}"/>
    <cellStyle name="Normal 75 3 3" xfId="10736" xr:uid="{00000000-0005-0000-0000-000049C70000}"/>
    <cellStyle name="Normal 75 3 3 2" xfId="36293" xr:uid="{00000000-0005-0000-0000-00004AC70000}"/>
    <cellStyle name="Normal 75 3 4" xfId="19559" xr:uid="{00000000-0005-0000-0000-00004BC70000}"/>
    <cellStyle name="Normal 75 3 4 2" xfId="45112" xr:uid="{00000000-0005-0000-0000-00004CC70000}"/>
    <cellStyle name="Normal 75 3 5" xfId="31049" xr:uid="{00000000-0005-0000-0000-00004DC70000}"/>
    <cellStyle name="Normal 75 4" xfId="2562" xr:uid="{00000000-0005-0000-0000-00004EC70000}"/>
    <cellStyle name="Normal 75 4 2" xfId="11927" xr:uid="{00000000-0005-0000-0000-00004FC70000}"/>
    <cellStyle name="Normal 75 4 2 2" xfId="37482" xr:uid="{00000000-0005-0000-0000-000050C70000}"/>
    <cellStyle name="Normal 75 4 3" xfId="21931" xr:uid="{00000000-0005-0000-0000-000051C70000}"/>
    <cellStyle name="Normal 75 4 3 2" xfId="47484" xr:uid="{00000000-0005-0000-0000-000052C70000}"/>
    <cellStyle name="Normal 75 4 4" xfId="28414" xr:uid="{00000000-0005-0000-0000-000053C70000}"/>
    <cellStyle name="Normal 75 5" xfId="10757" xr:uid="{00000000-0005-0000-0000-000054C70000}"/>
    <cellStyle name="Normal 75 5 2" xfId="20413" xr:uid="{00000000-0005-0000-0000-000055C70000}"/>
    <cellStyle name="Normal 75 5 2 2" xfId="45966" xr:uid="{00000000-0005-0000-0000-000056C70000}"/>
    <cellStyle name="Normal 75 5 3" xfId="36313" xr:uid="{00000000-0005-0000-0000-000057C70000}"/>
    <cellStyle name="Normal 75 6" xfId="8399" xr:uid="{00000000-0005-0000-0000-000058C70000}"/>
    <cellStyle name="Normal 75 6 2" xfId="33956" xr:uid="{00000000-0005-0000-0000-000059C70000}"/>
    <cellStyle name="Normal 75 7" xfId="16924" xr:uid="{00000000-0005-0000-0000-00005AC70000}"/>
    <cellStyle name="Normal 75 7 2" xfId="42477" xr:uid="{00000000-0005-0000-0000-00005BC70000}"/>
    <cellStyle name="Normal 75 8" xfId="26896" xr:uid="{00000000-0005-0000-0000-00005CC70000}"/>
    <cellStyle name="Normal 76" xfId="978" xr:uid="{00000000-0005-0000-0000-00005DC70000}"/>
    <cellStyle name="Normal 76 2" xfId="3454" xr:uid="{00000000-0005-0000-0000-00005EC70000}"/>
    <cellStyle name="Normal 76 2 2" xfId="12596" xr:uid="{00000000-0005-0000-0000-00005FC70000}"/>
    <cellStyle name="Normal 76 2 2 2" xfId="22815" xr:uid="{00000000-0005-0000-0000-000060C70000}"/>
    <cellStyle name="Normal 76 2 2 2 2" xfId="48368" xr:uid="{00000000-0005-0000-0000-000061C70000}"/>
    <cellStyle name="Normal 76 2 2 3" xfId="38151" xr:uid="{00000000-0005-0000-0000-000062C70000}"/>
    <cellStyle name="Normal 76 2 3" xfId="9018" xr:uid="{00000000-0005-0000-0000-000063C70000}"/>
    <cellStyle name="Normal 76 2 3 2" xfId="34575" xr:uid="{00000000-0005-0000-0000-000064C70000}"/>
    <cellStyle name="Normal 76 2 4" xfId="17808" xr:uid="{00000000-0005-0000-0000-000065C70000}"/>
    <cellStyle name="Normal 76 2 4 2" xfId="43361" xr:uid="{00000000-0005-0000-0000-000066C70000}"/>
    <cellStyle name="Normal 76 2 5" xfId="29298" xr:uid="{00000000-0005-0000-0000-000067C70000}"/>
    <cellStyle name="Normal 76 3" xfId="5477" xr:uid="{00000000-0005-0000-0000-000068C70000}"/>
    <cellStyle name="Normal 76 3 2" xfId="14314" xr:uid="{00000000-0005-0000-0000-000069C70000}"/>
    <cellStyle name="Normal 76 3 2 2" xfId="24565" xr:uid="{00000000-0005-0000-0000-00006AC70000}"/>
    <cellStyle name="Normal 76 3 2 2 2" xfId="50118" xr:uid="{00000000-0005-0000-0000-00006BC70000}"/>
    <cellStyle name="Normal 76 3 2 3" xfId="39869" xr:uid="{00000000-0005-0000-0000-00006CC70000}"/>
    <cellStyle name="Normal 76 3 3" xfId="10735" xr:uid="{00000000-0005-0000-0000-00006DC70000}"/>
    <cellStyle name="Normal 76 3 3 2" xfId="36292" xr:uid="{00000000-0005-0000-0000-00006EC70000}"/>
    <cellStyle name="Normal 76 3 4" xfId="19558" xr:uid="{00000000-0005-0000-0000-00006FC70000}"/>
    <cellStyle name="Normal 76 3 4 2" xfId="45111" xr:uid="{00000000-0005-0000-0000-000070C70000}"/>
    <cellStyle name="Normal 76 3 5" xfId="31048" xr:uid="{00000000-0005-0000-0000-000071C70000}"/>
    <cellStyle name="Normal 76 4" xfId="2563" xr:uid="{00000000-0005-0000-0000-000072C70000}"/>
    <cellStyle name="Normal 76 4 2" xfId="11928" xr:uid="{00000000-0005-0000-0000-000073C70000}"/>
    <cellStyle name="Normal 76 4 2 2" xfId="37483" xr:uid="{00000000-0005-0000-0000-000074C70000}"/>
    <cellStyle name="Normal 76 4 3" xfId="21932" xr:uid="{00000000-0005-0000-0000-000075C70000}"/>
    <cellStyle name="Normal 76 4 3 2" xfId="47485" xr:uid="{00000000-0005-0000-0000-000076C70000}"/>
    <cellStyle name="Normal 76 4 4" xfId="28415" xr:uid="{00000000-0005-0000-0000-000077C70000}"/>
    <cellStyle name="Normal 76 5" xfId="10758" xr:uid="{00000000-0005-0000-0000-000078C70000}"/>
    <cellStyle name="Normal 76 5 2" xfId="20414" xr:uid="{00000000-0005-0000-0000-000079C70000}"/>
    <cellStyle name="Normal 76 5 2 2" xfId="45967" xr:uid="{00000000-0005-0000-0000-00007AC70000}"/>
    <cellStyle name="Normal 76 5 3" xfId="36314" xr:uid="{00000000-0005-0000-0000-00007BC70000}"/>
    <cellStyle name="Normal 76 6" xfId="8594" xr:uid="{00000000-0005-0000-0000-00007CC70000}"/>
    <cellStyle name="Normal 76 6 2" xfId="34151" xr:uid="{00000000-0005-0000-0000-00007DC70000}"/>
    <cellStyle name="Normal 76 7" xfId="16925" xr:uid="{00000000-0005-0000-0000-00007EC70000}"/>
    <cellStyle name="Normal 76 7 2" xfId="42478" xr:uid="{00000000-0005-0000-0000-00007FC70000}"/>
    <cellStyle name="Normal 76 8" xfId="26897" xr:uid="{00000000-0005-0000-0000-000080C70000}"/>
    <cellStyle name="Normal 77" xfId="613" xr:uid="{00000000-0005-0000-0000-000081C70000}"/>
    <cellStyle name="Normal 77 2" xfId="3099" xr:uid="{00000000-0005-0000-0000-000082C70000}"/>
    <cellStyle name="Normal 77 2 2" xfId="12242" xr:uid="{00000000-0005-0000-0000-000083C70000}"/>
    <cellStyle name="Normal 77 2 2 2" xfId="22460" xr:uid="{00000000-0005-0000-0000-000084C70000}"/>
    <cellStyle name="Normal 77 2 2 2 2" xfId="48013" xr:uid="{00000000-0005-0000-0000-000085C70000}"/>
    <cellStyle name="Normal 77 2 2 3" xfId="37797" xr:uid="{00000000-0005-0000-0000-000086C70000}"/>
    <cellStyle name="Normal 77 2 3" xfId="8664" xr:uid="{00000000-0005-0000-0000-000087C70000}"/>
    <cellStyle name="Normal 77 2 3 2" xfId="34221" xr:uid="{00000000-0005-0000-0000-000088C70000}"/>
    <cellStyle name="Normal 77 2 4" xfId="17453" xr:uid="{00000000-0005-0000-0000-000089C70000}"/>
    <cellStyle name="Normal 77 2 4 2" xfId="43006" xr:uid="{00000000-0005-0000-0000-00008AC70000}"/>
    <cellStyle name="Normal 77 2 5" xfId="28943" xr:uid="{00000000-0005-0000-0000-00008BC70000}"/>
    <cellStyle name="Normal 77 3" xfId="5486" xr:uid="{00000000-0005-0000-0000-00008CC70000}"/>
    <cellStyle name="Normal 77 3 2" xfId="14322" xr:uid="{00000000-0005-0000-0000-00008DC70000}"/>
    <cellStyle name="Normal 77 3 2 2" xfId="24573" xr:uid="{00000000-0005-0000-0000-00008EC70000}"/>
    <cellStyle name="Normal 77 3 2 2 2" xfId="50126" xr:uid="{00000000-0005-0000-0000-00008FC70000}"/>
    <cellStyle name="Normal 77 3 2 3" xfId="39877" xr:uid="{00000000-0005-0000-0000-000090C70000}"/>
    <cellStyle name="Normal 77 3 3" xfId="10743" xr:uid="{00000000-0005-0000-0000-000091C70000}"/>
    <cellStyle name="Normal 77 3 3 2" xfId="36300" xr:uid="{00000000-0005-0000-0000-000092C70000}"/>
    <cellStyle name="Normal 77 3 4" xfId="19566" xr:uid="{00000000-0005-0000-0000-000093C70000}"/>
    <cellStyle name="Normal 77 3 4 2" xfId="45119" xr:uid="{00000000-0005-0000-0000-000094C70000}"/>
    <cellStyle name="Normal 77 3 5" xfId="31056" xr:uid="{00000000-0005-0000-0000-000095C70000}"/>
    <cellStyle name="Normal 77 4" xfId="2208" xr:uid="{00000000-0005-0000-0000-000096C70000}"/>
    <cellStyle name="Normal 77 4 2" xfId="11573" xr:uid="{00000000-0005-0000-0000-000097C70000}"/>
    <cellStyle name="Normal 77 4 2 2" xfId="37128" xr:uid="{00000000-0005-0000-0000-000098C70000}"/>
    <cellStyle name="Normal 77 4 3" xfId="21577" xr:uid="{00000000-0005-0000-0000-000099C70000}"/>
    <cellStyle name="Normal 77 4 3 2" xfId="47130" xr:uid="{00000000-0005-0000-0000-00009AC70000}"/>
    <cellStyle name="Normal 77 4 4" xfId="28060" xr:uid="{00000000-0005-0000-0000-00009BC70000}"/>
    <cellStyle name="Normal 77 5" xfId="10750" xr:uid="{00000000-0005-0000-0000-00009CC70000}"/>
    <cellStyle name="Normal 77 5 2" xfId="20059" xr:uid="{00000000-0005-0000-0000-00009DC70000}"/>
    <cellStyle name="Normal 77 5 2 2" xfId="45612" xr:uid="{00000000-0005-0000-0000-00009EC70000}"/>
    <cellStyle name="Normal 77 5 3" xfId="36306" xr:uid="{00000000-0005-0000-0000-00009FC70000}"/>
    <cellStyle name="Normal 77 6" xfId="8565" xr:uid="{00000000-0005-0000-0000-0000A0C70000}"/>
    <cellStyle name="Normal 77 6 2" xfId="34122" xr:uid="{00000000-0005-0000-0000-0000A1C70000}"/>
    <cellStyle name="Normal 77 7" xfId="16570" xr:uid="{00000000-0005-0000-0000-0000A2C70000}"/>
    <cellStyle name="Normal 77 7 2" xfId="42123" xr:uid="{00000000-0005-0000-0000-0000A3C70000}"/>
    <cellStyle name="Normal 77 8" xfId="26542" xr:uid="{00000000-0005-0000-0000-0000A4C70000}"/>
    <cellStyle name="Normal 78" xfId="979" xr:uid="{00000000-0005-0000-0000-0000A5C70000}"/>
    <cellStyle name="Normal 78 2" xfId="3455" xr:uid="{00000000-0005-0000-0000-0000A6C70000}"/>
    <cellStyle name="Normal 78 2 2" xfId="12597" xr:uid="{00000000-0005-0000-0000-0000A7C70000}"/>
    <cellStyle name="Normal 78 2 2 2" xfId="22816" xr:uid="{00000000-0005-0000-0000-0000A8C70000}"/>
    <cellStyle name="Normal 78 2 2 2 2" xfId="48369" xr:uid="{00000000-0005-0000-0000-0000A9C70000}"/>
    <cellStyle name="Normal 78 2 2 3" xfId="38152" xr:uid="{00000000-0005-0000-0000-0000AAC70000}"/>
    <cellStyle name="Normal 78 2 3" xfId="9019" xr:uid="{00000000-0005-0000-0000-0000ABC70000}"/>
    <cellStyle name="Normal 78 2 3 2" xfId="34576" xr:uid="{00000000-0005-0000-0000-0000ACC70000}"/>
    <cellStyle name="Normal 78 2 4" xfId="17809" xr:uid="{00000000-0005-0000-0000-0000ADC70000}"/>
    <cellStyle name="Normal 78 2 4 2" xfId="43362" xr:uid="{00000000-0005-0000-0000-0000AEC70000}"/>
    <cellStyle name="Normal 78 2 5" xfId="29299" xr:uid="{00000000-0005-0000-0000-0000AFC70000}"/>
    <cellStyle name="Normal 78 3" xfId="4159" xr:uid="{00000000-0005-0000-0000-0000B0C70000}"/>
    <cellStyle name="Normal 78 3 2" xfId="12997" xr:uid="{00000000-0005-0000-0000-0000B1C70000}"/>
    <cellStyle name="Normal 78 3 2 2" xfId="23248" xr:uid="{00000000-0005-0000-0000-0000B2C70000}"/>
    <cellStyle name="Normal 78 3 2 2 2" xfId="48801" xr:uid="{00000000-0005-0000-0000-0000B3C70000}"/>
    <cellStyle name="Normal 78 3 2 3" xfId="38552" xr:uid="{00000000-0005-0000-0000-0000B4C70000}"/>
    <cellStyle name="Normal 78 3 3" xfId="9418" xr:uid="{00000000-0005-0000-0000-0000B5C70000}"/>
    <cellStyle name="Normal 78 3 3 2" xfId="34975" xr:uid="{00000000-0005-0000-0000-0000B6C70000}"/>
    <cellStyle name="Normal 78 3 4" xfId="18241" xr:uid="{00000000-0005-0000-0000-0000B7C70000}"/>
    <cellStyle name="Normal 78 3 4 2" xfId="43794" xr:uid="{00000000-0005-0000-0000-0000B8C70000}"/>
    <cellStyle name="Normal 78 3 5" xfId="29731" xr:uid="{00000000-0005-0000-0000-0000B9C70000}"/>
    <cellStyle name="Normal 78 4" xfId="2564" xr:uid="{00000000-0005-0000-0000-0000BAC70000}"/>
    <cellStyle name="Normal 78 4 2" xfId="11929" xr:uid="{00000000-0005-0000-0000-0000BBC70000}"/>
    <cellStyle name="Normal 78 4 2 2" xfId="37484" xr:uid="{00000000-0005-0000-0000-0000BCC70000}"/>
    <cellStyle name="Normal 78 4 3" xfId="21933" xr:uid="{00000000-0005-0000-0000-0000BDC70000}"/>
    <cellStyle name="Normal 78 4 3 2" xfId="47486" xr:uid="{00000000-0005-0000-0000-0000BEC70000}"/>
    <cellStyle name="Normal 78 4 4" xfId="28416" xr:uid="{00000000-0005-0000-0000-0000BFC70000}"/>
    <cellStyle name="Normal 78 5" xfId="10759" xr:uid="{00000000-0005-0000-0000-0000C0C70000}"/>
    <cellStyle name="Normal 78 5 2" xfId="20415" xr:uid="{00000000-0005-0000-0000-0000C1C70000}"/>
    <cellStyle name="Normal 78 5 2 2" xfId="45968" xr:uid="{00000000-0005-0000-0000-0000C2C70000}"/>
    <cellStyle name="Normal 78 5 3" xfId="36315" xr:uid="{00000000-0005-0000-0000-0000C3C70000}"/>
    <cellStyle name="Normal 78 6" xfId="8607" xr:uid="{00000000-0005-0000-0000-0000C4C70000}"/>
    <cellStyle name="Normal 78 6 2" xfId="34164" xr:uid="{00000000-0005-0000-0000-0000C5C70000}"/>
    <cellStyle name="Normal 78 7" xfId="16926" xr:uid="{00000000-0005-0000-0000-0000C6C70000}"/>
    <cellStyle name="Normal 78 7 2" xfId="42479" xr:uid="{00000000-0005-0000-0000-0000C7C70000}"/>
    <cellStyle name="Normal 78 8" xfId="26898" xr:uid="{00000000-0005-0000-0000-0000C8C70000}"/>
    <cellStyle name="Normal 79" xfId="614" xr:uid="{00000000-0005-0000-0000-0000C9C70000}"/>
    <cellStyle name="Normal 79 2" xfId="3100" xr:uid="{00000000-0005-0000-0000-0000CAC70000}"/>
    <cellStyle name="Normal 79 2 2" xfId="12243" xr:uid="{00000000-0005-0000-0000-0000CBC70000}"/>
    <cellStyle name="Normal 79 2 2 2" xfId="22461" xr:uid="{00000000-0005-0000-0000-0000CCC70000}"/>
    <cellStyle name="Normal 79 2 2 2 2" xfId="48014" xr:uid="{00000000-0005-0000-0000-0000CDC70000}"/>
    <cellStyle name="Normal 79 2 2 3" xfId="37798" xr:uid="{00000000-0005-0000-0000-0000CEC70000}"/>
    <cellStyle name="Normal 79 2 3" xfId="8665" xr:uid="{00000000-0005-0000-0000-0000CFC70000}"/>
    <cellStyle name="Normal 79 2 3 2" xfId="34222" xr:uid="{00000000-0005-0000-0000-0000D0C70000}"/>
    <cellStyle name="Normal 79 2 4" xfId="17454" xr:uid="{00000000-0005-0000-0000-0000D1C70000}"/>
    <cellStyle name="Normal 79 2 4 2" xfId="43007" xr:uid="{00000000-0005-0000-0000-0000D2C70000}"/>
    <cellStyle name="Normal 79 2 5" xfId="28944" xr:uid="{00000000-0005-0000-0000-0000D3C70000}"/>
    <cellStyle name="Normal 79 3" xfId="5484" xr:uid="{00000000-0005-0000-0000-0000D4C70000}"/>
    <cellStyle name="Normal 79 3 2" xfId="14320" xr:uid="{00000000-0005-0000-0000-0000D5C70000}"/>
    <cellStyle name="Normal 79 3 2 2" xfId="24571" xr:uid="{00000000-0005-0000-0000-0000D6C70000}"/>
    <cellStyle name="Normal 79 3 2 2 2" xfId="50124" xr:uid="{00000000-0005-0000-0000-0000D7C70000}"/>
    <cellStyle name="Normal 79 3 2 3" xfId="39875" xr:uid="{00000000-0005-0000-0000-0000D8C70000}"/>
    <cellStyle name="Normal 79 3 3" xfId="10741" xr:uid="{00000000-0005-0000-0000-0000D9C70000}"/>
    <cellStyle name="Normal 79 3 3 2" xfId="36298" xr:uid="{00000000-0005-0000-0000-0000DAC70000}"/>
    <cellStyle name="Normal 79 3 4" xfId="19564" xr:uid="{00000000-0005-0000-0000-0000DBC70000}"/>
    <cellStyle name="Normal 79 3 4 2" xfId="45117" xr:uid="{00000000-0005-0000-0000-0000DCC70000}"/>
    <cellStyle name="Normal 79 3 5" xfId="31054" xr:uid="{00000000-0005-0000-0000-0000DDC70000}"/>
    <cellStyle name="Normal 79 4" xfId="2209" xr:uid="{00000000-0005-0000-0000-0000DEC70000}"/>
    <cellStyle name="Normal 79 4 2" xfId="11574" xr:uid="{00000000-0005-0000-0000-0000DFC70000}"/>
    <cellStyle name="Normal 79 4 2 2" xfId="37129" xr:uid="{00000000-0005-0000-0000-0000E0C70000}"/>
    <cellStyle name="Normal 79 4 3" xfId="21578" xr:uid="{00000000-0005-0000-0000-0000E1C70000}"/>
    <cellStyle name="Normal 79 4 3 2" xfId="47131" xr:uid="{00000000-0005-0000-0000-0000E2C70000}"/>
    <cellStyle name="Normal 79 4 4" xfId="28061" xr:uid="{00000000-0005-0000-0000-0000E3C70000}"/>
    <cellStyle name="Normal 79 5" xfId="10751" xr:uid="{00000000-0005-0000-0000-0000E4C70000}"/>
    <cellStyle name="Normal 79 5 2" xfId="20060" xr:uid="{00000000-0005-0000-0000-0000E5C70000}"/>
    <cellStyle name="Normal 79 5 2 2" xfId="45613" xr:uid="{00000000-0005-0000-0000-0000E6C70000}"/>
    <cellStyle name="Normal 79 5 3" xfId="36307" xr:uid="{00000000-0005-0000-0000-0000E7C70000}"/>
    <cellStyle name="Normal 79 6" xfId="8504" xr:uid="{00000000-0005-0000-0000-0000E8C70000}"/>
    <cellStyle name="Normal 79 6 2" xfId="34061" xr:uid="{00000000-0005-0000-0000-0000E9C70000}"/>
    <cellStyle name="Normal 79 7" xfId="16571" xr:uid="{00000000-0005-0000-0000-0000EAC70000}"/>
    <cellStyle name="Normal 79 7 2" xfId="42124" xr:uid="{00000000-0005-0000-0000-0000EBC70000}"/>
    <cellStyle name="Normal 79 8" xfId="26543" xr:uid="{00000000-0005-0000-0000-0000ECC70000}"/>
    <cellStyle name="Normal 8" xfId="14" xr:uid="{00000000-0005-0000-0000-0000EDC70000}"/>
    <cellStyle name="Normal 8 2" xfId="30" xr:uid="{00000000-0005-0000-0000-0000EEC70000}"/>
    <cellStyle name="Normal 8 3" xfId="150" xr:uid="{00000000-0005-0000-0000-0000EFC70000}"/>
    <cellStyle name="Normal 80" xfId="615" xr:uid="{00000000-0005-0000-0000-0000F0C70000}"/>
    <cellStyle name="Normal 80 2" xfId="3101" xr:uid="{00000000-0005-0000-0000-0000F1C70000}"/>
    <cellStyle name="Normal 80 2 2" xfId="12244" xr:uid="{00000000-0005-0000-0000-0000F2C70000}"/>
    <cellStyle name="Normal 80 2 2 2" xfId="22462" xr:uid="{00000000-0005-0000-0000-0000F3C70000}"/>
    <cellStyle name="Normal 80 2 2 2 2" xfId="48015" xr:uid="{00000000-0005-0000-0000-0000F4C70000}"/>
    <cellStyle name="Normal 80 2 2 3" xfId="37799" xr:uid="{00000000-0005-0000-0000-0000F5C70000}"/>
    <cellStyle name="Normal 80 2 3" xfId="8666" xr:uid="{00000000-0005-0000-0000-0000F6C70000}"/>
    <cellStyle name="Normal 80 2 3 2" xfId="34223" xr:uid="{00000000-0005-0000-0000-0000F7C70000}"/>
    <cellStyle name="Normal 80 2 4" xfId="17455" xr:uid="{00000000-0005-0000-0000-0000F8C70000}"/>
    <cellStyle name="Normal 80 2 4 2" xfId="43008" xr:uid="{00000000-0005-0000-0000-0000F9C70000}"/>
    <cellStyle name="Normal 80 2 5" xfId="28945" xr:uid="{00000000-0005-0000-0000-0000FAC70000}"/>
    <cellStyle name="Normal 80 3" xfId="5480" xr:uid="{00000000-0005-0000-0000-0000FBC70000}"/>
    <cellStyle name="Normal 80 3 2" xfId="14317" xr:uid="{00000000-0005-0000-0000-0000FCC70000}"/>
    <cellStyle name="Normal 80 3 2 2" xfId="24568" xr:uid="{00000000-0005-0000-0000-0000FDC70000}"/>
    <cellStyle name="Normal 80 3 2 2 2" xfId="50121" xr:uid="{00000000-0005-0000-0000-0000FEC70000}"/>
    <cellStyle name="Normal 80 3 2 3" xfId="39872" xr:uid="{00000000-0005-0000-0000-0000FFC70000}"/>
    <cellStyle name="Normal 80 3 3" xfId="10738" xr:uid="{00000000-0005-0000-0000-000000C80000}"/>
    <cellStyle name="Normal 80 3 3 2" xfId="36295" xr:uid="{00000000-0005-0000-0000-000001C80000}"/>
    <cellStyle name="Normal 80 3 4" xfId="19561" xr:uid="{00000000-0005-0000-0000-000002C80000}"/>
    <cellStyle name="Normal 80 3 4 2" xfId="45114" xr:uid="{00000000-0005-0000-0000-000003C80000}"/>
    <cellStyle name="Normal 80 3 5" xfId="31051" xr:uid="{00000000-0005-0000-0000-000004C80000}"/>
    <cellStyle name="Normal 80 4" xfId="2210" xr:uid="{00000000-0005-0000-0000-000005C80000}"/>
    <cellStyle name="Normal 80 4 2" xfId="11575" xr:uid="{00000000-0005-0000-0000-000006C80000}"/>
    <cellStyle name="Normal 80 4 2 2" xfId="37130" xr:uid="{00000000-0005-0000-0000-000007C80000}"/>
    <cellStyle name="Normal 80 4 3" xfId="21579" xr:uid="{00000000-0005-0000-0000-000008C80000}"/>
    <cellStyle name="Normal 80 4 3 2" xfId="47132" xr:uid="{00000000-0005-0000-0000-000009C80000}"/>
    <cellStyle name="Normal 80 4 4" xfId="28062" xr:uid="{00000000-0005-0000-0000-00000AC80000}"/>
    <cellStyle name="Normal 80 5" xfId="10752" xr:uid="{00000000-0005-0000-0000-00000BC80000}"/>
    <cellStyle name="Normal 80 5 2" xfId="20061" xr:uid="{00000000-0005-0000-0000-00000CC80000}"/>
    <cellStyle name="Normal 80 5 2 2" xfId="45614" xr:uid="{00000000-0005-0000-0000-00000DC80000}"/>
    <cellStyle name="Normal 80 5 3" xfId="36308" xr:uid="{00000000-0005-0000-0000-00000EC80000}"/>
    <cellStyle name="Normal 80 6" xfId="8570" xr:uid="{00000000-0005-0000-0000-00000FC80000}"/>
    <cellStyle name="Normal 80 6 2" xfId="34127" xr:uid="{00000000-0005-0000-0000-000010C80000}"/>
    <cellStyle name="Normal 80 7" xfId="16572" xr:uid="{00000000-0005-0000-0000-000011C80000}"/>
    <cellStyle name="Normal 80 7 2" xfId="42125" xr:uid="{00000000-0005-0000-0000-000012C80000}"/>
    <cellStyle name="Normal 80 8" xfId="26544" xr:uid="{00000000-0005-0000-0000-000013C80000}"/>
    <cellStyle name="Normal 80 9" xfId="26010" xr:uid="{00000000-0005-0000-0000-000014C80000}"/>
    <cellStyle name="Normal 80 9 2" xfId="51563" xr:uid="{00000000-0005-0000-0000-000015C80000}"/>
    <cellStyle name="Normal 81" xfId="980" xr:uid="{00000000-0005-0000-0000-000016C80000}"/>
    <cellStyle name="Normal 81 2" xfId="3456" xr:uid="{00000000-0005-0000-0000-000017C80000}"/>
    <cellStyle name="Normal 81 2 2" xfId="12598" xr:uid="{00000000-0005-0000-0000-000018C80000}"/>
    <cellStyle name="Normal 81 2 2 2" xfId="22817" xr:uid="{00000000-0005-0000-0000-000019C80000}"/>
    <cellStyle name="Normal 81 2 2 2 2" xfId="48370" xr:uid="{00000000-0005-0000-0000-00001AC80000}"/>
    <cellStyle name="Normal 81 2 2 3" xfId="38153" xr:uid="{00000000-0005-0000-0000-00001BC80000}"/>
    <cellStyle name="Normal 81 2 3" xfId="9020" xr:uid="{00000000-0005-0000-0000-00001CC80000}"/>
    <cellStyle name="Normal 81 2 3 2" xfId="34577" xr:uid="{00000000-0005-0000-0000-00001DC80000}"/>
    <cellStyle name="Normal 81 2 4" xfId="17810" xr:uid="{00000000-0005-0000-0000-00001EC80000}"/>
    <cellStyle name="Normal 81 2 4 2" xfId="43363" xr:uid="{00000000-0005-0000-0000-00001FC80000}"/>
    <cellStyle name="Normal 81 2 5" xfId="29300" xr:uid="{00000000-0005-0000-0000-000020C80000}"/>
    <cellStyle name="Normal 81 3" xfId="4087" xr:uid="{00000000-0005-0000-0000-000021C80000}"/>
    <cellStyle name="Normal 81 3 2" xfId="12950" xr:uid="{00000000-0005-0000-0000-000022C80000}"/>
    <cellStyle name="Normal 81 3 2 2" xfId="23176" xr:uid="{00000000-0005-0000-0000-000023C80000}"/>
    <cellStyle name="Normal 81 3 2 2 2" xfId="48729" xr:uid="{00000000-0005-0000-0000-000024C80000}"/>
    <cellStyle name="Normal 81 3 2 3" xfId="38505" xr:uid="{00000000-0005-0000-0000-000025C80000}"/>
    <cellStyle name="Normal 81 3 3" xfId="9371" xr:uid="{00000000-0005-0000-0000-000026C80000}"/>
    <cellStyle name="Normal 81 3 3 2" xfId="34928" xr:uid="{00000000-0005-0000-0000-000027C80000}"/>
    <cellStyle name="Normal 81 3 4" xfId="18169" xr:uid="{00000000-0005-0000-0000-000028C80000}"/>
    <cellStyle name="Normal 81 3 4 2" xfId="43722" xr:uid="{00000000-0005-0000-0000-000029C80000}"/>
    <cellStyle name="Normal 81 3 5" xfId="29659" xr:uid="{00000000-0005-0000-0000-00002AC80000}"/>
    <cellStyle name="Normal 81 4" xfId="2565" xr:uid="{00000000-0005-0000-0000-00002BC80000}"/>
    <cellStyle name="Normal 81 4 2" xfId="11930" xr:uid="{00000000-0005-0000-0000-00002CC80000}"/>
    <cellStyle name="Normal 81 4 2 2" xfId="37485" xr:uid="{00000000-0005-0000-0000-00002DC80000}"/>
    <cellStyle name="Normal 81 4 3" xfId="21934" xr:uid="{00000000-0005-0000-0000-00002EC80000}"/>
    <cellStyle name="Normal 81 4 3 2" xfId="47487" xr:uid="{00000000-0005-0000-0000-00002FC80000}"/>
    <cellStyle name="Normal 81 4 4" xfId="28417" xr:uid="{00000000-0005-0000-0000-000030C80000}"/>
    <cellStyle name="Normal 81 5" xfId="10760" xr:uid="{00000000-0005-0000-0000-000031C80000}"/>
    <cellStyle name="Normal 81 5 2" xfId="20416" xr:uid="{00000000-0005-0000-0000-000032C80000}"/>
    <cellStyle name="Normal 81 5 2 2" xfId="45969" xr:uid="{00000000-0005-0000-0000-000033C80000}"/>
    <cellStyle name="Normal 81 5 3" xfId="36316" xr:uid="{00000000-0005-0000-0000-000034C80000}"/>
    <cellStyle name="Normal 81 6" xfId="8563" xr:uid="{00000000-0005-0000-0000-000035C80000}"/>
    <cellStyle name="Normal 81 6 2" xfId="34120" xr:uid="{00000000-0005-0000-0000-000036C80000}"/>
    <cellStyle name="Normal 81 7" xfId="16927" xr:uid="{00000000-0005-0000-0000-000037C80000}"/>
    <cellStyle name="Normal 81 7 2" xfId="42480" xr:uid="{00000000-0005-0000-0000-000038C80000}"/>
    <cellStyle name="Normal 81 8" xfId="26899" xr:uid="{00000000-0005-0000-0000-000039C80000}"/>
    <cellStyle name="Normal 82" xfId="981" xr:uid="{00000000-0005-0000-0000-00003AC80000}"/>
    <cellStyle name="Normal 82 2" xfId="3457" xr:uid="{00000000-0005-0000-0000-00003BC80000}"/>
    <cellStyle name="Normal 82 2 2" xfId="12599" xr:uid="{00000000-0005-0000-0000-00003CC80000}"/>
    <cellStyle name="Normal 82 2 2 2" xfId="22818" xr:uid="{00000000-0005-0000-0000-00003DC80000}"/>
    <cellStyle name="Normal 82 2 2 2 2" xfId="48371" xr:uid="{00000000-0005-0000-0000-00003EC80000}"/>
    <cellStyle name="Normal 82 2 2 3" xfId="38154" xr:uid="{00000000-0005-0000-0000-00003FC80000}"/>
    <cellStyle name="Normal 82 2 3" xfId="9021" xr:uid="{00000000-0005-0000-0000-000040C80000}"/>
    <cellStyle name="Normal 82 2 3 2" xfId="34578" xr:uid="{00000000-0005-0000-0000-000041C80000}"/>
    <cellStyle name="Normal 82 2 4" xfId="17811" xr:uid="{00000000-0005-0000-0000-000042C80000}"/>
    <cellStyle name="Normal 82 2 4 2" xfId="43364" xr:uid="{00000000-0005-0000-0000-000043C80000}"/>
    <cellStyle name="Normal 82 2 5" xfId="29301" xr:uid="{00000000-0005-0000-0000-000044C80000}"/>
    <cellStyle name="Normal 82 3" xfId="5487" xr:uid="{00000000-0005-0000-0000-000045C80000}"/>
    <cellStyle name="Normal 82 3 2" xfId="14323" xr:uid="{00000000-0005-0000-0000-000046C80000}"/>
    <cellStyle name="Normal 82 3 2 2" xfId="24574" xr:uid="{00000000-0005-0000-0000-000047C80000}"/>
    <cellStyle name="Normal 82 3 2 2 2" xfId="50127" xr:uid="{00000000-0005-0000-0000-000048C80000}"/>
    <cellStyle name="Normal 82 3 2 3" xfId="39878" xr:uid="{00000000-0005-0000-0000-000049C80000}"/>
    <cellStyle name="Normal 82 3 3" xfId="10744" xr:uid="{00000000-0005-0000-0000-00004AC80000}"/>
    <cellStyle name="Normal 82 3 3 2" xfId="36301" xr:uid="{00000000-0005-0000-0000-00004BC80000}"/>
    <cellStyle name="Normal 82 3 4" xfId="19567" xr:uid="{00000000-0005-0000-0000-00004CC80000}"/>
    <cellStyle name="Normal 82 3 4 2" xfId="45120" xr:uid="{00000000-0005-0000-0000-00004DC80000}"/>
    <cellStyle name="Normal 82 3 5" xfId="31057" xr:uid="{00000000-0005-0000-0000-00004EC80000}"/>
    <cellStyle name="Normal 82 4" xfId="2566" xr:uid="{00000000-0005-0000-0000-00004FC80000}"/>
    <cellStyle name="Normal 82 4 2" xfId="11931" xr:uid="{00000000-0005-0000-0000-000050C80000}"/>
    <cellStyle name="Normal 82 4 2 2" xfId="37486" xr:uid="{00000000-0005-0000-0000-000051C80000}"/>
    <cellStyle name="Normal 82 4 3" xfId="21935" xr:uid="{00000000-0005-0000-0000-000052C80000}"/>
    <cellStyle name="Normal 82 4 3 2" xfId="47488" xr:uid="{00000000-0005-0000-0000-000053C80000}"/>
    <cellStyle name="Normal 82 4 4" xfId="28418" xr:uid="{00000000-0005-0000-0000-000054C80000}"/>
    <cellStyle name="Normal 82 5" xfId="10761" xr:uid="{00000000-0005-0000-0000-000055C80000}"/>
    <cellStyle name="Normal 82 5 2" xfId="20417" xr:uid="{00000000-0005-0000-0000-000056C80000}"/>
    <cellStyle name="Normal 82 5 2 2" xfId="45970" xr:uid="{00000000-0005-0000-0000-000057C80000}"/>
    <cellStyle name="Normal 82 5 3" xfId="36317" xr:uid="{00000000-0005-0000-0000-000058C80000}"/>
    <cellStyle name="Normal 82 6" xfId="8502" xr:uid="{00000000-0005-0000-0000-000059C80000}"/>
    <cellStyle name="Normal 82 6 2" xfId="34059" xr:uid="{00000000-0005-0000-0000-00005AC80000}"/>
    <cellStyle name="Normal 82 7" xfId="16928" xr:uid="{00000000-0005-0000-0000-00005BC80000}"/>
    <cellStyle name="Normal 82 7 2" xfId="42481" xr:uid="{00000000-0005-0000-0000-00005CC80000}"/>
    <cellStyle name="Normal 82 8" xfId="26900" xr:uid="{00000000-0005-0000-0000-00005DC80000}"/>
    <cellStyle name="Normal 83" xfId="52" xr:uid="{00000000-0005-0000-0000-00005EC80000}"/>
    <cellStyle name="Normal 84" xfId="53" xr:uid="{00000000-0005-0000-0000-00005FC80000}"/>
    <cellStyle name="Normal 85" xfId="616" xr:uid="{00000000-0005-0000-0000-000060C80000}"/>
    <cellStyle name="Normal 85 2" xfId="3102" xr:uid="{00000000-0005-0000-0000-000061C80000}"/>
    <cellStyle name="Normal 85 2 2" xfId="12245" xr:uid="{00000000-0005-0000-0000-000062C80000}"/>
    <cellStyle name="Normal 85 2 2 2" xfId="22463" xr:uid="{00000000-0005-0000-0000-000063C80000}"/>
    <cellStyle name="Normal 85 2 2 2 2" xfId="48016" xr:uid="{00000000-0005-0000-0000-000064C80000}"/>
    <cellStyle name="Normal 85 2 2 3" xfId="37800" xr:uid="{00000000-0005-0000-0000-000065C80000}"/>
    <cellStyle name="Normal 85 2 3" xfId="8667" xr:uid="{00000000-0005-0000-0000-000066C80000}"/>
    <cellStyle name="Normal 85 2 3 2" xfId="34224" xr:uid="{00000000-0005-0000-0000-000067C80000}"/>
    <cellStyle name="Normal 85 2 4" xfId="17456" xr:uid="{00000000-0005-0000-0000-000068C80000}"/>
    <cellStyle name="Normal 85 2 4 2" xfId="43009" xr:uid="{00000000-0005-0000-0000-000069C80000}"/>
    <cellStyle name="Normal 85 2 5" xfId="28946" xr:uid="{00000000-0005-0000-0000-00006AC80000}"/>
    <cellStyle name="Normal 85 3" xfId="5479" xr:uid="{00000000-0005-0000-0000-00006BC80000}"/>
    <cellStyle name="Normal 85 3 2" xfId="14316" xr:uid="{00000000-0005-0000-0000-00006CC80000}"/>
    <cellStyle name="Normal 85 3 2 2" xfId="24567" xr:uid="{00000000-0005-0000-0000-00006DC80000}"/>
    <cellStyle name="Normal 85 3 2 2 2" xfId="50120" xr:uid="{00000000-0005-0000-0000-00006EC80000}"/>
    <cellStyle name="Normal 85 3 2 3" xfId="39871" xr:uid="{00000000-0005-0000-0000-00006FC80000}"/>
    <cellStyle name="Normal 85 3 3" xfId="10737" xr:uid="{00000000-0005-0000-0000-000070C80000}"/>
    <cellStyle name="Normal 85 3 3 2" xfId="36294" xr:uid="{00000000-0005-0000-0000-000071C80000}"/>
    <cellStyle name="Normal 85 3 4" xfId="19560" xr:uid="{00000000-0005-0000-0000-000072C80000}"/>
    <cellStyle name="Normal 85 3 4 2" xfId="45113" xr:uid="{00000000-0005-0000-0000-000073C80000}"/>
    <cellStyle name="Normal 85 3 5" xfId="31050" xr:uid="{00000000-0005-0000-0000-000074C80000}"/>
    <cellStyle name="Normal 85 4" xfId="2211" xr:uid="{00000000-0005-0000-0000-000075C80000}"/>
    <cellStyle name="Normal 85 4 2" xfId="11576" xr:uid="{00000000-0005-0000-0000-000076C80000}"/>
    <cellStyle name="Normal 85 4 2 2" xfId="37131" xr:uid="{00000000-0005-0000-0000-000077C80000}"/>
    <cellStyle name="Normal 85 4 3" xfId="21580" xr:uid="{00000000-0005-0000-0000-000078C80000}"/>
    <cellStyle name="Normal 85 4 3 2" xfId="47133" xr:uid="{00000000-0005-0000-0000-000079C80000}"/>
    <cellStyle name="Normal 85 4 4" xfId="28063" xr:uid="{00000000-0005-0000-0000-00007AC80000}"/>
    <cellStyle name="Normal 85 5" xfId="10753" xr:uid="{00000000-0005-0000-0000-00007BC80000}"/>
    <cellStyle name="Normal 85 5 2" xfId="20062" xr:uid="{00000000-0005-0000-0000-00007CC80000}"/>
    <cellStyle name="Normal 85 5 2 2" xfId="45615" xr:uid="{00000000-0005-0000-0000-00007DC80000}"/>
    <cellStyle name="Normal 85 5 3" xfId="36309" xr:uid="{00000000-0005-0000-0000-00007EC80000}"/>
    <cellStyle name="Normal 85 6" xfId="8631" xr:uid="{00000000-0005-0000-0000-00007FC80000}"/>
    <cellStyle name="Normal 85 6 2" xfId="34188" xr:uid="{00000000-0005-0000-0000-000080C80000}"/>
    <cellStyle name="Normal 85 7" xfId="16573" xr:uid="{00000000-0005-0000-0000-000081C80000}"/>
    <cellStyle name="Normal 85 7 2" xfId="42126" xr:uid="{00000000-0005-0000-0000-000082C80000}"/>
    <cellStyle name="Normal 85 8" xfId="26545" xr:uid="{00000000-0005-0000-0000-000083C80000}"/>
    <cellStyle name="Normal 86" xfId="54" xr:uid="{00000000-0005-0000-0000-000084C80000}"/>
    <cellStyle name="Normal 87" xfId="612" xr:uid="{00000000-0005-0000-0000-000085C80000}"/>
    <cellStyle name="Normal 87 2" xfId="3098" xr:uid="{00000000-0005-0000-0000-000086C80000}"/>
    <cellStyle name="Normal 87 2 2" xfId="12241" xr:uid="{00000000-0005-0000-0000-000087C80000}"/>
    <cellStyle name="Normal 87 2 2 2" xfId="22459" xr:uid="{00000000-0005-0000-0000-000088C80000}"/>
    <cellStyle name="Normal 87 2 2 2 2" xfId="48012" xr:uid="{00000000-0005-0000-0000-000089C80000}"/>
    <cellStyle name="Normal 87 2 2 3" xfId="37796" xr:uid="{00000000-0005-0000-0000-00008AC80000}"/>
    <cellStyle name="Normal 87 2 3" xfId="8663" xr:uid="{00000000-0005-0000-0000-00008BC80000}"/>
    <cellStyle name="Normal 87 2 3 2" xfId="34220" xr:uid="{00000000-0005-0000-0000-00008CC80000}"/>
    <cellStyle name="Normal 87 2 4" xfId="17452" xr:uid="{00000000-0005-0000-0000-00008DC80000}"/>
    <cellStyle name="Normal 87 2 4 2" xfId="43005" xr:uid="{00000000-0005-0000-0000-00008EC80000}"/>
    <cellStyle name="Normal 87 2 5" xfId="28942" xr:uid="{00000000-0005-0000-0000-00008FC80000}"/>
    <cellStyle name="Normal 87 3" xfId="5488" xr:uid="{00000000-0005-0000-0000-000090C80000}"/>
    <cellStyle name="Normal 87 3 2" xfId="14324" xr:uid="{00000000-0005-0000-0000-000091C80000}"/>
    <cellStyle name="Normal 87 3 2 2" xfId="24575" xr:uid="{00000000-0005-0000-0000-000092C80000}"/>
    <cellStyle name="Normal 87 3 2 2 2" xfId="50128" xr:uid="{00000000-0005-0000-0000-000093C80000}"/>
    <cellStyle name="Normal 87 3 2 3" xfId="39879" xr:uid="{00000000-0005-0000-0000-000094C80000}"/>
    <cellStyle name="Normal 87 3 3" xfId="10745" xr:uid="{00000000-0005-0000-0000-000095C80000}"/>
    <cellStyle name="Normal 87 3 3 2" xfId="36302" xr:uid="{00000000-0005-0000-0000-000096C80000}"/>
    <cellStyle name="Normal 87 3 4" xfId="19568" xr:uid="{00000000-0005-0000-0000-000097C80000}"/>
    <cellStyle name="Normal 87 3 4 2" xfId="45121" xr:uid="{00000000-0005-0000-0000-000098C80000}"/>
    <cellStyle name="Normal 87 3 5" xfId="31058" xr:uid="{00000000-0005-0000-0000-000099C80000}"/>
    <cellStyle name="Normal 87 4" xfId="2207" xr:uid="{00000000-0005-0000-0000-00009AC80000}"/>
    <cellStyle name="Normal 87 4 2" xfId="11572" xr:uid="{00000000-0005-0000-0000-00009BC80000}"/>
    <cellStyle name="Normal 87 4 2 2" xfId="37127" xr:uid="{00000000-0005-0000-0000-00009CC80000}"/>
    <cellStyle name="Normal 87 4 3" xfId="21576" xr:uid="{00000000-0005-0000-0000-00009DC80000}"/>
    <cellStyle name="Normal 87 4 3 2" xfId="47129" xr:uid="{00000000-0005-0000-0000-00009EC80000}"/>
    <cellStyle name="Normal 87 4 4" xfId="28059" xr:uid="{00000000-0005-0000-0000-00009FC80000}"/>
    <cellStyle name="Normal 87 5" xfId="10749" xr:uid="{00000000-0005-0000-0000-0000A0C80000}"/>
    <cellStyle name="Normal 87 5 2" xfId="20058" xr:uid="{00000000-0005-0000-0000-0000A1C80000}"/>
    <cellStyle name="Normal 87 5 2 2" xfId="45611" xr:uid="{00000000-0005-0000-0000-0000A2C80000}"/>
    <cellStyle name="Normal 87 5 3" xfId="36305" xr:uid="{00000000-0005-0000-0000-0000A3C80000}"/>
    <cellStyle name="Normal 87 6" xfId="8590" xr:uid="{00000000-0005-0000-0000-0000A4C80000}"/>
    <cellStyle name="Normal 87 6 2" xfId="34147" xr:uid="{00000000-0005-0000-0000-0000A5C80000}"/>
    <cellStyle name="Normal 87 7" xfId="16569" xr:uid="{00000000-0005-0000-0000-0000A6C80000}"/>
    <cellStyle name="Normal 87 7 2" xfId="42122" xr:uid="{00000000-0005-0000-0000-0000A7C80000}"/>
    <cellStyle name="Normal 87 8" xfId="26541" xr:uid="{00000000-0005-0000-0000-0000A8C80000}"/>
    <cellStyle name="Normal 88" xfId="1036" xr:uid="{00000000-0005-0000-0000-0000A9C80000}"/>
    <cellStyle name="Normal 89" xfId="4081" xr:uid="{00000000-0005-0000-0000-0000AAC80000}"/>
    <cellStyle name="Normal 9" xfId="15" xr:uid="{00000000-0005-0000-0000-0000ABC80000}"/>
    <cellStyle name="Normal 9 2" xfId="289" xr:uid="{00000000-0005-0000-0000-0000ACC80000}"/>
    <cellStyle name="Normal 9 2 10" xfId="16075" xr:uid="{00000000-0005-0000-0000-0000ADC80000}"/>
    <cellStyle name="Normal 9 2 10 2" xfId="41628" xr:uid="{00000000-0005-0000-0000-0000AEC80000}"/>
    <cellStyle name="Normal 9 2 11" xfId="26221" xr:uid="{00000000-0005-0000-0000-0000AFC80000}"/>
    <cellStyle name="Normal 9 2 2" xfId="609" xr:uid="{00000000-0005-0000-0000-0000B0C80000}"/>
    <cellStyle name="Normal 9 2 2 2" xfId="3095" xr:uid="{00000000-0005-0000-0000-0000B1C80000}"/>
    <cellStyle name="Normal 9 2 2 2 2" xfId="12238" xr:uid="{00000000-0005-0000-0000-0000B2C80000}"/>
    <cellStyle name="Normal 9 2 2 2 2 2" xfId="22456" xr:uid="{00000000-0005-0000-0000-0000B3C80000}"/>
    <cellStyle name="Normal 9 2 2 2 2 2 2" xfId="48009" xr:uid="{00000000-0005-0000-0000-0000B4C80000}"/>
    <cellStyle name="Normal 9 2 2 2 2 3" xfId="37793" xr:uid="{00000000-0005-0000-0000-0000B5C80000}"/>
    <cellStyle name="Normal 9 2 2 2 3" xfId="8660" xr:uid="{00000000-0005-0000-0000-0000B6C80000}"/>
    <cellStyle name="Normal 9 2 2 2 3 2" xfId="34217" xr:uid="{00000000-0005-0000-0000-0000B7C80000}"/>
    <cellStyle name="Normal 9 2 2 2 4" xfId="17449" xr:uid="{00000000-0005-0000-0000-0000B8C80000}"/>
    <cellStyle name="Normal 9 2 2 2 4 2" xfId="43002" xr:uid="{00000000-0005-0000-0000-0000B9C80000}"/>
    <cellStyle name="Normal 9 2 2 2 5" xfId="28939" xr:uid="{00000000-0005-0000-0000-0000BAC80000}"/>
    <cellStyle name="Normal 9 2 2 3" xfId="4780" xr:uid="{00000000-0005-0000-0000-0000BBC80000}"/>
    <cellStyle name="Normal 9 2 2 3 2" xfId="13617" xr:uid="{00000000-0005-0000-0000-0000BCC80000}"/>
    <cellStyle name="Normal 9 2 2 3 2 2" xfId="23868" xr:uid="{00000000-0005-0000-0000-0000BDC80000}"/>
    <cellStyle name="Normal 9 2 2 3 2 2 2" xfId="49421" xr:uid="{00000000-0005-0000-0000-0000BEC80000}"/>
    <cellStyle name="Normal 9 2 2 3 2 3" xfId="39172" xr:uid="{00000000-0005-0000-0000-0000BFC80000}"/>
    <cellStyle name="Normal 9 2 2 3 3" xfId="10038" xr:uid="{00000000-0005-0000-0000-0000C0C80000}"/>
    <cellStyle name="Normal 9 2 2 3 3 2" xfId="35595" xr:uid="{00000000-0005-0000-0000-0000C1C80000}"/>
    <cellStyle name="Normal 9 2 2 3 4" xfId="18861" xr:uid="{00000000-0005-0000-0000-0000C2C80000}"/>
    <cellStyle name="Normal 9 2 2 3 4 2" xfId="44414" xr:uid="{00000000-0005-0000-0000-0000C3C80000}"/>
    <cellStyle name="Normal 9 2 2 3 5" xfId="30351" xr:uid="{00000000-0005-0000-0000-0000C4C80000}"/>
    <cellStyle name="Normal 9 2 2 4" xfId="2204" xr:uid="{00000000-0005-0000-0000-0000C5C80000}"/>
    <cellStyle name="Normal 9 2 2 4 2" xfId="11569" xr:uid="{00000000-0005-0000-0000-0000C6C80000}"/>
    <cellStyle name="Normal 9 2 2 4 2 2" xfId="37124" xr:uid="{00000000-0005-0000-0000-0000C7C80000}"/>
    <cellStyle name="Normal 9 2 2 4 3" xfId="21573" xr:uid="{00000000-0005-0000-0000-0000C8C80000}"/>
    <cellStyle name="Normal 9 2 2 4 3 2" xfId="47126" xr:uid="{00000000-0005-0000-0000-0000C9C80000}"/>
    <cellStyle name="Normal 9 2 2 4 4" xfId="28056" xr:uid="{00000000-0005-0000-0000-0000CAC80000}"/>
    <cellStyle name="Normal 9 2 2 5" xfId="6235" xr:uid="{00000000-0005-0000-0000-0000CBC80000}"/>
    <cellStyle name="Normal 9 2 2 5 2" xfId="15062" xr:uid="{00000000-0005-0000-0000-0000CCC80000}"/>
    <cellStyle name="Normal 9 2 2 5 2 2" xfId="40617" xr:uid="{00000000-0005-0000-0000-0000CDC80000}"/>
    <cellStyle name="Normal 9 2 2 5 3" xfId="25313" xr:uid="{00000000-0005-0000-0000-0000CEC80000}"/>
    <cellStyle name="Normal 9 2 2 5 3 2" xfId="50866" xr:uid="{00000000-0005-0000-0000-0000CFC80000}"/>
    <cellStyle name="Normal 9 2 2 5 4" xfId="31796" xr:uid="{00000000-0005-0000-0000-0000D0C80000}"/>
    <cellStyle name="Normal 9 2 2 6" xfId="7681" xr:uid="{00000000-0005-0000-0000-0000D1C80000}"/>
    <cellStyle name="Normal 9 2 2 6 2" xfId="20055" xr:uid="{00000000-0005-0000-0000-0000D2C80000}"/>
    <cellStyle name="Normal 9 2 2 6 2 2" xfId="45608" xr:uid="{00000000-0005-0000-0000-0000D3C80000}"/>
    <cellStyle name="Normal 9 2 2 6 3" xfId="33238" xr:uid="{00000000-0005-0000-0000-0000D4C80000}"/>
    <cellStyle name="Normal 9 2 2 7" xfId="16566" xr:uid="{00000000-0005-0000-0000-0000D5C80000}"/>
    <cellStyle name="Normal 9 2 2 7 2" xfId="42119" xr:uid="{00000000-0005-0000-0000-0000D6C80000}"/>
    <cellStyle name="Normal 9 2 2 8" xfId="26538" xr:uid="{00000000-0005-0000-0000-0000D7C80000}"/>
    <cellStyle name="Normal 9 2 3" xfId="982" xr:uid="{00000000-0005-0000-0000-0000D8C80000}"/>
    <cellStyle name="Normal 9 2 3 2" xfId="3458" xr:uid="{00000000-0005-0000-0000-0000D9C80000}"/>
    <cellStyle name="Normal 9 2 3 2 2" xfId="12600" xr:uid="{00000000-0005-0000-0000-0000DAC80000}"/>
    <cellStyle name="Normal 9 2 3 2 2 2" xfId="22819" xr:uid="{00000000-0005-0000-0000-0000DBC80000}"/>
    <cellStyle name="Normal 9 2 3 2 2 2 2" xfId="48372" xr:uid="{00000000-0005-0000-0000-0000DCC80000}"/>
    <cellStyle name="Normal 9 2 3 2 2 3" xfId="38155" xr:uid="{00000000-0005-0000-0000-0000DDC80000}"/>
    <cellStyle name="Normal 9 2 3 2 3" xfId="9022" xr:uid="{00000000-0005-0000-0000-0000DEC80000}"/>
    <cellStyle name="Normal 9 2 3 2 3 2" xfId="34579" xr:uid="{00000000-0005-0000-0000-0000DFC80000}"/>
    <cellStyle name="Normal 9 2 3 2 4" xfId="17812" xr:uid="{00000000-0005-0000-0000-0000E0C80000}"/>
    <cellStyle name="Normal 9 2 3 2 4 2" xfId="43365" xr:uid="{00000000-0005-0000-0000-0000E1C80000}"/>
    <cellStyle name="Normal 9 2 3 2 5" xfId="29302" xr:uid="{00000000-0005-0000-0000-0000E2C80000}"/>
    <cellStyle name="Normal 9 2 3 3" xfId="5128" xr:uid="{00000000-0005-0000-0000-0000E3C80000}"/>
    <cellStyle name="Normal 9 2 3 3 2" xfId="13965" xr:uid="{00000000-0005-0000-0000-0000E4C80000}"/>
    <cellStyle name="Normal 9 2 3 3 2 2" xfId="24216" xr:uid="{00000000-0005-0000-0000-0000E5C80000}"/>
    <cellStyle name="Normal 9 2 3 3 2 2 2" xfId="49769" xr:uid="{00000000-0005-0000-0000-0000E6C80000}"/>
    <cellStyle name="Normal 9 2 3 3 2 3" xfId="39520" xr:uid="{00000000-0005-0000-0000-0000E7C80000}"/>
    <cellStyle name="Normal 9 2 3 3 3" xfId="10386" xr:uid="{00000000-0005-0000-0000-0000E8C80000}"/>
    <cellStyle name="Normal 9 2 3 3 3 2" xfId="35943" xr:uid="{00000000-0005-0000-0000-0000E9C80000}"/>
    <cellStyle name="Normal 9 2 3 3 4" xfId="19209" xr:uid="{00000000-0005-0000-0000-0000EAC80000}"/>
    <cellStyle name="Normal 9 2 3 3 4 2" xfId="44762" xr:uid="{00000000-0005-0000-0000-0000EBC80000}"/>
    <cellStyle name="Normal 9 2 3 3 5" xfId="30699" xr:uid="{00000000-0005-0000-0000-0000ECC80000}"/>
    <cellStyle name="Normal 9 2 3 4" xfId="2567" xr:uid="{00000000-0005-0000-0000-0000EDC80000}"/>
    <cellStyle name="Normal 9 2 3 4 2" xfId="11932" xr:uid="{00000000-0005-0000-0000-0000EEC80000}"/>
    <cellStyle name="Normal 9 2 3 4 2 2" xfId="37487" xr:uid="{00000000-0005-0000-0000-0000EFC80000}"/>
    <cellStyle name="Normal 9 2 3 4 3" xfId="21936" xr:uid="{00000000-0005-0000-0000-0000F0C80000}"/>
    <cellStyle name="Normal 9 2 3 4 3 2" xfId="47489" xr:uid="{00000000-0005-0000-0000-0000F1C80000}"/>
    <cellStyle name="Normal 9 2 3 4 4" xfId="28419" xr:uid="{00000000-0005-0000-0000-0000F2C80000}"/>
    <cellStyle name="Normal 9 2 3 5" xfId="6583" xr:uid="{00000000-0005-0000-0000-0000F3C80000}"/>
    <cellStyle name="Normal 9 2 3 5 2" xfId="15410" xr:uid="{00000000-0005-0000-0000-0000F4C80000}"/>
    <cellStyle name="Normal 9 2 3 5 2 2" xfId="40965" xr:uid="{00000000-0005-0000-0000-0000F5C80000}"/>
    <cellStyle name="Normal 9 2 3 5 3" xfId="25661" xr:uid="{00000000-0005-0000-0000-0000F6C80000}"/>
    <cellStyle name="Normal 9 2 3 5 3 2" xfId="51214" xr:uid="{00000000-0005-0000-0000-0000F7C80000}"/>
    <cellStyle name="Normal 9 2 3 5 4" xfId="32144" xr:uid="{00000000-0005-0000-0000-0000F8C80000}"/>
    <cellStyle name="Normal 9 2 3 6" xfId="8029" xr:uid="{00000000-0005-0000-0000-0000F9C80000}"/>
    <cellStyle name="Normal 9 2 3 6 2" xfId="20418" xr:uid="{00000000-0005-0000-0000-0000FAC80000}"/>
    <cellStyle name="Normal 9 2 3 6 2 2" xfId="45971" xr:uid="{00000000-0005-0000-0000-0000FBC80000}"/>
    <cellStyle name="Normal 9 2 3 6 3" xfId="33586" xr:uid="{00000000-0005-0000-0000-0000FCC80000}"/>
    <cellStyle name="Normal 9 2 3 7" xfId="16929" xr:uid="{00000000-0005-0000-0000-0000FDC80000}"/>
    <cellStyle name="Normal 9 2 3 7 2" xfId="42482" xr:uid="{00000000-0005-0000-0000-0000FEC80000}"/>
    <cellStyle name="Normal 9 2 3 8" xfId="26901" xr:uid="{00000000-0005-0000-0000-0000FFC80000}"/>
    <cellStyle name="Normal 9 2 4" xfId="1381" xr:uid="{00000000-0005-0000-0000-000000C90000}"/>
    <cellStyle name="Normal 9 2 4 2" xfId="3810" xr:uid="{00000000-0005-0000-0000-000001C90000}"/>
    <cellStyle name="Normal 9 2 4 2 2" xfId="12946" xr:uid="{00000000-0005-0000-0000-000002C90000}"/>
    <cellStyle name="Normal 9 2 4 2 2 2" xfId="23165" xr:uid="{00000000-0005-0000-0000-000003C90000}"/>
    <cellStyle name="Normal 9 2 4 2 2 2 2" xfId="48718" xr:uid="{00000000-0005-0000-0000-000004C90000}"/>
    <cellStyle name="Normal 9 2 4 2 2 3" xfId="38501" xr:uid="{00000000-0005-0000-0000-000005C90000}"/>
    <cellStyle name="Normal 9 2 4 2 3" xfId="9367" xr:uid="{00000000-0005-0000-0000-000006C90000}"/>
    <cellStyle name="Normal 9 2 4 2 3 2" xfId="34924" xr:uid="{00000000-0005-0000-0000-000007C90000}"/>
    <cellStyle name="Normal 9 2 4 2 4" xfId="18158" xr:uid="{00000000-0005-0000-0000-000008C90000}"/>
    <cellStyle name="Normal 9 2 4 2 4 2" xfId="43711" xr:uid="{00000000-0005-0000-0000-000009C90000}"/>
    <cellStyle name="Normal 9 2 4 2 5" xfId="29648" xr:uid="{00000000-0005-0000-0000-00000AC90000}"/>
    <cellStyle name="Normal 9 2 4 3" xfId="5473" xr:uid="{00000000-0005-0000-0000-00000BC90000}"/>
    <cellStyle name="Normal 9 2 4 3 2" xfId="14310" xr:uid="{00000000-0005-0000-0000-00000CC90000}"/>
    <cellStyle name="Normal 9 2 4 3 2 2" xfId="24561" xr:uid="{00000000-0005-0000-0000-00000DC90000}"/>
    <cellStyle name="Normal 9 2 4 3 2 2 2" xfId="50114" xr:uid="{00000000-0005-0000-0000-00000EC90000}"/>
    <cellStyle name="Normal 9 2 4 3 2 3" xfId="39865" xr:uid="{00000000-0005-0000-0000-00000FC90000}"/>
    <cellStyle name="Normal 9 2 4 3 3" xfId="10731" xr:uid="{00000000-0005-0000-0000-000010C90000}"/>
    <cellStyle name="Normal 9 2 4 3 3 2" xfId="36288" xr:uid="{00000000-0005-0000-0000-000011C90000}"/>
    <cellStyle name="Normal 9 2 4 3 4" xfId="19554" xr:uid="{00000000-0005-0000-0000-000012C90000}"/>
    <cellStyle name="Normal 9 2 4 3 4 2" xfId="45107" xr:uid="{00000000-0005-0000-0000-000013C90000}"/>
    <cellStyle name="Normal 9 2 4 3 5" xfId="31044" xr:uid="{00000000-0005-0000-0000-000014C90000}"/>
    <cellStyle name="Normal 9 2 4 4" xfId="1885" xr:uid="{00000000-0005-0000-0000-000015C90000}"/>
    <cellStyle name="Normal 9 2 4 4 2" xfId="11252" xr:uid="{00000000-0005-0000-0000-000016C90000}"/>
    <cellStyle name="Normal 9 2 4 4 2 2" xfId="36807" xr:uid="{00000000-0005-0000-0000-000017C90000}"/>
    <cellStyle name="Normal 9 2 4 4 3" xfId="21256" xr:uid="{00000000-0005-0000-0000-000018C90000}"/>
    <cellStyle name="Normal 9 2 4 4 3 2" xfId="46809" xr:uid="{00000000-0005-0000-0000-000019C90000}"/>
    <cellStyle name="Normal 9 2 4 4 4" xfId="27739" xr:uid="{00000000-0005-0000-0000-00001AC90000}"/>
    <cellStyle name="Normal 9 2 4 5" xfId="6928" xr:uid="{00000000-0005-0000-0000-00001BC90000}"/>
    <cellStyle name="Normal 9 2 4 5 2" xfId="15755" xr:uid="{00000000-0005-0000-0000-00001CC90000}"/>
    <cellStyle name="Normal 9 2 4 5 2 2" xfId="41310" xr:uid="{00000000-0005-0000-0000-00001DC90000}"/>
    <cellStyle name="Normal 9 2 4 5 3" xfId="26006" xr:uid="{00000000-0005-0000-0000-00001EC90000}"/>
    <cellStyle name="Normal 9 2 4 5 3 2" xfId="51559" xr:uid="{00000000-0005-0000-0000-00001FC90000}"/>
    <cellStyle name="Normal 9 2 4 5 4" xfId="32489" xr:uid="{00000000-0005-0000-0000-000020C90000}"/>
    <cellStyle name="Normal 9 2 4 6" xfId="8374" xr:uid="{00000000-0005-0000-0000-000021C90000}"/>
    <cellStyle name="Normal 9 2 4 6 2" xfId="20764" xr:uid="{00000000-0005-0000-0000-000022C90000}"/>
    <cellStyle name="Normal 9 2 4 6 2 2" xfId="46317" xr:uid="{00000000-0005-0000-0000-000023C90000}"/>
    <cellStyle name="Normal 9 2 4 6 3" xfId="33931" xr:uid="{00000000-0005-0000-0000-000024C90000}"/>
    <cellStyle name="Normal 9 2 4 7" xfId="16249" xr:uid="{00000000-0005-0000-0000-000025C90000}"/>
    <cellStyle name="Normal 9 2 4 7 2" xfId="41802" xr:uid="{00000000-0005-0000-0000-000026C90000}"/>
    <cellStyle name="Normal 9 2 4 8" xfId="27247" xr:uid="{00000000-0005-0000-0000-000027C90000}"/>
    <cellStyle name="Normal 9 2 5" xfId="2778" xr:uid="{00000000-0005-0000-0000-000028C90000}"/>
    <cellStyle name="Normal 9 2 5 2" xfId="12095" xr:uid="{00000000-0005-0000-0000-000029C90000}"/>
    <cellStyle name="Normal 9 2 5 2 2" xfId="22139" xr:uid="{00000000-0005-0000-0000-00002AC90000}"/>
    <cellStyle name="Normal 9 2 5 2 2 2" xfId="47692" xr:uid="{00000000-0005-0000-0000-00002BC90000}"/>
    <cellStyle name="Normal 9 2 5 2 3" xfId="37650" xr:uid="{00000000-0005-0000-0000-00002CC90000}"/>
    <cellStyle name="Normal 9 2 5 3" xfId="8420" xr:uid="{00000000-0005-0000-0000-00002DC90000}"/>
    <cellStyle name="Normal 9 2 5 3 2" xfId="33977" xr:uid="{00000000-0005-0000-0000-00002EC90000}"/>
    <cellStyle name="Normal 9 2 5 4" xfId="17132" xr:uid="{00000000-0005-0000-0000-00002FC90000}"/>
    <cellStyle name="Normal 9 2 5 4 2" xfId="42685" xr:uid="{00000000-0005-0000-0000-000030C90000}"/>
    <cellStyle name="Normal 9 2 5 5" xfId="28622" xr:uid="{00000000-0005-0000-0000-000031C90000}"/>
    <cellStyle name="Normal 9 2 6" xfId="4429" xr:uid="{00000000-0005-0000-0000-000032C90000}"/>
    <cellStyle name="Normal 9 2 6 2" xfId="13267" xr:uid="{00000000-0005-0000-0000-000033C90000}"/>
    <cellStyle name="Normal 9 2 6 2 2" xfId="23518" xr:uid="{00000000-0005-0000-0000-000034C90000}"/>
    <cellStyle name="Normal 9 2 6 2 2 2" xfId="49071" xr:uid="{00000000-0005-0000-0000-000035C90000}"/>
    <cellStyle name="Normal 9 2 6 2 3" xfId="38822" xr:uid="{00000000-0005-0000-0000-000036C90000}"/>
    <cellStyle name="Normal 9 2 6 3" xfId="9688" xr:uid="{00000000-0005-0000-0000-000037C90000}"/>
    <cellStyle name="Normal 9 2 6 3 2" xfId="35245" xr:uid="{00000000-0005-0000-0000-000038C90000}"/>
    <cellStyle name="Normal 9 2 6 4" xfId="18511" xr:uid="{00000000-0005-0000-0000-000039C90000}"/>
    <cellStyle name="Normal 9 2 6 4 2" xfId="44064" xr:uid="{00000000-0005-0000-0000-00003AC90000}"/>
    <cellStyle name="Normal 9 2 6 5" xfId="30001" xr:uid="{00000000-0005-0000-0000-00003BC90000}"/>
    <cellStyle name="Normal 9 2 7" xfId="1701" xr:uid="{00000000-0005-0000-0000-00003CC90000}"/>
    <cellStyle name="Normal 9 2 7 2" xfId="11078" xr:uid="{00000000-0005-0000-0000-00003DC90000}"/>
    <cellStyle name="Normal 9 2 7 2 2" xfId="36633" xr:uid="{00000000-0005-0000-0000-00003EC90000}"/>
    <cellStyle name="Normal 9 2 7 3" xfId="21082" xr:uid="{00000000-0005-0000-0000-00003FC90000}"/>
    <cellStyle name="Normal 9 2 7 3 2" xfId="46635" xr:uid="{00000000-0005-0000-0000-000040C90000}"/>
    <cellStyle name="Normal 9 2 7 4" xfId="27565" xr:uid="{00000000-0005-0000-0000-000041C90000}"/>
    <cellStyle name="Normal 9 2 8" xfId="5885" xr:uid="{00000000-0005-0000-0000-000042C90000}"/>
    <cellStyle name="Normal 9 2 8 2" xfId="14712" xr:uid="{00000000-0005-0000-0000-000043C90000}"/>
    <cellStyle name="Normal 9 2 8 2 2" xfId="40267" xr:uid="{00000000-0005-0000-0000-000044C90000}"/>
    <cellStyle name="Normal 9 2 8 3" xfId="24963" xr:uid="{00000000-0005-0000-0000-000045C90000}"/>
    <cellStyle name="Normal 9 2 8 3 2" xfId="50516" xr:uid="{00000000-0005-0000-0000-000046C90000}"/>
    <cellStyle name="Normal 9 2 8 4" xfId="31446" xr:uid="{00000000-0005-0000-0000-000047C90000}"/>
    <cellStyle name="Normal 9 2 9" xfId="7329" xr:uid="{00000000-0005-0000-0000-000048C90000}"/>
    <cellStyle name="Normal 9 2 9 2" xfId="19738" xr:uid="{00000000-0005-0000-0000-000049C90000}"/>
    <cellStyle name="Normal 9 2 9 2 2" xfId="45291" xr:uid="{00000000-0005-0000-0000-00004AC90000}"/>
    <cellStyle name="Normal 9 2 9 3" xfId="32886" xr:uid="{00000000-0005-0000-0000-00004BC90000}"/>
    <cellStyle name="Normal 9 2_Degree data" xfId="4080" xr:uid="{00000000-0005-0000-0000-00004CC90000}"/>
    <cellStyle name="Normal 90" xfId="4745" xr:uid="{00000000-0005-0000-0000-00004DC90000}"/>
    <cellStyle name="Normal 91" xfId="5482" xr:uid="{00000000-0005-0000-0000-00004EC90000}"/>
    <cellStyle name="Normal 92" xfId="1385" xr:uid="{00000000-0005-0000-0000-00004FC90000}"/>
    <cellStyle name="Normal 93" xfId="2569" xr:uid="{00000000-0005-0000-0000-000050C90000}"/>
    <cellStyle name="Normal 94" xfId="5490" xr:uid="{00000000-0005-0000-0000-000051C90000}"/>
    <cellStyle name="Normal 95" xfId="5489" xr:uid="{00000000-0005-0000-0000-000052C90000}"/>
    <cellStyle name="Normal 96" xfId="5494" xr:uid="{00000000-0005-0000-0000-000053C90000}"/>
    <cellStyle name="Normal 97" xfId="5495" xr:uid="{00000000-0005-0000-0000-000054C90000}"/>
    <cellStyle name="Normal 98" xfId="55" xr:uid="{00000000-0005-0000-0000-000055C90000}"/>
    <cellStyle name="Normal 99" xfId="5497" xr:uid="{00000000-0005-0000-0000-000056C90000}"/>
    <cellStyle name="Note 2" xfId="983" xr:uid="{00000000-0005-0000-0000-00005EC90000}"/>
    <cellStyle name="Note 2 10" xfId="26902" xr:uid="{00000000-0005-0000-0000-00005FC90000}"/>
    <cellStyle name="Note 2 2" xfId="1023" xr:uid="{00000000-0005-0000-0000-000060C90000}"/>
    <cellStyle name="Note 2 3" xfId="1030" xr:uid="{00000000-0005-0000-0000-000061C90000}"/>
    <cellStyle name="Note 2 4" xfId="3459" xr:uid="{00000000-0005-0000-0000-000062C90000}"/>
    <cellStyle name="Note 2 4 2" xfId="12601" xr:uid="{00000000-0005-0000-0000-000063C90000}"/>
    <cellStyle name="Note 2 4 2 2" xfId="22820" xr:uid="{00000000-0005-0000-0000-000064C90000}"/>
    <cellStyle name="Note 2 4 2 2 2" xfId="48373" xr:uid="{00000000-0005-0000-0000-000065C90000}"/>
    <cellStyle name="Note 2 4 2 3" xfId="38156" xr:uid="{00000000-0005-0000-0000-000066C90000}"/>
    <cellStyle name="Note 2 4 3" xfId="9023" xr:uid="{00000000-0005-0000-0000-000067C90000}"/>
    <cellStyle name="Note 2 4 3 2" xfId="34580" xr:uid="{00000000-0005-0000-0000-000068C90000}"/>
    <cellStyle name="Note 2 4 4" xfId="17813" xr:uid="{00000000-0005-0000-0000-000069C90000}"/>
    <cellStyle name="Note 2 4 4 2" xfId="43366" xr:uid="{00000000-0005-0000-0000-00006AC90000}"/>
    <cellStyle name="Note 2 4 5" xfId="29303" xr:uid="{00000000-0005-0000-0000-00006BC90000}"/>
    <cellStyle name="Note 2 5" xfId="4158" xr:uid="{00000000-0005-0000-0000-00006CC90000}"/>
    <cellStyle name="Note 2 5 2" xfId="12996" xr:uid="{00000000-0005-0000-0000-00006DC90000}"/>
    <cellStyle name="Note 2 5 2 2" xfId="23247" xr:uid="{00000000-0005-0000-0000-00006EC90000}"/>
    <cellStyle name="Note 2 5 2 2 2" xfId="48800" xr:uid="{00000000-0005-0000-0000-00006FC90000}"/>
    <cellStyle name="Note 2 5 2 3" xfId="38551" xr:uid="{00000000-0005-0000-0000-000070C90000}"/>
    <cellStyle name="Note 2 5 3" xfId="9417" xr:uid="{00000000-0005-0000-0000-000071C90000}"/>
    <cellStyle name="Note 2 5 3 2" xfId="34974" xr:uid="{00000000-0005-0000-0000-000072C90000}"/>
    <cellStyle name="Note 2 5 4" xfId="18240" xr:uid="{00000000-0005-0000-0000-000073C90000}"/>
    <cellStyle name="Note 2 5 4 2" xfId="43793" xr:uid="{00000000-0005-0000-0000-000074C90000}"/>
    <cellStyle name="Note 2 5 5" xfId="29730" xr:uid="{00000000-0005-0000-0000-000075C90000}"/>
    <cellStyle name="Note 2 6" xfId="2568" xr:uid="{00000000-0005-0000-0000-000076C90000}"/>
    <cellStyle name="Note 2 6 2" xfId="11933" xr:uid="{00000000-0005-0000-0000-000077C90000}"/>
    <cellStyle name="Note 2 6 2 2" xfId="37488" xr:uid="{00000000-0005-0000-0000-000078C90000}"/>
    <cellStyle name="Note 2 6 3" xfId="21937" xr:uid="{00000000-0005-0000-0000-000079C90000}"/>
    <cellStyle name="Note 2 6 3 2" xfId="47490" xr:uid="{00000000-0005-0000-0000-00007AC90000}"/>
    <cellStyle name="Note 2 6 4" xfId="28420" xr:uid="{00000000-0005-0000-0000-00007BC90000}"/>
    <cellStyle name="Note 2 7" xfId="10762" xr:uid="{00000000-0005-0000-0000-00007CC90000}"/>
    <cellStyle name="Note 2 7 2" xfId="20419" xr:uid="{00000000-0005-0000-0000-00007DC90000}"/>
    <cellStyle name="Note 2 7 2 2" xfId="45972" xr:uid="{00000000-0005-0000-0000-00007EC90000}"/>
    <cellStyle name="Note 2 7 3" xfId="36318" xr:uid="{00000000-0005-0000-0000-00007FC90000}"/>
    <cellStyle name="Note 2 8" xfId="8625" xr:uid="{00000000-0005-0000-0000-000080C90000}"/>
    <cellStyle name="Note 2 8 2" xfId="34182" xr:uid="{00000000-0005-0000-0000-000081C90000}"/>
    <cellStyle name="Note 2 9" xfId="16930" xr:uid="{00000000-0005-0000-0000-000082C90000}"/>
    <cellStyle name="Note 2 9 2" xfId="42483" xr:uid="{00000000-0005-0000-0000-000083C90000}"/>
    <cellStyle name="Note 3" xfId="1022" xr:uid="{00000000-0005-0000-0000-000084C90000}"/>
    <cellStyle name="Note 4" xfId="1031" xr:uid="{00000000-0005-0000-0000-000085C90000}"/>
    <cellStyle name="Output 2" xfId="1024" xr:uid="{00000000-0005-0000-0000-000086C90000}"/>
    <cellStyle name="Output 3" xfId="1034" xr:uid="{00000000-0005-0000-0000-000087C90000}"/>
    <cellStyle name="Percent 2" xfId="23" xr:uid="{00000000-0005-0000-0000-000088C90000}"/>
    <cellStyle name="Percent 2 2" xfId="59" xr:uid="{00000000-0005-0000-0000-000089C90000}"/>
    <cellStyle name="Percent 2 2 2" xfId="120" xr:uid="{00000000-0005-0000-0000-00008AC90000}"/>
    <cellStyle name="Percent 2 2 3" xfId="219" xr:uid="{00000000-0005-0000-0000-00008BC90000}"/>
    <cellStyle name="Percent 2 3" xfId="1026" xr:uid="{00000000-0005-0000-0000-00008CC90000}"/>
    <cellStyle name="Percent 3" xfId="24" xr:uid="{00000000-0005-0000-0000-00008DC90000}"/>
    <cellStyle name="Percent 4" xfId="28" xr:uid="{00000000-0005-0000-0000-00008EC90000}"/>
    <cellStyle name="Percent 5" xfId="108" xr:uid="{00000000-0005-0000-0000-00008FC90000}"/>
    <cellStyle name="Percent 6" xfId="1025" xr:uid="{00000000-0005-0000-0000-000090C90000}"/>
    <cellStyle name="questionable" xfId="3" xr:uid="{00000000-0005-0000-0000-000091C90000}"/>
    <cellStyle name="questionable 2" xfId="96" xr:uid="{00000000-0005-0000-0000-000092C90000}"/>
    <cellStyle name="review" xfId="4" xr:uid="{00000000-0005-0000-0000-000093C90000}"/>
    <cellStyle name="Title 2" xfId="1027" xr:uid="{00000000-0005-0000-0000-000094C90000}"/>
    <cellStyle name="Total 2" xfId="1028" xr:uid="{00000000-0005-0000-0000-000095C90000}"/>
    <cellStyle name="Total 3" xfId="1035" xr:uid="{00000000-0005-0000-0000-000096C90000}"/>
    <cellStyle name="Warning Text 2" xfId="1029" xr:uid="{00000000-0005-0000-0000-000097C90000}"/>
  </cellStyles>
  <dxfs count="682">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ont>
        <b/>
      </font>
    </dxf>
    <dxf>
      <font>
        <sz val="10"/>
      </font>
    </dxf>
    <dxf>
      <font>
        <sz val="10"/>
      </font>
    </dxf>
    <dxf>
      <font>
        <b/>
        <sz val="10"/>
      </font>
      <numFmt numFmtId="168" formatCode="0.0%"/>
    </dxf>
    <dxf>
      <font>
        <b/>
        <sz val="10"/>
      </font>
      <numFmt numFmtId="168" formatCode="0.0%"/>
    </dxf>
    <dxf>
      <numFmt numFmtId="168" formatCode="0.0%"/>
    </dxf>
    <dxf>
      <font>
        <b/>
      </font>
    </dxf>
    <dxf>
      <font>
        <b/>
      </font>
      <numFmt numFmtId="168" formatCode="0.0%"/>
    </dxf>
    <dxf>
      <font>
        <b/>
      </font>
      <numFmt numFmtId="168" formatCode="0.0%"/>
    </dxf>
    <dxf>
      <font>
        <b/>
      </font>
    </dxf>
    <dxf>
      <font>
        <b/>
      </font>
    </dxf>
    <dxf>
      <font>
        <b/>
      </font>
    </dxf>
    <dxf>
      <font>
        <b/>
      </font>
    </dxf>
    <dxf>
      <font>
        <b/>
      </font>
    </dxf>
    <dxf>
      <font>
        <b/>
      </font>
    </dxf>
    <dxf>
      <font>
        <b/>
      </font>
    </dxf>
    <dxf>
      <numFmt numFmtId="14" formatCode="0.00%"/>
    </dxf>
    <dxf>
      <numFmt numFmtId="14" formatCode="0.00%"/>
    </dxf>
    <dxf>
      <numFmt numFmtId="14" formatCode="0.00%"/>
    </dxf>
    <dxf>
      <numFmt numFmtId="14" formatCode="0.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249977111117893"/>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condense val="0"/>
        <extend val="0"/>
        <color indexed="10"/>
      </font>
    </dxf>
    <dxf>
      <font>
        <condense val="0"/>
        <extend val="0"/>
        <color indexed="1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condense val="0"/>
        <extend val="0"/>
        <color indexed="10"/>
      </font>
    </dxf>
    <dxf>
      <font>
        <condense val="0"/>
        <extend val="0"/>
        <color indexed="10"/>
      </font>
    </dxf>
    <dxf>
      <font>
        <condense val="0"/>
        <extend val="0"/>
        <color indexed="1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i val="0"/>
        <color rgb="FFFF0000"/>
      </font>
    </dxf>
    <dxf>
      <font>
        <b/>
        <i val="0"/>
        <color rgb="FFFF000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lor rgb="FFFF0000"/>
      </font>
    </dxf>
    <dxf>
      <font>
        <b/>
        <i val="0"/>
        <color rgb="FFFF0000"/>
      </font>
    </dxf>
    <dxf>
      <font>
        <b/>
        <i val="0"/>
        <condense val="0"/>
        <extend val="0"/>
        <color indexed="10"/>
      </font>
    </dxf>
    <dxf>
      <font>
        <b/>
        <i val="0"/>
        <condense val="0"/>
        <extend val="0"/>
        <color indexed="1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i val="0"/>
        <color rgb="FFFF0000"/>
      </font>
    </dxf>
    <dxf>
      <font>
        <b/>
        <i val="0"/>
        <color rgb="FFFF0000"/>
      </font>
    </dxf>
    <dxf>
      <font>
        <b/>
        <i val="0"/>
        <condense val="0"/>
        <extend val="0"/>
        <color indexed="10"/>
      </font>
    </dxf>
    <dxf>
      <font>
        <b/>
        <i val="0"/>
        <condense val="0"/>
        <extend val="0"/>
        <color indexed="1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i val="0"/>
        <color rgb="FFFF0000"/>
      </font>
    </dxf>
    <dxf>
      <font>
        <b/>
        <i val="0"/>
        <color rgb="FFFF000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i val="0"/>
        <color rgb="FFFF0000"/>
      </font>
    </dxf>
    <dxf>
      <font>
        <b/>
        <i val="0"/>
        <color rgb="FFFF000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color rgb="FFC00000"/>
      </font>
      <numFmt numFmtId="164" formatCode="0_)"/>
    </dxf>
    <dxf>
      <font>
        <b/>
        <i val="0"/>
        <color rgb="FFC00000"/>
      </font>
    </dxf>
    <dxf>
      <font>
        <b/>
        <i val="0"/>
        <color rgb="FFC00000"/>
      </font>
    </dxf>
    <dxf>
      <font>
        <b/>
        <i val="0"/>
        <color rgb="FFC00000"/>
      </font>
    </dxf>
    <dxf>
      <font>
        <b/>
        <i val="0"/>
        <color rgb="FFC00000"/>
      </font>
    </dxf>
    <dxf>
      <font>
        <b/>
        <i val="0"/>
        <condense val="0"/>
        <extend val="0"/>
        <color indexed="10"/>
      </font>
    </dxf>
    <dxf>
      <font>
        <b/>
        <i val="0"/>
        <condense val="0"/>
        <extend val="0"/>
        <color indexed="10"/>
      </font>
    </dxf>
    <dxf>
      <font>
        <condense val="0"/>
        <extend val="0"/>
        <color indexed="1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theme="0" tint="-0.24997711111789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4" formatCode="0.00%"/>
    </dxf>
    <dxf>
      <numFmt numFmtId="14" formatCode="0.00%"/>
    </dxf>
    <dxf>
      <numFmt numFmtId="14" formatCode="0.00%"/>
    </dxf>
    <dxf>
      <numFmt numFmtId="14" formatCode="0.00%"/>
    </dxf>
    <dxf>
      <font>
        <b/>
      </font>
    </dxf>
    <dxf>
      <font>
        <b/>
      </font>
    </dxf>
    <dxf>
      <font>
        <b/>
      </font>
    </dxf>
    <dxf>
      <font>
        <b/>
      </font>
    </dxf>
    <dxf>
      <font>
        <b/>
      </font>
    </dxf>
    <dxf>
      <font>
        <b/>
      </font>
    </dxf>
    <dxf>
      <font>
        <b/>
      </font>
    </dxf>
    <dxf>
      <font>
        <b/>
      </font>
      <numFmt numFmtId="168" formatCode="0.0%"/>
    </dxf>
    <dxf>
      <font>
        <b/>
      </font>
      <numFmt numFmtId="168" formatCode="0.0%"/>
    </dxf>
    <dxf>
      <font>
        <b/>
      </font>
    </dxf>
    <dxf>
      <numFmt numFmtId="168" formatCode="0.0%"/>
    </dxf>
    <dxf>
      <font>
        <b/>
        <sz val="10"/>
      </font>
      <numFmt numFmtId="168" formatCode="0.0%"/>
    </dxf>
    <dxf>
      <font>
        <b/>
        <sz val="10"/>
      </font>
      <numFmt numFmtId="168" formatCode="0.0%"/>
    </dxf>
    <dxf>
      <font>
        <sz val="10"/>
      </font>
    </dxf>
    <dxf>
      <font>
        <sz val="10"/>
      </font>
    </dxf>
    <dxf>
      <font>
        <b/>
      </font>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008000"/>
      <color rgb="FF0000FF"/>
      <color rgb="FF00FF00"/>
      <color rgb="FFCCFFCC"/>
      <color rgb="FF00FFFF"/>
      <color rgb="FFFFFFCC"/>
      <color rgb="FFB2A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Aycock" refreshedDate="45217.711335995373" createdVersion="8" refreshedVersion="8" minRefreshableVersion="3" recordCount="638" xr:uid="{C674EE49-5902-4B46-8BDD-5D0051C75AF1}">
  <cacheSource type="worksheet">
    <worksheetSource ref="A6:AM644" sheet="04SCH_FTE"/>
  </cacheSource>
  <cacheFields count="47">
    <cacheField name="State" numFmtId="0">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Blank="1" containsMixedTypes="1" containsNumber="1" containsInteger="1" minValue="1" maxValue="99" count="20">
        <n v="1"/>
        <n v="2"/>
        <n v="3"/>
        <n v="4"/>
        <n v="5"/>
        <n v="8"/>
        <n v="9"/>
        <n v="10"/>
        <n v="12"/>
        <n v="13"/>
        <n v="15"/>
        <n v="6"/>
        <n v="7"/>
        <m/>
        <n v="11"/>
        <s v="08b"/>
        <s v="09b"/>
        <s v="10b"/>
        <n v="14" u="1"/>
        <n v="99" u="1"/>
      </sharedItems>
      <fieldGroup par="43"/>
    </cacheField>
    <cacheField name="Old-Term Code" numFmtId="0">
      <sharedItems containsBlank="1"/>
    </cacheField>
    <cacheField name="New-Term Code" numFmtId="0">
      <sharedItems containsBlank="1"/>
    </cacheField>
    <cacheField name="old-Winter Undg SCH" numFmtId="0">
      <sharedItems containsString="0" containsBlank="1" containsNumber="1" minValue="0" maxValue="612679"/>
    </cacheField>
    <cacheField name="new-Winter Undg SCH" numFmtId="0">
      <sharedItems containsString="0" containsBlank="1" containsNumber="1" containsInteger="1" minValue="0" maxValue="550601"/>
    </cacheField>
    <cacheField name="old-Spring Undg SCH" numFmtId="0">
      <sharedItems containsString="0" containsBlank="1" containsNumber="1" minValue="0" maxValue="1187696"/>
    </cacheField>
    <cacheField name="new-Spring Undg SCH" numFmtId="0">
      <sharedItems containsString="0" containsBlank="1" containsNumber="1" minValue="0" maxValue="1117060.5"/>
    </cacheField>
    <cacheField name="old-Summer Undg SCH" numFmtId="0">
      <sharedItems containsString="0" containsBlank="1" containsNumber="1" minValue="0" maxValue="353284"/>
    </cacheField>
    <cacheField name="new-Summer Undg SCH" numFmtId="0">
      <sharedItems containsString="0" containsBlank="1" containsNumber="1" minValue="0" maxValue="399344"/>
    </cacheField>
    <cacheField name="old-Fall Undg SCH" numFmtId="0">
      <sharedItems containsString="0" containsBlank="1" containsNumber="1" minValue="0" maxValue="1272996"/>
    </cacheField>
    <cacheField name="new-Fall Undg SCH" numFmtId="0">
      <sharedItems containsString="0" containsBlank="1" containsNumber="1" minValue="0" maxValue="1195923"/>
    </cacheField>
    <cacheField name="Old-Total Undg SCH" numFmtId="38">
      <sharedItems containsSemiMixedTypes="0" containsString="0" containsNumber="1" minValue="0" maxValue="2813976"/>
    </cacheField>
    <cacheField name="Old-Total Undg SCH FTE" numFmtId="38">
      <sharedItems containsSemiMixedTypes="0" containsString="0" containsNumber="1" minValue="0" maxValue="93799.2"/>
    </cacheField>
    <cacheField name="New-Total Undg SCH" numFmtId="38">
      <sharedItems containsSemiMixedTypes="0" containsString="0" containsNumber="1" minValue="0" maxValue="2712327.5"/>
    </cacheField>
    <cacheField name="New-Total Undg SCH FTE" numFmtId="38">
      <sharedItems containsSemiMixedTypes="0" containsString="0" containsNumber="1" minValue="0" maxValue="90410.916666666672"/>
    </cacheField>
    <cacheField name="Old-Total HS SCH" numFmtId="0">
      <sharedItems containsString="0" containsBlank="1" containsNumber="1" minValue="0" maxValue="918047"/>
    </cacheField>
    <cacheField name="New-Total HS SCH" numFmtId="0">
      <sharedItems containsString="0" containsBlank="1" containsNumber="1" minValue="0" maxValue="918214"/>
    </cacheField>
    <cacheField name="Old-Total Undg SCH2" numFmtId="38">
      <sharedItems containsSemiMixedTypes="0" containsString="0" containsNumber="1" minValue="0" maxValue="2813976"/>
    </cacheField>
    <cacheField name="New-Total Undg SCH2" numFmtId="38">
      <sharedItems containsSemiMixedTypes="0" containsString="0" containsNumber="1" minValue="0" maxValue="2712327.5"/>
    </cacheField>
    <cacheField name="old-Winter Undg CH" numFmtId="0">
      <sharedItems containsString="0" containsBlank="1" containsNumber="1" containsInteger="1" minValue="0" maxValue="594370"/>
    </cacheField>
    <cacheField name="new-Winter Undg CH" numFmtId="0">
      <sharedItems containsString="0" containsBlank="1" containsNumber="1" containsInteger="1" minValue="0" maxValue="279705"/>
    </cacheField>
    <cacheField name="old-Spring Undg CH" numFmtId="0">
      <sharedItems containsString="0" containsBlank="1" containsNumber="1" containsInteger="1" minValue="0" maxValue="890680"/>
    </cacheField>
    <cacheField name="new-Spring Undg CH" numFmtId="0">
      <sharedItems containsString="0" containsBlank="1" containsNumber="1" containsInteger="1" minValue="0" maxValue="707791"/>
    </cacheField>
    <cacheField name="old-Summer Undg CH" numFmtId="0">
      <sharedItems containsString="0" containsBlank="1" containsNumber="1" containsInteger="1" minValue="0" maxValue="439923"/>
    </cacheField>
    <cacheField name="new-Summer Undg CH" numFmtId="0">
      <sharedItems containsString="0" containsBlank="1" containsNumber="1" containsInteger="1" minValue="0" maxValue="499682"/>
    </cacheField>
    <cacheField name="old-Fall Undg CH" numFmtId="0">
      <sharedItems containsString="0" containsBlank="1" containsNumber="1" minValue="0" maxValue="1970282.5"/>
    </cacheField>
    <cacheField name="new-Fall Undg CH" numFmtId="0">
      <sharedItems containsString="0" containsBlank="1" containsNumber="1" containsInteger="1" minValue="0" maxValue="938231"/>
    </cacheField>
    <cacheField name="Old-Total Undg CH" numFmtId="38">
      <sharedItems containsSemiMixedTypes="0" containsString="0" containsNumber="1" minValue="0" maxValue="1970282.5"/>
    </cacheField>
    <cacheField name="Old-Total Undg CH FTE" numFmtId="38">
      <sharedItems containsSemiMixedTypes="0" containsString="0" containsNumber="1" minValue="0" maxValue="2189.2027777777776"/>
    </cacheField>
    <cacheField name="New-Total Undg CH" numFmtId="38">
      <sharedItems containsSemiMixedTypes="0" containsString="0" containsNumber="1" containsInteger="1" minValue="0" maxValue="2133200"/>
    </cacheField>
    <cacheField name="New-Total Undg CH FTE" numFmtId="38">
      <sharedItems containsSemiMixedTypes="0" containsString="0" containsNumber="1" minValue="0" maxValue="2370.2222222222222"/>
    </cacheField>
    <cacheField name="Old-Total HS CH" numFmtId="0">
      <sharedItems containsString="0" containsBlank="1" containsNumber="1" containsInteger="1" minValue="0" maxValue="66660"/>
    </cacheField>
    <cacheField name="New-Total HS CH" numFmtId="0">
      <sharedItems containsString="0" containsBlank="1" containsNumber="1" containsInteger="1" minValue="0" maxValue="61310"/>
    </cacheField>
    <cacheField name="Old-Total Undg CH2" numFmtId="38">
      <sharedItems containsSemiMixedTypes="0" containsString="0" containsNumber="1" containsInteger="1" minValue="0" maxValue="1786163"/>
    </cacheField>
    <cacheField name="New-Total Undg CH2" numFmtId="38">
      <sharedItems containsSemiMixedTypes="0" containsString="0" containsNumber="1" containsInteger="1" minValue="0" maxValue="1479806"/>
    </cacheField>
    <cacheField name="New-Total HSH" numFmtId="0" formula="'New-Total HS SCH'+'New-Total HS CH'" databaseField="0"/>
    <cacheField name="New-Total UGH" numFmtId="0" formula="'New-Total Undg SCH2'+'New-Total Undg CH2'" databaseField="0"/>
    <cacheField name="New-HS % of Total" numFmtId="0" formula="IF('New-Total UGH'&gt;0,('New-Total HSH'/'New-Total UGH'))" databaseField="0"/>
    <cacheField name="Old-HS % of Total" numFmtId="0" formula="IF('Old-Total UGH'&gt;0,('Old-Total HSH'/'Old-Total UGH'),)" databaseField="0"/>
    <cacheField name="Category2" numFmtId="0" databaseField="0">
      <fieldGroup base="4">
        <discretePr count="20">
          <x v="2"/>
          <x v="2"/>
          <x v="2"/>
          <x v="2"/>
          <x v="2"/>
          <x v="3"/>
          <x v="3"/>
          <x v="3"/>
          <x v="4"/>
          <x v="4"/>
          <x v="0"/>
          <x v="2"/>
          <x v="3"/>
          <x v="9"/>
          <x v="1"/>
          <x v="6"/>
          <x v="7"/>
          <x v="8"/>
          <x v="4"/>
          <x v="5"/>
        </discretePr>
        <groupItems count="10">
          <n v="15"/>
          <n v="11"/>
          <s v="Group1"/>
          <s v="Group2"/>
          <s v="Group3"/>
          <n v="99"/>
          <s v="08b"/>
          <s v="09b"/>
          <s v="10b"/>
          <m/>
        </groupItems>
      </fieldGroup>
    </cacheField>
    <cacheField name="Old-Total UGH" numFmtId="0" formula="'Old-Total Undg SCH2'+'Old-Total Undg CH2'" databaseField="0"/>
    <cacheField name="Old-Total HSH" numFmtId="0" formula="'Old-Total HS SCH'+'Old-Total HS CH'" databaseField="0"/>
    <cacheField name="HS % Change" numFmtId="0" formula="'New-HS % of Total'-'Old-HS % of Total'"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Aycock" refreshedDate="45217.711339583337" createdVersion="8" refreshedVersion="8" minRefreshableVersion="3" recordCount="638" xr:uid="{E5610C75-E273-41A3-B7ED-059EED7D05B9}">
  <cacheSource type="worksheet">
    <worksheetSource ref="A6:BA644" sheet="04SCH_FTE"/>
  </cacheSource>
  <cacheFields count="58">
    <cacheField name="State" numFmtId="0">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Blank="1" containsMixedTypes="1" containsNumber="1" containsInteger="1" minValue="1" maxValue="99" count="19">
        <n v="1"/>
        <n v="2"/>
        <n v="3"/>
        <n v="4"/>
        <n v="5"/>
        <n v="8"/>
        <n v="9"/>
        <n v="10"/>
        <n v="12"/>
        <n v="13"/>
        <n v="15"/>
        <n v="6"/>
        <n v="7"/>
        <m/>
        <n v="11"/>
        <s v="08b"/>
        <s v="09b"/>
        <s v="10b"/>
        <n v="99" u="1"/>
      </sharedItems>
      <fieldGroup par="54"/>
    </cacheField>
    <cacheField name="Old-Term Code" numFmtId="0">
      <sharedItems containsBlank="1"/>
    </cacheField>
    <cacheField name="New-Term Code" numFmtId="0">
      <sharedItems containsBlank="1"/>
    </cacheField>
    <cacheField name="old-Winter Undg SCH" numFmtId="0">
      <sharedItems containsString="0" containsBlank="1" containsNumber="1" minValue="0" maxValue="612679"/>
    </cacheField>
    <cacheField name="new-Winter Undg SCH" numFmtId="0">
      <sharedItems containsString="0" containsBlank="1" containsNumber="1" containsInteger="1" minValue="0" maxValue="550601"/>
    </cacheField>
    <cacheField name="old-Spring Undg SCH" numFmtId="0">
      <sharedItems containsString="0" containsBlank="1" containsNumber="1" minValue="0" maxValue="1187696"/>
    </cacheField>
    <cacheField name="new-Spring Undg SCH" numFmtId="0">
      <sharedItems containsString="0" containsBlank="1" containsNumber="1" minValue="0" maxValue="1117060.5"/>
    </cacheField>
    <cacheField name="old-Summer Undg SCH" numFmtId="0">
      <sharedItems containsString="0" containsBlank="1" containsNumber="1" minValue="0" maxValue="353284"/>
    </cacheField>
    <cacheField name="new-Summer Undg SCH" numFmtId="0">
      <sharedItems containsString="0" containsBlank="1" containsNumber="1" minValue="0" maxValue="399344"/>
    </cacheField>
    <cacheField name="old-Fall Undg SCH" numFmtId="0">
      <sharedItems containsString="0" containsBlank="1" containsNumber="1" minValue="0" maxValue="1272996"/>
    </cacheField>
    <cacheField name="new-Fall Undg SCH" numFmtId="0">
      <sharedItems containsString="0" containsBlank="1" containsNumber="1" minValue="0" maxValue="1195923"/>
    </cacheField>
    <cacheField name="Old-Total Undg SCH" numFmtId="38">
      <sharedItems containsSemiMixedTypes="0" containsString="0" containsNumber="1" minValue="0" maxValue="2813976"/>
    </cacheField>
    <cacheField name="Old-Total Undg SCH FTE" numFmtId="38">
      <sharedItems containsSemiMixedTypes="0" containsString="0" containsNumber="1" minValue="0" maxValue="93799.2"/>
    </cacheField>
    <cacheField name="New-Total Undg SCH" numFmtId="38">
      <sharedItems containsSemiMixedTypes="0" containsString="0" containsNumber="1" minValue="0" maxValue="2712327.5"/>
    </cacheField>
    <cacheField name="New-Total Undg SCH FTE" numFmtId="38">
      <sharedItems containsSemiMixedTypes="0" containsString="0" containsNumber="1" minValue="0" maxValue="90410.916666666672"/>
    </cacheField>
    <cacheField name="Old-Total HS SCH" numFmtId="0">
      <sharedItems containsString="0" containsBlank="1" containsNumber="1" minValue="0" maxValue="918047"/>
    </cacheField>
    <cacheField name="New-Total HS SCH" numFmtId="0">
      <sharedItems containsString="0" containsBlank="1" containsNumber="1" minValue="0" maxValue="918214"/>
    </cacheField>
    <cacheField name="Old-Total Undg SCH2" numFmtId="38">
      <sharedItems containsSemiMixedTypes="0" containsString="0" containsNumber="1" minValue="0" maxValue="2813976"/>
    </cacheField>
    <cacheField name="New-Total Undg SCH2" numFmtId="38">
      <sharedItems containsSemiMixedTypes="0" containsString="0" containsNumber="1" minValue="0" maxValue="2712327.5"/>
    </cacheField>
    <cacheField name="old-Winter Undg CH" numFmtId="0">
      <sharedItems containsString="0" containsBlank="1" containsNumber="1" containsInteger="1" minValue="0" maxValue="594370"/>
    </cacheField>
    <cacheField name="new-Winter Undg CH" numFmtId="0">
      <sharedItems containsString="0" containsBlank="1" containsNumber="1" containsInteger="1" minValue="0" maxValue="279705"/>
    </cacheField>
    <cacheField name="old-Spring Undg CH" numFmtId="0">
      <sharedItems containsString="0" containsBlank="1" containsNumber="1" containsInteger="1" minValue="0" maxValue="890680"/>
    </cacheField>
    <cacheField name="new-Spring Undg CH" numFmtId="0">
      <sharedItems containsString="0" containsBlank="1" containsNumber="1" containsInteger="1" minValue="0" maxValue="707791"/>
    </cacheField>
    <cacheField name="old-Summer Undg CH" numFmtId="0">
      <sharedItems containsString="0" containsBlank="1" containsNumber="1" containsInteger="1" minValue="0" maxValue="439923"/>
    </cacheField>
    <cacheField name="new-Summer Undg CH" numFmtId="0">
      <sharedItems containsString="0" containsBlank="1" containsNumber="1" containsInteger="1" minValue="0" maxValue="499682"/>
    </cacheField>
    <cacheField name="old-Fall Undg CH" numFmtId="0">
      <sharedItems containsString="0" containsBlank="1" containsNumber="1" minValue="0" maxValue="1970282.5"/>
    </cacheField>
    <cacheField name="new-Fall Undg CH" numFmtId="0">
      <sharedItems containsString="0" containsBlank="1" containsNumber="1" containsInteger="1" minValue="0" maxValue="938231"/>
    </cacheField>
    <cacheField name="Old-Total Undg CH" numFmtId="38">
      <sharedItems containsSemiMixedTypes="0" containsString="0" containsNumber="1" minValue="0" maxValue="1970282.5"/>
    </cacheField>
    <cacheField name="Old-Total Undg CH FTE" numFmtId="38">
      <sharedItems containsSemiMixedTypes="0" containsString="0" containsNumber="1" minValue="0" maxValue="2189.2027777777776"/>
    </cacheField>
    <cacheField name="New-Total Undg CH" numFmtId="38">
      <sharedItems containsSemiMixedTypes="0" containsString="0" containsNumber="1" containsInteger="1" minValue="0" maxValue="2133200"/>
    </cacheField>
    <cacheField name="New-Total Undg CH FTE" numFmtId="38">
      <sharedItems containsSemiMixedTypes="0" containsString="0" containsNumber="1" minValue="0" maxValue="2370.2222222222222"/>
    </cacheField>
    <cacheField name="Old-Total HS CH" numFmtId="0">
      <sharedItems containsString="0" containsBlank="1" containsNumber="1" containsInteger="1" minValue="0" maxValue="66660"/>
    </cacheField>
    <cacheField name="New-Total HS CH" numFmtId="0">
      <sharedItems containsString="0" containsBlank="1" containsNumber="1" containsInteger="1" minValue="0" maxValue="61310"/>
    </cacheField>
    <cacheField name="Old-Total Undg CH2" numFmtId="38">
      <sharedItems containsSemiMixedTypes="0" containsString="0" containsNumber="1" containsInteger="1" minValue="0" maxValue="1786163"/>
    </cacheField>
    <cacheField name="New-Total Undg CH2" numFmtId="38">
      <sharedItems containsSemiMixedTypes="0" containsString="0" containsNumber="1" containsInteger="1" minValue="0" maxValue="1479806"/>
    </cacheField>
    <cacheField name="old-Winter Grad SCH" numFmtId="0">
      <sharedItems containsString="0" containsBlank="1" containsNumber="1" containsInteger="1" minValue="0" maxValue="5933"/>
    </cacheField>
    <cacheField name="new-Winter Grad SCH" numFmtId="0">
      <sharedItems containsString="0" containsBlank="1" containsNumber="1" containsInteger="1" minValue="0" maxValue="5957"/>
    </cacheField>
    <cacheField name="old-Spring Grad SCH" numFmtId="0">
      <sharedItems containsString="0" containsBlank="1" containsNumber="1" minValue="0" maxValue="154035.5"/>
    </cacheField>
    <cacheField name="new-Spring Grad SCH" numFmtId="0">
      <sharedItems containsString="0" containsBlank="1" containsNumber="1" minValue="0" maxValue="168966"/>
    </cacheField>
    <cacheField name="old-Summer Grad SCH" numFmtId="0">
      <sharedItems containsString="0" containsBlank="1" containsNumber="1" minValue="0" maxValue="78380.5"/>
    </cacheField>
    <cacheField name="new-Summer Grad SCH" numFmtId="0">
      <sharedItems containsString="0" containsBlank="1" containsNumber="1" minValue="0" maxValue="84279"/>
    </cacheField>
    <cacheField name="old-Fall Grad SCH" numFmtId="0">
      <sharedItems containsString="0" containsBlank="1" containsNumber="1" minValue="0" maxValue="170322.5"/>
    </cacheField>
    <cacheField name="new-Fall Grad SCH" numFmtId="0">
      <sharedItems containsString="0" containsBlank="1" containsNumber="1" minValue="0" maxValue="188470"/>
    </cacheField>
    <cacheField name="Old-Total Grad SCH" numFmtId="38">
      <sharedItems containsSemiMixedTypes="0" containsString="0" containsNumber="1" minValue="0" maxValue="402738.5"/>
    </cacheField>
    <cacheField name="Old-Total Grad FTE" numFmtId="38">
      <sharedItems containsSemiMixedTypes="0" containsString="0" containsNumber="1" minValue="0" maxValue="16780.770833333332"/>
    </cacheField>
    <cacheField name="New-Total Grad SCH" numFmtId="38">
      <sharedItems containsSemiMixedTypes="0" containsString="0" containsNumber="1" minValue="0" maxValue="441715"/>
    </cacheField>
    <cacheField name="New-Total Grad FTE" numFmtId="38">
      <sharedItems containsSemiMixedTypes="0" containsString="0" containsNumber="1" minValue="0" maxValue="18404.791666666668"/>
    </cacheField>
    <cacheField name="Old Grand Total FTE" numFmtId="38">
      <sharedItems containsSemiMixedTypes="0" containsString="0" containsNumber="1" minValue="0" maxValue="93799.2"/>
    </cacheField>
    <cacheField name="New Grand Total FTE" numFmtId="38">
      <sharedItems containsSemiMixedTypes="0" containsString="0" containsNumber="1" minValue="0" maxValue="90410.916666666672"/>
    </cacheField>
    <cacheField name="% Change Grand Total FTE" numFmtId="0" formula="IF('Old Grand Total FTE'&gt;0, ((('New Grand Total FTE'-'Old Grand Total FTE')/'Old Grand Total FTE')))" databaseField="0"/>
    <cacheField name="Category2" numFmtId="0" databaseField="0">
      <fieldGroup base="4">
        <discretePr count="19">
          <x v="5"/>
          <x v="5"/>
          <x v="5"/>
          <x v="5"/>
          <x v="5"/>
          <x v="6"/>
          <x v="6"/>
          <x v="6"/>
          <x v="7"/>
          <x v="7"/>
          <x v="9"/>
          <x v="5"/>
          <x v="6"/>
          <x v="8"/>
          <x v="0"/>
          <x v="2"/>
          <x v="3"/>
          <x v="4"/>
          <x v="1"/>
        </discretePr>
        <groupItems count="10">
          <n v="11"/>
          <n v="99"/>
          <s v="08b"/>
          <s v="09b"/>
          <s v="10b"/>
          <s v="Group1"/>
          <s v="Group2"/>
          <s v="Group3"/>
          <m/>
          <n v="15"/>
        </groupItems>
      </fieldGroup>
    </cacheField>
    <cacheField name="% Change Graduate FTE" numFmtId="0" formula="IF('Old-Total Grad FTE'&gt;0, ((('New-Total Grad FTE'-'Old-Total Grad FTE')/'Old-Total Grad FTE')))" databaseField="0"/>
    <cacheField name="% Change Undergrad CH FTE" numFmtId="0" formula="IF('Old-Total Undg CH FTE'&gt;0,((('New-Total Undg CH FTE'-'Old-Total Undg CH FTE')/'Old-Total Undg CH FTE')))" databaseField="0"/>
    <cacheField name="% Change Undergrad SCH FTE" numFmtId="0" formula="IF('Old-Total Undg SCH FTE'&gt;0,((('New-Total Undg SCH FTE'-'Old-Total Undg SCH FTE')/'Old-Total Undg SCH FTE')))"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8">
  <r>
    <x v="0"/>
    <s v="Auburn University"/>
    <m/>
    <n v="100858"/>
    <x v="0"/>
    <m/>
    <m/>
    <m/>
    <m/>
    <n v="325844"/>
    <n v="318769"/>
    <n v="65889"/>
    <n v="60588"/>
    <n v="347470"/>
    <n v="349218"/>
    <n v="739203"/>
    <n v="24640.1"/>
    <n v="728575"/>
    <n v="24285.833333333332"/>
    <n v="2390"/>
    <n v="3628"/>
    <n v="739203"/>
    <n v="728575"/>
    <m/>
    <m/>
    <m/>
    <m/>
    <m/>
    <m/>
    <m/>
    <m/>
    <n v="0"/>
    <n v="0"/>
    <n v="0"/>
    <n v="0"/>
    <m/>
    <m/>
    <n v="0"/>
    <n v="0"/>
  </r>
  <r>
    <x v="0"/>
    <s v="University of Alabama "/>
    <m/>
    <n v="100751"/>
    <x v="0"/>
    <m/>
    <m/>
    <m/>
    <m/>
    <n v="403673"/>
    <n v="381177"/>
    <n v="64637"/>
    <n v="50387"/>
    <n v="420300"/>
    <n v="420568"/>
    <n v="888610"/>
    <n v="29620.333333333332"/>
    <n v="852132"/>
    <n v="28404.400000000001"/>
    <n v="10710"/>
    <n v="9851"/>
    <n v="888610"/>
    <n v="852132"/>
    <m/>
    <m/>
    <m/>
    <m/>
    <m/>
    <m/>
    <m/>
    <m/>
    <n v="0"/>
    <n v="0"/>
    <n v="0"/>
    <n v="0"/>
    <m/>
    <m/>
    <n v="0"/>
    <n v="0"/>
  </r>
  <r>
    <x v="0"/>
    <s v="University of Alabama at Birmingham"/>
    <m/>
    <n v="100663"/>
    <x v="0"/>
    <m/>
    <m/>
    <m/>
    <m/>
    <n v="135897"/>
    <n v="134867"/>
    <n v="35410"/>
    <n v="32044"/>
    <n v="150286"/>
    <n v="146823"/>
    <n v="321593"/>
    <n v="10719.766666666666"/>
    <n v="313734"/>
    <n v="10457.799999999999"/>
    <n v="860"/>
    <n v="455"/>
    <n v="321593"/>
    <n v="313734"/>
    <m/>
    <m/>
    <n v="9060"/>
    <n v="8991"/>
    <n v="2361"/>
    <n v="2136"/>
    <n v="10019"/>
    <n v="9788"/>
    <n v="21440"/>
    <n v="23.822222222222223"/>
    <n v="20915"/>
    <n v="23.238888888888887"/>
    <n v="57"/>
    <n v="30"/>
    <n v="21440"/>
    <n v="20915"/>
  </r>
  <r>
    <x v="0"/>
    <s v="University of Alabama in Huntsville"/>
    <m/>
    <n v="100706"/>
    <x v="1"/>
    <m/>
    <m/>
    <m/>
    <m/>
    <n v="97398"/>
    <n v="97087"/>
    <n v="15771"/>
    <n v="15809"/>
    <n v="107385"/>
    <n v="99129"/>
    <n v="220554"/>
    <n v="7351.8"/>
    <n v="212025"/>
    <n v="7067.5"/>
    <n v="1580"/>
    <n v="1615"/>
    <n v="220554"/>
    <n v="212025"/>
    <m/>
    <m/>
    <m/>
    <m/>
    <m/>
    <m/>
    <m/>
    <m/>
    <n v="0"/>
    <n v="0"/>
    <n v="0"/>
    <n v="0"/>
    <m/>
    <m/>
    <n v="0"/>
    <n v="0"/>
  </r>
  <r>
    <x v="0"/>
    <s v="University of South Alabama"/>
    <m/>
    <n v="102094"/>
    <x v="1"/>
    <m/>
    <m/>
    <m/>
    <m/>
    <n v="102831"/>
    <n v="96119"/>
    <n v="20267"/>
    <n v="17207"/>
    <n v="108083"/>
    <n v="103621"/>
    <n v="231181"/>
    <n v="7706.0333333333338"/>
    <n v="216947"/>
    <n v="7231.5666666666666"/>
    <n v="192"/>
    <n v="895"/>
    <n v="231181"/>
    <n v="216947"/>
    <m/>
    <m/>
    <m/>
    <m/>
    <m/>
    <m/>
    <m/>
    <m/>
    <n v="0"/>
    <n v="0"/>
    <n v="0"/>
    <n v="0"/>
    <m/>
    <m/>
    <n v="0"/>
    <n v="0"/>
  </r>
  <r>
    <x v="0"/>
    <s v="Alabama Agricultural &amp; Mechanical University"/>
    <m/>
    <n v="100654"/>
    <x v="2"/>
    <m/>
    <m/>
    <m/>
    <m/>
    <n v="70410"/>
    <n v="57075"/>
    <n v="9207"/>
    <n v="11413"/>
    <n v="70545"/>
    <n v="64828"/>
    <n v="150162"/>
    <n v="5005.3999999999996"/>
    <n v="133316"/>
    <n v="4443.8666666666668"/>
    <n v="0"/>
    <n v="0"/>
    <n v="150162"/>
    <n v="133316"/>
    <m/>
    <m/>
    <m/>
    <m/>
    <m/>
    <m/>
    <m/>
    <m/>
    <n v="0"/>
    <n v="0"/>
    <n v="0"/>
    <n v="0"/>
    <m/>
    <m/>
    <n v="0"/>
    <n v="0"/>
  </r>
  <r>
    <x v="0"/>
    <s v="Jacksonville State University "/>
    <m/>
    <n v="101480"/>
    <x v="2"/>
    <m/>
    <m/>
    <m/>
    <m/>
    <n v="86049"/>
    <n v="85253"/>
    <n v="23153"/>
    <n v="22046"/>
    <n v="96075"/>
    <n v="98426"/>
    <n v="205277"/>
    <n v="6842.5666666666666"/>
    <n v="205725"/>
    <n v="6857.5"/>
    <n v="5773"/>
    <n v="6163"/>
    <n v="205277"/>
    <n v="205725"/>
    <m/>
    <m/>
    <m/>
    <m/>
    <m/>
    <m/>
    <m/>
    <m/>
    <n v="0"/>
    <n v="0"/>
    <n v="0"/>
    <n v="0"/>
    <m/>
    <m/>
    <n v="0"/>
    <n v="0"/>
  </r>
  <r>
    <x v="0"/>
    <s v="Troy University"/>
    <m/>
    <n v="102368"/>
    <x v="2"/>
    <m/>
    <m/>
    <m/>
    <m/>
    <n v="137450"/>
    <n v="126458"/>
    <n v="34074"/>
    <n v="28925"/>
    <n v="142473"/>
    <n v="128674"/>
    <n v="313997"/>
    <n v="10466.566666666668"/>
    <n v="284057"/>
    <n v="9468.5666666666675"/>
    <n v="3165"/>
    <n v="2913"/>
    <n v="313997"/>
    <n v="284057"/>
    <m/>
    <m/>
    <m/>
    <m/>
    <m/>
    <m/>
    <m/>
    <m/>
    <n v="0"/>
    <n v="0"/>
    <n v="0"/>
    <n v="0"/>
    <m/>
    <m/>
    <n v="0"/>
    <n v="0"/>
  </r>
  <r>
    <x v="0"/>
    <s v="University of North Alabama"/>
    <m/>
    <n v="101879"/>
    <x v="2"/>
    <m/>
    <m/>
    <m/>
    <m/>
    <n v="71063"/>
    <n v="67781"/>
    <n v="15048"/>
    <n v="13661"/>
    <n v="74693"/>
    <n v="73050"/>
    <n v="160804"/>
    <n v="5360.1333333333332"/>
    <n v="154492"/>
    <n v="5149.7333333333336"/>
    <n v="3173"/>
    <n v="4482"/>
    <n v="160804"/>
    <n v="154492"/>
    <m/>
    <m/>
    <m/>
    <m/>
    <m/>
    <m/>
    <m/>
    <m/>
    <n v="0"/>
    <n v="0"/>
    <n v="0"/>
    <n v="0"/>
    <m/>
    <m/>
    <n v="0"/>
    <n v="0"/>
  </r>
  <r>
    <x v="0"/>
    <s v="Alabama State University "/>
    <m/>
    <n v="100724"/>
    <x v="3"/>
    <m/>
    <m/>
    <m/>
    <m/>
    <n v="48938"/>
    <n v="45491"/>
    <n v="6893"/>
    <n v="6824"/>
    <n v="53655"/>
    <n v="40042"/>
    <n v="109486"/>
    <n v="3649.5333333333333"/>
    <n v="92357"/>
    <n v="3078.5666666666666"/>
    <n v="42"/>
    <n v="51"/>
    <n v="109486"/>
    <n v="92357"/>
    <m/>
    <m/>
    <m/>
    <m/>
    <m/>
    <m/>
    <m/>
    <m/>
    <n v="0"/>
    <n v="0"/>
    <n v="0"/>
    <n v="0"/>
    <m/>
    <m/>
    <n v="0"/>
    <n v="0"/>
  </r>
  <r>
    <x v="0"/>
    <s v="Auburn University at Montgomery"/>
    <m/>
    <n v="100830"/>
    <x v="2"/>
    <m/>
    <m/>
    <m/>
    <m/>
    <n v="48898"/>
    <n v="44576"/>
    <n v="13471"/>
    <n v="11470"/>
    <n v="52421"/>
    <n v="47722"/>
    <n v="114790"/>
    <n v="3826.3333333333335"/>
    <n v="103768"/>
    <n v="3458.9333333333334"/>
    <n v="481"/>
    <n v="656"/>
    <n v="114790"/>
    <n v="103768"/>
    <m/>
    <m/>
    <m/>
    <m/>
    <m/>
    <m/>
    <m/>
    <m/>
    <n v="0"/>
    <n v="0"/>
    <n v="0"/>
    <n v="0"/>
    <m/>
    <m/>
    <n v="0"/>
    <n v="0"/>
  </r>
  <r>
    <x v="0"/>
    <s v="University of Montevallo"/>
    <m/>
    <n v="101709"/>
    <x v="4"/>
    <m/>
    <m/>
    <m/>
    <m/>
    <n v="27689"/>
    <n v="27358"/>
    <n v="4145"/>
    <n v="4032"/>
    <n v="30424"/>
    <n v="29795"/>
    <n v="62258"/>
    <n v="2075.2666666666669"/>
    <n v="61185"/>
    <n v="2039.5"/>
    <n v="227"/>
    <n v="170"/>
    <n v="62258"/>
    <n v="61185"/>
    <m/>
    <m/>
    <m/>
    <m/>
    <m/>
    <m/>
    <m/>
    <m/>
    <n v="0"/>
    <n v="0"/>
    <n v="0"/>
    <n v="0"/>
    <m/>
    <m/>
    <n v="0"/>
    <n v="0"/>
  </r>
  <r>
    <x v="0"/>
    <s v="University of West Alabama"/>
    <m/>
    <n v="101587"/>
    <x v="3"/>
    <m/>
    <m/>
    <m/>
    <m/>
    <n v="27483"/>
    <n v="26633"/>
    <n v="7822"/>
    <n v="8770"/>
    <n v="28659"/>
    <n v="28282"/>
    <n v="63964"/>
    <n v="2132.1333333333332"/>
    <n v="63685"/>
    <n v="2122.8333333333335"/>
    <n v="210"/>
    <n v="349"/>
    <n v="63964"/>
    <n v="63685"/>
    <m/>
    <m/>
    <m/>
    <m/>
    <m/>
    <m/>
    <m/>
    <m/>
    <n v="0"/>
    <n v="0"/>
    <n v="0"/>
    <n v="0"/>
    <m/>
    <m/>
    <n v="0"/>
    <n v="0"/>
  </r>
  <r>
    <x v="0"/>
    <s v="Athens State University"/>
    <s v="Reclassified: Met the criteria for Four-Year 5 in 2019-20 and 2020-21, and 2021-22"/>
    <n v="100812"/>
    <x v="4"/>
    <m/>
    <m/>
    <m/>
    <m/>
    <n v="25274"/>
    <n v="24495"/>
    <n v="13215"/>
    <n v="12227"/>
    <n v="26560"/>
    <n v="24894"/>
    <n v="65049"/>
    <n v="2168.3000000000002"/>
    <n v="61616"/>
    <n v="2053.8666666666668"/>
    <n v="0"/>
    <n v="0"/>
    <n v="65049"/>
    <n v="61616"/>
    <m/>
    <m/>
    <m/>
    <m/>
    <m/>
    <m/>
    <m/>
    <m/>
    <n v="0"/>
    <n v="0"/>
    <n v="0"/>
    <n v="0"/>
    <m/>
    <m/>
    <n v="0"/>
    <n v="0"/>
  </r>
  <r>
    <x v="0"/>
    <s v="Jefferson State Community College"/>
    <m/>
    <n v="101505"/>
    <x v="5"/>
    <m/>
    <m/>
    <m/>
    <m/>
    <n v="61389"/>
    <n v="61097"/>
    <n v="31490"/>
    <n v="31205"/>
    <n v="68416"/>
    <n v="66323"/>
    <n v="161295"/>
    <n v="5376.5"/>
    <n v="158625"/>
    <n v="5287.5"/>
    <n v="15806"/>
    <n v="16863"/>
    <n v="161295"/>
    <n v="158625"/>
    <m/>
    <m/>
    <m/>
    <m/>
    <m/>
    <m/>
    <m/>
    <m/>
    <n v="0"/>
    <n v="0"/>
    <n v="0"/>
    <n v="0"/>
    <m/>
    <m/>
    <n v="0"/>
    <n v="0"/>
  </r>
  <r>
    <x v="0"/>
    <s v="John C. Calhoun Community College "/>
    <m/>
    <n v="101514"/>
    <x v="5"/>
    <m/>
    <m/>
    <m/>
    <m/>
    <n v="74336"/>
    <n v="66331"/>
    <n v="32281"/>
    <n v="30531"/>
    <n v="70317"/>
    <n v="71340"/>
    <n v="176934"/>
    <n v="5897.8"/>
    <n v="168202"/>
    <n v="5606.7333333333336"/>
    <n v="13453"/>
    <n v="15623"/>
    <n v="176934"/>
    <n v="168202"/>
    <m/>
    <m/>
    <m/>
    <m/>
    <m/>
    <m/>
    <m/>
    <m/>
    <n v="0"/>
    <n v="0"/>
    <n v="0"/>
    <n v="0"/>
    <m/>
    <m/>
    <n v="0"/>
    <n v="0"/>
  </r>
  <r>
    <x v="0"/>
    <s v="Bevill State Community College"/>
    <s v="Met the criteria for Two-Year 3 in 2020-21, and 2021-22"/>
    <n v="102429"/>
    <x v="6"/>
    <m/>
    <m/>
    <m/>
    <m/>
    <n v="29956"/>
    <n v="24338"/>
    <n v="13763"/>
    <n v="13335"/>
    <n v="27028"/>
    <n v="28020"/>
    <n v="70747"/>
    <n v="2358.2333333333331"/>
    <n v="65693"/>
    <n v="2189.7666666666669"/>
    <n v="10490"/>
    <n v="10023"/>
    <n v="70747"/>
    <n v="65693"/>
    <m/>
    <m/>
    <m/>
    <m/>
    <m/>
    <m/>
    <m/>
    <m/>
    <n v="0"/>
    <n v="0"/>
    <n v="0"/>
    <n v="0"/>
    <m/>
    <m/>
    <n v="0"/>
    <n v="0"/>
  </r>
  <r>
    <x v="0"/>
    <s v="Bishop State Community College"/>
    <s v="Met the criteria for Two-Year 3 in 2020-21 and 2021,22"/>
    <n v="102030"/>
    <x v="6"/>
    <m/>
    <m/>
    <m/>
    <m/>
    <n v="25972"/>
    <n v="19259"/>
    <n v="10290"/>
    <n v="8334"/>
    <n v="18700"/>
    <n v="22005"/>
    <n v="54962"/>
    <n v="1832.0666666666666"/>
    <n v="49598"/>
    <n v="1653.2666666666667"/>
    <n v="4101"/>
    <n v="4021"/>
    <n v="54962"/>
    <n v="49598"/>
    <m/>
    <m/>
    <m/>
    <m/>
    <m/>
    <m/>
    <m/>
    <m/>
    <n v="0"/>
    <n v="0"/>
    <n v="0"/>
    <n v="0"/>
    <m/>
    <m/>
    <n v="0"/>
    <n v="0"/>
  </r>
  <r>
    <x v="0"/>
    <s v="Coastal Alabama Community College"/>
    <s v="Met the criteria for Two-Year 2 in 2021-22"/>
    <n v="101161"/>
    <x v="5"/>
    <m/>
    <m/>
    <m/>
    <m/>
    <n v="65377"/>
    <n v="56555"/>
    <n v="27248"/>
    <n v="25290"/>
    <n v="63082"/>
    <n v="66208"/>
    <n v="155707"/>
    <n v="5190.2333333333336"/>
    <n v="148053"/>
    <n v="4935.1000000000004"/>
    <n v="16860"/>
    <n v="14617"/>
    <n v="155707"/>
    <n v="148053"/>
    <m/>
    <m/>
    <m/>
    <m/>
    <m/>
    <m/>
    <m/>
    <m/>
    <n v="0"/>
    <n v="0"/>
    <n v="0"/>
    <n v="0"/>
    <m/>
    <m/>
    <n v="0"/>
    <n v="0"/>
  </r>
  <r>
    <x v="0"/>
    <s v="Gadsden State Community College"/>
    <m/>
    <n v="101240"/>
    <x v="6"/>
    <m/>
    <m/>
    <m/>
    <m/>
    <n v="39353"/>
    <n v="34962"/>
    <n v="18276"/>
    <n v="19692"/>
    <n v="39506"/>
    <n v="41096"/>
    <n v="97135"/>
    <n v="3237.8333333333335"/>
    <n v="95750"/>
    <n v="3191.6666666666665"/>
    <n v="4934"/>
    <n v="5966"/>
    <n v="97135"/>
    <n v="95750"/>
    <m/>
    <m/>
    <m/>
    <m/>
    <m/>
    <m/>
    <m/>
    <m/>
    <n v="0"/>
    <n v="0"/>
    <n v="0"/>
    <n v="0"/>
    <m/>
    <m/>
    <n v="0"/>
    <n v="0"/>
  </r>
  <r>
    <x v="0"/>
    <s v="George C. Wallace Community College-Dothan"/>
    <m/>
    <n v="101286"/>
    <x v="6"/>
    <m/>
    <m/>
    <m/>
    <m/>
    <n v="36713"/>
    <n v="30513"/>
    <n v="17248"/>
    <n v="15413"/>
    <n v="32178"/>
    <n v="33463"/>
    <n v="86139"/>
    <n v="2871.3"/>
    <n v="79389"/>
    <n v="2646.3"/>
    <n v="6515"/>
    <n v="5701"/>
    <n v="86139"/>
    <n v="79389"/>
    <m/>
    <m/>
    <m/>
    <m/>
    <m/>
    <m/>
    <m/>
    <m/>
    <n v="0"/>
    <n v="0"/>
    <n v="0"/>
    <n v="0"/>
    <m/>
    <m/>
    <n v="0"/>
    <n v="0"/>
  </r>
  <r>
    <x v="0"/>
    <s v="George C. Wallace State Community College-Hanceville"/>
    <m/>
    <n v="101295"/>
    <x v="6"/>
    <m/>
    <m/>
    <m/>
    <m/>
    <n v="48052"/>
    <n v="42439"/>
    <n v="21257"/>
    <n v="19366"/>
    <n v="49925"/>
    <n v="51196"/>
    <n v="119234"/>
    <n v="3974.4666666666667"/>
    <n v="113001"/>
    <n v="3766.7"/>
    <n v="8105"/>
    <n v="7901"/>
    <n v="119234"/>
    <n v="113001"/>
    <m/>
    <m/>
    <m/>
    <m/>
    <m/>
    <m/>
    <m/>
    <m/>
    <n v="0"/>
    <n v="0"/>
    <n v="0"/>
    <n v="0"/>
    <m/>
    <m/>
    <n v="0"/>
    <n v="0"/>
  </r>
  <r>
    <x v="0"/>
    <s v="Lawson State Community College "/>
    <m/>
    <n v="101569"/>
    <x v="6"/>
    <m/>
    <m/>
    <m/>
    <m/>
    <n v="29269"/>
    <n v="25334"/>
    <n v="11700"/>
    <n v="11874"/>
    <n v="27548"/>
    <n v="28878"/>
    <n v="68517"/>
    <n v="2283.9"/>
    <n v="66086"/>
    <n v="2202.8666666666668"/>
    <n v="1965"/>
    <n v="2084"/>
    <n v="68517"/>
    <n v="66086"/>
    <m/>
    <m/>
    <m/>
    <m/>
    <m/>
    <m/>
    <m/>
    <m/>
    <n v="0"/>
    <n v="0"/>
    <n v="0"/>
    <n v="0"/>
    <m/>
    <m/>
    <n v="0"/>
    <n v="0"/>
  </r>
  <r>
    <x v="0"/>
    <s v="Northwest-Shoals Community College"/>
    <s v="Met the criteria for Two-Year 3 in 2021-22"/>
    <n v="101736"/>
    <x v="6"/>
    <m/>
    <m/>
    <m/>
    <m/>
    <n v="25281"/>
    <n v="22828"/>
    <n v="9757"/>
    <n v="10206"/>
    <n v="27289"/>
    <n v="25964"/>
    <n v="62327"/>
    <n v="2077.5666666666666"/>
    <n v="58998"/>
    <n v="1966.6"/>
    <n v="8025"/>
    <n v="10424"/>
    <n v="62327"/>
    <n v="58998"/>
    <m/>
    <m/>
    <m/>
    <m/>
    <m/>
    <m/>
    <m/>
    <m/>
    <n v="0"/>
    <n v="0"/>
    <n v="0"/>
    <n v="0"/>
    <m/>
    <m/>
    <n v="0"/>
    <n v="0"/>
  </r>
  <r>
    <x v="0"/>
    <s v="Shelton State Community College"/>
    <m/>
    <n v="102067"/>
    <x v="6"/>
    <m/>
    <m/>
    <m/>
    <m/>
    <n v="37193"/>
    <n v="31567"/>
    <n v="18816"/>
    <n v="17380"/>
    <n v="35893"/>
    <n v="39894"/>
    <n v="91902"/>
    <n v="3063.4"/>
    <n v="88841"/>
    <n v="2961.3666666666668"/>
    <n v="3449"/>
    <n v="4482"/>
    <n v="91902"/>
    <n v="88841"/>
    <m/>
    <m/>
    <m/>
    <m/>
    <m/>
    <m/>
    <m/>
    <m/>
    <n v="0"/>
    <n v="0"/>
    <n v="0"/>
    <n v="0"/>
    <m/>
    <m/>
    <n v="0"/>
    <n v="0"/>
  </r>
  <r>
    <x v="0"/>
    <s v="Southern Union State Community College"/>
    <m/>
    <n v="251260"/>
    <x v="6"/>
    <m/>
    <m/>
    <m/>
    <m/>
    <n v="44046"/>
    <n v="37111"/>
    <n v="18475"/>
    <n v="16274"/>
    <n v="41544"/>
    <n v="42728"/>
    <n v="104065"/>
    <n v="3468.8333333333335"/>
    <n v="96113"/>
    <n v="3203.7666666666669"/>
    <n v="3706"/>
    <n v="3520"/>
    <n v="104065"/>
    <n v="96113"/>
    <m/>
    <m/>
    <m/>
    <m/>
    <m/>
    <m/>
    <m/>
    <m/>
    <n v="0"/>
    <n v="0"/>
    <n v="0"/>
    <n v="0"/>
    <m/>
    <m/>
    <n v="0"/>
    <n v="0"/>
  </r>
  <r>
    <x v="0"/>
    <s v="Central Alabama Community College"/>
    <m/>
    <n v="100760"/>
    <x v="7"/>
    <m/>
    <m/>
    <m/>
    <m/>
    <n v="13211"/>
    <n v="11224"/>
    <n v="5444"/>
    <n v="5203"/>
    <n v="13361"/>
    <n v="12770"/>
    <n v="32016"/>
    <n v="1067.2"/>
    <n v="29197"/>
    <n v="973.23333333333335"/>
    <n v="4544"/>
    <n v="4984"/>
    <n v="32016"/>
    <n v="29197"/>
    <m/>
    <m/>
    <m/>
    <m/>
    <m/>
    <m/>
    <m/>
    <m/>
    <n v="0"/>
    <n v="0"/>
    <n v="0"/>
    <n v="0"/>
    <m/>
    <m/>
    <n v="0"/>
    <n v="0"/>
  </r>
  <r>
    <x v="0"/>
    <s v="Chattahoochee Valley Community College"/>
    <m/>
    <n v="101028"/>
    <x v="7"/>
    <m/>
    <m/>
    <m/>
    <m/>
    <n v="14450"/>
    <n v="11466"/>
    <n v="6811"/>
    <n v="5445"/>
    <n v="13396"/>
    <n v="12562"/>
    <n v="34657"/>
    <n v="1155.2333333333333"/>
    <n v="29473"/>
    <n v="982.43333333333328"/>
    <n v="2055"/>
    <n v="2578"/>
    <n v="34657"/>
    <n v="29473"/>
    <m/>
    <m/>
    <m/>
    <m/>
    <m/>
    <m/>
    <m/>
    <m/>
    <n v="0"/>
    <n v="0"/>
    <n v="0"/>
    <n v="0"/>
    <m/>
    <m/>
    <n v="0"/>
    <n v="0"/>
  </r>
  <r>
    <x v="0"/>
    <s v="Enterprise State Community College"/>
    <m/>
    <n v="101143"/>
    <x v="7"/>
    <m/>
    <m/>
    <m/>
    <m/>
    <n v="17358"/>
    <n v="17261"/>
    <n v="5322"/>
    <n v="7148"/>
    <n v="18355"/>
    <n v="18540"/>
    <n v="41035"/>
    <n v="1367.8333333333333"/>
    <n v="42949"/>
    <n v="1431.6333333333334"/>
    <n v="5762"/>
    <n v="6210"/>
    <n v="41035"/>
    <n v="42949"/>
    <m/>
    <m/>
    <m/>
    <m/>
    <m/>
    <m/>
    <m/>
    <m/>
    <n v="0"/>
    <n v="0"/>
    <n v="0"/>
    <n v="0"/>
    <m/>
    <m/>
    <n v="0"/>
    <n v="0"/>
  </r>
  <r>
    <x v="0"/>
    <s v="George Corley Wallace State Community College - Selma"/>
    <m/>
    <n v="101301"/>
    <x v="7"/>
    <m/>
    <m/>
    <m/>
    <m/>
    <n v="11845"/>
    <n v="10957"/>
    <n v="8195"/>
    <n v="6631"/>
    <n v="11469"/>
    <n v="13371"/>
    <n v="31509"/>
    <n v="1050.3"/>
    <n v="30959"/>
    <n v="1031.9666666666667"/>
    <n v="5483"/>
    <n v="6309"/>
    <n v="31509"/>
    <n v="30959"/>
    <m/>
    <m/>
    <m/>
    <m/>
    <m/>
    <m/>
    <m/>
    <m/>
    <n v="0"/>
    <n v="0"/>
    <n v="0"/>
    <n v="0"/>
    <m/>
    <m/>
    <n v="0"/>
    <n v="0"/>
  </r>
  <r>
    <x v="0"/>
    <s v="Lurleen B. Wallace Community College "/>
    <m/>
    <n v="101602"/>
    <x v="7"/>
    <m/>
    <m/>
    <m/>
    <m/>
    <n v="14673"/>
    <n v="13991"/>
    <n v="7669"/>
    <n v="8101"/>
    <n v="15511"/>
    <n v="16518"/>
    <n v="37853"/>
    <n v="1261.7666666666667"/>
    <n v="38610"/>
    <n v="1287"/>
    <n v="5460"/>
    <n v="6479"/>
    <n v="37853"/>
    <n v="38610"/>
    <m/>
    <m/>
    <m/>
    <m/>
    <m/>
    <m/>
    <m/>
    <m/>
    <n v="0"/>
    <n v="0"/>
    <n v="0"/>
    <n v="0"/>
    <m/>
    <m/>
    <n v="0"/>
    <n v="0"/>
  </r>
  <r>
    <x v="0"/>
    <s v="Northeast Alabama Community College"/>
    <m/>
    <n v="101897"/>
    <x v="7"/>
    <m/>
    <m/>
    <m/>
    <m/>
    <n v="23104"/>
    <n v="18399"/>
    <n v="10798"/>
    <n v="9026"/>
    <n v="22589"/>
    <n v="21712"/>
    <n v="56491"/>
    <n v="1883.0333333333333"/>
    <n v="49137"/>
    <n v="1637.9"/>
    <n v="11087"/>
    <n v="11703"/>
    <n v="56491"/>
    <n v="49137"/>
    <m/>
    <m/>
    <m/>
    <m/>
    <m/>
    <m/>
    <m/>
    <m/>
    <n v="0"/>
    <n v="0"/>
    <n v="0"/>
    <n v="0"/>
    <m/>
    <m/>
    <n v="0"/>
    <n v="0"/>
  </r>
  <r>
    <x v="0"/>
    <s v="Snead State Community College "/>
    <m/>
    <n v="102076"/>
    <x v="7"/>
    <m/>
    <m/>
    <m/>
    <m/>
    <n v="22380"/>
    <n v="18656"/>
    <n v="13328"/>
    <n v="13182"/>
    <n v="20874"/>
    <n v="22221"/>
    <n v="56582"/>
    <n v="1886.0666666666666"/>
    <n v="54059"/>
    <n v="1801.9666666666667"/>
    <n v="2922"/>
    <n v="3815"/>
    <n v="56582"/>
    <n v="54059"/>
    <m/>
    <m/>
    <m/>
    <m/>
    <m/>
    <m/>
    <m/>
    <m/>
    <n v="0"/>
    <n v="0"/>
    <n v="0"/>
    <n v="0"/>
    <m/>
    <m/>
    <n v="0"/>
    <n v="0"/>
  </r>
  <r>
    <x v="0"/>
    <s v="H. Councill Trenholm State Community College"/>
    <m/>
    <n v="102313"/>
    <x v="8"/>
    <m/>
    <m/>
    <m/>
    <m/>
    <n v="18054"/>
    <n v="14356"/>
    <n v="8555"/>
    <n v="8761"/>
    <n v="14127"/>
    <n v="16581"/>
    <n v="40736"/>
    <n v="1357.8666666666666"/>
    <n v="39698"/>
    <n v="1323.2666666666667"/>
    <n v="1729"/>
    <n v="1720"/>
    <n v="40736"/>
    <n v="39698"/>
    <m/>
    <m/>
    <m/>
    <m/>
    <m/>
    <m/>
    <m/>
    <m/>
    <n v="0"/>
    <n v="0"/>
    <n v="0"/>
    <n v="0"/>
    <m/>
    <m/>
    <n v="0"/>
    <n v="0"/>
  </r>
  <r>
    <x v="0"/>
    <s v="J.F. Drake State Community and Technical College"/>
    <m/>
    <n v="101462"/>
    <x v="9"/>
    <m/>
    <m/>
    <m/>
    <m/>
    <n v="6859"/>
    <n v="5990"/>
    <n v="3123"/>
    <n v="3760"/>
    <n v="6501"/>
    <n v="7088"/>
    <n v="16483"/>
    <n v="549.43333333333328"/>
    <n v="16838"/>
    <n v="561.26666666666665"/>
    <n v="1602"/>
    <n v="1440"/>
    <n v="16483"/>
    <n v="16838"/>
    <m/>
    <m/>
    <m/>
    <m/>
    <m/>
    <m/>
    <m/>
    <m/>
    <n v="0"/>
    <n v="0"/>
    <n v="0"/>
    <n v="0"/>
    <m/>
    <m/>
    <n v="0"/>
    <n v="0"/>
  </r>
  <r>
    <x v="0"/>
    <s v="J.F. Ingram State Technical College "/>
    <m/>
    <n v="101471"/>
    <x v="9"/>
    <m/>
    <m/>
    <m/>
    <m/>
    <n v="6571"/>
    <n v="4788"/>
    <n v="0"/>
    <n v="3029"/>
    <n v="4727"/>
    <n v="4936"/>
    <n v="11298"/>
    <n v="376.6"/>
    <n v="12753"/>
    <n v="425.1"/>
    <n v="0"/>
    <n v="0"/>
    <n v="11298"/>
    <n v="12753"/>
    <m/>
    <m/>
    <m/>
    <m/>
    <m/>
    <m/>
    <m/>
    <m/>
    <n v="0"/>
    <n v="0"/>
    <n v="0"/>
    <n v="0"/>
    <m/>
    <m/>
    <n v="0"/>
    <n v="0"/>
  </r>
  <r>
    <x v="0"/>
    <s v="Reid State Technical College "/>
    <m/>
    <n v="101994"/>
    <x v="9"/>
    <m/>
    <m/>
    <m/>
    <m/>
    <n v="3895"/>
    <n v="2966"/>
    <n v="2751"/>
    <n v="2019"/>
    <n v="2751"/>
    <n v="3622"/>
    <n v="9397"/>
    <n v="313.23333333333335"/>
    <n v="8607"/>
    <n v="286.89999999999998"/>
    <n v="741"/>
    <n v="569"/>
    <n v="9397"/>
    <n v="8607"/>
    <m/>
    <m/>
    <m/>
    <m/>
    <m/>
    <m/>
    <m/>
    <m/>
    <n v="0"/>
    <n v="0"/>
    <n v="0"/>
    <n v="0"/>
    <m/>
    <m/>
    <n v="0"/>
    <n v="0"/>
  </r>
  <r>
    <x v="0"/>
    <s v="Marion Military Institute"/>
    <m/>
    <n v="101648"/>
    <x v="10"/>
    <m/>
    <m/>
    <m/>
    <m/>
    <n v="6231"/>
    <n v="5811"/>
    <n v="0"/>
    <n v="0"/>
    <n v="6477"/>
    <n v="5144"/>
    <n v="12708"/>
    <n v="423.6"/>
    <n v="10955"/>
    <n v="365.16666666666669"/>
    <n v="36"/>
    <n v="0"/>
    <n v="12708"/>
    <n v="10955"/>
    <m/>
    <m/>
    <m/>
    <m/>
    <m/>
    <m/>
    <m/>
    <m/>
    <n v="0"/>
    <n v="0"/>
    <n v="0"/>
    <n v="0"/>
    <m/>
    <m/>
    <n v="0"/>
    <n v="0"/>
  </r>
  <r>
    <x v="1"/>
    <s v="Arkansas State University"/>
    <m/>
    <n v="106458"/>
    <x v="2"/>
    <s v="sem"/>
    <s v="sem"/>
    <m/>
    <m/>
    <n v="108209"/>
    <n v="99646"/>
    <n v="18938"/>
    <n v="18567"/>
    <n v="112064"/>
    <n v="108704"/>
    <n v="239211"/>
    <n v="7973.7"/>
    <n v="226917"/>
    <n v="7563.9"/>
    <n v="7314"/>
    <n v="7048"/>
    <n v="239211"/>
    <n v="226917"/>
    <m/>
    <m/>
    <m/>
    <m/>
    <m/>
    <m/>
    <m/>
    <m/>
    <n v="0"/>
    <n v="0"/>
    <n v="0"/>
    <n v="0"/>
    <m/>
    <m/>
    <n v="0"/>
    <n v="0"/>
  </r>
  <r>
    <x v="1"/>
    <s v="Arkansas Tech University"/>
    <m/>
    <n v="106467"/>
    <x v="2"/>
    <s v="sem"/>
    <s v="sem"/>
    <m/>
    <m/>
    <n v="107736"/>
    <n v="95105"/>
    <n v="12040"/>
    <n v="12325"/>
    <n v="113783"/>
    <n v="99548"/>
    <n v="233559"/>
    <n v="7785.3"/>
    <n v="206978"/>
    <n v="6899.2666666666664"/>
    <n v="24227"/>
    <n v="21528"/>
    <n v="233559"/>
    <n v="206978"/>
    <m/>
    <m/>
    <m/>
    <m/>
    <m/>
    <m/>
    <m/>
    <m/>
    <n v="0"/>
    <n v="0"/>
    <n v="0"/>
    <n v="0"/>
    <m/>
    <m/>
    <n v="0"/>
    <n v="0"/>
  </r>
  <r>
    <x v="1"/>
    <s v="Henderson State University"/>
    <m/>
    <n v="107071"/>
    <x v="3"/>
    <s v="sem"/>
    <s v="sem"/>
    <m/>
    <m/>
    <n v="40041"/>
    <n v="32278"/>
    <n v="5049"/>
    <n v="5212"/>
    <n v="37756"/>
    <n v="31971"/>
    <n v="82846"/>
    <n v="2761.5333333333333"/>
    <n v="69461"/>
    <n v="2315.3666666666668"/>
    <n v="2500"/>
    <n v="118"/>
    <n v="82846"/>
    <n v="69461"/>
    <m/>
    <m/>
    <m/>
    <m/>
    <m/>
    <m/>
    <m/>
    <m/>
    <n v="0"/>
    <n v="0"/>
    <n v="0"/>
    <n v="0"/>
    <m/>
    <m/>
    <n v="0"/>
    <n v="0"/>
  </r>
  <r>
    <x v="1"/>
    <s v="Southern Arkansas University"/>
    <m/>
    <n v="107983"/>
    <x v="3"/>
    <s v="sem"/>
    <s v="sem"/>
    <m/>
    <m/>
    <n v="44179"/>
    <n v="41047"/>
    <n v="4756"/>
    <n v="5028"/>
    <n v="49184"/>
    <n v="43740"/>
    <n v="98119"/>
    <n v="3270.6333333333332"/>
    <n v="89815"/>
    <n v="2993.8333333333335"/>
    <n v="2838"/>
    <n v="2836"/>
    <n v="98119"/>
    <n v="89815"/>
    <m/>
    <m/>
    <m/>
    <m/>
    <m/>
    <m/>
    <m/>
    <m/>
    <n v="0"/>
    <n v="0"/>
    <n v="0"/>
    <n v="0"/>
    <m/>
    <m/>
    <n v="0"/>
    <n v="0"/>
  </r>
  <r>
    <x v="1"/>
    <s v="University of Arkansas, Fayetteville"/>
    <m/>
    <n v="106397"/>
    <x v="0"/>
    <s v="sem"/>
    <s v="sem"/>
    <m/>
    <m/>
    <n v="295335"/>
    <n v="292269"/>
    <n v="42213"/>
    <n v="40021"/>
    <n v="316631"/>
    <n v="333494"/>
    <n v="654179"/>
    <n v="21805.966666666667"/>
    <n v="665784"/>
    <n v="22192.799999999999"/>
    <n v="106"/>
    <n v="116"/>
    <n v="654179"/>
    <n v="665784"/>
    <m/>
    <m/>
    <m/>
    <m/>
    <m/>
    <m/>
    <m/>
    <m/>
    <n v="0"/>
    <n v="0"/>
    <n v="0"/>
    <n v="0"/>
    <m/>
    <m/>
    <n v="0"/>
    <n v="0"/>
  </r>
  <r>
    <x v="1"/>
    <s v="University of Arkansas at Fort Smith"/>
    <m/>
    <n v="108092"/>
    <x v="11"/>
    <s v="sem"/>
    <s v="sem"/>
    <m/>
    <m/>
    <n v="66632"/>
    <n v="59178"/>
    <n v="6996"/>
    <n v="6728"/>
    <n v="70368"/>
    <n v="63922"/>
    <n v="143996"/>
    <n v="4799.8666666666668"/>
    <n v="129828"/>
    <n v="4327.6000000000004"/>
    <n v="15691"/>
    <n v="14650"/>
    <n v="143996"/>
    <n v="129828"/>
    <m/>
    <m/>
    <m/>
    <m/>
    <m/>
    <m/>
    <m/>
    <m/>
    <n v="0"/>
    <n v="0"/>
    <n v="0"/>
    <n v="0"/>
    <m/>
    <m/>
    <n v="0"/>
    <n v="0"/>
  </r>
  <r>
    <x v="1"/>
    <s v="University of Arkansas at Little Rock"/>
    <m/>
    <n v="106245"/>
    <x v="1"/>
    <s v="sem"/>
    <s v="sem"/>
    <m/>
    <m/>
    <n v="73382"/>
    <n v="66346"/>
    <n v="16609"/>
    <n v="14489"/>
    <n v="75663"/>
    <n v="66776"/>
    <n v="165654"/>
    <n v="5521.8"/>
    <n v="147611"/>
    <n v="4920.3666666666668"/>
    <n v="9952"/>
    <n v="9012"/>
    <n v="165654"/>
    <n v="147611"/>
    <m/>
    <m/>
    <m/>
    <m/>
    <m/>
    <m/>
    <m/>
    <m/>
    <n v="0"/>
    <n v="0"/>
    <n v="0"/>
    <n v="0"/>
    <m/>
    <m/>
    <n v="0"/>
    <n v="0"/>
  </r>
  <r>
    <x v="1"/>
    <s v="University of Arkansas at Monticello"/>
    <m/>
    <n v="106485"/>
    <x v="3"/>
    <s v="sem"/>
    <s v="sem"/>
    <m/>
    <m/>
    <n v="27736"/>
    <n v="26668"/>
    <n v="5540"/>
    <n v="5519"/>
    <n v="29979"/>
    <n v="27949"/>
    <n v="63255"/>
    <n v="2108.5"/>
    <n v="60136"/>
    <n v="2004.5333333333333"/>
    <n v="2768"/>
    <n v="2415"/>
    <n v="63255"/>
    <n v="60136"/>
    <m/>
    <m/>
    <m/>
    <m/>
    <m/>
    <m/>
    <m/>
    <m/>
    <n v="0"/>
    <n v="0"/>
    <n v="0"/>
    <n v="0"/>
    <m/>
    <m/>
    <n v="0"/>
    <n v="0"/>
  </r>
  <r>
    <x v="1"/>
    <s v="University of Arkansas at Pine Bluff"/>
    <s v="Met the criteria for Four-Year 4 in 2020-21 , and 2021-22"/>
    <n v="106412"/>
    <x v="11"/>
    <s v="sem"/>
    <s v="sem"/>
    <m/>
    <m/>
    <n v="29442"/>
    <n v="28548"/>
    <n v="3107"/>
    <n v="3839"/>
    <n v="34550"/>
    <n v="33590"/>
    <n v="67099"/>
    <n v="2236.6333333333332"/>
    <n v="65977"/>
    <n v="2199.2333333333331"/>
    <n v="266"/>
    <n v="76"/>
    <n v="67099"/>
    <n v="65977"/>
    <m/>
    <m/>
    <m/>
    <m/>
    <m/>
    <m/>
    <m/>
    <m/>
    <n v="0"/>
    <n v="0"/>
    <n v="0"/>
    <n v="0"/>
    <m/>
    <m/>
    <n v="0"/>
    <n v="0"/>
  </r>
  <r>
    <x v="1"/>
    <s v="University of Central Arkansas "/>
    <m/>
    <n v="106704"/>
    <x v="2"/>
    <s v="sem"/>
    <s v="sem"/>
    <m/>
    <m/>
    <n v="110711"/>
    <n v="102686"/>
    <n v="17429"/>
    <n v="15733"/>
    <n v="119194"/>
    <n v="112359"/>
    <n v="247334"/>
    <n v="8244.4666666666672"/>
    <n v="230778"/>
    <n v="7692.6"/>
    <n v="2306"/>
    <n v="2908"/>
    <n v="247334"/>
    <n v="230778"/>
    <m/>
    <m/>
    <m/>
    <m/>
    <m/>
    <m/>
    <m/>
    <m/>
    <n v="0"/>
    <n v="0"/>
    <n v="0"/>
    <n v="0"/>
    <m/>
    <m/>
    <n v="0"/>
    <n v="0"/>
  </r>
  <r>
    <x v="1"/>
    <s v="Arkansas Northeastern College"/>
    <m/>
    <n v="107327"/>
    <x v="7"/>
    <s v="sem"/>
    <s v="sem"/>
    <m/>
    <m/>
    <n v="11593"/>
    <n v="10558"/>
    <n v="2171"/>
    <n v="2137"/>
    <n v="12107"/>
    <n v="11855"/>
    <n v="25871"/>
    <n v="862.36666666666667"/>
    <n v="24550"/>
    <n v="818.33333333333337"/>
    <n v="4697"/>
    <n v="5222"/>
    <n v="25871"/>
    <n v="24550"/>
    <m/>
    <m/>
    <m/>
    <m/>
    <m/>
    <m/>
    <m/>
    <m/>
    <n v="0"/>
    <n v="0"/>
    <n v="0"/>
    <n v="0"/>
    <m/>
    <m/>
    <n v="0"/>
    <n v="0"/>
  </r>
  <r>
    <x v="1"/>
    <s v="Arkansas State University-Beebe"/>
    <m/>
    <n v="106449"/>
    <x v="6"/>
    <s v="sem"/>
    <s v="sem"/>
    <m/>
    <m/>
    <n v="31302"/>
    <n v="26828"/>
    <n v="6253"/>
    <n v="5642"/>
    <n v="31537"/>
    <n v="28115"/>
    <n v="69092"/>
    <n v="2303.0666666666666"/>
    <n v="60585"/>
    <n v="2019.5"/>
    <n v="7748"/>
    <n v="8450"/>
    <n v="69092"/>
    <n v="60585"/>
    <m/>
    <m/>
    <m/>
    <m/>
    <m/>
    <m/>
    <m/>
    <m/>
    <n v="0"/>
    <n v="0"/>
    <n v="0"/>
    <n v="0"/>
    <m/>
    <m/>
    <n v="0"/>
    <n v="0"/>
  </r>
  <r>
    <x v="1"/>
    <s v="Arkansas State University Mountain Home"/>
    <m/>
    <n v="420538"/>
    <x v="7"/>
    <s v="sem"/>
    <s v="sem"/>
    <m/>
    <m/>
    <n v="11576"/>
    <n v="10629"/>
    <n v="2499"/>
    <n v="2158"/>
    <n v="12333"/>
    <n v="11999"/>
    <n v="26408"/>
    <n v="880.26666666666665"/>
    <n v="24786"/>
    <n v="826.2"/>
    <n v="3605"/>
    <n v="3570"/>
    <n v="26408"/>
    <n v="24786"/>
    <m/>
    <m/>
    <m/>
    <m/>
    <m/>
    <m/>
    <m/>
    <m/>
    <n v="0"/>
    <n v="0"/>
    <n v="0"/>
    <n v="0"/>
    <m/>
    <m/>
    <n v="0"/>
    <n v="0"/>
  </r>
  <r>
    <x v="1"/>
    <s v="Arkansas State University Mid-South"/>
    <m/>
    <n v="107318"/>
    <x v="7"/>
    <s v="sem"/>
    <s v="sem"/>
    <m/>
    <m/>
    <n v="9413"/>
    <n v="8843"/>
    <n v="2011"/>
    <n v="1887"/>
    <n v="10338"/>
    <n v="9514"/>
    <n v="21762"/>
    <n v="725.4"/>
    <n v="20244"/>
    <n v="674.8"/>
    <n v="6264"/>
    <n v="5194"/>
    <n v="21762"/>
    <n v="20244"/>
    <m/>
    <m/>
    <m/>
    <m/>
    <m/>
    <m/>
    <m/>
    <m/>
    <n v="0"/>
    <n v="0"/>
    <n v="0"/>
    <n v="0"/>
    <m/>
    <m/>
    <n v="0"/>
    <n v="0"/>
  </r>
  <r>
    <x v="1"/>
    <s v="Arkansas State University-Newport"/>
    <m/>
    <n v="440402"/>
    <x v="7"/>
    <s v="sem"/>
    <s v="sem"/>
    <m/>
    <m/>
    <n v="21163"/>
    <n v="18081"/>
    <n v="11369"/>
    <n v="11392"/>
    <n v="19174"/>
    <n v="19317"/>
    <n v="51706"/>
    <n v="1723.5333333333333"/>
    <n v="48790"/>
    <n v="1626.3333333333333"/>
    <n v="5547"/>
    <n v="5434"/>
    <n v="51706"/>
    <n v="48790"/>
    <m/>
    <m/>
    <m/>
    <m/>
    <m/>
    <m/>
    <m/>
    <m/>
    <n v="0"/>
    <n v="0"/>
    <n v="0"/>
    <n v="0"/>
    <m/>
    <m/>
    <n v="0"/>
    <n v="0"/>
  </r>
  <r>
    <x v="1"/>
    <s v="Arkansas State University Three Rivers"/>
    <m/>
    <n v="107521"/>
    <x v="7"/>
    <s v="sem"/>
    <s v="sem"/>
    <m/>
    <m/>
    <n v="8770"/>
    <n v="9520"/>
    <n v="2714"/>
    <n v="2435"/>
    <n v="8342"/>
    <n v="9841"/>
    <n v="19826"/>
    <n v="660.86666666666667"/>
    <n v="21796"/>
    <n v="726.5333333333333"/>
    <n v="5560"/>
    <n v="9565"/>
    <n v="19826"/>
    <n v="21796"/>
    <m/>
    <m/>
    <m/>
    <m/>
    <m/>
    <m/>
    <m/>
    <m/>
    <n v="0"/>
    <n v="0"/>
    <n v="0"/>
    <n v="0"/>
    <m/>
    <m/>
    <n v="0"/>
    <n v="0"/>
  </r>
  <r>
    <x v="1"/>
    <s v="Black River Technical College"/>
    <m/>
    <n v="106625"/>
    <x v="7"/>
    <s v="sem"/>
    <s v="sem"/>
    <m/>
    <m/>
    <n v="14405"/>
    <n v="13970"/>
    <n v="3079"/>
    <n v="3350"/>
    <n v="15434"/>
    <n v="15343"/>
    <n v="32918"/>
    <n v="1097.2666666666667"/>
    <n v="32663"/>
    <n v="1088.7666666666667"/>
    <n v="3392"/>
    <n v="3820"/>
    <n v="32918"/>
    <n v="32663"/>
    <m/>
    <m/>
    <m/>
    <m/>
    <m/>
    <m/>
    <m/>
    <m/>
    <n v="0"/>
    <n v="0"/>
    <n v="0"/>
    <n v="0"/>
    <m/>
    <m/>
    <n v="0"/>
    <n v="0"/>
  </r>
  <r>
    <x v="1"/>
    <s v="Cossatot Community College of the University of Arkansas"/>
    <m/>
    <n v="106795"/>
    <x v="7"/>
    <s v="sem"/>
    <s v="sem"/>
    <m/>
    <m/>
    <n v="12227"/>
    <n v="11479"/>
    <n v="2238"/>
    <n v="2178"/>
    <n v="13134"/>
    <n v="12271"/>
    <n v="27599"/>
    <n v="919.9666666666667"/>
    <n v="25928"/>
    <n v="864.26666666666665"/>
    <n v="6559"/>
    <n v="6173"/>
    <n v="27599"/>
    <n v="25928"/>
    <m/>
    <m/>
    <m/>
    <m/>
    <m/>
    <m/>
    <m/>
    <m/>
    <n v="0"/>
    <n v="0"/>
    <n v="0"/>
    <n v="0"/>
    <m/>
    <m/>
    <n v="0"/>
    <n v="0"/>
  </r>
  <r>
    <x v="1"/>
    <s v="East Arkansas Community College "/>
    <m/>
    <n v="106883"/>
    <x v="7"/>
    <s v="sem"/>
    <s v="sem"/>
    <m/>
    <m/>
    <n v="11061"/>
    <n v="8308"/>
    <n v="3226"/>
    <n v="3238"/>
    <n v="9355"/>
    <n v="9152"/>
    <n v="23642"/>
    <n v="788.06666666666672"/>
    <n v="20698"/>
    <n v="689.93333333333328"/>
    <n v="3075"/>
    <n v="2952"/>
    <n v="23642"/>
    <n v="20698"/>
    <m/>
    <m/>
    <m/>
    <m/>
    <m/>
    <m/>
    <m/>
    <m/>
    <n v="0"/>
    <n v="0"/>
    <n v="0"/>
    <n v="0"/>
    <m/>
    <m/>
    <n v="0"/>
    <n v="0"/>
  </r>
  <r>
    <x v="1"/>
    <s v="North Arkansas College"/>
    <m/>
    <n v="107460"/>
    <x v="7"/>
    <s v="sem"/>
    <s v="sem"/>
    <m/>
    <m/>
    <n v="15790"/>
    <n v="14481"/>
    <n v="2879"/>
    <n v="2843"/>
    <n v="17315"/>
    <n v="18073"/>
    <n v="35984"/>
    <n v="1199.4666666666667"/>
    <n v="35397"/>
    <n v="1179.9000000000001"/>
    <n v="3885"/>
    <n v="5792"/>
    <n v="35984"/>
    <n v="35397"/>
    <m/>
    <m/>
    <m/>
    <m/>
    <m/>
    <m/>
    <m/>
    <m/>
    <n v="0"/>
    <n v="0"/>
    <n v="0"/>
    <n v="0"/>
    <m/>
    <m/>
    <n v="0"/>
    <n v="0"/>
  </r>
  <r>
    <x v="1"/>
    <s v="National Park College"/>
    <m/>
    <n v="106980"/>
    <x v="7"/>
    <s v="sem"/>
    <s v="sem"/>
    <m/>
    <m/>
    <n v="23417"/>
    <n v="20882"/>
    <n v="4639"/>
    <n v="3356"/>
    <n v="24727"/>
    <n v="24401"/>
    <n v="52783"/>
    <n v="1759.4333333333334"/>
    <n v="48639"/>
    <n v="1621.3"/>
    <n v="4507"/>
    <n v="3618"/>
    <n v="52783"/>
    <n v="48639"/>
    <m/>
    <m/>
    <m/>
    <m/>
    <m/>
    <m/>
    <m/>
    <m/>
    <n v="0"/>
    <n v="0"/>
    <n v="0"/>
    <n v="0"/>
    <m/>
    <m/>
    <n v="0"/>
    <n v="0"/>
  </r>
  <r>
    <x v="1"/>
    <s v="Northwest Arkansas Community College "/>
    <s v="Met the criteria for Two-Year 2 in 2020-21 and 2021-22"/>
    <n v="367459"/>
    <x v="5"/>
    <s v="sem"/>
    <s v="sem"/>
    <m/>
    <m/>
    <n v="63624"/>
    <n v="54767"/>
    <n v="13384"/>
    <n v="12633"/>
    <n v="63953"/>
    <n v="59834"/>
    <n v="140961"/>
    <n v="4698.7"/>
    <n v="127234"/>
    <n v="4241.1333333333332"/>
    <n v="19113"/>
    <n v="19763"/>
    <n v="140961"/>
    <n v="127234"/>
    <m/>
    <m/>
    <m/>
    <m/>
    <m/>
    <m/>
    <m/>
    <m/>
    <n v="0"/>
    <n v="0"/>
    <n v="0"/>
    <n v="0"/>
    <m/>
    <m/>
    <n v="0"/>
    <n v="0"/>
  </r>
  <r>
    <x v="1"/>
    <s v="Ozarka College "/>
    <m/>
    <n v="107549"/>
    <x v="7"/>
    <s v="sem"/>
    <s v="sem"/>
    <m/>
    <m/>
    <n v="10189"/>
    <n v="9173"/>
    <n v="2583"/>
    <n v="2359"/>
    <n v="10168"/>
    <n v="9692"/>
    <n v="22940"/>
    <n v="764.66666666666663"/>
    <n v="21224"/>
    <n v="707.4666666666667"/>
    <n v="3478"/>
    <n v="3757"/>
    <n v="22940"/>
    <n v="21224"/>
    <m/>
    <m/>
    <m/>
    <m/>
    <m/>
    <m/>
    <m/>
    <m/>
    <n v="0"/>
    <n v="0"/>
    <n v="0"/>
    <n v="0"/>
    <m/>
    <m/>
    <n v="0"/>
    <n v="0"/>
  </r>
  <r>
    <x v="1"/>
    <s v="Phillips Community College of the Univ of Arkansas"/>
    <m/>
    <n v="107619"/>
    <x v="7"/>
    <s v="sem"/>
    <s v="sem"/>
    <m/>
    <m/>
    <n v="11064"/>
    <n v="8854"/>
    <n v="2802"/>
    <n v="2632"/>
    <n v="9863"/>
    <n v="11075"/>
    <n v="23729"/>
    <n v="790.9666666666667"/>
    <n v="22561"/>
    <n v="752.0333333333333"/>
    <n v="5159"/>
    <n v="4796"/>
    <n v="23729"/>
    <n v="22561"/>
    <m/>
    <m/>
    <m/>
    <m/>
    <m/>
    <m/>
    <m/>
    <m/>
    <n v="0"/>
    <n v="0"/>
    <n v="0"/>
    <n v="0"/>
    <m/>
    <m/>
    <n v="0"/>
    <n v="0"/>
  </r>
  <r>
    <x v="1"/>
    <s v="South Arkansas Community College"/>
    <m/>
    <n v="107974"/>
    <x v="7"/>
    <s v="sem"/>
    <s v="sem"/>
    <m/>
    <m/>
    <n v="12437"/>
    <n v="10553"/>
    <n v="4360"/>
    <n v="4133"/>
    <n v="11939"/>
    <n v="11352"/>
    <n v="28736"/>
    <n v="957.86666666666667"/>
    <n v="26038"/>
    <n v="867.93333333333328"/>
    <n v="2676"/>
    <n v="2744"/>
    <n v="28736"/>
    <n v="26038"/>
    <m/>
    <m/>
    <m/>
    <m/>
    <m/>
    <m/>
    <m/>
    <m/>
    <n v="0"/>
    <n v="0"/>
    <n v="0"/>
    <n v="0"/>
    <m/>
    <m/>
    <n v="0"/>
    <n v="0"/>
  </r>
  <r>
    <x v="1"/>
    <s v="Southern Arkansas University Tech"/>
    <m/>
    <n v="107992"/>
    <x v="7"/>
    <s v="sem"/>
    <s v="sem"/>
    <m/>
    <m/>
    <n v="11040"/>
    <n v="10849"/>
    <n v="2973"/>
    <n v="2626"/>
    <n v="10721"/>
    <n v="10680"/>
    <n v="24734"/>
    <n v="824.4666666666667"/>
    <n v="24155"/>
    <n v="805.16666666666663"/>
    <n v="2954"/>
    <n v="2304"/>
    <n v="24734"/>
    <n v="24155"/>
    <m/>
    <m/>
    <m/>
    <m/>
    <m/>
    <m/>
    <m/>
    <m/>
    <n v="0"/>
    <n v="0"/>
    <n v="0"/>
    <n v="0"/>
    <m/>
    <m/>
    <n v="0"/>
    <n v="0"/>
  </r>
  <r>
    <x v="1"/>
    <s v="Southeast Arkansas College"/>
    <m/>
    <n v="107637"/>
    <x v="7"/>
    <s v="sem"/>
    <s v="sem"/>
    <m/>
    <m/>
    <n v="10768"/>
    <n v="9394"/>
    <n v="3293"/>
    <n v="2845"/>
    <n v="10536"/>
    <n v="9691"/>
    <n v="24597"/>
    <n v="819.9"/>
    <n v="21930"/>
    <n v="731"/>
    <n v="1902"/>
    <n v="2152"/>
    <n v="24597"/>
    <n v="21930"/>
    <m/>
    <m/>
    <m/>
    <m/>
    <m/>
    <m/>
    <m/>
    <m/>
    <n v="0"/>
    <n v="0"/>
    <n v="0"/>
    <n v="0"/>
    <m/>
    <m/>
    <n v="0"/>
    <n v="0"/>
  </r>
  <r>
    <x v="1"/>
    <s v="University of Arkansas Community College at Batesville"/>
    <m/>
    <n v="106999"/>
    <x v="7"/>
    <s v="sem"/>
    <s v="sem"/>
    <m/>
    <m/>
    <n v="12151"/>
    <n v="9729"/>
    <n v="2609"/>
    <n v="2066"/>
    <n v="12753"/>
    <n v="10895"/>
    <n v="27513"/>
    <n v="917.1"/>
    <n v="22690"/>
    <n v="756.33333333333337"/>
    <n v="4405"/>
    <n v="3406"/>
    <n v="27513"/>
    <n v="22690"/>
    <m/>
    <m/>
    <m/>
    <m/>
    <m/>
    <m/>
    <m/>
    <m/>
    <n v="0"/>
    <n v="0"/>
    <n v="0"/>
    <n v="0"/>
    <m/>
    <m/>
    <n v="0"/>
    <n v="0"/>
  </r>
  <r>
    <x v="1"/>
    <s v="University of Arkansas Community College at Hope-Texarkana"/>
    <m/>
    <n v="107725"/>
    <x v="7"/>
    <s v="sem"/>
    <s v="sem"/>
    <m/>
    <m/>
    <n v="12157"/>
    <n v="10201"/>
    <n v="2415"/>
    <n v="2286"/>
    <n v="11563"/>
    <n v="11118"/>
    <n v="26135"/>
    <n v="871.16666666666663"/>
    <n v="23605"/>
    <n v="786.83333333333337"/>
    <n v="6521"/>
    <n v="5647"/>
    <n v="26135"/>
    <n v="23605"/>
    <m/>
    <m/>
    <m/>
    <m/>
    <m/>
    <m/>
    <m/>
    <m/>
    <n v="0"/>
    <n v="0"/>
    <n v="0"/>
    <n v="0"/>
    <m/>
    <m/>
    <n v="0"/>
    <n v="0"/>
  </r>
  <r>
    <x v="1"/>
    <s v="University of Arkansas Community College at Morrilton"/>
    <m/>
    <n v="107585"/>
    <x v="7"/>
    <s v="sem"/>
    <s v="sem"/>
    <m/>
    <m/>
    <n v="17756"/>
    <n v="17626"/>
    <n v="3011"/>
    <n v="3303"/>
    <n v="19832"/>
    <n v="19858"/>
    <n v="40599"/>
    <n v="1353.3"/>
    <n v="40787"/>
    <n v="1359.5666666666666"/>
    <n v="2347"/>
    <n v="2927"/>
    <n v="40599"/>
    <n v="40787"/>
    <m/>
    <m/>
    <m/>
    <m/>
    <m/>
    <m/>
    <m/>
    <m/>
    <n v="0"/>
    <n v="0"/>
    <n v="0"/>
    <n v="0"/>
    <m/>
    <m/>
    <n v="0"/>
    <n v="0"/>
  </r>
  <r>
    <x v="1"/>
    <s v="University of Arkansas Community College Rich Mountain"/>
    <m/>
    <n v="107743"/>
    <x v="7"/>
    <s v="sem"/>
    <s v="sem"/>
    <m/>
    <m/>
    <n v="7204"/>
    <n v="6973"/>
    <n v="1077"/>
    <n v="1346"/>
    <n v="8940"/>
    <n v="8208"/>
    <n v="17221"/>
    <n v="574.0333333333333"/>
    <n v="16527"/>
    <n v="550.9"/>
    <n v="2914"/>
    <n v="2313"/>
    <n v="17221"/>
    <n v="16527"/>
    <m/>
    <m/>
    <m/>
    <m/>
    <m/>
    <m/>
    <m/>
    <m/>
    <n v="0"/>
    <n v="0"/>
    <n v="0"/>
    <n v="0"/>
    <m/>
    <m/>
    <n v="0"/>
    <n v="0"/>
  </r>
  <r>
    <x v="1"/>
    <s v="University of Arkansas - Pulaski Technical College"/>
    <m/>
    <n v="107664"/>
    <x v="6"/>
    <s v="sem"/>
    <s v="sem"/>
    <m/>
    <m/>
    <n v="51561"/>
    <n v="43451"/>
    <n v="11753"/>
    <n v="13029"/>
    <n v="49410"/>
    <n v="46037"/>
    <n v="112724"/>
    <n v="3757.4666666666667"/>
    <n v="102517"/>
    <n v="3417.2333333333331"/>
    <n v="4036"/>
    <n v="1944"/>
    <n v="112724"/>
    <n v="102517"/>
    <m/>
    <m/>
    <m/>
    <m/>
    <m/>
    <m/>
    <m/>
    <m/>
    <n v="0"/>
    <n v="0"/>
    <n v="0"/>
    <n v="0"/>
    <m/>
    <m/>
    <n v="0"/>
    <n v="0"/>
  </r>
  <r>
    <x v="2"/>
    <s v="University of Delaware"/>
    <m/>
    <n v="130943"/>
    <x v="0"/>
    <m/>
    <m/>
    <n v="27294"/>
    <n v="37651"/>
    <n v="264814"/>
    <n v="260063"/>
    <n v="29207"/>
    <n v="19219"/>
    <n v="279297"/>
    <n v="278897"/>
    <n v="600612"/>
    <n v="20020.400000000001"/>
    <n v="595830"/>
    <n v="19861"/>
    <m/>
    <m/>
    <n v="0"/>
    <n v="0"/>
    <m/>
    <m/>
    <m/>
    <m/>
    <m/>
    <m/>
    <m/>
    <m/>
    <n v="0"/>
    <n v="0"/>
    <n v="0"/>
    <n v="0"/>
    <m/>
    <m/>
    <n v="0"/>
    <n v="0"/>
  </r>
  <r>
    <x v="2"/>
    <s v="Delaware State University"/>
    <m/>
    <n v="130934"/>
    <x v="2"/>
    <m/>
    <m/>
    <m/>
    <n v="984"/>
    <n v="58128"/>
    <n v="54485"/>
    <n v="10113"/>
    <n v="9456"/>
    <n v="63465"/>
    <n v="64061"/>
    <n v="131706"/>
    <n v="4390.2"/>
    <n v="128986"/>
    <n v="4299.5333333333338"/>
    <m/>
    <m/>
    <n v="0"/>
    <n v="0"/>
    <m/>
    <m/>
    <m/>
    <m/>
    <m/>
    <m/>
    <m/>
    <m/>
    <n v="0"/>
    <n v="0"/>
    <n v="0"/>
    <n v="0"/>
    <m/>
    <m/>
    <n v="0"/>
    <n v="0"/>
  </r>
  <r>
    <x v="2"/>
    <s v="Delaware Technical and Community College--Terry"/>
    <s v="Reclassifed Met the criteria for Two-Year with Bachelor's in 2019-20, 2020-21 and 2021-22"/>
    <n v="130907"/>
    <x v="12"/>
    <m/>
    <m/>
    <m/>
    <m/>
    <n v="100220"/>
    <n v="91972"/>
    <n v="32370"/>
    <n v="27976"/>
    <n v="116491"/>
    <n v="108157"/>
    <n v="249081"/>
    <n v="8302.7000000000007"/>
    <n v="228105"/>
    <n v="7603.5"/>
    <m/>
    <m/>
    <n v="0"/>
    <n v="0"/>
    <m/>
    <m/>
    <m/>
    <m/>
    <m/>
    <m/>
    <m/>
    <m/>
    <n v="0"/>
    <n v="0"/>
    <n v="0"/>
    <n v="0"/>
    <m/>
    <m/>
    <n v="0"/>
    <n v="0"/>
  </r>
  <r>
    <x v="3"/>
    <s v="Eastern Florida State College"/>
    <s v="Met the criteria for Two-Year 1 in 2020-21 and 2021-22"/>
    <n v="132693"/>
    <x v="12"/>
    <m/>
    <m/>
    <m/>
    <m/>
    <n v="127669"/>
    <n v="112417"/>
    <n v="53421"/>
    <n v="46592"/>
    <n v="124032"/>
    <n v="108520"/>
    <n v="305122"/>
    <n v="10170.733333333334"/>
    <n v="267529"/>
    <n v="8917.6333333333332"/>
    <n v="60572"/>
    <n v="54015"/>
    <n v="305122"/>
    <n v="267529"/>
    <m/>
    <m/>
    <n v="160119"/>
    <n v="138126"/>
    <n v="21876"/>
    <n v="30108"/>
    <n v="97947"/>
    <n v="164156"/>
    <n v="279942"/>
    <n v="311.04666666666668"/>
    <n v="332390"/>
    <n v="369.32222222222219"/>
    <n v="21860"/>
    <n v="21780"/>
    <n v="279942"/>
    <n v="332390"/>
  </r>
  <r>
    <x v="3"/>
    <s v="Broward College "/>
    <s v="Met the criteria for Two-Year 21in 2020-21 and 2021-22"/>
    <n v="132709"/>
    <x v="12"/>
    <m/>
    <m/>
    <m/>
    <m/>
    <n v="306238"/>
    <n v="272902"/>
    <n v="153503"/>
    <n v="141434"/>
    <n v="301326"/>
    <n v="266980"/>
    <n v="761067"/>
    <n v="25368.9"/>
    <n v="681316"/>
    <n v="22710.533333333333"/>
    <n v="65528"/>
    <n v="58887"/>
    <n v="761067"/>
    <n v="681316"/>
    <m/>
    <m/>
    <n v="68290"/>
    <n v="52974"/>
    <n v="15576"/>
    <n v="43580"/>
    <n v="99592"/>
    <n v="72676"/>
    <n v="183458"/>
    <n v="203.84222222222223"/>
    <n v="169230"/>
    <n v="188.03333333333333"/>
    <n v="0"/>
    <n v="0"/>
    <n v="183458"/>
    <n v="169230"/>
  </r>
  <r>
    <x v="3"/>
    <s v="College of Central Florida"/>
    <s v="Met the criteria for Two-Year 2 in 2020-21 and 2021-22"/>
    <n v="132851"/>
    <x v="12"/>
    <m/>
    <m/>
    <m/>
    <m/>
    <n v="57789"/>
    <n v="50341"/>
    <n v="24432"/>
    <n v="21184"/>
    <n v="57082"/>
    <n v="49896"/>
    <n v="139303"/>
    <n v="4643.4333333333334"/>
    <n v="121421"/>
    <n v="4047.3666666666668"/>
    <n v="20511"/>
    <n v="19246"/>
    <n v="139303"/>
    <n v="121421"/>
    <m/>
    <m/>
    <n v="53333"/>
    <n v="44320"/>
    <n v="24476"/>
    <n v="30223"/>
    <n v="59275"/>
    <n v="41765"/>
    <n v="137084"/>
    <n v="152.31555555555556"/>
    <n v="116308"/>
    <n v="129.23111111111112"/>
    <n v="5910"/>
    <n v="8490"/>
    <n v="137084"/>
    <n v="116308"/>
  </r>
  <r>
    <x v="3"/>
    <s v="Chipola College "/>
    <s v="Met the criteria for Two-Year 3 in 2020-21 and 2021-22"/>
    <n v="133021"/>
    <x v="12"/>
    <m/>
    <m/>
    <m/>
    <m/>
    <n v="15610"/>
    <n v="14263"/>
    <n v="5118"/>
    <n v="4983"/>
    <n v="16676"/>
    <n v="15224"/>
    <n v="37404"/>
    <n v="1246.8"/>
    <n v="34470"/>
    <n v="1149"/>
    <n v="7982"/>
    <n v="7051"/>
    <n v="37404"/>
    <n v="34470"/>
    <m/>
    <m/>
    <n v="46348"/>
    <n v="48564"/>
    <n v="27055"/>
    <n v="19328"/>
    <n v="60038"/>
    <n v="60543"/>
    <n v="133441"/>
    <n v="148.26777777777778"/>
    <n v="128435"/>
    <n v="142.70555555555555"/>
    <n v="3210"/>
    <n v="9390"/>
    <n v="133441"/>
    <n v="128435"/>
  </r>
  <r>
    <x v="3"/>
    <s v="Daytona State College "/>
    <s v="Met the criteria for Two-Year 1 in 2020-21 and 2021-22"/>
    <n v="133386"/>
    <x v="12"/>
    <m/>
    <m/>
    <m/>
    <m/>
    <n v="116276"/>
    <n v="106354"/>
    <n v="44333"/>
    <n v="41890"/>
    <n v="118104"/>
    <n v="103127"/>
    <n v="278713"/>
    <n v="9290.4333333333325"/>
    <n v="251371"/>
    <n v="8379.0333333333328"/>
    <n v="42905"/>
    <n v="38237"/>
    <n v="278713"/>
    <n v="251371"/>
    <m/>
    <m/>
    <n v="548380"/>
    <n v="474464"/>
    <n v="252868"/>
    <n v="295308"/>
    <n v="460628"/>
    <n v="472815"/>
    <n v="1261876"/>
    <n v="1402.0844444444444"/>
    <n v="1242587"/>
    <n v="1380.6522222222222"/>
    <n v="10820"/>
    <n v="10235"/>
    <n v="1261876"/>
    <n v="1242587"/>
  </r>
  <r>
    <x v="3"/>
    <s v="Florida SouthWestern State College"/>
    <s v="Met the criteria for Two-Year 1 in 2020-21 and 2021-22"/>
    <n v="133508"/>
    <x v="12"/>
    <m/>
    <m/>
    <m/>
    <m/>
    <n v="131986"/>
    <n v="120018"/>
    <n v="41741"/>
    <n v="41102"/>
    <n v="136908"/>
    <n v="129002"/>
    <n v="310635"/>
    <n v="10354.5"/>
    <n v="290122"/>
    <n v="9670.7333333333336"/>
    <n v="45171"/>
    <n v="43503"/>
    <n v="310635"/>
    <n v="290122"/>
    <m/>
    <m/>
    <n v="4800"/>
    <n v="13920"/>
    <n v="12450"/>
    <n v="6840"/>
    <n v="6720"/>
    <n v="7800"/>
    <n v="23970"/>
    <n v="26.633333333333333"/>
    <n v="28560"/>
    <n v="31.733333333333334"/>
    <n v="0"/>
    <n v="0"/>
    <n v="23970"/>
    <n v="28560"/>
  </r>
  <r>
    <x v="3"/>
    <s v="Florida State College at Jacksonville"/>
    <s v="Met the criteria for Two-Year 1 in 2020-21 and 2021-22"/>
    <n v="133702"/>
    <x v="12"/>
    <m/>
    <m/>
    <m/>
    <m/>
    <n v="184397"/>
    <n v="162072"/>
    <n v="97946"/>
    <n v="86379"/>
    <n v="178559"/>
    <n v="163391"/>
    <n v="460902"/>
    <n v="15363.4"/>
    <n v="411842"/>
    <n v="13728.066666666668"/>
    <n v="38431"/>
    <n v="34777"/>
    <n v="460902"/>
    <n v="411842"/>
    <m/>
    <m/>
    <n v="390805"/>
    <n v="304419"/>
    <n v="190314"/>
    <n v="230177"/>
    <n v="314158"/>
    <n v="303408"/>
    <n v="895277"/>
    <n v="994.75222222222226"/>
    <n v="838004"/>
    <n v="931.1155555555556"/>
    <n v="12148"/>
    <n v="3505"/>
    <n v="895277"/>
    <n v="838004"/>
  </r>
  <r>
    <x v="3"/>
    <s v="The College of the Florida Keys"/>
    <m/>
    <n v="133960"/>
    <x v="7"/>
    <m/>
    <m/>
    <m/>
    <m/>
    <n v="8606"/>
    <n v="8817"/>
    <n v="2812"/>
    <n v="2967"/>
    <n v="9392"/>
    <n v="9507"/>
    <n v="20810"/>
    <n v="693.66666666666663"/>
    <n v="21291"/>
    <n v="709.7"/>
    <n v="2226"/>
    <n v="2132"/>
    <n v="20810"/>
    <n v="21291"/>
    <m/>
    <m/>
    <n v="31580"/>
    <n v="31977"/>
    <n v="19302"/>
    <n v="32828"/>
    <n v="31261"/>
    <n v="38407"/>
    <n v="82143"/>
    <n v="91.27"/>
    <n v="103212"/>
    <n v="114.68"/>
    <n v="0"/>
    <n v="0"/>
    <n v="82143"/>
    <n v="103212"/>
  </r>
  <r>
    <x v="3"/>
    <s v="Gulf Coast State College "/>
    <s v="Met the criteria for Two-Year 2 in 2020-21 and 2021-22"/>
    <n v="134343"/>
    <x v="12"/>
    <m/>
    <m/>
    <m/>
    <m/>
    <n v="38945"/>
    <n v="34418"/>
    <n v="11191"/>
    <n v="10967"/>
    <n v="40033"/>
    <n v="39949"/>
    <n v="90169"/>
    <n v="3005.6333333333332"/>
    <n v="85334"/>
    <n v="2844.4666666666667"/>
    <n v="12056"/>
    <n v="12610"/>
    <n v="90169"/>
    <n v="85334"/>
    <m/>
    <m/>
    <n v="47862"/>
    <n v="59151"/>
    <n v="24107"/>
    <n v="31679"/>
    <n v="51646"/>
    <n v="41052"/>
    <n v="123615"/>
    <n v="137.35"/>
    <n v="131882"/>
    <n v="146.53555555555556"/>
    <n v="0"/>
    <n v="0"/>
    <n v="123615"/>
    <n v="131882"/>
  </r>
  <r>
    <x v="3"/>
    <s v="Hillsborough Community College "/>
    <m/>
    <n v="134495"/>
    <x v="5"/>
    <m/>
    <m/>
    <m/>
    <m/>
    <n v="237483"/>
    <n v="211166"/>
    <n v="96362"/>
    <n v="92894"/>
    <n v="232718"/>
    <n v="224142"/>
    <n v="566563"/>
    <n v="18885.433333333334"/>
    <n v="528202"/>
    <n v="17606.733333333334"/>
    <n v="71752"/>
    <n v="70328"/>
    <n v="566563"/>
    <n v="528202"/>
    <m/>
    <m/>
    <n v="875049"/>
    <n v="707791"/>
    <n v="64272"/>
    <n v="71792"/>
    <n v="846842"/>
    <n v="700223"/>
    <n v="1786163"/>
    <n v="1984.6255555555556"/>
    <n v="1479806"/>
    <n v="1644.2288888888888"/>
    <n v="0"/>
    <n v="0"/>
    <n v="1786163"/>
    <n v="1479806"/>
  </r>
  <r>
    <x v="3"/>
    <s v="Indian River State College "/>
    <s v="Met the criteria for Two-Year 1 in 2020-21 and 2021-22"/>
    <n v="134608"/>
    <x v="12"/>
    <m/>
    <m/>
    <m/>
    <m/>
    <n v="120054"/>
    <n v="109926"/>
    <n v="60010"/>
    <n v="54667"/>
    <n v="121224"/>
    <n v="111915"/>
    <n v="301288"/>
    <n v="10042.933333333332"/>
    <n v="276508"/>
    <n v="9216.9333333333325"/>
    <n v="63338"/>
    <n v="52678"/>
    <n v="301288"/>
    <n v="276508"/>
    <m/>
    <m/>
    <n v="626352"/>
    <n v="403009"/>
    <n v="275731"/>
    <n v="352656"/>
    <n v="376074"/>
    <n v="334555"/>
    <n v="1278157"/>
    <n v="1420.1744444444444"/>
    <n v="1090220"/>
    <n v="1211.3555555555556"/>
    <n v="1500"/>
    <n v="2065"/>
    <n v="1278157"/>
    <n v="1090220"/>
  </r>
  <r>
    <x v="3"/>
    <s v="Florida Gateway College"/>
    <s v="Met the criteria for Two-Year 2 in 2020-21 and 2021-22"/>
    <n v="135160"/>
    <x v="12"/>
    <m/>
    <m/>
    <m/>
    <m/>
    <n v="25259"/>
    <n v="21472"/>
    <n v="11539"/>
    <n v="10529"/>
    <n v="23619"/>
    <n v="22310"/>
    <n v="60417"/>
    <n v="2013.9"/>
    <n v="54311"/>
    <n v="1810.3666666666666"/>
    <n v="13299"/>
    <n v="11153"/>
    <n v="60417"/>
    <n v="54311"/>
    <m/>
    <m/>
    <n v="90149"/>
    <n v="122058"/>
    <n v="43816"/>
    <n v="34762"/>
    <n v="102831"/>
    <n v="83890"/>
    <n v="236796"/>
    <n v="263.10666666666668"/>
    <n v="240710"/>
    <n v="267.45555555555558"/>
    <n v="3000"/>
    <n v="5505"/>
    <n v="236796"/>
    <n v="240710"/>
  </r>
  <r>
    <x v="3"/>
    <s v="Lake-Sumter State College "/>
    <s v="Met the criteria for Two-Year 2 in 2020-21 and 2021-22"/>
    <n v="135188"/>
    <x v="12"/>
    <m/>
    <m/>
    <m/>
    <m/>
    <n v="39810"/>
    <n v="37785"/>
    <n v="15197"/>
    <n v="13199"/>
    <n v="42699"/>
    <n v="37742"/>
    <n v="97706"/>
    <n v="3256.8666666666668"/>
    <n v="88726"/>
    <n v="2957.5333333333333"/>
    <n v="24011"/>
    <n v="22105"/>
    <n v="97706"/>
    <n v="88726"/>
    <m/>
    <m/>
    <n v="114"/>
    <n v="194"/>
    <n v="0"/>
    <n v="0"/>
    <n v="392"/>
    <n v="0"/>
    <n v="506"/>
    <n v="0.56222222222222218"/>
    <n v="194"/>
    <n v="0.21555555555555556"/>
    <n v="0"/>
    <n v="0"/>
    <n v="506"/>
    <n v="194"/>
  </r>
  <r>
    <x v="3"/>
    <s v="State College of Florida, Manatee-Sarasota"/>
    <s v="Met the criteria for Two-Year 1 in 2020-21 and 2021-22"/>
    <n v="135391"/>
    <x v="12"/>
    <m/>
    <m/>
    <m/>
    <m/>
    <n v="81023"/>
    <n v="76565"/>
    <n v="30021"/>
    <n v="26952"/>
    <n v="86374"/>
    <n v="77599"/>
    <n v="197418"/>
    <n v="6580.6"/>
    <n v="181116"/>
    <n v="6037.2"/>
    <n v="16324"/>
    <n v="13980"/>
    <n v="197418"/>
    <n v="181116"/>
    <m/>
    <m/>
    <n v="0"/>
    <n v="0"/>
    <n v="0"/>
    <n v="0"/>
    <n v="0"/>
    <n v="0"/>
    <n v="0"/>
    <n v="0"/>
    <n v="0"/>
    <n v="0"/>
    <n v="0"/>
    <n v="0"/>
    <n v="0"/>
    <n v="0"/>
  </r>
  <r>
    <x v="3"/>
    <s v="Miami Dade College "/>
    <s v="Met the criteria for Two-Year 1 in 2020-21 and 2021-22"/>
    <n v="135717"/>
    <x v="12"/>
    <m/>
    <m/>
    <m/>
    <m/>
    <n v="499096"/>
    <n v="465813"/>
    <n v="256784"/>
    <n v="255674"/>
    <n v="482907"/>
    <n v="477060"/>
    <n v="1238787"/>
    <n v="41292.9"/>
    <n v="1198547"/>
    <n v="39951.566666666666"/>
    <n v="68977"/>
    <n v="66511"/>
    <n v="1238787"/>
    <n v="1198547"/>
    <m/>
    <m/>
    <n v="890680"/>
    <n v="494099"/>
    <n v="204286"/>
    <n v="364396"/>
    <n v="358370"/>
    <n v="555007"/>
    <n v="1453336"/>
    <n v="1614.8177777777778"/>
    <n v="1413502"/>
    <n v="1570.5577777777778"/>
    <n v="0"/>
    <n v="0"/>
    <n v="1453336"/>
    <n v="1413502"/>
  </r>
  <r>
    <x v="3"/>
    <s v="North Florida College "/>
    <m/>
    <n v="136145"/>
    <x v="7"/>
    <m/>
    <m/>
    <m/>
    <m/>
    <n v="9113"/>
    <n v="8827"/>
    <n v="3207"/>
    <n v="4129"/>
    <n v="9612"/>
    <n v="9483"/>
    <n v="21932"/>
    <n v="731.06666666666672"/>
    <n v="22439"/>
    <n v="747.9666666666667"/>
    <n v="5402"/>
    <n v="5641"/>
    <n v="21932"/>
    <n v="22439"/>
    <m/>
    <m/>
    <n v="33721"/>
    <n v="25443"/>
    <n v="6640"/>
    <n v="14091"/>
    <n v="19838"/>
    <n v="20121"/>
    <n v="60199"/>
    <n v="66.887777777777771"/>
    <n v="59655"/>
    <n v="66.283333333333331"/>
    <n v="3150"/>
    <n v="600"/>
    <n v="60199"/>
    <n v="59655"/>
  </r>
  <r>
    <x v="3"/>
    <s v="Northwest Florida State College"/>
    <s v="Met the criteria for Two-Year 2 in 2020-21 and 2021-22"/>
    <n v="136233"/>
    <x v="12"/>
    <m/>
    <m/>
    <m/>
    <m/>
    <n v="44214"/>
    <n v="38244"/>
    <n v="18349"/>
    <n v="14614"/>
    <n v="42943"/>
    <n v="39106"/>
    <n v="105506"/>
    <n v="3516.8666666666668"/>
    <n v="91964"/>
    <n v="3065.4666666666667"/>
    <n v="18485"/>
    <n v="17290"/>
    <n v="105506"/>
    <n v="91964"/>
    <m/>
    <m/>
    <n v="102523"/>
    <n v="87048"/>
    <n v="7424"/>
    <n v="19434"/>
    <n v="86153"/>
    <n v="62896"/>
    <n v="196100"/>
    <n v="217.88888888888889"/>
    <n v="169378"/>
    <n v="188.19777777777779"/>
    <n v="0"/>
    <n v="0"/>
    <n v="196100"/>
    <n v="169378"/>
  </r>
  <r>
    <x v="3"/>
    <s v="Palm Beach State College "/>
    <s v="Met the criteria for Two-Year 1 in 2020-21 and 2021-22"/>
    <n v="136358"/>
    <x v="12"/>
    <m/>
    <m/>
    <m/>
    <m/>
    <n v="220541"/>
    <n v="190047"/>
    <n v="120964"/>
    <n v="104976"/>
    <n v="218438"/>
    <n v="187939"/>
    <n v="559943"/>
    <n v="18664.766666666666"/>
    <n v="482962"/>
    <n v="16098.733333333334"/>
    <n v="39731"/>
    <n v="29128"/>
    <n v="559943"/>
    <n v="482962"/>
    <m/>
    <m/>
    <n v="517305"/>
    <n v="447415"/>
    <n v="271739"/>
    <n v="264681"/>
    <n v="442577"/>
    <n v="288980"/>
    <n v="1231621"/>
    <n v="1368.4677777777779"/>
    <n v="1001076"/>
    <n v="1112.3066666666666"/>
    <n v="1920"/>
    <n v="0"/>
    <n v="1231621"/>
    <n v="1001076"/>
  </r>
  <r>
    <x v="3"/>
    <s v="Pasco-Hernando State College "/>
    <s v="Met the criteria for Two-Year 1 in 2020-21 and 2021-22"/>
    <n v="136400"/>
    <x v="12"/>
    <m/>
    <m/>
    <m/>
    <m/>
    <n v="92543"/>
    <n v="82291"/>
    <n v="29752"/>
    <n v="26296"/>
    <n v="90133"/>
    <n v="78008"/>
    <n v="212428"/>
    <n v="7080.9333333333334"/>
    <n v="186595"/>
    <n v="6219.833333333333"/>
    <n v="37152"/>
    <n v="35354"/>
    <n v="212428"/>
    <n v="186595"/>
    <m/>
    <m/>
    <n v="114435"/>
    <n v="97351"/>
    <n v="12446"/>
    <n v="52552"/>
    <n v="59344"/>
    <n v="104080"/>
    <n v="186225"/>
    <n v="206.91666666666666"/>
    <n v="253983"/>
    <n v="282.20333333333332"/>
    <n v="2100"/>
    <n v="4650"/>
    <n v="186225"/>
    <n v="253983"/>
  </r>
  <r>
    <x v="3"/>
    <s v="Pensacola State College "/>
    <s v="Met the criteria for Two-Year 1 in 2020-21 and 2021-22"/>
    <n v="136473"/>
    <x v="12"/>
    <m/>
    <m/>
    <m/>
    <m/>
    <n v="77997"/>
    <n v="69489"/>
    <n v="30648"/>
    <n v="28449"/>
    <n v="78284"/>
    <n v="73022"/>
    <n v="186929"/>
    <n v="6230.9666666666662"/>
    <n v="170960"/>
    <n v="5698.666666666667"/>
    <n v="26065"/>
    <n v="22988"/>
    <n v="186929"/>
    <n v="170960"/>
    <m/>
    <m/>
    <n v="173412"/>
    <n v="130486"/>
    <n v="64278"/>
    <n v="66019"/>
    <n v="133087"/>
    <n v="147858"/>
    <n v="370777"/>
    <n v="411.97444444444443"/>
    <n v="344363"/>
    <n v="382.62555555555554"/>
    <n v="2700"/>
    <n v="375"/>
    <n v="370777"/>
    <n v="344363"/>
  </r>
  <r>
    <x v="3"/>
    <s v="Polk State College "/>
    <s v="Met the criteria for Two-Year 1 in 2020-21 and 2021-22"/>
    <n v="136516"/>
    <x v="12"/>
    <m/>
    <m/>
    <m/>
    <m/>
    <n v="79005"/>
    <n v="69011"/>
    <n v="31004"/>
    <n v="25395"/>
    <n v="80269"/>
    <n v="71739"/>
    <n v="190278"/>
    <n v="6342.6"/>
    <n v="166145"/>
    <n v="5538.166666666667"/>
    <n v="21372"/>
    <n v="17314"/>
    <n v="190278"/>
    <n v="166145"/>
    <m/>
    <m/>
    <n v="29514"/>
    <n v="21374"/>
    <n v="14739"/>
    <n v="24685"/>
    <n v="36752"/>
    <n v="41100"/>
    <n v="81005"/>
    <n v="90.00555555555556"/>
    <n v="87159"/>
    <n v="96.843333333333334"/>
    <n v="0"/>
    <n v="0"/>
    <n v="81005"/>
    <n v="87159"/>
  </r>
  <r>
    <x v="3"/>
    <s v="St. Johns River State College "/>
    <s v="Met the criteria for Two-Year 2 in 2020-21 and 2021-22"/>
    <n v="137281"/>
    <x v="12"/>
    <m/>
    <m/>
    <m/>
    <m/>
    <n v="53848"/>
    <n v="49330"/>
    <n v="22640"/>
    <n v="18979"/>
    <n v="56936"/>
    <n v="52192"/>
    <n v="133424"/>
    <n v="4447.4666666666662"/>
    <n v="120501"/>
    <n v="4016.7"/>
    <n v="36232"/>
    <n v="34913"/>
    <n v="133424"/>
    <n v="120501"/>
    <m/>
    <m/>
    <n v="45624"/>
    <n v="47400"/>
    <n v="20984"/>
    <n v="17310"/>
    <n v="26343"/>
    <n v="47008"/>
    <n v="92951"/>
    <n v="103.27888888888889"/>
    <n v="111718"/>
    <n v="124.13111111111111"/>
    <n v="1320"/>
    <n v="1920"/>
    <n v="92951"/>
    <n v="111718"/>
  </r>
  <r>
    <x v="3"/>
    <s v="St. Petersburg College "/>
    <s v="Met the criteria for Two-Year 1 in 2020-21 and 2021-22"/>
    <n v="137078"/>
    <x v="12"/>
    <m/>
    <m/>
    <m/>
    <m/>
    <n v="224398"/>
    <n v="201353"/>
    <n v="82899"/>
    <n v="72901"/>
    <n v="215624"/>
    <n v="195771"/>
    <n v="522921"/>
    <n v="17430.7"/>
    <n v="470025"/>
    <n v="15667.5"/>
    <n v="45611"/>
    <n v="43118"/>
    <n v="522921"/>
    <n v="470025"/>
    <m/>
    <m/>
    <n v="68153"/>
    <n v="103622"/>
    <n v="37279"/>
    <n v="46427"/>
    <n v="79586"/>
    <n v="92243"/>
    <n v="185018"/>
    <n v="205.57555555555555"/>
    <n v="242292"/>
    <n v="269.21333333333331"/>
    <n v="0"/>
    <n v="0"/>
    <n v="185018"/>
    <n v="242292"/>
  </r>
  <r>
    <x v="3"/>
    <s v="Santa Fe College "/>
    <s v="Met the criteria for Two-Year 1 in 2020-21 and 2021-22"/>
    <n v="137096"/>
    <x v="12"/>
    <m/>
    <m/>
    <m/>
    <m/>
    <n v="118747"/>
    <n v="104901"/>
    <n v="48120"/>
    <n v="44030"/>
    <n v="122669"/>
    <n v="116327"/>
    <n v="289536"/>
    <n v="9651.2000000000007"/>
    <n v="265258"/>
    <n v="8841.9333333333325"/>
    <n v="18539"/>
    <n v="13615"/>
    <n v="289536"/>
    <n v="265258"/>
    <m/>
    <m/>
    <n v="288901"/>
    <n v="238989"/>
    <n v="154479"/>
    <n v="190649"/>
    <n v="243304"/>
    <n v="267884"/>
    <n v="686684"/>
    <n v="762.98222222222228"/>
    <n v="697522"/>
    <n v="775.0244444444445"/>
    <n v="2118"/>
    <n v="0"/>
    <n v="686684"/>
    <n v="697522"/>
  </r>
  <r>
    <x v="3"/>
    <s v="Seminole State College of Florida"/>
    <s v="Met the criteria for Two-Year 1 in 2020-21 and 2021-22"/>
    <n v="137209"/>
    <x v="12"/>
    <m/>
    <m/>
    <m/>
    <m/>
    <n v="132321"/>
    <n v="118518"/>
    <n v="67365"/>
    <n v="60728"/>
    <n v="132878"/>
    <n v="124703"/>
    <n v="332564"/>
    <n v="11085.466666666667"/>
    <n v="303949"/>
    <n v="10131.633333333333"/>
    <n v="19486"/>
    <n v="21380"/>
    <n v="332564"/>
    <n v="303949"/>
    <m/>
    <m/>
    <n v="596078"/>
    <n v="468116"/>
    <n v="413902"/>
    <n v="347676"/>
    <n v="464010"/>
    <n v="280296"/>
    <n v="1473990"/>
    <n v="1637.7666666666667"/>
    <n v="1096088"/>
    <n v="1217.8755555555556"/>
    <n v="0"/>
    <n v="0"/>
    <n v="1473990"/>
    <n v="1096088"/>
  </r>
  <r>
    <x v="3"/>
    <s v="South Florida State College "/>
    <s v="Met the criteria for Two-Year 2 in 2020-21 and 2021-22"/>
    <n v="137315"/>
    <x v="12"/>
    <m/>
    <m/>
    <m/>
    <m/>
    <n v="19465"/>
    <n v="20308"/>
    <n v="6124"/>
    <n v="6670"/>
    <n v="22581"/>
    <n v="22036"/>
    <n v="48170"/>
    <n v="1605.6666666666667"/>
    <n v="49014"/>
    <n v="1633.8"/>
    <n v="9093"/>
    <n v="10353"/>
    <n v="48170"/>
    <n v="49014"/>
    <m/>
    <m/>
    <n v="283005"/>
    <n v="243547"/>
    <n v="92292"/>
    <n v="106762"/>
    <n v="286330"/>
    <n v="263225"/>
    <n v="661627"/>
    <n v="735.14111111111106"/>
    <n v="613534"/>
    <n v="681.70444444444445"/>
    <n v="66660"/>
    <n v="61310"/>
    <n v="661627"/>
    <n v="613534"/>
  </r>
  <r>
    <x v="3"/>
    <s v="Tallahassee Community College "/>
    <m/>
    <n v="137759"/>
    <x v="5"/>
    <m/>
    <m/>
    <m/>
    <m/>
    <n v="99273"/>
    <n v="97334"/>
    <n v="42609"/>
    <n v="42465"/>
    <n v="110866"/>
    <n v="120423"/>
    <n v="252748"/>
    <n v="8424.9333333333325"/>
    <n v="260222"/>
    <n v="8674.0666666666675"/>
    <n v="10903"/>
    <n v="12286"/>
    <n v="252748"/>
    <n v="260222"/>
    <m/>
    <m/>
    <n v="135526"/>
    <n v="81776"/>
    <n v="5170"/>
    <n v="56539"/>
    <n v="127392"/>
    <n v="150527"/>
    <n v="268088"/>
    <n v="297.87555555555554"/>
    <n v="288842"/>
    <n v="320.93555555555554"/>
    <n v="0"/>
    <n v="0"/>
    <n v="268088"/>
    <n v="288842"/>
  </r>
  <r>
    <x v="3"/>
    <s v="Valencia College "/>
    <s v="Met the criteria for Two-Year 1 in 2020-21 and 2021-22"/>
    <n v="138187"/>
    <x v="12"/>
    <m/>
    <m/>
    <m/>
    <m/>
    <n v="389871"/>
    <n v="382987"/>
    <n v="207915"/>
    <n v="177945"/>
    <n v="429906"/>
    <n v="385193"/>
    <n v="1027692"/>
    <n v="34256.400000000001"/>
    <n v="946125"/>
    <n v="31537.5"/>
    <n v="111499"/>
    <n v="100095"/>
    <n v="1027692"/>
    <n v="946125"/>
    <m/>
    <m/>
    <n v="102098"/>
    <n v="120786"/>
    <n v="63163"/>
    <n v="58265"/>
    <n v="70970"/>
    <n v="59948"/>
    <n v="236231"/>
    <n v="262.47888888888889"/>
    <n v="238999"/>
    <n v="265.55444444444447"/>
    <n v="0"/>
    <n v="0"/>
    <n v="236231"/>
    <n v="238999"/>
  </r>
  <r>
    <x v="4"/>
    <s v="Georgia State University "/>
    <m/>
    <n v="139940"/>
    <x v="0"/>
    <m/>
    <m/>
    <m/>
    <m/>
    <n v="489543.5"/>
    <n v="458038"/>
    <n v="154606"/>
    <n v="131012"/>
    <n v="522155.5"/>
    <n v="492262"/>
    <n v="1166305"/>
    <n v="38876.833333333336"/>
    <n v="1081312"/>
    <n v="36043.73333333333"/>
    <n v="29104.5"/>
    <n v="28667.5"/>
    <n v="1166305"/>
    <n v="1081312"/>
    <m/>
    <m/>
    <m/>
    <m/>
    <m/>
    <m/>
    <m/>
    <m/>
    <n v="0"/>
    <n v="0"/>
    <n v="0"/>
    <n v="0"/>
    <m/>
    <m/>
    <n v="0"/>
    <n v="0"/>
  </r>
  <r>
    <x v="4"/>
    <s v="University of Georgia"/>
    <m/>
    <n v="139959"/>
    <x v="0"/>
    <m/>
    <m/>
    <m/>
    <m/>
    <n v="387828.5"/>
    <n v="388604"/>
    <n v="78267"/>
    <n v="66909"/>
    <n v="403765"/>
    <n v="406427.5"/>
    <n v="869860.5"/>
    <n v="28995.35"/>
    <n v="861940.5"/>
    <n v="28731.35"/>
    <n v="819"/>
    <n v="741"/>
    <n v="869860.5"/>
    <n v="861940.5"/>
    <m/>
    <m/>
    <m/>
    <m/>
    <m/>
    <m/>
    <m/>
    <m/>
    <n v="0"/>
    <n v="0"/>
    <n v="0"/>
    <n v="0"/>
    <m/>
    <m/>
    <n v="0"/>
    <n v="0"/>
  </r>
  <r>
    <x v="4"/>
    <s v="Georgia Institute of Technology"/>
    <m/>
    <n v="139755"/>
    <x v="1"/>
    <m/>
    <m/>
    <m/>
    <m/>
    <n v="200200.97"/>
    <n v="205016"/>
    <n v="57738"/>
    <n v="46467"/>
    <n v="224031"/>
    <n v="227819"/>
    <n v="481969.97"/>
    <n v="16065.665666666666"/>
    <n v="479302"/>
    <n v="15976.733333333334"/>
    <n v="4804"/>
    <n v="5539"/>
    <n v="481969.97"/>
    <n v="479302"/>
    <m/>
    <m/>
    <m/>
    <m/>
    <m/>
    <m/>
    <m/>
    <m/>
    <n v="0"/>
    <n v="0"/>
    <n v="0"/>
    <n v="0"/>
    <m/>
    <m/>
    <n v="0"/>
    <n v="0"/>
  </r>
  <r>
    <x v="4"/>
    <s v="Georgia Southern University"/>
    <m/>
    <n v="139931"/>
    <x v="2"/>
    <m/>
    <m/>
    <m/>
    <m/>
    <n v="267704"/>
    <n v="267427"/>
    <n v="75748"/>
    <n v="75602"/>
    <n v="304969"/>
    <n v="304930"/>
    <n v="648421"/>
    <n v="21614.033333333333"/>
    <n v="647959"/>
    <n v="21598.633333333335"/>
    <n v="12455"/>
    <n v="12275"/>
    <n v="648421"/>
    <n v="647959"/>
    <m/>
    <m/>
    <m/>
    <m/>
    <m/>
    <m/>
    <m/>
    <m/>
    <n v="0"/>
    <n v="0"/>
    <n v="0"/>
    <n v="0"/>
    <m/>
    <m/>
    <n v="0"/>
    <n v="0"/>
  </r>
  <r>
    <x v="4"/>
    <s v="Kennesaw State University"/>
    <m/>
    <n v="486840"/>
    <x v="2"/>
    <m/>
    <m/>
    <m/>
    <m/>
    <n v="393334"/>
    <n v="416737"/>
    <n v="117730"/>
    <n v="113002"/>
    <n v="456454"/>
    <n v="471733"/>
    <n v="967518"/>
    <n v="32250.6"/>
    <n v="1001472"/>
    <n v="33382.400000000001"/>
    <n v="16415"/>
    <n v="16129"/>
    <n v="967518"/>
    <n v="1001472"/>
    <m/>
    <m/>
    <m/>
    <m/>
    <m/>
    <m/>
    <m/>
    <m/>
    <n v="0"/>
    <n v="0"/>
    <n v="0"/>
    <n v="0"/>
    <m/>
    <m/>
    <n v="0"/>
    <n v="0"/>
  </r>
  <r>
    <x v="4"/>
    <s v="University of West Georgia"/>
    <m/>
    <n v="141334"/>
    <x v="2"/>
    <m/>
    <m/>
    <m/>
    <m/>
    <n v="119289"/>
    <n v="111774"/>
    <n v="34423"/>
    <n v="32163"/>
    <n v="126581"/>
    <n v="114102"/>
    <n v="280293"/>
    <n v="9343.1"/>
    <n v="258039"/>
    <n v="8601.2999999999993"/>
    <n v="9494"/>
    <n v="10200"/>
    <n v="280293"/>
    <n v="258039"/>
    <m/>
    <m/>
    <m/>
    <m/>
    <m/>
    <m/>
    <m/>
    <m/>
    <n v="0"/>
    <n v="0"/>
    <n v="0"/>
    <n v="0"/>
    <m/>
    <m/>
    <n v="0"/>
    <n v="0"/>
  </r>
  <r>
    <x v="4"/>
    <s v="Valdosta State University "/>
    <m/>
    <n v="141264"/>
    <x v="2"/>
    <m/>
    <m/>
    <m/>
    <m/>
    <n v="97569"/>
    <n v="104163"/>
    <n v="26198"/>
    <n v="27259"/>
    <n v="118153"/>
    <n v="108744"/>
    <n v="241920"/>
    <n v="8064"/>
    <n v="240166"/>
    <n v="8005.5333333333338"/>
    <n v="2715"/>
    <n v="3165"/>
    <n v="241920"/>
    <n v="240166"/>
    <m/>
    <m/>
    <m/>
    <m/>
    <m/>
    <m/>
    <m/>
    <m/>
    <n v="0"/>
    <n v="0"/>
    <n v="0"/>
    <n v="0"/>
    <m/>
    <m/>
    <n v="0"/>
    <n v="0"/>
  </r>
  <r>
    <x v="4"/>
    <s v="Albany State University "/>
    <m/>
    <n v="138716"/>
    <x v="3"/>
    <m/>
    <m/>
    <m/>
    <m/>
    <n v="65480"/>
    <n v="61362"/>
    <n v="17594"/>
    <n v="17945"/>
    <n v="71883"/>
    <n v="67032"/>
    <n v="154957"/>
    <n v="5165.2333333333336"/>
    <n v="146339"/>
    <n v="4877.9666666666662"/>
    <n v="5732"/>
    <n v="4074"/>
    <n v="154957"/>
    <n v="146339"/>
    <m/>
    <m/>
    <m/>
    <m/>
    <m/>
    <m/>
    <m/>
    <m/>
    <n v="0"/>
    <n v="0"/>
    <n v="0"/>
    <n v="0"/>
    <m/>
    <m/>
    <n v="0"/>
    <n v="0"/>
  </r>
  <r>
    <x v="4"/>
    <s v="Augusta University"/>
    <m/>
    <n v="482149"/>
    <x v="3"/>
    <m/>
    <m/>
    <m/>
    <m/>
    <n v="66566"/>
    <n v="65031"/>
    <n v="14260"/>
    <n v="12938"/>
    <n v="73883"/>
    <n v="70945"/>
    <n v="154709"/>
    <n v="5156.9666666666662"/>
    <n v="148914"/>
    <n v="4963.8"/>
    <n v="3219"/>
    <n v="3048"/>
    <n v="154709"/>
    <n v="148914"/>
    <m/>
    <m/>
    <m/>
    <m/>
    <m/>
    <m/>
    <m/>
    <m/>
    <n v="0"/>
    <n v="0"/>
    <n v="0"/>
    <n v="0"/>
    <m/>
    <m/>
    <n v="0"/>
    <n v="0"/>
  </r>
  <r>
    <x v="4"/>
    <s v="Clayton State University"/>
    <m/>
    <n v="139311"/>
    <x v="3"/>
    <m/>
    <m/>
    <m/>
    <m/>
    <n v="65891"/>
    <n v="61079"/>
    <n v="21965"/>
    <n v="20557"/>
    <n v="68382"/>
    <n v="64149"/>
    <n v="156238"/>
    <n v="5207.9333333333334"/>
    <n v="145785"/>
    <n v="4859.5"/>
    <n v="15116"/>
    <n v="11701"/>
    <n v="156238"/>
    <n v="145785"/>
    <m/>
    <m/>
    <m/>
    <m/>
    <m/>
    <m/>
    <m/>
    <m/>
    <n v="0"/>
    <n v="0"/>
    <n v="0"/>
    <n v="0"/>
    <m/>
    <m/>
    <n v="0"/>
    <n v="0"/>
  </r>
  <r>
    <x v="4"/>
    <s v="Columbus State University"/>
    <s v="Meet the Criteria for Four-Year 3 in 2021-22"/>
    <n v="139366"/>
    <x v="3"/>
    <m/>
    <m/>
    <m/>
    <m/>
    <n v="72906"/>
    <n v="73618"/>
    <n v="19205"/>
    <n v="17053"/>
    <n v="82191"/>
    <n v="75467"/>
    <n v="174302"/>
    <n v="5810.0666666666666"/>
    <n v="166138"/>
    <n v="5537.9333333333334"/>
    <n v="5391"/>
    <n v="5386"/>
    <n v="174302"/>
    <n v="166138"/>
    <m/>
    <m/>
    <m/>
    <m/>
    <m/>
    <m/>
    <m/>
    <m/>
    <n v="0"/>
    <n v="0"/>
    <n v="0"/>
    <n v="0"/>
    <m/>
    <m/>
    <n v="0"/>
    <n v="0"/>
  </r>
  <r>
    <x v="4"/>
    <s v="Fort Valley State University"/>
    <m/>
    <n v="139719"/>
    <x v="4"/>
    <m/>
    <m/>
    <m/>
    <m/>
    <n v="29115"/>
    <n v="31005"/>
    <n v="6608"/>
    <n v="6144"/>
    <n v="34115"/>
    <n v="32937"/>
    <n v="69838"/>
    <n v="2327.9333333333334"/>
    <n v="70086"/>
    <n v="2336.1999999999998"/>
    <n v="506"/>
    <n v="364"/>
    <n v="69838"/>
    <n v="70086"/>
    <m/>
    <m/>
    <m/>
    <m/>
    <m/>
    <m/>
    <m/>
    <m/>
    <n v="0"/>
    <n v="0"/>
    <n v="0"/>
    <n v="0"/>
    <m/>
    <m/>
    <n v="0"/>
    <n v="0"/>
  </r>
  <r>
    <x v="4"/>
    <s v="Georgia College and State University"/>
    <m/>
    <n v="139861"/>
    <x v="3"/>
    <m/>
    <m/>
    <m/>
    <m/>
    <n v="74524"/>
    <n v="69187"/>
    <n v="17617"/>
    <n v="16574"/>
    <n v="77021"/>
    <n v="75771.5"/>
    <n v="169162"/>
    <n v="5638.7333333333336"/>
    <n v="161532.5"/>
    <n v="5384.416666666667"/>
    <n v="594"/>
    <n v="629"/>
    <n v="169162"/>
    <n v="161532.5"/>
    <m/>
    <m/>
    <m/>
    <m/>
    <m/>
    <m/>
    <m/>
    <m/>
    <n v="0"/>
    <n v="0"/>
    <n v="0"/>
    <n v="0"/>
    <m/>
    <m/>
    <n v="0"/>
    <n v="0"/>
  </r>
  <r>
    <x v="4"/>
    <s v="Georgia Southwestern State University"/>
    <m/>
    <n v="139764"/>
    <x v="3"/>
    <m/>
    <m/>
    <m/>
    <m/>
    <n v="26236"/>
    <n v="26076"/>
    <n v="7961"/>
    <n v="7904"/>
    <n v="29121"/>
    <n v="26656"/>
    <n v="63318"/>
    <n v="2110.6"/>
    <n v="60636"/>
    <n v="2021.2"/>
    <n v="3066"/>
    <n v="3048"/>
    <n v="63318"/>
    <n v="60636"/>
    <m/>
    <m/>
    <m/>
    <m/>
    <m/>
    <m/>
    <m/>
    <m/>
    <n v="0"/>
    <n v="0"/>
    <n v="0"/>
    <n v="0"/>
    <m/>
    <m/>
    <n v="0"/>
    <n v="0"/>
  </r>
  <r>
    <x v="4"/>
    <s v="University of North Georgia"/>
    <m/>
    <n v="482680"/>
    <x v="3"/>
    <m/>
    <m/>
    <m/>
    <m/>
    <n v="198841"/>
    <n v="188274"/>
    <n v="48643"/>
    <n v="45281"/>
    <n v="219432"/>
    <n v="206296"/>
    <n v="466916"/>
    <n v="15563.866666666667"/>
    <n v="439851"/>
    <n v="14661.7"/>
    <n v="21184"/>
    <n v="19020"/>
    <n v="466916"/>
    <n v="439851"/>
    <m/>
    <m/>
    <m/>
    <m/>
    <m/>
    <m/>
    <m/>
    <m/>
    <n v="0"/>
    <n v="0"/>
    <n v="0"/>
    <n v="0"/>
    <m/>
    <m/>
    <n v="0"/>
    <n v="0"/>
  </r>
  <r>
    <x v="4"/>
    <s v="Savannah State University"/>
    <m/>
    <n v="140960"/>
    <x v="4"/>
    <m/>
    <m/>
    <m/>
    <m/>
    <n v="41787"/>
    <n v="36044"/>
    <n v="9058"/>
    <n v="6913"/>
    <n v="42382"/>
    <n v="40530"/>
    <n v="93227"/>
    <n v="3107.5666666666666"/>
    <n v="83487"/>
    <n v="2782.9"/>
    <n v="1709"/>
    <n v="1490"/>
    <n v="93227"/>
    <n v="83487"/>
    <m/>
    <m/>
    <m/>
    <m/>
    <m/>
    <m/>
    <m/>
    <m/>
    <n v="0"/>
    <n v="0"/>
    <n v="0"/>
    <n v="0"/>
    <m/>
    <m/>
    <n v="0"/>
    <n v="0"/>
  </r>
  <r>
    <x v="4"/>
    <s v="Abraham Baldwin Agricultural College "/>
    <m/>
    <n v="138558"/>
    <x v="11"/>
    <m/>
    <m/>
    <m/>
    <m/>
    <n v="39190"/>
    <n v="39266"/>
    <n v="8370"/>
    <n v="9208"/>
    <n v="45710"/>
    <n v="43545"/>
    <n v="93270"/>
    <n v="3109"/>
    <n v="92019"/>
    <n v="3067.3"/>
    <n v="5926"/>
    <n v="5015"/>
    <n v="93270"/>
    <n v="92019"/>
    <m/>
    <m/>
    <m/>
    <m/>
    <m/>
    <m/>
    <m/>
    <m/>
    <n v="0"/>
    <n v="0"/>
    <n v="0"/>
    <n v="0"/>
    <m/>
    <m/>
    <n v="0"/>
    <n v="0"/>
  </r>
  <r>
    <x v="4"/>
    <s v="College of Coastal Georgia "/>
    <m/>
    <n v="139250"/>
    <x v="11"/>
    <m/>
    <m/>
    <m/>
    <m/>
    <n v="35488"/>
    <n v="32284"/>
    <n v="9214"/>
    <n v="8420"/>
    <n v="36862"/>
    <n v="34040"/>
    <n v="81564"/>
    <n v="2718.8"/>
    <n v="74744"/>
    <n v="2491.4666666666667"/>
    <n v="6624"/>
    <n v="5938"/>
    <n v="81564"/>
    <n v="74744"/>
    <m/>
    <m/>
    <m/>
    <m/>
    <m/>
    <m/>
    <m/>
    <m/>
    <n v="0"/>
    <n v="0"/>
    <n v="0"/>
    <n v="0"/>
    <m/>
    <m/>
    <n v="0"/>
    <n v="0"/>
  </r>
  <r>
    <x v="4"/>
    <s v="Dalton State College "/>
    <m/>
    <n v="139463"/>
    <x v="11"/>
    <m/>
    <m/>
    <m/>
    <m/>
    <n v="49176"/>
    <n v="45881"/>
    <n v="11492"/>
    <n v="10710"/>
    <n v="53945"/>
    <n v="50797"/>
    <n v="114613"/>
    <n v="3820.4333333333334"/>
    <n v="107388"/>
    <n v="3579.6"/>
    <n v="5497"/>
    <n v="4688"/>
    <n v="114613"/>
    <n v="107388"/>
    <m/>
    <m/>
    <m/>
    <m/>
    <m/>
    <m/>
    <m/>
    <m/>
    <n v="0"/>
    <n v="0"/>
    <n v="0"/>
    <n v="0"/>
    <m/>
    <m/>
    <n v="0"/>
    <n v="0"/>
  </r>
  <r>
    <x v="4"/>
    <s v="Georgia Gwinnett College"/>
    <m/>
    <n v="447689"/>
    <x v="11"/>
    <m/>
    <m/>
    <m/>
    <m/>
    <n v="135738"/>
    <n v="123097"/>
    <n v="32797"/>
    <n v="27563"/>
    <n v="136317"/>
    <n v="125561"/>
    <n v="304852"/>
    <n v="10161.733333333334"/>
    <n v="276221"/>
    <n v="9207.3666666666668"/>
    <n v="9397"/>
    <n v="6401"/>
    <n v="304852"/>
    <n v="276221"/>
    <m/>
    <m/>
    <m/>
    <m/>
    <m/>
    <m/>
    <m/>
    <m/>
    <n v="0"/>
    <n v="0"/>
    <n v="0"/>
    <n v="0"/>
    <m/>
    <m/>
    <n v="0"/>
    <n v="0"/>
  </r>
  <r>
    <x v="4"/>
    <s v="Gordon State College "/>
    <m/>
    <n v="139968"/>
    <x v="11"/>
    <m/>
    <m/>
    <m/>
    <m/>
    <n v="35631"/>
    <n v="30238"/>
    <n v="6452"/>
    <n v="6701"/>
    <n v="35552"/>
    <n v="32605"/>
    <n v="77635"/>
    <n v="2587.8333333333335"/>
    <n v="69544"/>
    <n v="2318.1333333333332"/>
    <n v="6863"/>
    <n v="5777"/>
    <n v="77635"/>
    <n v="69544"/>
    <m/>
    <m/>
    <m/>
    <m/>
    <m/>
    <m/>
    <m/>
    <m/>
    <n v="0"/>
    <n v="0"/>
    <n v="0"/>
    <n v="0"/>
    <m/>
    <m/>
    <n v="0"/>
    <n v="0"/>
  </r>
  <r>
    <x v="4"/>
    <s v="Middle Georgia State College"/>
    <m/>
    <n v="482158"/>
    <x v="4"/>
    <m/>
    <m/>
    <m/>
    <m/>
    <n v="80927"/>
    <n v="79182"/>
    <n v="25127"/>
    <n v="24969"/>
    <n v="89079"/>
    <n v="80947"/>
    <n v="195133"/>
    <n v="6504.4333333333334"/>
    <n v="185098"/>
    <n v="6169.9333333333334"/>
    <n v="7546"/>
    <n v="6292"/>
    <n v="195133"/>
    <n v="185098"/>
    <m/>
    <m/>
    <m/>
    <m/>
    <m/>
    <m/>
    <m/>
    <m/>
    <n v="0"/>
    <n v="0"/>
    <n v="0"/>
    <n v="0"/>
    <m/>
    <m/>
    <n v="0"/>
    <n v="0"/>
  </r>
  <r>
    <x v="4"/>
    <s v="Atlanta Metropolitan State College"/>
    <m/>
    <n v="138901"/>
    <x v="12"/>
    <m/>
    <m/>
    <m/>
    <m/>
    <n v="16128"/>
    <n v="14388"/>
    <n v="5644"/>
    <n v="6529"/>
    <n v="16441"/>
    <n v="15226"/>
    <n v="38213"/>
    <n v="1273.7666666666667"/>
    <n v="36143"/>
    <n v="1204.7666666666667"/>
    <n v="2030"/>
    <n v="1380"/>
    <n v="38213"/>
    <n v="36143"/>
    <m/>
    <m/>
    <m/>
    <m/>
    <m/>
    <m/>
    <m/>
    <m/>
    <n v="0"/>
    <n v="0"/>
    <n v="0"/>
    <n v="0"/>
    <m/>
    <m/>
    <n v="0"/>
    <n v="0"/>
  </r>
  <r>
    <x v="4"/>
    <s v="East Georgia State College"/>
    <m/>
    <n v="139621"/>
    <x v="12"/>
    <m/>
    <m/>
    <m/>
    <m/>
    <n v="26122"/>
    <n v="19100"/>
    <n v="5769"/>
    <n v="4377"/>
    <n v="25811"/>
    <n v="22581"/>
    <n v="57702"/>
    <n v="1923.4"/>
    <n v="46058"/>
    <n v="1535.2666666666667"/>
    <n v="3855"/>
    <n v="3287"/>
    <n v="57702"/>
    <n v="46058"/>
    <m/>
    <m/>
    <m/>
    <m/>
    <m/>
    <m/>
    <m/>
    <m/>
    <n v="0"/>
    <n v="0"/>
    <n v="0"/>
    <n v="0"/>
    <m/>
    <m/>
    <n v="0"/>
    <n v="0"/>
  </r>
  <r>
    <x v="4"/>
    <s v="Georgia Highlands College"/>
    <m/>
    <n v="139700"/>
    <x v="12"/>
    <m/>
    <m/>
    <m/>
    <m/>
    <n v="55957"/>
    <n v="48412"/>
    <n v="16355"/>
    <n v="13960"/>
    <n v="54578"/>
    <n v="49449"/>
    <n v="126890"/>
    <n v="4229.666666666667"/>
    <n v="111821"/>
    <n v="3727.3666666666668"/>
    <n v="6101"/>
    <n v="5747"/>
    <n v="126890"/>
    <n v="111821"/>
    <m/>
    <m/>
    <m/>
    <m/>
    <m/>
    <m/>
    <m/>
    <m/>
    <n v="0"/>
    <n v="0"/>
    <n v="0"/>
    <n v="0"/>
    <m/>
    <m/>
    <n v="0"/>
    <n v="0"/>
  </r>
  <r>
    <x v="4"/>
    <s v="South Georgia State College"/>
    <m/>
    <n v="482699"/>
    <x v="12"/>
    <m/>
    <m/>
    <m/>
    <m/>
    <n v="24417"/>
    <n v="18711"/>
    <n v="7813"/>
    <n v="5857"/>
    <n v="21898"/>
    <n v="19138"/>
    <n v="54128"/>
    <n v="1804.2666666666667"/>
    <n v="43706"/>
    <n v="1456.8666666666666"/>
    <n v="5742"/>
    <n v="4177"/>
    <n v="54128"/>
    <n v="43706"/>
    <m/>
    <m/>
    <m/>
    <m/>
    <m/>
    <m/>
    <m/>
    <m/>
    <n v="0"/>
    <n v="0"/>
    <n v="0"/>
    <n v="0"/>
    <m/>
    <m/>
    <n v="0"/>
    <n v="0"/>
  </r>
  <r>
    <x v="4"/>
    <s v="Albany Technical College"/>
    <m/>
    <n v="138682"/>
    <x v="8"/>
    <s v="sem"/>
    <s v="sem"/>
    <m/>
    <m/>
    <n v="29119"/>
    <n v="25662"/>
    <n v="13007"/>
    <n v="13863"/>
    <n v="28638"/>
    <n v="22157"/>
    <n v="70764"/>
    <n v="2358.8000000000002"/>
    <n v="61682"/>
    <n v="2056.0666666666666"/>
    <n v="10674"/>
    <n v="6833"/>
    <n v="70764"/>
    <n v="61682"/>
    <m/>
    <m/>
    <m/>
    <m/>
    <m/>
    <m/>
    <m/>
    <m/>
    <n v="0"/>
    <n v="0"/>
    <n v="0"/>
    <n v="0"/>
    <m/>
    <m/>
    <n v="0"/>
    <n v="0"/>
  </r>
  <r>
    <x v="4"/>
    <s v="Athens Technical College"/>
    <m/>
    <n v="246813"/>
    <x v="8"/>
    <s v="sem"/>
    <s v="sem"/>
    <m/>
    <m/>
    <n v="32973"/>
    <n v="28014"/>
    <n v="13092"/>
    <n v="11240"/>
    <n v="33018"/>
    <n v="30020"/>
    <n v="79083"/>
    <n v="2636.1"/>
    <n v="69274"/>
    <n v="2309.1333333333332"/>
    <n v="11217"/>
    <n v="8351"/>
    <n v="79083"/>
    <n v="69274"/>
    <m/>
    <m/>
    <m/>
    <m/>
    <m/>
    <m/>
    <m/>
    <m/>
    <n v="0"/>
    <n v="0"/>
    <n v="0"/>
    <n v="0"/>
    <m/>
    <m/>
    <n v="0"/>
    <n v="0"/>
  </r>
  <r>
    <x v="4"/>
    <s v="Atlanta Technical College"/>
    <m/>
    <n v="138840"/>
    <x v="8"/>
    <s v="sem"/>
    <s v="sem"/>
    <m/>
    <m/>
    <n v="35461"/>
    <n v="28041"/>
    <n v="17655"/>
    <n v="17006"/>
    <n v="26787"/>
    <n v="30483"/>
    <n v="79903"/>
    <n v="2663.4333333333334"/>
    <n v="75530"/>
    <n v="2517.6666666666665"/>
    <n v="3673"/>
    <n v="2308"/>
    <n v="79903"/>
    <n v="75530"/>
    <m/>
    <m/>
    <m/>
    <m/>
    <m/>
    <m/>
    <m/>
    <m/>
    <n v="0"/>
    <n v="0"/>
    <n v="0"/>
    <n v="0"/>
    <m/>
    <m/>
    <n v="0"/>
    <n v="0"/>
  </r>
  <r>
    <x v="4"/>
    <s v="Augusta Technical College"/>
    <m/>
    <n v="138956"/>
    <x v="8"/>
    <s v="sem"/>
    <s v="sem"/>
    <m/>
    <m/>
    <n v="36493"/>
    <n v="31019"/>
    <n v="16661"/>
    <n v="14174"/>
    <n v="35152"/>
    <n v="32667"/>
    <n v="88306"/>
    <n v="2943.5333333333333"/>
    <n v="77860"/>
    <n v="2595.3333333333335"/>
    <n v="7116"/>
    <n v="4484"/>
    <n v="88306"/>
    <n v="77860"/>
    <m/>
    <m/>
    <m/>
    <m/>
    <m/>
    <m/>
    <m/>
    <m/>
    <n v="0"/>
    <n v="0"/>
    <n v="0"/>
    <n v="0"/>
    <m/>
    <m/>
    <n v="0"/>
    <n v="0"/>
  </r>
  <r>
    <x v="4"/>
    <s v="Central Georgia Technical College"/>
    <m/>
    <n v="483045"/>
    <x v="8"/>
    <s v="sem"/>
    <s v="sem"/>
    <m/>
    <m/>
    <n v="63217"/>
    <n v="58122"/>
    <n v="26185"/>
    <n v="28798"/>
    <n v="64637"/>
    <n v="68505"/>
    <n v="154039"/>
    <n v="5134.6333333333332"/>
    <n v="155425"/>
    <n v="5180.833333333333"/>
    <n v="27107"/>
    <n v="30261"/>
    <n v="154039"/>
    <n v="155425"/>
    <m/>
    <m/>
    <m/>
    <m/>
    <m/>
    <m/>
    <m/>
    <m/>
    <n v="0"/>
    <n v="0"/>
    <n v="0"/>
    <n v="0"/>
    <m/>
    <m/>
    <n v="0"/>
    <n v="0"/>
  </r>
  <r>
    <x v="4"/>
    <s v="Chattahoochee Technical College"/>
    <m/>
    <n v="140331"/>
    <x v="8"/>
    <s v="sem"/>
    <s v="sem"/>
    <m/>
    <m/>
    <n v="82462"/>
    <n v="72094"/>
    <n v="29925"/>
    <n v="26113"/>
    <n v="78587"/>
    <n v="74983"/>
    <n v="190974"/>
    <n v="6365.8"/>
    <n v="173190"/>
    <n v="5773"/>
    <n v="25147"/>
    <n v="18141.099999999999"/>
    <n v="190974"/>
    <n v="173190"/>
    <m/>
    <m/>
    <m/>
    <m/>
    <m/>
    <m/>
    <m/>
    <m/>
    <n v="0"/>
    <n v="0"/>
    <n v="0"/>
    <n v="0"/>
    <m/>
    <m/>
    <n v="0"/>
    <n v="0"/>
  </r>
  <r>
    <x v="4"/>
    <s v="Coastal Pines Technical College"/>
    <m/>
    <n v="485458"/>
    <x v="8"/>
    <s v="sem"/>
    <s v="sem"/>
    <m/>
    <m/>
    <n v="31363"/>
    <n v="27133"/>
    <n v="10768"/>
    <n v="10830"/>
    <n v="26551"/>
    <n v="30015"/>
    <n v="68682"/>
    <n v="2289.4"/>
    <n v="67978"/>
    <n v="2265.9333333333334"/>
    <n v="27850"/>
    <n v="25896"/>
    <n v="68682"/>
    <n v="67978"/>
    <m/>
    <m/>
    <m/>
    <m/>
    <m/>
    <m/>
    <m/>
    <m/>
    <n v="0"/>
    <n v="0"/>
    <n v="0"/>
    <n v="0"/>
    <m/>
    <m/>
    <n v="0"/>
    <n v="0"/>
  </r>
  <r>
    <x v="4"/>
    <s v="Columbus Technical College"/>
    <m/>
    <n v="139357"/>
    <x v="8"/>
    <s v="sem"/>
    <s v="sem"/>
    <m/>
    <m/>
    <n v="29210"/>
    <n v="25032"/>
    <n v="13111"/>
    <n v="13381"/>
    <n v="26172"/>
    <n v="24663"/>
    <n v="68493"/>
    <n v="2283.1"/>
    <n v="63076"/>
    <n v="2102.5333333333333"/>
    <n v="7619"/>
    <n v="4342"/>
    <n v="68493"/>
    <n v="63076"/>
    <m/>
    <m/>
    <m/>
    <m/>
    <m/>
    <m/>
    <m/>
    <m/>
    <n v="0"/>
    <n v="0"/>
    <n v="0"/>
    <n v="0"/>
    <m/>
    <m/>
    <n v="0"/>
    <n v="0"/>
  </r>
  <r>
    <x v="4"/>
    <s v="Georgia Northwestern Technical College"/>
    <m/>
    <n v="139384"/>
    <x v="8"/>
    <s v="sem"/>
    <s v="sem"/>
    <m/>
    <m/>
    <n v="51946"/>
    <n v="49035"/>
    <n v="20070"/>
    <n v="20086"/>
    <n v="55324"/>
    <n v="50969"/>
    <n v="127340"/>
    <n v="4244.666666666667"/>
    <n v="120090"/>
    <n v="4003"/>
    <n v="26412"/>
    <n v="22005"/>
    <n v="127340"/>
    <n v="120090"/>
    <m/>
    <m/>
    <m/>
    <m/>
    <m/>
    <m/>
    <m/>
    <m/>
    <n v="0"/>
    <n v="0"/>
    <n v="0"/>
    <n v="0"/>
    <m/>
    <m/>
    <n v="0"/>
    <n v="0"/>
  </r>
  <r>
    <x v="4"/>
    <s v="Georgia Piedmont Technical College"/>
    <m/>
    <n v="244446"/>
    <x v="8"/>
    <s v="sem"/>
    <s v="sem"/>
    <m/>
    <m/>
    <n v="27791.5"/>
    <n v="18844"/>
    <n v="12043"/>
    <n v="10315"/>
    <n v="21083"/>
    <n v="20527.5"/>
    <n v="60917.5"/>
    <n v="2030.5833333333333"/>
    <n v="49686.5"/>
    <n v="1656.2166666666667"/>
    <n v="11902.5"/>
    <n v="7058.5"/>
    <n v="60917.5"/>
    <n v="49686.5"/>
    <m/>
    <m/>
    <m/>
    <m/>
    <m/>
    <m/>
    <m/>
    <m/>
    <n v="0"/>
    <n v="0"/>
    <n v="0"/>
    <n v="0"/>
    <m/>
    <m/>
    <n v="0"/>
    <n v="0"/>
  </r>
  <r>
    <x v="4"/>
    <s v="Gwinnett Technical College"/>
    <m/>
    <n v="140012"/>
    <x v="8"/>
    <s v="sem"/>
    <s v="sem"/>
    <m/>
    <m/>
    <n v="75208"/>
    <n v="66063"/>
    <n v="23404"/>
    <n v="20654"/>
    <n v="68037"/>
    <n v="64071"/>
    <n v="166649"/>
    <n v="5554.9666666666662"/>
    <n v="150788"/>
    <n v="5026.2666666666664"/>
    <n v="24675"/>
    <n v="17448"/>
    <n v="166649"/>
    <n v="150788"/>
    <m/>
    <m/>
    <m/>
    <m/>
    <m/>
    <m/>
    <m/>
    <m/>
    <n v="0"/>
    <n v="0"/>
    <n v="0"/>
    <n v="0"/>
    <m/>
    <m/>
    <n v="0"/>
    <n v="0"/>
  </r>
  <r>
    <x v="4"/>
    <s v="Lanier Technical College"/>
    <m/>
    <n v="140243"/>
    <x v="8"/>
    <s v="sem"/>
    <s v="sem"/>
    <m/>
    <m/>
    <n v="37624"/>
    <n v="37330"/>
    <n v="14745"/>
    <n v="14415"/>
    <n v="40793"/>
    <n v="41488"/>
    <n v="93162"/>
    <n v="3105.4"/>
    <n v="93233"/>
    <n v="3107.7666666666669"/>
    <n v="16131"/>
    <n v="15003"/>
    <n v="93162"/>
    <n v="93233"/>
    <m/>
    <m/>
    <m/>
    <m/>
    <m/>
    <m/>
    <m/>
    <m/>
    <n v="0"/>
    <n v="0"/>
    <n v="0"/>
    <n v="0"/>
    <m/>
    <m/>
    <n v="0"/>
    <n v="0"/>
  </r>
  <r>
    <x v="4"/>
    <s v="North Georgia Technical College"/>
    <m/>
    <n v="140678"/>
    <x v="8"/>
    <s v="sem"/>
    <s v="sem"/>
    <m/>
    <m/>
    <n v="23018"/>
    <n v="19690"/>
    <n v="9754"/>
    <n v="9414"/>
    <n v="22209"/>
    <n v="22339"/>
    <n v="54981"/>
    <n v="1832.7"/>
    <n v="51443"/>
    <n v="1714.7666666666667"/>
    <n v="6448"/>
    <n v="5882"/>
    <n v="54981"/>
    <n v="51443"/>
    <m/>
    <m/>
    <m/>
    <m/>
    <m/>
    <m/>
    <m/>
    <m/>
    <n v="0"/>
    <n v="0"/>
    <n v="0"/>
    <n v="0"/>
    <m/>
    <m/>
    <n v="0"/>
    <n v="0"/>
  </r>
  <r>
    <x v="4"/>
    <s v="Oconee Fall Line Technical College"/>
    <m/>
    <n v="420431"/>
    <x v="8"/>
    <s v="sem"/>
    <s v="sem"/>
    <m/>
    <m/>
    <n v="14403"/>
    <n v="12429"/>
    <n v="7254"/>
    <n v="6967"/>
    <n v="14203"/>
    <n v="12940"/>
    <n v="35860"/>
    <n v="1195.3333333333333"/>
    <n v="32336"/>
    <n v="1077.8666666666666"/>
    <n v="3697"/>
    <n v="3242"/>
    <n v="35860"/>
    <n v="32336"/>
    <m/>
    <m/>
    <m/>
    <m/>
    <m/>
    <m/>
    <m/>
    <m/>
    <n v="0"/>
    <n v="0"/>
    <n v="0"/>
    <n v="0"/>
    <m/>
    <m/>
    <n v="0"/>
    <n v="0"/>
  </r>
  <r>
    <x v="4"/>
    <s v="Ogeechee Technical College"/>
    <m/>
    <n v="366465"/>
    <x v="8"/>
    <s v="sem"/>
    <s v="sem"/>
    <m/>
    <m/>
    <n v="19373"/>
    <n v="18728"/>
    <n v="9918"/>
    <n v="10093"/>
    <n v="20188"/>
    <n v="20057"/>
    <n v="49479"/>
    <n v="1649.3"/>
    <n v="48878"/>
    <n v="1629.2666666666667"/>
    <n v="4768"/>
    <n v="4143"/>
    <n v="49479"/>
    <n v="48878"/>
    <m/>
    <m/>
    <m/>
    <m/>
    <m/>
    <m/>
    <m/>
    <m/>
    <n v="0"/>
    <n v="0"/>
    <n v="0"/>
    <n v="0"/>
    <m/>
    <m/>
    <n v="0"/>
    <n v="0"/>
  </r>
  <r>
    <x v="4"/>
    <s v="Savannah Technical College"/>
    <m/>
    <n v="140942"/>
    <x v="8"/>
    <s v="sem"/>
    <s v="sem"/>
    <m/>
    <m/>
    <n v="37047"/>
    <n v="32973"/>
    <n v="14136"/>
    <n v="13994"/>
    <n v="33744"/>
    <n v="32197"/>
    <n v="84927"/>
    <n v="2830.9"/>
    <n v="79164"/>
    <n v="2638.8"/>
    <n v="7575"/>
    <n v="5786"/>
    <n v="84927"/>
    <n v="79164"/>
    <m/>
    <m/>
    <m/>
    <m/>
    <m/>
    <m/>
    <m/>
    <m/>
    <n v="0"/>
    <n v="0"/>
    <n v="0"/>
    <n v="0"/>
    <m/>
    <m/>
    <n v="0"/>
    <n v="0"/>
  </r>
  <r>
    <x v="4"/>
    <s v="South Georgia Technical College"/>
    <m/>
    <n v="141006"/>
    <x v="8"/>
    <s v="sem"/>
    <s v="sem"/>
    <m/>
    <m/>
    <n v="19745"/>
    <n v="16243"/>
    <n v="8383"/>
    <n v="7730"/>
    <n v="17816"/>
    <n v="15740"/>
    <n v="45944"/>
    <n v="1531.4666666666667"/>
    <n v="39713"/>
    <n v="1323.7666666666667"/>
    <n v="5471"/>
    <n v="3682"/>
    <n v="45944"/>
    <n v="39713"/>
    <m/>
    <m/>
    <m/>
    <m/>
    <m/>
    <m/>
    <m/>
    <m/>
    <n v="0"/>
    <n v="0"/>
    <n v="0"/>
    <n v="0"/>
    <m/>
    <m/>
    <n v="0"/>
    <n v="0"/>
  </r>
  <r>
    <x v="4"/>
    <s v="Southeastern Technical College"/>
    <s v="Met the crtiera for Technical College 2 in 2021-22"/>
    <n v="368911"/>
    <x v="8"/>
    <s v="sem"/>
    <s v="sem"/>
    <m/>
    <m/>
    <n v="13711"/>
    <n v="11665"/>
    <n v="4956"/>
    <n v="5423"/>
    <n v="13708"/>
    <n v="12633"/>
    <n v="32375"/>
    <n v="1079.1666666666667"/>
    <n v="29721"/>
    <n v="990.7"/>
    <n v="7721"/>
    <n v="7166"/>
    <n v="32375"/>
    <n v="29721"/>
    <m/>
    <m/>
    <m/>
    <m/>
    <m/>
    <m/>
    <m/>
    <m/>
    <n v="0"/>
    <n v="0"/>
    <n v="0"/>
    <n v="0"/>
    <m/>
    <m/>
    <n v="0"/>
    <n v="0"/>
  </r>
  <r>
    <x v="4"/>
    <s v="Southern Crescent Technical College"/>
    <m/>
    <n v="139986"/>
    <x v="8"/>
    <s v="sem"/>
    <s v="sem"/>
    <m/>
    <m/>
    <n v="43936"/>
    <n v="41812"/>
    <n v="19785"/>
    <n v="19183"/>
    <n v="43996"/>
    <n v="41340"/>
    <n v="107717"/>
    <n v="3590.5666666666666"/>
    <n v="102335"/>
    <n v="3411.1666666666665"/>
    <n v="16442"/>
    <n v="13002"/>
    <n v="107717"/>
    <n v="102335"/>
    <m/>
    <m/>
    <m/>
    <m/>
    <m/>
    <m/>
    <m/>
    <m/>
    <n v="0"/>
    <n v="0"/>
    <n v="0"/>
    <n v="0"/>
    <m/>
    <m/>
    <n v="0"/>
    <n v="0"/>
  </r>
  <r>
    <x v="4"/>
    <s v="Southern Regional Technical College"/>
    <m/>
    <n v="487162"/>
    <x v="8"/>
    <s v="sem"/>
    <s v="sem"/>
    <m/>
    <m/>
    <n v="41784"/>
    <n v="32753"/>
    <n v="16868"/>
    <n v="17577"/>
    <n v="35632"/>
    <n v="35762"/>
    <n v="94284"/>
    <n v="3142.8"/>
    <n v="86092"/>
    <n v="2869.7333333333331"/>
    <n v="22666"/>
    <n v="16528"/>
    <n v="94284"/>
    <n v="86092"/>
    <m/>
    <m/>
    <m/>
    <m/>
    <m/>
    <m/>
    <m/>
    <m/>
    <n v="0"/>
    <n v="0"/>
    <n v="0"/>
    <n v="0"/>
    <m/>
    <m/>
    <n v="0"/>
    <n v="0"/>
  </r>
  <r>
    <x v="4"/>
    <s v="West Georgia Technical College"/>
    <m/>
    <n v="139278"/>
    <x v="8"/>
    <s v="sem"/>
    <s v="sem"/>
    <m/>
    <m/>
    <n v="54321"/>
    <n v="46013"/>
    <n v="19948"/>
    <n v="18833"/>
    <n v="53630"/>
    <n v="52410"/>
    <n v="127899"/>
    <n v="4263.3"/>
    <n v="117256"/>
    <n v="3908.5333333333333"/>
    <n v="23893"/>
    <n v="18414"/>
    <n v="127899"/>
    <n v="117256"/>
    <m/>
    <m/>
    <m/>
    <m/>
    <m/>
    <m/>
    <m/>
    <m/>
    <n v="0"/>
    <n v="0"/>
    <n v="0"/>
    <n v="0"/>
    <m/>
    <m/>
    <n v="0"/>
    <n v="0"/>
  </r>
  <r>
    <x v="4"/>
    <s v="Wiregrass Georgia Technical College"/>
    <m/>
    <n v="141255"/>
    <x v="8"/>
    <s v="sem"/>
    <s v="sem"/>
    <m/>
    <m/>
    <n v="33759"/>
    <n v="26173"/>
    <n v="12252"/>
    <n v="12806"/>
    <n v="28581"/>
    <n v="27824"/>
    <n v="74592"/>
    <n v="2486.4"/>
    <n v="66803"/>
    <n v="2226.7666666666669"/>
    <n v="21147"/>
    <n v="14231"/>
    <n v="74592"/>
    <n v="66803"/>
    <m/>
    <m/>
    <m/>
    <m/>
    <m/>
    <m/>
    <m/>
    <m/>
    <n v="0"/>
    <n v="0"/>
    <n v="0"/>
    <n v="0"/>
    <m/>
    <m/>
    <n v="0"/>
    <n v="0"/>
  </r>
  <r>
    <x v="5"/>
    <s v="University of Kentucky"/>
    <m/>
    <n v="157085"/>
    <x v="0"/>
    <m/>
    <m/>
    <m/>
    <m/>
    <n v="275771"/>
    <n v="280217"/>
    <n v="30247"/>
    <n v="22738"/>
    <n v="299390"/>
    <n v="290515"/>
    <n v="605408"/>
    <n v="20180.266666666666"/>
    <n v="593470"/>
    <n v="19782.333333333332"/>
    <n v="1620"/>
    <n v="2462"/>
    <n v="605408"/>
    <n v="593470"/>
    <m/>
    <m/>
    <m/>
    <m/>
    <m/>
    <m/>
    <m/>
    <m/>
    <n v="0"/>
    <n v="0"/>
    <n v="0"/>
    <n v="0"/>
    <m/>
    <m/>
    <n v="0"/>
    <n v="0"/>
  </r>
  <r>
    <x v="5"/>
    <s v="University of Louisville"/>
    <m/>
    <n v="157289"/>
    <x v="0"/>
    <m/>
    <m/>
    <m/>
    <m/>
    <n v="166769"/>
    <n v="166686"/>
    <n v="36751"/>
    <n v="31431"/>
    <n v="183918"/>
    <n v="178438"/>
    <n v="387438"/>
    <n v="12914.6"/>
    <n v="376555"/>
    <n v="12551.833333333334"/>
    <n v="6797"/>
    <n v="7309"/>
    <n v="387438"/>
    <n v="376555"/>
    <m/>
    <m/>
    <m/>
    <m/>
    <m/>
    <m/>
    <m/>
    <m/>
    <n v="0"/>
    <n v="0"/>
    <n v="0"/>
    <n v="0"/>
    <m/>
    <m/>
    <n v="0"/>
    <n v="0"/>
  </r>
  <r>
    <x v="5"/>
    <s v="Eastern Kentucky University "/>
    <m/>
    <n v="156620"/>
    <x v="2"/>
    <m/>
    <m/>
    <m/>
    <m/>
    <n v="141295"/>
    <n v="135599"/>
    <n v="16651"/>
    <n v="16520"/>
    <n v="152426"/>
    <n v="146737"/>
    <n v="310372"/>
    <n v="10345.733333333334"/>
    <n v="298856"/>
    <n v="9961.8666666666668"/>
    <n v="7642"/>
    <n v="5698"/>
    <n v="310372"/>
    <n v="298856"/>
    <m/>
    <m/>
    <m/>
    <m/>
    <m/>
    <m/>
    <m/>
    <m/>
    <n v="0"/>
    <n v="0"/>
    <n v="0"/>
    <n v="0"/>
    <m/>
    <m/>
    <n v="0"/>
    <n v="0"/>
  </r>
  <r>
    <x v="5"/>
    <s v="Morehead State University "/>
    <m/>
    <n v="157386"/>
    <x v="2"/>
    <m/>
    <m/>
    <m/>
    <m/>
    <n v="87269"/>
    <n v="82989"/>
    <n v="5859"/>
    <n v="5475"/>
    <n v="93643"/>
    <n v="86048"/>
    <n v="186771"/>
    <n v="6225.7"/>
    <n v="174512"/>
    <n v="5817.0666666666666"/>
    <n v="25179"/>
    <n v="24778"/>
    <n v="186771"/>
    <n v="174512"/>
    <m/>
    <m/>
    <m/>
    <m/>
    <m/>
    <m/>
    <m/>
    <m/>
    <n v="0"/>
    <n v="0"/>
    <n v="0"/>
    <n v="0"/>
    <m/>
    <m/>
    <n v="0"/>
    <n v="0"/>
  </r>
  <r>
    <x v="5"/>
    <s v="Murray State University "/>
    <m/>
    <n v="157401"/>
    <x v="2"/>
    <m/>
    <m/>
    <m/>
    <m/>
    <n v="90962"/>
    <n v="87619"/>
    <n v="9957"/>
    <n v="10868"/>
    <n v="98947"/>
    <n v="95625"/>
    <n v="199866"/>
    <n v="6662.2"/>
    <n v="194112"/>
    <n v="6470.4"/>
    <n v="7946"/>
    <n v="6825"/>
    <n v="199866"/>
    <n v="194112"/>
    <m/>
    <m/>
    <m/>
    <m/>
    <m/>
    <m/>
    <m/>
    <m/>
    <n v="0"/>
    <n v="0"/>
    <n v="0"/>
    <n v="0"/>
    <m/>
    <m/>
    <n v="0"/>
    <n v="0"/>
  </r>
  <r>
    <x v="5"/>
    <s v="Northern Kentucky University "/>
    <m/>
    <n v="157447"/>
    <x v="2"/>
    <m/>
    <m/>
    <m/>
    <m/>
    <n v="130198"/>
    <n v="121557"/>
    <n v="13441"/>
    <n v="13068"/>
    <n v="138589"/>
    <n v="129854"/>
    <n v="282228"/>
    <n v="9407.6"/>
    <n v="264479"/>
    <n v="8815.9666666666672"/>
    <n v="15782"/>
    <n v="14607"/>
    <n v="282228"/>
    <n v="264479"/>
    <m/>
    <m/>
    <m/>
    <m/>
    <m/>
    <m/>
    <m/>
    <m/>
    <n v="0"/>
    <n v="0"/>
    <n v="0"/>
    <n v="0"/>
    <m/>
    <m/>
    <n v="0"/>
    <n v="0"/>
  </r>
  <r>
    <x v="5"/>
    <s v="Western Kentucky University "/>
    <m/>
    <n v="157951"/>
    <x v="2"/>
    <m/>
    <m/>
    <m/>
    <m/>
    <n v="173682"/>
    <n v="173066"/>
    <n v="16979"/>
    <n v="17836"/>
    <n v="190497"/>
    <n v="182956"/>
    <n v="381158"/>
    <n v="12705.266666666666"/>
    <n v="373858"/>
    <n v="12461.933333333332"/>
    <n v="20757"/>
    <n v="18605"/>
    <n v="381158"/>
    <n v="373858"/>
    <m/>
    <m/>
    <m/>
    <m/>
    <m/>
    <m/>
    <m/>
    <m/>
    <n v="0"/>
    <n v="0"/>
    <n v="0"/>
    <n v="0"/>
    <m/>
    <m/>
    <n v="0"/>
    <n v="0"/>
  </r>
  <r>
    <x v="5"/>
    <s v="Kentucky State University "/>
    <s v="Met the criteria for Four-Year 6 in 2020-21 and 2021-22"/>
    <n v="157058"/>
    <x v="3"/>
    <m/>
    <m/>
    <m/>
    <m/>
    <n v="21887"/>
    <n v="24125"/>
    <n v="2277"/>
    <n v="2296"/>
    <n v="25449"/>
    <n v="23972"/>
    <n v="49613"/>
    <n v="1653.7666666666667"/>
    <n v="50393"/>
    <n v="1679.7666666666667"/>
    <n v="6607"/>
    <n v="5530"/>
    <n v="49613"/>
    <n v="50393"/>
    <m/>
    <m/>
    <m/>
    <m/>
    <m/>
    <m/>
    <m/>
    <m/>
    <n v="0"/>
    <n v="0"/>
    <n v="0"/>
    <n v="0"/>
    <m/>
    <m/>
    <n v="0"/>
    <n v="0"/>
  </r>
  <r>
    <x v="5"/>
    <s v="Bluegrass Community and Technical College"/>
    <m/>
    <n v="156392"/>
    <x v="5"/>
    <m/>
    <m/>
    <m/>
    <m/>
    <n v="88616"/>
    <n v="81590"/>
    <n v="18071"/>
    <n v="16141"/>
    <n v="95310"/>
    <n v="88301"/>
    <n v="201997"/>
    <n v="6733.2333333333336"/>
    <n v="186032"/>
    <n v="6201.0666666666666"/>
    <n v="14713"/>
    <n v="15480"/>
    <n v="201997"/>
    <n v="186032"/>
    <m/>
    <m/>
    <m/>
    <m/>
    <m/>
    <m/>
    <m/>
    <m/>
    <n v="0"/>
    <n v="0"/>
    <n v="0"/>
    <n v="0"/>
    <m/>
    <m/>
    <n v="0"/>
    <n v="0"/>
  </r>
  <r>
    <x v="5"/>
    <s v="Jefferson Community and Technical College "/>
    <m/>
    <n v="156921"/>
    <x v="5"/>
    <m/>
    <m/>
    <m/>
    <m/>
    <n v="85730"/>
    <n v="76036"/>
    <n v="11348"/>
    <n v="10325"/>
    <n v="91709"/>
    <n v="86778"/>
    <n v="188787"/>
    <n v="6292.9"/>
    <n v="173139"/>
    <n v="5771.3"/>
    <n v="32851"/>
    <n v="34419"/>
    <n v="188787"/>
    <n v="173139"/>
    <m/>
    <m/>
    <m/>
    <m/>
    <m/>
    <m/>
    <m/>
    <m/>
    <n v="0"/>
    <n v="0"/>
    <n v="0"/>
    <n v="0"/>
    <m/>
    <m/>
    <n v="0"/>
    <n v="0"/>
  </r>
  <r>
    <x v="5"/>
    <s v="Big Sandy Community and Technical College "/>
    <s v="Reclassifed Met the criteria for Two-Year 3 in 2019-20 and 2020-21, and 2022"/>
    <n v="157553"/>
    <x v="7"/>
    <m/>
    <m/>
    <m/>
    <m/>
    <n v="24953"/>
    <n v="21881"/>
    <n v="2908"/>
    <n v="2461"/>
    <n v="25611"/>
    <n v="23110"/>
    <n v="53472"/>
    <n v="1782.4"/>
    <n v="47452"/>
    <n v="1581.7333333333333"/>
    <n v="3929"/>
    <n v="3784"/>
    <n v="53472"/>
    <n v="47452"/>
    <m/>
    <m/>
    <m/>
    <m/>
    <m/>
    <m/>
    <m/>
    <m/>
    <n v="0"/>
    <n v="0"/>
    <n v="0"/>
    <n v="0"/>
    <m/>
    <m/>
    <n v="0"/>
    <n v="0"/>
  </r>
  <r>
    <x v="5"/>
    <s v="Elizabethtown Community and Technical College "/>
    <m/>
    <n v="156648"/>
    <x v="6"/>
    <m/>
    <m/>
    <m/>
    <m/>
    <n v="44961"/>
    <n v="40513"/>
    <n v="7595"/>
    <n v="7379"/>
    <n v="48880"/>
    <n v="48292"/>
    <n v="101436"/>
    <n v="3381.2"/>
    <n v="96184"/>
    <n v="3206.1333333333332"/>
    <n v="16064"/>
    <n v="18091"/>
    <n v="101436"/>
    <n v="96184"/>
    <m/>
    <m/>
    <m/>
    <m/>
    <m/>
    <m/>
    <m/>
    <m/>
    <n v="0"/>
    <n v="0"/>
    <n v="0"/>
    <n v="0"/>
    <m/>
    <m/>
    <n v="0"/>
    <n v="0"/>
  </r>
  <r>
    <x v="5"/>
    <s v="Maysville Community and Technical College "/>
    <s v="Met the criteria for Two-Year 3 in  2021-22"/>
    <n v="157331"/>
    <x v="6"/>
    <m/>
    <m/>
    <m/>
    <m/>
    <n v="26671"/>
    <n v="22588"/>
    <n v="4445"/>
    <n v="3650"/>
    <n v="30874"/>
    <n v="28765"/>
    <n v="61990"/>
    <n v="2066.3333333333335"/>
    <n v="55003"/>
    <n v="1833.4333333333334"/>
    <n v="9903"/>
    <n v="10739"/>
    <n v="61990"/>
    <n v="55003"/>
    <m/>
    <m/>
    <m/>
    <m/>
    <m/>
    <m/>
    <m/>
    <m/>
    <n v="0"/>
    <n v="0"/>
    <n v="0"/>
    <n v="0"/>
    <m/>
    <m/>
    <n v="0"/>
    <n v="0"/>
  </r>
  <r>
    <x v="5"/>
    <s v="Owensboro Community and Technical College "/>
    <m/>
    <n v="247940"/>
    <x v="6"/>
    <m/>
    <m/>
    <m/>
    <m/>
    <n v="32509"/>
    <n v="26877"/>
    <n v="4580"/>
    <n v="4866"/>
    <n v="32713"/>
    <n v="34652"/>
    <n v="69802"/>
    <n v="2326.7333333333331"/>
    <n v="66395"/>
    <n v="2213.1666666666665"/>
    <n v="17253"/>
    <n v="17049"/>
    <n v="69802"/>
    <n v="66395"/>
    <m/>
    <m/>
    <m/>
    <m/>
    <m/>
    <m/>
    <m/>
    <m/>
    <n v="0"/>
    <n v="0"/>
    <n v="0"/>
    <n v="0"/>
    <m/>
    <m/>
    <n v="0"/>
    <n v="0"/>
  </r>
  <r>
    <x v="5"/>
    <s v="Somerset Community and Technical College "/>
    <m/>
    <n v="157711"/>
    <x v="6"/>
    <m/>
    <m/>
    <m/>
    <m/>
    <n v="41716"/>
    <n v="38040"/>
    <n v="6989"/>
    <n v="6019"/>
    <n v="44642"/>
    <n v="44439"/>
    <n v="93347"/>
    <n v="3111.5666666666666"/>
    <n v="88498"/>
    <n v="2949.9333333333334"/>
    <n v="9267"/>
    <n v="11311"/>
    <n v="93347"/>
    <n v="88498"/>
    <m/>
    <m/>
    <m/>
    <m/>
    <m/>
    <m/>
    <m/>
    <m/>
    <n v="0"/>
    <n v="0"/>
    <n v="0"/>
    <n v="0"/>
    <m/>
    <m/>
    <n v="0"/>
    <n v="0"/>
  </r>
  <r>
    <x v="5"/>
    <s v="West Kentucky Community and Technical College"/>
    <m/>
    <n v="157483"/>
    <x v="6"/>
    <m/>
    <m/>
    <m/>
    <m/>
    <n v="39758"/>
    <n v="33103"/>
    <n v="5990"/>
    <n v="5194"/>
    <n v="40072"/>
    <n v="36813"/>
    <n v="85820"/>
    <n v="2860.6666666666665"/>
    <n v="75110"/>
    <n v="2503.6666666666665"/>
    <n v="7738"/>
    <n v="7366"/>
    <n v="85820"/>
    <n v="75110"/>
    <m/>
    <m/>
    <m/>
    <m/>
    <m/>
    <m/>
    <m/>
    <m/>
    <n v="0"/>
    <n v="0"/>
    <n v="0"/>
    <n v="0"/>
    <m/>
    <m/>
    <n v="0"/>
    <n v="0"/>
  </r>
  <r>
    <x v="5"/>
    <s v="Ashland Community and Technical College"/>
    <m/>
    <n v="156231"/>
    <x v="7"/>
    <m/>
    <m/>
    <m/>
    <m/>
    <n v="24315"/>
    <n v="21257"/>
    <n v="4606"/>
    <n v="4475"/>
    <n v="24256"/>
    <n v="24198"/>
    <n v="53177"/>
    <n v="1772.5666666666666"/>
    <n v="49930"/>
    <n v="1664.3333333333333"/>
    <n v="4137"/>
    <n v="4854"/>
    <n v="53177"/>
    <n v="49930"/>
    <m/>
    <m/>
    <m/>
    <m/>
    <m/>
    <m/>
    <m/>
    <m/>
    <n v="0"/>
    <n v="0"/>
    <n v="0"/>
    <n v="0"/>
    <m/>
    <m/>
    <n v="0"/>
    <n v="0"/>
  </r>
  <r>
    <x v="5"/>
    <s v="Hazard Community and Technical College"/>
    <m/>
    <n v="156790"/>
    <x v="7"/>
    <m/>
    <m/>
    <m/>
    <m/>
    <n v="23361"/>
    <n v="19440"/>
    <n v="4702"/>
    <n v="4670"/>
    <n v="23406"/>
    <n v="23896"/>
    <n v="51469"/>
    <n v="1715.6333333333334"/>
    <n v="48006"/>
    <n v="1600.2"/>
    <n v="7608"/>
    <n v="8444"/>
    <n v="51469"/>
    <n v="48006"/>
    <m/>
    <m/>
    <m/>
    <m/>
    <m/>
    <m/>
    <m/>
    <m/>
    <n v="0"/>
    <n v="0"/>
    <n v="0"/>
    <n v="0"/>
    <m/>
    <m/>
    <n v="0"/>
    <n v="0"/>
  </r>
  <r>
    <x v="5"/>
    <s v="Henderson Community College "/>
    <m/>
    <n v="156851"/>
    <x v="7"/>
    <m/>
    <m/>
    <m/>
    <m/>
    <n v="10242"/>
    <n v="8722"/>
    <n v="1610"/>
    <n v="1497"/>
    <n v="11426"/>
    <n v="10936"/>
    <n v="23278"/>
    <n v="775.93333333333328"/>
    <n v="21155"/>
    <n v="705.16666666666663"/>
    <n v="3700"/>
    <n v="3744"/>
    <n v="23278"/>
    <n v="21155"/>
    <m/>
    <m/>
    <m/>
    <m/>
    <m/>
    <m/>
    <m/>
    <m/>
    <n v="0"/>
    <n v="0"/>
    <n v="0"/>
    <n v="0"/>
    <m/>
    <m/>
    <n v="0"/>
    <n v="0"/>
  </r>
  <r>
    <x v="5"/>
    <s v="Hopkinsville Community College "/>
    <m/>
    <n v="156860"/>
    <x v="7"/>
    <m/>
    <m/>
    <m/>
    <m/>
    <n v="19380"/>
    <n v="15192"/>
    <n v="3800"/>
    <n v="3131"/>
    <n v="17929"/>
    <n v="16815"/>
    <n v="41109"/>
    <n v="1370.3"/>
    <n v="35138"/>
    <n v="1171.2666666666667"/>
    <n v="4213"/>
    <n v="4815"/>
    <n v="41109"/>
    <n v="35138"/>
    <m/>
    <m/>
    <m/>
    <m/>
    <m/>
    <m/>
    <m/>
    <m/>
    <n v="0"/>
    <n v="0"/>
    <n v="0"/>
    <n v="0"/>
    <m/>
    <m/>
    <n v="0"/>
    <n v="0"/>
  </r>
  <r>
    <x v="5"/>
    <s v="Madisonville Community College"/>
    <m/>
    <n v="157304"/>
    <x v="7"/>
    <m/>
    <m/>
    <m/>
    <m/>
    <n v="21936"/>
    <n v="20966"/>
    <n v="3202"/>
    <n v="3516"/>
    <n v="27602"/>
    <n v="25779"/>
    <n v="52740"/>
    <n v="1758"/>
    <n v="50261"/>
    <n v="1675.3666666666666"/>
    <n v="11235"/>
    <n v="9773"/>
    <n v="52740"/>
    <n v="50261"/>
    <m/>
    <m/>
    <m/>
    <m/>
    <m/>
    <m/>
    <m/>
    <m/>
    <n v="0"/>
    <n v="0"/>
    <n v="0"/>
    <n v="0"/>
    <m/>
    <m/>
    <n v="0"/>
    <n v="0"/>
  </r>
  <r>
    <x v="5"/>
    <s v="Southeast Kentucky Community and Technical College"/>
    <m/>
    <n v="157739"/>
    <x v="7"/>
    <m/>
    <m/>
    <m/>
    <m/>
    <n v="21919"/>
    <n v="18224"/>
    <n v="3797"/>
    <n v="3615"/>
    <n v="22190"/>
    <n v="22508"/>
    <n v="47906"/>
    <n v="1596.8666666666666"/>
    <n v="44347"/>
    <n v="1478.2333333333333"/>
    <n v="6372"/>
    <n v="8849"/>
    <n v="47906"/>
    <n v="44347"/>
    <m/>
    <m/>
    <m/>
    <m/>
    <m/>
    <m/>
    <m/>
    <m/>
    <n v="0"/>
    <n v="0"/>
    <n v="0"/>
    <n v="0"/>
    <m/>
    <m/>
    <n v="0"/>
    <n v="0"/>
  </r>
  <r>
    <x v="5"/>
    <s v="Gateway Community and Technical College"/>
    <m/>
    <n v="157438"/>
    <x v="8"/>
    <m/>
    <m/>
    <m/>
    <m/>
    <n v="32838"/>
    <n v="31315"/>
    <n v="5869"/>
    <n v="5999"/>
    <n v="35605"/>
    <n v="34132"/>
    <n v="74312"/>
    <n v="2477.0666666666666"/>
    <n v="71446"/>
    <n v="2381.5333333333333"/>
    <n v="16192"/>
    <n v="18603"/>
    <n v="74312"/>
    <n v="71446"/>
    <m/>
    <m/>
    <m/>
    <m/>
    <m/>
    <m/>
    <m/>
    <m/>
    <n v="0"/>
    <n v="0"/>
    <n v="0"/>
    <n v="0"/>
    <m/>
    <m/>
    <n v="0"/>
    <n v="0"/>
  </r>
  <r>
    <x v="5"/>
    <s v="Southcentral Kentucky Community and Technical College"/>
    <m/>
    <n v="156338"/>
    <x v="8"/>
    <m/>
    <m/>
    <m/>
    <m/>
    <n v="35020"/>
    <n v="33015"/>
    <n v="5423"/>
    <n v="5907"/>
    <n v="36466"/>
    <n v="37491"/>
    <n v="76909"/>
    <n v="2563.6333333333332"/>
    <n v="76413"/>
    <n v="2547.1"/>
    <n v="8568"/>
    <n v="11207"/>
    <n v="76909"/>
    <n v="76413"/>
    <m/>
    <m/>
    <m/>
    <m/>
    <m/>
    <m/>
    <m/>
    <m/>
    <n v="0"/>
    <n v="0"/>
    <n v="0"/>
    <n v="0"/>
    <m/>
    <m/>
    <n v="0"/>
    <n v="0"/>
  </r>
  <r>
    <x v="6"/>
    <s v="Louisiana State University and A&amp;M College"/>
    <m/>
    <n v="159391"/>
    <x v="0"/>
    <m/>
    <m/>
    <m/>
    <m/>
    <n v="326452"/>
    <n v="351739"/>
    <n v="35899"/>
    <n v="37232"/>
    <n v="383012"/>
    <n v="401265"/>
    <n v="745363"/>
    <n v="24845.433333333334"/>
    <n v="790236"/>
    <n v="26341.200000000001"/>
    <n v="18051"/>
    <n v="18813"/>
    <n v="745363"/>
    <n v="790236"/>
    <m/>
    <m/>
    <m/>
    <m/>
    <m/>
    <m/>
    <m/>
    <m/>
    <n v="0"/>
    <n v="0"/>
    <n v="0"/>
    <n v="0"/>
    <m/>
    <m/>
    <n v="0"/>
    <n v="0"/>
  </r>
  <r>
    <x v="6"/>
    <s v="Louisiana Tech University "/>
    <m/>
    <n v="159647"/>
    <x v="1"/>
    <m/>
    <m/>
    <n v="78275"/>
    <n v="75548"/>
    <n v="79379"/>
    <n v="78520"/>
    <n v="16240"/>
    <n v="15047"/>
    <n v="88743"/>
    <n v="87364"/>
    <n v="262637"/>
    <n v="8754.5666666666675"/>
    <n v="256479"/>
    <n v="8549.2999999999993"/>
    <n v="18263"/>
    <n v="20208"/>
    <n v="262637"/>
    <n v="256479"/>
    <m/>
    <m/>
    <m/>
    <m/>
    <m/>
    <m/>
    <m/>
    <m/>
    <n v="0"/>
    <n v="0"/>
    <n v="0"/>
    <n v="0"/>
    <m/>
    <m/>
    <n v="0"/>
    <n v="0"/>
  </r>
  <r>
    <x v="6"/>
    <s v="University of Louisiana at Lafayette"/>
    <m/>
    <n v="160658"/>
    <x v="1"/>
    <m/>
    <m/>
    <m/>
    <m/>
    <n v="170777"/>
    <n v="159574"/>
    <n v="17674"/>
    <n v="16463"/>
    <n v="179915"/>
    <n v="173391"/>
    <n v="368366"/>
    <n v="12278.866666666667"/>
    <n v="349428"/>
    <n v="11647.6"/>
    <n v="5666"/>
    <n v="6147"/>
    <n v="368366"/>
    <n v="349428"/>
    <m/>
    <m/>
    <m/>
    <m/>
    <m/>
    <m/>
    <m/>
    <m/>
    <n v="0"/>
    <n v="0"/>
    <n v="0"/>
    <n v="0"/>
    <m/>
    <m/>
    <n v="0"/>
    <n v="0"/>
  </r>
  <r>
    <x v="6"/>
    <s v="University of New Orleans"/>
    <m/>
    <n v="159939"/>
    <x v="1"/>
    <m/>
    <m/>
    <m/>
    <m/>
    <n v="70359"/>
    <n v="70272"/>
    <n v="12645"/>
    <n v="10229"/>
    <n v="81430"/>
    <n v="75996"/>
    <n v="164434"/>
    <n v="5481.1333333333332"/>
    <n v="156497"/>
    <n v="5216.5666666666666"/>
    <n v="5721"/>
    <n v="6138"/>
    <n v="164434"/>
    <n v="156497"/>
    <m/>
    <m/>
    <m/>
    <m/>
    <m/>
    <m/>
    <m/>
    <m/>
    <n v="0"/>
    <n v="0"/>
    <n v="0"/>
    <n v="0"/>
    <m/>
    <m/>
    <n v="0"/>
    <n v="0"/>
  </r>
  <r>
    <x v="6"/>
    <s v="McNeese State University"/>
    <m/>
    <n v="159717"/>
    <x v="2"/>
    <m/>
    <m/>
    <m/>
    <m/>
    <n v="80099"/>
    <n v="76611"/>
    <n v="9788"/>
    <n v="7324"/>
    <n v="88621"/>
    <n v="77722"/>
    <n v="178508"/>
    <n v="5950.2666666666664"/>
    <n v="161657"/>
    <n v="5388.5666666666666"/>
    <n v="10383"/>
    <n v="8622"/>
    <n v="178508"/>
    <n v="161657"/>
    <m/>
    <m/>
    <m/>
    <m/>
    <m/>
    <m/>
    <m/>
    <m/>
    <n v="0"/>
    <n v="0"/>
    <n v="0"/>
    <n v="0"/>
    <m/>
    <m/>
    <n v="0"/>
    <n v="0"/>
  </r>
  <r>
    <x v="6"/>
    <s v="Southeastern Louisiana University "/>
    <m/>
    <n v="160612"/>
    <x v="2"/>
    <m/>
    <m/>
    <m/>
    <m/>
    <n v="148193"/>
    <n v="142510"/>
    <n v="20271"/>
    <n v="18483"/>
    <n v="159852"/>
    <n v="144960"/>
    <n v="328316"/>
    <n v="10943.866666666667"/>
    <n v="305953"/>
    <n v="10198.433333333332"/>
    <n v="21118"/>
    <n v="21882"/>
    <n v="328316"/>
    <n v="305953"/>
    <m/>
    <m/>
    <m/>
    <m/>
    <m/>
    <m/>
    <m/>
    <m/>
    <n v="0"/>
    <n v="0"/>
    <n v="0"/>
    <n v="0"/>
    <m/>
    <m/>
    <n v="0"/>
    <n v="0"/>
  </r>
  <r>
    <x v="6"/>
    <s v="Southern University and A&amp;M College at Baton Rouge "/>
    <m/>
    <n v="160621"/>
    <x v="2"/>
    <m/>
    <m/>
    <m/>
    <m/>
    <n v="71066"/>
    <n v="69262"/>
    <n v="9929"/>
    <n v="9837"/>
    <n v="75953"/>
    <n v="82485"/>
    <n v="156948"/>
    <n v="5231.6000000000004"/>
    <n v="161584"/>
    <n v="5386.1333333333332"/>
    <n v="4646"/>
    <n v="4276"/>
    <n v="156948"/>
    <n v="161584"/>
    <m/>
    <m/>
    <m/>
    <m/>
    <m/>
    <m/>
    <m/>
    <m/>
    <n v="0"/>
    <n v="0"/>
    <n v="0"/>
    <n v="0"/>
    <m/>
    <m/>
    <n v="0"/>
    <n v="0"/>
  </r>
  <r>
    <x v="6"/>
    <s v="University of Louisiana at Monroe"/>
    <m/>
    <n v="159993"/>
    <x v="2"/>
    <m/>
    <m/>
    <m/>
    <m/>
    <n v="81683"/>
    <n v="78182"/>
    <n v="8060"/>
    <n v="7870"/>
    <n v="86241"/>
    <n v="80890"/>
    <n v="175984"/>
    <n v="5866.1333333333332"/>
    <n v="166942"/>
    <n v="5564.7333333333336"/>
    <n v="12536"/>
    <n v="13238"/>
    <n v="175984"/>
    <n v="166942"/>
    <m/>
    <m/>
    <m/>
    <m/>
    <m/>
    <m/>
    <m/>
    <m/>
    <n v="0"/>
    <n v="0"/>
    <n v="0"/>
    <n v="0"/>
    <m/>
    <m/>
    <n v="0"/>
    <n v="0"/>
  </r>
  <r>
    <x v="6"/>
    <s v="Grambling State University"/>
    <m/>
    <n v="159009"/>
    <x v="3"/>
    <m/>
    <m/>
    <m/>
    <m/>
    <n v="53059"/>
    <n v="57129"/>
    <n v="10394"/>
    <n v="12963"/>
    <n v="62849"/>
    <n v="60006"/>
    <n v="126302"/>
    <n v="4210.0666666666666"/>
    <n v="130098"/>
    <n v="4336.6000000000004"/>
    <n v="318"/>
    <n v="321"/>
    <n v="126302"/>
    <n v="130098"/>
    <m/>
    <m/>
    <m/>
    <m/>
    <m/>
    <m/>
    <m/>
    <m/>
    <n v="0"/>
    <n v="0"/>
    <n v="0"/>
    <n v="0"/>
    <m/>
    <m/>
    <n v="0"/>
    <n v="0"/>
  </r>
  <r>
    <x v="6"/>
    <s v="Louisiana State University in Shreveport"/>
    <s v="Met the criteria for Two-Year 3 in  2021-22"/>
    <n v="159416"/>
    <x v="3"/>
    <m/>
    <m/>
    <m/>
    <m/>
    <n v="26451"/>
    <n v="26168"/>
    <n v="5165"/>
    <n v="4753"/>
    <n v="29050"/>
    <n v="27895"/>
    <n v="60666"/>
    <n v="2022.2"/>
    <n v="58816"/>
    <n v="1960.5333333333333"/>
    <n v="2320"/>
    <n v="2342"/>
    <n v="60666"/>
    <n v="58816"/>
    <m/>
    <m/>
    <m/>
    <m/>
    <m/>
    <m/>
    <m/>
    <m/>
    <n v="0"/>
    <n v="0"/>
    <n v="0"/>
    <n v="0"/>
    <m/>
    <m/>
    <n v="0"/>
    <n v="0"/>
  </r>
  <r>
    <x v="6"/>
    <s v="Nicholls State University "/>
    <m/>
    <n v="159966"/>
    <x v="3"/>
    <m/>
    <m/>
    <m/>
    <m/>
    <n v="72441"/>
    <n v="71820"/>
    <n v="8204"/>
    <n v="7903"/>
    <n v="80548"/>
    <n v="73325"/>
    <n v="161193"/>
    <n v="5373.1"/>
    <n v="153048"/>
    <n v="5101.6000000000004"/>
    <n v="2797"/>
    <n v="3047"/>
    <n v="161193"/>
    <n v="153048"/>
    <m/>
    <m/>
    <m/>
    <m/>
    <m/>
    <m/>
    <m/>
    <m/>
    <n v="0"/>
    <n v="0"/>
    <n v="0"/>
    <n v="0"/>
    <m/>
    <m/>
    <n v="0"/>
    <n v="0"/>
  </r>
  <r>
    <x v="6"/>
    <s v="Northwestern State University"/>
    <m/>
    <n v="160038"/>
    <x v="3"/>
    <m/>
    <m/>
    <m/>
    <m/>
    <n v="106047"/>
    <n v="100696"/>
    <n v="16739"/>
    <n v="17238"/>
    <n v="116028"/>
    <n v="108496"/>
    <n v="238814"/>
    <n v="7960.4666666666662"/>
    <n v="226430"/>
    <n v="7547.666666666667"/>
    <n v="21156"/>
    <n v="23276"/>
    <n v="238814"/>
    <n v="226430"/>
    <m/>
    <m/>
    <m/>
    <m/>
    <m/>
    <m/>
    <m/>
    <m/>
    <n v="0"/>
    <n v="0"/>
    <n v="0"/>
    <n v="0"/>
    <m/>
    <m/>
    <n v="0"/>
    <n v="0"/>
  </r>
  <r>
    <x v="6"/>
    <s v="Southern University at New Orleans"/>
    <m/>
    <n v="160630"/>
    <x v="4"/>
    <m/>
    <m/>
    <m/>
    <m/>
    <n v="20509"/>
    <n v="16531"/>
    <n v="1737"/>
    <n v="2362"/>
    <n v="19350"/>
    <n v="17187"/>
    <n v="41596"/>
    <n v="1386.5333333333333"/>
    <n v="36080"/>
    <n v="1202.6666666666667"/>
    <n v="2642"/>
    <n v="2742"/>
    <n v="41596"/>
    <n v="36080"/>
    <m/>
    <m/>
    <m/>
    <m/>
    <m/>
    <m/>
    <m/>
    <m/>
    <n v="0"/>
    <n v="0"/>
    <n v="0"/>
    <n v="0"/>
    <m/>
    <m/>
    <n v="0"/>
    <n v="0"/>
  </r>
  <r>
    <x v="6"/>
    <s v="Louisiana State University at Alexandria"/>
    <m/>
    <n v="159382"/>
    <x v="11"/>
    <m/>
    <m/>
    <m/>
    <m/>
    <n v="32413"/>
    <n v="36006"/>
    <n v="10183"/>
    <n v="13176"/>
    <n v="37904"/>
    <n v="39285"/>
    <n v="80500"/>
    <n v="2683.3333333333335"/>
    <n v="88467"/>
    <n v="2948.9"/>
    <n v="5643"/>
    <n v="6788"/>
    <n v="80500"/>
    <n v="88467"/>
    <m/>
    <m/>
    <m/>
    <m/>
    <m/>
    <m/>
    <m/>
    <m/>
    <n v="0"/>
    <n v="0"/>
    <n v="0"/>
    <n v="0"/>
    <m/>
    <m/>
    <n v="0"/>
    <n v="0"/>
  </r>
  <r>
    <x v="6"/>
    <s v="Baton Rouge Community College"/>
    <m/>
    <n v="437103"/>
    <x v="5"/>
    <m/>
    <m/>
    <m/>
    <m/>
    <n v="67303"/>
    <n v="64410"/>
    <n v="15972"/>
    <n v="18791"/>
    <n v="71622"/>
    <n v="72088"/>
    <n v="154897"/>
    <n v="5163.2333333333336"/>
    <n v="155289"/>
    <n v="5176.3"/>
    <n v="3860"/>
    <n v="4634"/>
    <n v="154897"/>
    <n v="155289"/>
    <m/>
    <m/>
    <m/>
    <m/>
    <m/>
    <m/>
    <m/>
    <m/>
    <n v="0"/>
    <n v="0"/>
    <n v="0"/>
    <n v="0"/>
    <m/>
    <m/>
    <n v="0"/>
    <n v="0"/>
  </r>
  <r>
    <x v="6"/>
    <s v="Delgado Community College "/>
    <m/>
    <n v="158662"/>
    <x v="5"/>
    <m/>
    <m/>
    <m/>
    <m/>
    <n v="122980"/>
    <n v="113421"/>
    <n v="29222"/>
    <n v="23612"/>
    <n v="123416"/>
    <n v="111941"/>
    <n v="275618"/>
    <n v="9187.2666666666664"/>
    <n v="248974"/>
    <n v="8299.1333333333332"/>
    <n v="4595"/>
    <n v="5153"/>
    <n v="275618"/>
    <n v="248974"/>
    <m/>
    <m/>
    <m/>
    <m/>
    <m/>
    <m/>
    <m/>
    <m/>
    <n v="0"/>
    <n v="0"/>
    <n v="0"/>
    <n v="0"/>
    <m/>
    <m/>
    <n v="0"/>
    <n v="0"/>
  </r>
  <r>
    <x v="6"/>
    <s v="Bossier Parish Community College"/>
    <m/>
    <n v="158431"/>
    <x v="6"/>
    <m/>
    <m/>
    <n v="1474"/>
    <m/>
    <n v="57052"/>
    <n v="49519.5"/>
    <n v="12045"/>
    <n v="11915"/>
    <n v="59479"/>
    <n v="53952"/>
    <n v="130050"/>
    <n v="4335"/>
    <n v="115386.5"/>
    <n v="3846.2166666666667"/>
    <n v="5015"/>
    <n v="5583"/>
    <n v="130050"/>
    <n v="115386.5"/>
    <m/>
    <m/>
    <m/>
    <m/>
    <m/>
    <m/>
    <m/>
    <m/>
    <n v="0"/>
    <n v="0"/>
    <n v="0"/>
    <n v="0"/>
    <m/>
    <m/>
    <n v="0"/>
    <n v="0"/>
  </r>
  <r>
    <x v="6"/>
    <s v="Louisiana Delta Community College"/>
    <m/>
    <n v="483212"/>
    <x v="6"/>
    <m/>
    <m/>
    <m/>
    <m/>
    <n v="37559.5"/>
    <n v="33774"/>
    <n v="9550.5"/>
    <n v="10776"/>
    <n v="37352"/>
    <n v="35639.5"/>
    <n v="84462"/>
    <n v="2815.4"/>
    <n v="80189.5"/>
    <n v="2672.9833333333331"/>
    <n v="5211"/>
    <n v="5235"/>
    <n v="84462"/>
    <n v="80189.5"/>
    <m/>
    <m/>
    <m/>
    <m/>
    <m/>
    <m/>
    <m/>
    <m/>
    <n v="0"/>
    <n v="0"/>
    <n v="0"/>
    <n v="0"/>
    <m/>
    <m/>
    <n v="0"/>
    <n v="0"/>
  </r>
  <r>
    <x v="6"/>
    <s v="South Louisiana Community College"/>
    <m/>
    <n v="434061"/>
    <x v="6"/>
    <m/>
    <m/>
    <m/>
    <m/>
    <n v="60089"/>
    <n v="52053"/>
    <n v="15748"/>
    <n v="16093"/>
    <n v="63628"/>
    <n v="60482"/>
    <n v="139465"/>
    <n v="4648.833333333333"/>
    <n v="128628"/>
    <n v="4287.6000000000004"/>
    <n v="10223"/>
    <n v="11482"/>
    <n v="139465"/>
    <n v="128628"/>
    <m/>
    <m/>
    <m/>
    <m/>
    <m/>
    <m/>
    <m/>
    <m/>
    <n v="0"/>
    <n v="0"/>
    <n v="0"/>
    <n v="0"/>
    <m/>
    <m/>
    <n v="0"/>
    <n v="0"/>
  </r>
  <r>
    <x v="6"/>
    <s v="Southern University in Shreveport"/>
    <m/>
    <n v="160649"/>
    <x v="6"/>
    <m/>
    <m/>
    <m/>
    <m/>
    <n v="27043"/>
    <n v="22285"/>
    <n v="6980"/>
    <n v="7157"/>
    <n v="24230"/>
    <n v="24704"/>
    <n v="58253"/>
    <n v="1941.7666666666667"/>
    <n v="54146"/>
    <n v="1804.8666666666666"/>
    <n v="4186"/>
    <n v="6734"/>
    <n v="58253"/>
    <n v="54146"/>
    <m/>
    <m/>
    <m/>
    <m/>
    <m/>
    <m/>
    <m/>
    <m/>
    <n v="0"/>
    <n v="0"/>
    <n v="0"/>
    <n v="0"/>
    <m/>
    <m/>
    <n v="0"/>
    <n v="0"/>
  </r>
  <r>
    <x v="6"/>
    <s v="Louisiana State University at Eunice"/>
    <m/>
    <n v="159407"/>
    <x v="6"/>
    <m/>
    <m/>
    <m/>
    <m/>
    <n v="25546"/>
    <n v="26646"/>
    <n v="3610"/>
    <n v="3778"/>
    <n v="31649"/>
    <n v="30697"/>
    <n v="60805"/>
    <n v="2026.8333333333333"/>
    <n v="61121"/>
    <n v="2037.3666666666666"/>
    <n v="5658"/>
    <n v="6363"/>
    <n v="60805"/>
    <n v="61121"/>
    <m/>
    <m/>
    <m/>
    <m/>
    <m/>
    <m/>
    <m/>
    <m/>
    <n v="0"/>
    <n v="0"/>
    <n v="0"/>
    <n v="0"/>
    <m/>
    <m/>
    <n v="0"/>
    <n v="0"/>
  </r>
  <r>
    <x v="6"/>
    <s v="Nunez Community College"/>
    <m/>
    <n v="158884"/>
    <x v="7"/>
    <m/>
    <m/>
    <n v="327"/>
    <m/>
    <n v="19595"/>
    <n v="18870"/>
    <n v="4819"/>
    <n v="3939"/>
    <n v="19862"/>
    <n v="18186"/>
    <n v="44603"/>
    <n v="1486.7666666666667"/>
    <n v="40995"/>
    <n v="1366.5"/>
    <n v="4151"/>
    <n v="5196"/>
    <n v="44603"/>
    <n v="40995"/>
    <m/>
    <m/>
    <m/>
    <m/>
    <m/>
    <m/>
    <m/>
    <m/>
    <n v="0"/>
    <n v="0"/>
    <n v="0"/>
    <n v="0"/>
    <m/>
    <m/>
    <n v="0"/>
    <n v="0"/>
  </r>
  <r>
    <x v="6"/>
    <s v="River Parishes Community College"/>
    <m/>
    <n v="436304"/>
    <x v="7"/>
    <m/>
    <m/>
    <m/>
    <m/>
    <n v="27753"/>
    <n v="21746"/>
    <n v="4507"/>
    <n v="3591"/>
    <n v="26308"/>
    <n v="22950"/>
    <n v="58568"/>
    <n v="1952.2666666666667"/>
    <n v="48287"/>
    <n v="1609.5666666666666"/>
    <n v="9102"/>
    <n v="8148"/>
    <n v="58568"/>
    <n v="48287"/>
    <m/>
    <m/>
    <m/>
    <m/>
    <m/>
    <m/>
    <m/>
    <m/>
    <n v="0"/>
    <n v="0"/>
    <n v="0"/>
    <n v="0"/>
    <m/>
    <m/>
    <n v="0"/>
    <n v="0"/>
  </r>
  <r>
    <x v="6"/>
    <s v="Central LA Technical Community College"/>
    <m/>
    <n v="158088"/>
    <x v="8"/>
    <m/>
    <m/>
    <m/>
    <m/>
    <n v="20470"/>
    <n v="16012"/>
    <n v="3164"/>
    <n v="3557"/>
    <n v="19407"/>
    <n v="19325"/>
    <n v="43041"/>
    <n v="1434.7"/>
    <n v="38894"/>
    <n v="1296.4666666666667"/>
    <n v="7220"/>
    <n v="6091"/>
    <n v="43041"/>
    <n v="38894"/>
    <m/>
    <m/>
    <m/>
    <m/>
    <m/>
    <m/>
    <m/>
    <m/>
    <n v="0"/>
    <n v="0"/>
    <n v="0"/>
    <n v="0"/>
    <m/>
    <m/>
    <n v="0"/>
    <n v="0"/>
  </r>
  <r>
    <x v="6"/>
    <s v="L.E. Fletcher Technical Community College"/>
    <m/>
    <n v="160481"/>
    <x v="8"/>
    <m/>
    <m/>
    <m/>
    <m/>
    <n v="21994"/>
    <n v="18687"/>
    <n v="3024"/>
    <n v="3412"/>
    <n v="21844"/>
    <n v="17342"/>
    <n v="46862"/>
    <n v="1562.0666666666666"/>
    <n v="39441"/>
    <n v="1314.7"/>
    <n v="2096"/>
    <n v="2504"/>
    <n v="46862"/>
    <n v="39441"/>
    <m/>
    <m/>
    <m/>
    <m/>
    <m/>
    <m/>
    <m/>
    <m/>
    <n v="0"/>
    <n v="0"/>
    <n v="0"/>
    <n v="0"/>
    <m/>
    <m/>
    <n v="0"/>
    <n v="0"/>
  </r>
  <r>
    <x v="6"/>
    <s v="Northshore Technical College"/>
    <m/>
    <n v="160667"/>
    <x v="8"/>
    <m/>
    <m/>
    <m/>
    <m/>
    <n v="30265"/>
    <n v="25948"/>
    <n v="4747"/>
    <n v="5430"/>
    <n v="28770"/>
    <n v="31394.5"/>
    <n v="63782"/>
    <n v="2126.0666666666666"/>
    <n v="62772.5"/>
    <n v="2092.4166666666665"/>
    <n v="5489"/>
    <n v="9167"/>
    <n v="63782"/>
    <n v="62772.5"/>
    <m/>
    <m/>
    <m/>
    <m/>
    <m/>
    <m/>
    <m/>
    <m/>
    <n v="0"/>
    <n v="0"/>
    <n v="0"/>
    <n v="0"/>
    <m/>
    <m/>
    <n v="0"/>
    <n v="0"/>
  </r>
  <r>
    <x v="6"/>
    <s v="Sowela Technical Community College"/>
    <m/>
    <n v="160579"/>
    <x v="8"/>
    <m/>
    <m/>
    <m/>
    <m/>
    <n v="33539.5"/>
    <n v="28002"/>
    <n v="5671"/>
    <n v="5422"/>
    <n v="29649.5"/>
    <n v="30346.5"/>
    <n v="68860"/>
    <n v="2295.3333333333335"/>
    <n v="63770.5"/>
    <n v="2125.6833333333334"/>
    <n v="3937"/>
    <n v="3499"/>
    <n v="68860"/>
    <n v="63770.5"/>
    <m/>
    <m/>
    <m/>
    <m/>
    <m/>
    <m/>
    <m/>
    <m/>
    <n v="0"/>
    <n v="0"/>
    <n v="0"/>
    <n v="0"/>
    <m/>
    <m/>
    <n v="0"/>
    <n v="0"/>
  </r>
  <r>
    <x v="6"/>
    <s v="Northwest LA Technical College"/>
    <m/>
    <n v="160010"/>
    <x v="9"/>
    <m/>
    <m/>
    <m/>
    <m/>
    <n v="10324"/>
    <n v="8084"/>
    <n v="2720"/>
    <n v="3111"/>
    <n v="9779"/>
    <n v="9341"/>
    <n v="22823"/>
    <n v="760.76666666666665"/>
    <n v="20536"/>
    <n v="684.5333333333333"/>
    <n v="1348"/>
    <n v="2125"/>
    <n v="22823"/>
    <n v="20536"/>
    <m/>
    <m/>
    <m/>
    <m/>
    <m/>
    <m/>
    <m/>
    <m/>
    <n v="0"/>
    <n v="0"/>
    <n v="0"/>
    <n v="0"/>
    <m/>
    <m/>
    <n v="0"/>
    <n v="0"/>
  </r>
  <r>
    <x v="6"/>
    <s v="Southern University Law Center"/>
    <m/>
    <n v="440916"/>
    <x v="10"/>
    <m/>
    <m/>
    <m/>
    <m/>
    <n v="0"/>
    <n v="0"/>
    <n v="0"/>
    <n v="0"/>
    <n v="0"/>
    <n v="0"/>
    <n v="0"/>
    <n v="0"/>
    <n v="0"/>
    <n v="0"/>
    <m/>
    <m/>
    <n v="0"/>
    <n v="0"/>
    <m/>
    <m/>
    <m/>
    <m/>
    <m/>
    <m/>
    <m/>
    <m/>
    <n v="0"/>
    <n v="0"/>
    <n v="0"/>
    <n v="0"/>
    <m/>
    <m/>
    <n v="0"/>
    <n v="0"/>
  </r>
  <r>
    <x v="7"/>
    <s v="Allegany College of Maryland"/>
    <m/>
    <n v="161688"/>
    <x v="7"/>
    <s v="sem"/>
    <s v="sem"/>
    <n v="0"/>
    <n v="0"/>
    <n v="21157"/>
    <n v="19128"/>
    <n v="3558"/>
    <n v="3122"/>
    <n v="22222"/>
    <n v="20579"/>
    <n v="46937"/>
    <n v="1564.5666666666666"/>
    <n v="42829"/>
    <n v="1427.6333333333334"/>
    <m/>
    <m/>
    <n v="0"/>
    <n v="0"/>
    <m/>
    <m/>
    <m/>
    <m/>
    <m/>
    <m/>
    <m/>
    <m/>
    <n v="0"/>
    <n v="0"/>
    <n v="0"/>
    <n v="0"/>
    <m/>
    <m/>
    <n v="0"/>
    <n v="0"/>
  </r>
  <r>
    <x v="7"/>
    <s v="Anne Arundel Community College "/>
    <m/>
    <n v="161767"/>
    <x v="5"/>
    <s v="sem"/>
    <s v="sem"/>
    <n v="5210"/>
    <n v="4682"/>
    <n v="89281"/>
    <n v="81003"/>
    <n v="28777"/>
    <n v="22975"/>
    <n v="98900"/>
    <n v="86525"/>
    <n v="222168"/>
    <n v="7405.6"/>
    <n v="195185"/>
    <n v="6506.166666666667"/>
    <m/>
    <m/>
    <n v="0"/>
    <n v="0"/>
    <m/>
    <m/>
    <m/>
    <m/>
    <m/>
    <m/>
    <m/>
    <m/>
    <n v="0"/>
    <n v="0"/>
    <n v="0"/>
    <n v="0"/>
    <m/>
    <m/>
    <n v="0"/>
    <n v="0"/>
  </r>
  <r>
    <x v="7"/>
    <s v="Baltimore City Community College"/>
    <m/>
    <n v="161864"/>
    <x v="6"/>
    <s v="sem"/>
    <s v="sem"/>
    <n v="68"/>
    <n v="886"/>
    <n v="36965"/>
    <n v="28744"/>
    <n v="11036"/>
    <n v="10199"/>
    <n v="33933"/>
    <n v="29480"/>
    <n v="82002"/>
    <n v="2733.4"/>
    <n v="69309"/>
    <n v="2310.3000000000002"/>
    <m/>
    <m/>
    <n v="0"/>
    <n v="0"/>
    <m/>
    <m/>
    <m/>
    <m/>
    <m/>
    <m/>
    <m/>
    <m/>
    <n v="0"/>
    <n v="0"/>
    <n v="0"/>
    <n v="0"/>
    <m/>
    <m/>
    <n v="0"/>
    <n v="0"/>
  </r>
  <r>
    <x v="7"/>
    <s v="Carroll Community College"/>
    <m/>
    <n v="405872"/>
    <x v="6"/>
    <s v="sem"/>
    <s v="sem"/>
    <n v="1914"/>
    <n v="1835"/>
    <n v="22153.5"/>
    <n v="20308"/>
    <n v="4729"/>
    <n v="3907"/>
    <n v="24396.5"/>
    <n v="21536"/>
    <n v="53193"/>
    <n v="1773.1"/>
    <n v="47586"/>
    <n v="1586.2"/>
    <m/>
    <m/>
    <n v="0"/>
    <n v="0"/>
    <m/>
    <m/>
    <m/>
    <m/>
    <m/>
    <m/>
    <m/>
    <m/>
    <n v="0"/>
    <n v="0"/>
    <n v="0"/>
    <n v="0"/>
    <m/>
    <m/>
    <n v="0"/>
    <n v="0"/>
  </r>
  <r>
    <x v="7"/>
    <s v="Cecil Community College "/>
    <m/>
    <n v="162104"/>
    <x v="7"/>
    <s v="sem"/>
    <s v="sem"/>
    <n v="0"/>
    <n v="0"/>
    <n v="17396"/>
    <n v="13253"/>
    <n v="2853"/>
    <n v="2436"/>
    <n v="17487"/>
    <n v="14507"/>
    <n v="37736"/>
    <n v="1257.8666666666666"/>
    <n v="30196"/>
    <n v="1006.5333333333333"/>
    <m/>
    <m/>
    <n v="0"/>
    <n v="0"/>
    <m/>
    <m/>
    <m/>
    <m/>
    <m/>
    <m/>
    <m/>
    <m/>
    <n v="0"/>
    <n v="0"/>
    <n v="0"/>
    <n v="0"/>
    <m/>
    <m/>
    <n v="0"/>
    <n v="0"/>
  </r>
  <r>
    <x v="7"/>
    <s v="Chesapeake College "/>
    <m/>
    <n v="162168"/>
    <x v="7"/>
    <s v="sem"/>
    <s v="sem"/>
    <n v="436"/>
    <n v="494"/>
    <n v="14898"/>
    <n v="12986"/>
    <n v="2476"/>
    <n v="2064"/>
    <n v="15505"/>
    <n v="14034"/>
    <n v="33315"/>
    <n v="1110.5"/>
    <n v="29578"/>
    <n v="985.93333333333328"/>
    <m/>
    <m/>
    <n v="0"/>
    <n v="0"/>
    <m/>
    <m/>
    <m/>
    <m/>
    <m/>
    <m/>
    <m/>
    <m/>
    <n v="0"/>
    <n v="0"/>
    <n v="0"/>
    <n v="0"/>
    <m/>
    <m/>
    <n v="0"/>
    <n v="0"/>
  </r>
  <r>
    <x v="7"/>
    <s v="College of Southern Maryland"/>
    <m/>
    <n v="162122"/>
    <x v="6"/>
    <s v="sem"/>
    <s v="sem"/>
    <n v="1478"/>
    <n v="1779"/>
    <n v="53974"/>
    <n v="66127"/>
    <n v="14091"/>
    <n v="14304"/>
    <n v="55302"/>
    <n v="61960"/>
    <n v="124845"/>
    <n v="4161.5"/>
    <n v="144170"/>
    <n v="4805.666666666667"/>
    <m/>
    <m/>
    <n v="0"/>
    <n v="0"/>
    <m/>
    <m/>
    <m/>
    <m/>
    <m/>
    <m/>
    <m/>
    <m/>
    <n v="0"/>
    <n v="0"/>
    <n v="0"/>
    <n v="0"/>
    <m/>
    <m/>
    <n v="0"/>
    <n v="0"/>
  </r>
  <r>
    <x v="7"/>
    <s v="Community College of Baltimore County (all campuses)"/>
    <m/>
    <n v="434672"/>
    <x v="5"/>
    <s v="sem"/>
    <s v="sem"/>
    <n v="9969"/>
    <n v="10141"/>
    <n v="126252.5"/>
    <n v="122394"/>
    <n v="31410"/>
    <n v="29876"/>
    <n v="145713"/>
    <n v="130320"/>
    <n v="313344.5"/>
    <n v="10444.816666666668"/>
    <n v="292731"/>
    <n v="9757.7000000000007"/>
    <m/>
    <m/>
    <n v="0"/>
    <n v="0"/>
    <m/>
    <m/>
    <m/>
    <m/>
    <m/>
    <m/>
    <m/>
    <m/>
    <n v="0"/>
    <n v="0"/>
    <n v="0"/>
    <n v="0"/>
    <m/>
    <m/>
    <n v="0"/>
    <n v="0"/>
  </r>
  <r>
    <x v="7"/>
    <s v="Frederick Community College "/>
    <m/>
    <n v="162557"/>
    <x v="6"/>
    <s v="sem"/>
    <s v="sem"/>
    <n v="0"/>
    <n v="0"/>
    <n v="47021"/>
    <n v="41747"/>
    <n v="9113"/>
    <n v="7932"/>
    <n v="46640"/>
    <n v="44187"/>
    <n v="102774"/>
    <n v="3425.8"/>
    <n v="93866"/>
    <n v="3128.8666666666668"/>
    <m/>
    <m/>
    <n v="0"/>
    <n v="0"/>
    <m/>
    <m/>
    <m/>
    <m/>
    <m/>
    <m/>
    <m/>
    <m/>
    <n v="0"/>
    <n v="0"/>
    <n v="0"/>
    <n v="0"/>
    <m/>
    <m/>
    <n v="0"/>
    <n v="0"/>
  </r>
  <r>
    <x v="7"/>
    <s v="Garrett College "/>
    <m/>
    <n v="162609"/>
    <x v="7"/>
    <s v="sem"/>
    <s v="sem"/>
    <n v="362"/>
    <n v="262"/>
    <n v="6181"/>
    <n v="4982"/>
    <n v="539"/>
    <n v="575"/>
    <n v="6422.25"/>
    <n v="5705"/>
    <n v="13504.25"/>
    <n v="450.14166666666665"/>
    <n v="11524"/>
    <n v="384.13333333333333"/>
    <m/>
    <m/>
    <n v="0"/>
    <n v="0"/>
    <m/>
    <m/>
    <m/>
    <m/>
    <m/>
    <m/>
    <m/>
    <m/>
    <n v="0"/>
    <n v="0"/>
    <n v="0"/>
    <n v="0"/>
    <m/>
    <m/>
    <n v="0"/>
    <n v="0"/>
  </r>
  <r>
    <x v="7"/>
    <s v="Hagerstown Community College "/>
    <m/>
    <n v="162690"/>
    <x v="6"/>
    <s v="sem"/>
    <s v="sem"/>
    <n v="0"/>
    <n v="0"/>
    <n v="37471"/>
    <n v="27118"/>
    <n v="9865"/>
    <n v="8639"/>
    <n v="35234"/>
    <n v="31023"/>
    <n v="82570"/>
    <n v="2752.3333333333335"/>
    <n v="66780"/>
    <n v="2226"/>
    <m/>
    <m/>
    <n v="0"/>
    <n v="0"/>
    <m/>
    <m/>
    <m/>
    <m/>
    <m/>
    <m/>
    <m/>
    <m/>
    <n v="0"/>
    <n v="0"/>
    <n v="0"/>
    <n v="0"/>
    <m/>
    <m/>
    <n v="0"/>
    <n v="0"/>
  </r>
  <r>
    <x v="7"/>
    <s v="Harford Community College "/>
    <m/>
    <n v="162706"/>
    <x v="6"/>
    <s v="sem"/>
    <s v="sem"/>
    <n v="3020"/>
    <n v="2951"/>
    <n v="42627.5"/>
    <n v="36197"/>
    <n v="9017"/>
    <n v="7762"/>
    <n v="44853"/>
    <n v="38635"/>
    <n v="99517.5"/>
    <n v="3317.25"/>
    <n v="85545"/>
    <n v="2851.5"/>
    <m/>
    <m/>
    <n v="0"/>
    <n v="0"/>
    <m/>
    <m/>
    <m/>
    <m/>
    <m/>
    <m/>
    <m/>
    <m/>
    <n v="0"/>
    <n v="0"/>
    <n v="0"/>
    <n v="0"/>
    <m/>
    <m/>
    <n v="0"/>
    <n v="0"/>
  </r>
  <r>
    <x v="7"/>
    <s v="Howard Community College "/>
    <m/>
    <n v="162779"/>
    <x v="5"/>
    <s v="sem"/>
    <s v="sem"/>
    <n v="5823"/>
    <n v="4224"/>
    <n v="63876"/>
    <n v="85170"/>
    <n v="19706"/>
    <n v="21311"/>
    <n v="86451"/>
    <n v="80268"/>
    <n v="175856"/>
    <n v="5861.8666666666668"/>
    <n v="190973"/>
    <n v="6365.7666666666664"/>
    <m/>
    <m/>
    <n v="0"/>
    <n v="0"/>
    <m/>
    <m/>
    <m/>
    <m/>
    <m/>
    <m/>
    <m/>
    <m/>
    <n v="0"/>
    <n v="0"/>
    <n v="0"/>
    <n v="0"/>
    <m/>
    <m/>
    <n v="0"/>
    <n v="0"/>
  </r>
  <r>
    <x v="7"/>
    <s v="Montgomery College (all campuses)"/>
    <m/>
    <n v="163426"/>
    <x v="5"/>
    <s v="sem"/>
    <s v="sem"/>
    <n v="6244"/>
    <n v="8550"/>
    <n v="267782"/>
    <n v="233149"/>
    <n v="125015"/>
    <n v="142301"/>
    <n v="242579"/>
    <n v="224069"/>
    <n v="641620"/>
    <n v="21387.333333333332"/>
    <n v="608069"/>
    <n v="20268.966666666667"/>
    <m/>
    <m/>
    <n v="0"/>
    <n v="0"/>
    <m/>
    <m/>
    <m/>
    <m/>
    <m/>
    <m/>
    <m/>
    <m/>
    <n v="0"/>
    <n v="0"/>
    <n v="0"/>
    <n v="0"/>
    <m/>
    <m/>
    <n v="0"/>
    <n v="0"/>
  </r>
  <r>
    <x v="7"/>
    <s v="Prince George's Community College "/>
    <m/>
    <n v="163657"/>
    <x v="5"/>
    <s v="sem"/>
    <s v="sem"/>
    <n v="2500"/>
    <n v="2500"/>
    <n v="137434"/>
    <n v="117739"/>
    <n v="35633"/>
    <n v="43082"/>
    <n v="228704"/>
    <n v="131856"/>
    <n v="404271"/>
    <n v="13475.7"/>
    <n v="295177"/>
    <n v="9839.2333333333336"/>
    <m/>
    <m/>
    <n v="0"/>
    <n v="0"/>
    <m/>
    <m/>
    <m/>
    <m/>
    <m/>
    <m/>
    <m/>
    <m/>
    <n v="0"/>
    <n v="0"/>
    <n v="0"/>
    <n v="0"/>
    <m/>
    <m/>
    <n v="0"/>
    <n v="0"/>
  </r>
  <r>
    <x v="7"/>
    <s v="Wor-Wic Community College "/>
    <m/>
    <n v="164313"/>
    <x v="7"/>
    <s v="sem"/>
    <s v="sem"/>
    <n v="0"/>
    <n v="0"/>
    <n v="19773.5"/>
    <n v="18651"/>
    <n v="5354"/>
    <n v="4718"/>
    <n v="22199.5"/>
    <n v="19490"/>
    <n v="47327"/>
    <n v="1577.5666666666666"/>
    <n v="42859"/>
    <n v="1428.6333333333334"/>
    <m/>
    <m/>
    <n v="0"/>
    <n v="0"/>
    <m/>
    <m/>
    <m/>
    <m/>
    <m/>
    <m/>
    <m/>
    <m/>
    <n v="0"/>
    <n v="0"/>
    <n v="0"/>
    <n v="0"/>
    <m/>
    <m/>
    <n v="0"/>
    <n v="0"/>
  </r>
  <r>
    <x v="7"/>
    <s v="Bowie State University "/>
    <m/>
    <n v="162007"/>
    <x v="3"/>
    <s v="sem"/>
    <s v="sem"/>
    <n v="1664"/>
    <n v="2800"/>
    <n v="63747"/>
    <n v="60975"/>
    <n v="8716"/>
    <n v="8874"/>
    <n v="71883"/>
    <n v="70197"/>
    <n v="146010"/>
    <n v="4867"/>
    <n v="142846"/>
    <n v="4761.5333333333338"/>
    <m/>
    <m/>
    <n v="0"/>
    <n v="0"/>
    <m/>
    <m/>
    <m/>
    <m/>
    <m/>
    <m/>
    <m/>
    <m/>
    <n v="0"/>
    <n v="0"/>
    <n v="0"/>
    <n v="0"/>
    <m/>
    <m/>
    <n v="0"/>
    <n v="0"/>
  </r>
  <r>
    <x v="7"/>
    <s v="Coppin State University"/>
    <m/>
    <n v="162283"/>
    <x v="4"/>
    <s v="sem"/>
    <s v="sem"/>
    <n v="342"/>
    <n v="39"/>
    <n v="27154"/>
    <n v="22473"/>
    <n v="1260"/>
    <n v="810"/>
    <n v="27425"/>
    <n v="23235"/>
    <n v="56181"/>
    <n v="1872.7"/>
    <n v="46557"/>
    <n v="1551.9"/>
    <m/>
    <m/>
    <n v="0"/>
    <n v="0"/>
    <m/>
    <m/>
    <m/>
    <m/>
    <m/>
    <m/>
    <m/>
    <m/>
    <n v="0"/>
    <n v="0"/>
    <n v="0"/>
    <n v="0"/>
    <m/>
    <m/>
    <n v="0"/>
    <n v="0"/>
  </r>
  <r>
    <x v="7"/>
    <s v="Frostburg State University "/>
    <m/>
    <n v="162584"/>
    <x v="3"/>
    <s v="sem"/>
    <s v="sem"/>
    <n v="1822"/>
    <n v="2008"/>
    <n v="49571"/>
    <n v="44098"/>
    <n v="7658"/>
    <n v="7939"/>
    <n v="52964"/>
    <n v="46967"/>
    <n v="112015"/>
    <n v="3733.8333333333335"/>
    <n v="101012"/>
    <n v="3367.0666666666666"/>
    <m/>
    <m/>
    <n v="0"/>
    <n v="0"/>
    <m/>
    <m/>
    <m/>
    <m/>
    <m/>
    <m/>
    <m/>
    <m/>
    <n v="0"/>
    <n v="0"/>
    <n v="0"/>
    <n v="0"/>
    <m/>
    <m/>
    <n v="0"/>
    <n v="0"/>
  </r>
  <r>
    <x v="7"/>
    <s v="Salisbury University "/>
    <m/>
    <n v="163851"/>
    <x v="3"/>
    <s v="sem"/>
    <s v="sem"/>
    <n v="4863"/>
    <n v="4716"/>
    <n v="103583"/>
    <n v="95082"/>
    <n v="7416"/>
    <n v="7222"/>
    <n v="103324"/>
    <n v="94860"/>
    <n v="219186"/>
    <n v="7306.2"/>
    <n v="201880"/>
    <n v="6729.333333333333"/>
    <m/>
    <m/>
    <n v="0"/>
    <n v="0"/>
    <m/>
    <m/>
    <m/>
    <m/>
    <m/>
    <m/>
    <m/>
    <m/>
    <n v="0"/>
    <n v="0"/>
    <n v="0"/>
    <n v="0"/>
    <m/>
    <m/>
    <n v="0"/>
    <n v="0"/>
  </r>
  <r>
    <x v="7"/>
    <s v="Towson University "/>
    <m/>
    <n v="164076"/>
    <x v="2"/>
    <s v="sem"/>
    <s v="sem"/>
    <n v="6713"/>
    <n v="7216"/>
    <n v="247985.5"/>
    <n v="231189"/>
    <n v="29132"/>
    <n v="25659"/>
    <n v="255484.5"/>
    <n v="240731"/>
    <n v="539315"/>
    <n v="17977.166666666668"/>
    <n v="504795"/>
    <n v="16826.5"/>
    <m/>
    <m/>
    <n v="0"/>
    <n v="0"/>
    <m/>
    <m/>
    <m/>
    <m/>
    <m/>
    <m/>
    <m/>
    <m/>
    <n v="0"/>
    <n v="0"/>
    <n v="0"/>
    <n v="0"/>
    <m/>
    <m/>
    <n v="0"/>
    <n v="0"/>
  </r>
  <r>
    <x v="7"/>
    <s v="University of Baltimore"/>
    <m/>
    <n v="161873"/>
    <x v="2"/>
    <s v="sem"/>
    <s v="sem"/>
    <n v="122"/>
    <n v="48"/>
    <n v="19317"/>
    <n v="17273"/>
    <n v="2306"/>
    <n v="1977"/>
    <n v="19435"/>
    <n v="16374"/>
    <n v="41180"/>
    <n v="1372.6666666666667"/>
    <n v="35672"/>
    <n v="1189.0666666666666"/>
    <m/>
    <m/>
    <n v="0"/>
    <n v="0"/>
    <m/>
    <m/>
    <m/>
    <m/>
    <m/>
    <m/>
    <m/>
    <m/>
    <n v="0"/>
    <n v="0"/>
    <n v="0"/>
    <n v="0"/>
    <m/>
    <m/>
    <n v="0"/>
    <n v="0"/>
  </r>
  <r>
    <x v="7"/>
    <s v="University of Maryland, Baltimore County"/>
    <m/>
    <n v="163268"/>
    <x v="1"/>
    <s v="sem"/>
    <s v="sem"/>
    <n v="5485"/>
    <n v="6213"/>
    <n v="138392"/>
    <n v="133342"/>
    <n v="22354"/>
    <n v="19992"/>
    <n v="147993.5"/>
    <n v="144157"/>
    <n v="314224.5"/>
    <n v="10474.15"/>
    <n v="303704"/>
    <n v="10123.466666666667"/>
    <m/>
    <m/>
    <n v="0"/>
    <n v="0"/>
    <m/>
    <m/>
    <m/>
    <m/>
    <m/>
    <m/>
    <m/>
    <m/>
    <n v="0"/>
    <n v="0"/>
    <n v="0"/>
    <n v="0"/>
    <m/>
    <m/>
    <n v="0"/>
    <n v="0"/>
  </r>
  <r>
    <x v="7"/>
    <s v="University of Maryland College Park"/>
    <m/>
    <n v="163286"/>
    <x v="0"/>
    <s v="sem"/>
    <s v="sem"/>
    <n v="12267"/>
    <n v="13374"/>
    <n v="404774"/>
    <n v="412956"/>
    <n v="43674"/>
    <n v="39900"/>
    <n v="422331"/>
    <n v="416380"/>
    <n v="883046"/>
    <n v="29434.866666666665"/>
    <n v="882610"/>
    <n v="29420.333333333332"/>
    <m/>
    <m/>
    <n v="0"/>
    <n v="0"/>
    <m/>
    <m/>
    <m/>
    <m/>
    <m/>
    <m/>
    <m/>
    <m/>
    <n v="0"/>
    <n v="0"/>
    <n v="0"/>
    <n v="0"/>
    <m/>
    <m/>
    <n v="0"/>
    <n v="0"/>
  </r>
  <r>
    <x v="7"/>
    <s v="University of Maryland Eastern Shore "/>
    <m/>
    <n v="163338"/>
    <x v="3"/>
    <s v="sem"/>
    <s v="sem"/>
    <n v="573.5"/>
    <n v="700"/>
    <n v="28664.5"/>
    <n v="24086"/>
    <n v="2580"/>
    <n v="2055"/>
    <n v="29848"/>
    <n v="26618"/>
    <n v="61666"/>
    <n v="2055.5333333333333"/>
    <n v="53459"/>
    <n v="1781.9666666666667"/>
    <m/>
    <m/>
    <n v="0"/>
    <n v="0"/>
    <m/>
    <m/>
    <m/>
    <m/>
    <m/>
    <m/>
    <m/>
    <m/>
    <n v="0"/>
    <n v="0"/>
    <n v="0"/>
    <n v="0"/>
    <m/>
    <m/>
    <n v="0"/>
    <n v="0"/>
  </r>
  <r>
    <x v="7"/>
    <s v="Morgan State University"/>
    <m/>
    <n v="163453"/>
    <x v="1"/>
    <s v="sem"/>
    <s v="sem"/>
    <n v="2195"/>
    <n v="1680"/>
    <n v="81111"/>
    <n v="76115"/>
    <n v="9596"/>
    <n v="6080"/>
    <n v="89187"/>
    <n v="99305"/>
    <n v="182089"/>
    <n v="6069.6333333333332"/>
    <n v="183180"/>
    <n v="6106"/>
    <m/>
    <m/>
    <n v="0"/>
    <n v="0"/>
    <m/>
    <m/>
    <m/>
    <m/>
    <m/>
    <m/>
    <m/>
    <m/>
    <n v="0"/>
    <n v="0"/>
    <n v="0"/>
    <n v="0"/>
    <m/>
    <m/>
    <n v="0"/>
    <n v="0"/>
  </r>
  <r>
    <x v="7"/>
    <s v="Saint Mary's College of Maryland"/>
    <m/>
    <n v="163912"/>
    <x v="11"/>
    <s v="sem"/>
    <s v="sem"/>
    <n v="0"/>
    <n v="1036"/>
    <n v="21516.5"/>
    <n v="21495"/>
    <n v="1644"/>
    <n v="1488"/>
    <n v="23251"/>
    <n v="23766"/>
    <n v="46411.5"/>
    <n v="1547.05"/>
    <n v="47785"/>
    <n v="1592.8333333333333"/>
    <m/>
    <m/>
    <n v="0"/>
    <n v="0"/>
    <m/>
    <m/>
    <m/>
    <m/>
    <m/>
    <m/>
    <m/>
    <m/>
    <n v="0"/>
    <n v="0"/>
    <n v="0"/>
    <n v="0"/>
    <m/>
    <m/>
    <n v="0"/>
    <n v="0"/>
  </r>
  <r>
    <x v="8"/>
    <s v="Mississippi State University"/>
    <m/>
    <n v="176080"/>
    <x v="0"/>
    <m/>
    <m/>
    <m/>
    <m/>
    <n v="244205"/>
    <n v="244342"/>
    <n v="39336"/>
    <n v="29018"/>
    <n v="265672"/>
    <n v="259647"/>
    <n v="549213"/>
    <n v="18307.099999999999"/>
    <n v="533007"/>
    <n v="17766.900000000001"/>
    <m/>
    <m/>
    <n v="0"/>
    <n v="0"/>
    <m/>
    <m/>
    <m/>
    <m/>
    <m/>
    <m/>
    <m/>
    <m/>
    <n v="0"/>
    <n v="0"/>
    <n v="0"/>
    <n v="0"/>
    <m/>
    <m/>
    <n v="0"/>
    <n v="0"/>
  </r>
  <r>
    <x v="8"/>
    <s v="University of Mississippi"/>
    <m/>
    <n v="176017"/>
    <x v="0"/>
    <m/>
    <m/>
    <m/>
    <m/>
    <n v="234713"/>
    <n v="220645"/>
    <n v="35636"/>
    <n v="30440"/>
    <n v="231075"/>
    <n v="230030"/>
    <n v="501424"/>
    <n v="16714.133333333335"/>
    <n v="481115"/>
    <n v="16037.166666666666"/>
    <m/>
    <m/>
    <n v="0"/>
    <n v="0"/>
    <m/>
    <m/>
    <m/>
    <m/>
    <m/>
    <m/>
    <m/>
    <m/>
    <n v="0"/>
    <n v="0"/>
    <n v="0"/>
    <n v="0"/>
    <m/>
    <m/>
    <n v="0"/>
    <n v="0"/>
  </r>
  <r>
    <x v="8"/>
    <s v="University of Southern Mississippi"/>
    <m/>
    <n v="176372"/>
    <x v="0"/>
    <m/>
    <m/>
    <m/>
    <m/>
    <n v="147483"/>
    <n v="143084"/>
    <n v="20645"/>
    <n v="20429"/>
    <n v="162817"/>
    <n v="150490"/>
    <n v="330945"/>
    <n v="11031.5"/>
    <n v="314003"/>
    <n v="10466.766666666666"/>
    <m/>
    <m/>
    <n v="0"/>
    <n v="0"/>
    <m/>
    <m/>
    <m/>
    <m/>
    <m/>
    <m/>
    <m/>
    <m/>
    <n v="0"/>
    <n v="0"/>
    <n v="0"/>
    <n v="0"/>
    <m/>
    <m/>
    <n v="0"/>
    <n v="0"/>
  </r>
  <r>
    <x v="8"/>
    <s v="Jackson State University "/>
    <m/>
    <n v="175856"/>
    <x v="1"/>
    <m/>
    <m/>
    <m/>
    <m/>
    <n v="63475"/>
    <n v="59931"/>
    <n v="6606"/>
    <n v="11762"/>
    <n v="62207.5"/>
    <n v="64697.5"/>
    <n v="132288.5"/>
    <n v="4409.6166666666668"/>
    <n v="136390.5"/>
    <n v="4546.3500000000004"/>
    <m/>
    <m/>
    <n v="0"/>
    <n v="0"/>
    <m/>
    <m/>
    <m/>
    <m/>
    <m/>
    <m/>
    <m/>
    <m/>
    <n v="0"/>
    <n v="0"/>
    <n v="0"/>
    <n v="0"/>
    <m/>
    <m/>
    <n v="0"/>
    <n v="0"/>
  </r>
  <r>
    <x v="8"/>
    <s v="Alcorn State University"/>
    <m/>
    <n v="175342"/>
    <x v="3"/>
    <m/>
    <m/>
    <m/>
    <m/>
    <n v="39137"/>
    <n v="34337"/>
    <n v="7479"/>
    <n v="6957"/>
    <n v="36422"/>
    <n v="34372"/>
    <n v="83038"/>
    <n v="2767.9333333333334"/>
    <n v="75666"/>
    <n v="2522.1999999999998"/>
    <m/>
    <m/>
    <n v="0"/>
    <n v="0"/>
    <m/>
    <m/>
    <m/>
    <m/>
    <m/>
    <m/>
    <m/>
    <m/>
    <n v="0"/>
    <n v="0"/>
    <n v="0"/>
    <n v="0"/>
    <m/>
    <m/>
    <n v="0"/>
    <n v="0"/>
  </r>
  <r>
    <x v="8"/>
    <s v="Delta State University"/>
    <m/>
    <n v="175616"/>
    <x v="3"/>
    <m/>
    <m/>
    <m/>
    <m/>
    <n v="31323"/>
    <n v="24876.5"/>
    <n v="3582"/>
    <n v="2749"/>
    <n v="29214"/>
    <n v="25164"/>
    <n v="64119"/>
    <n v="2137.3000000000002"/>
    <n v="52789.5"/>
    <n v="1759.65"/>
    <m/>
    <m/>
    <n v="0"/>
    <n v="0"/>
    <m/>
    <m/>
    <m/>
    <m/>
    <m/>
    <m/>
    <m/>
    <m/>
    <n v="0"/>
    <n v="0"/>
    <n v="0"/>
    <n v="0"/>
    <m/>
    <m/>
    <n v="0"/>
    <n v="0"/>
  </r>
  <r>
    <x v="8"/>
    <s v="Mississippi University for Women"/>
    <m/>
    <n v="176035"/>
    <x v="3"/>
    <m/>
    <m/>
    <m/>
    <m/>
    <n v="31188"/>
    <n v="29078"/>
    <n v="9289"/>
    <n v="8578"/>
    <n v="31398"/>
    <n v="27132"/>
    <n v="71875"/>
    <n v="2395.8333333333335"/>
    <n v="64788"/>
    <n v="2159.6"/>
    <m/>
    <m/>
    <n v="0"/>
    <n v="0"/>
    <m/>
    <m/>
    <m/>
    <m/>
    <m/>
    <m/>
    <m/>
    <m/>
    <n v="0"/>
    <n v="0"/>
    <n v="0"/>
    <n v="0"/>
    <m/>
    <m/>
    <n v="0"/>
    <n v="0"/>
  </r>
  <r>
    <x v="8"/>
    <s v="Mississippi Valley State University"/>
    <m/>
    <n v="176044"/>
    <x v="3"/>
    <m/>
    <m/>
    <m/>
    <m/>
    <n v="20834"/>
    <n v="16722"/>
    <n v="2813"/>
    <n v="4094"/>
    <n v="20397"/>
    <n v="18862"/>
    <n v="44044"/>
    <n v="1468.1333333333334"/>
    <n v="39678"/>
    <n v="1322.6"/>
    <m/>
    <m/>
    <n v="0"/>
    <n v="0"/>
    <m/>
    <m/>
    <m/>
    <m/>
    <m/>
    <m/>
    <m/>
    <m/>
    <n v="0"/>
    <n v="0"/>
    <n v="0"/>
    <n v="0"/>
    <m/>
    <m/>
    <n v="0"/>
    <n v="0"/>
  </r>
  <r>
    <x v="8"/>
    <s v="Hinds Community College "/>
    <m/>
    <n v="175786"/>
    <x v="5"/>
    <m/>
    <m/>
    <m/>
    <m/>
    <n v="122284"/>
    <n v="101228"/>
    <n v="19556"/>
    <n v="43658"/>
    <n v="119516"/>
    <n v="112137"/>
    <n v="261356"/>
    <n v="8711.8666666666668"/>
    <n v="257023"/>
    <n v="8567.4333333333325"/>
    <n v="32212"/>
    <n v="30209"/>
    <n v="261356"/>
    <n v="257023"/>
    <m/>
    <m/>
    <m/>
    <m/>
    <m/>
    <m/>
    <m/>
    <m/>
    <n v="0"/>
    <n v="0"/>
    <n v="0"/>
    <n v="0"/>
    <m/>
    <m/>
    <n v="0"/>
    <n v="0"/>
  </r>
  <r>
    <x v="8"/>
    <s v="Holmes Community College "/>
    <m/>
    <n v="175810"/>
    <x v="5"/>
    <m/>
    <m/>
    <m/>
    <m/>
    <n v="64692"/>
    <n v="58471"/>
    <n v="18893"/>
    <n v="15256"/>
    <n v="70874"/>
    <n v="64383"/>
    <n v="154459"/>
    <n v="5148.6333333333332"/>
    <n v="138110"/>
    <n v="4603.666666666667"/>
    <n v="9215"/>
    <n v="8851"/>
    <n v="154459"/>
    <n v="138110"/>
    <m/>
    <m/>
    <m/>
    <m/>
    <m/>
    <m/>
    <m/>
    <m/>
    <n v="0"/>
    <n v="0"/>
    <n v="0"/>
    <n v="0"/>
    <m/>
    <m/>
    <n v="0"/>
    <n v="0"/>
  </r>
  <r>
    <x v="8"/>
    <s v="Mississippi Gulf Coast Community College "/>
    <m/>
    <n v="176071"/>
    <x v="5"/>
    <m/>
    <m/>
    <m/>
    <m/>
    <n v="57772"/>
    <n v="53882"/>
    <n v="7416"/>
    <n v="6182"/>
    <n v="65140"/>
    <n v="58360"/>
    <n v="130328"/>
    <n v="4344.2666666666664"/>
    <n v="118424"/>
    <n v="3947.4666666666667"/>
    <n v="7315"/>
    <n v="7495"/>
    <n v="130328"/>
    <n v="118424"/>
    <m/>
    <m/>
    <m/>
    <m/>
    <m/>
    <m/>
    <m/>
    <m/>
    <n v="0"/>
    <n v="0"/>
    <n v="0"/>
    <n v="0"/>
    <m/>
    <m/>
    <n v="0"/>
    <n v="0"/>
  </r>
  <r>
    <x v="8"/>
    <s v="Northwest Mississippi Community College "/>
    <m/>
    <n v="176178"/>
    <x v="5"/>
    <m/>
    <m/>
    <m/>
    <m/>
    <n v="96955"/>
    <n v="88128"/>
    <n v="28595"/>
    <n v="23328"/>
    <n v="100842"/>
    <n v="93714"/>
    <n v="226392"/>
    <n v="7546.4"/>
    <n v="205170"/>
    <n v="6839"/>
    <n v="17344"/>
    <n v="18807"/>
    <n v="226392"/>
    <n v="205170"/>
    <m/>
    <m/>
    <m/>
    <m/>
    <m/>
    <m/>
    <m/>
    <m/>
    <n v="0"/>
    <n v="0"/>
    <n v="0"/>
    <n v="0"/>
    <m/>
    <m/>
    <n v="0"/>
    <n v="0"/>
  </r>
  <r>
    <x v="8"/>
    <s v="Copiah-Lincoln Community College "/>
    <m/>
    <n v="175573"/>
    <x v="6"/>
    <m/>
    <m/>
    <m/>
    <m/>
    <n v="79435"/>
    <n v="70995"/>
    <n v="12744"/>
    <n v="10827"/>
    <n v="83374"/>
    <n v="78569"/>
    <n v="175553"/>
    <n v="5851.7666666666664"/>
    <n v="160391"/>
    <n v="5346.3666666666668"/>
    <n v="15950"/>
    <n v="15106"/>
    <n v="175553"/>
    <n v="160391"/>
    <m/>
    <m/>
    <m/>
    <m/>
    <m/>
    <m/>
    <m/>
    <m/>
    <n v="0"/>
    <n v="0"/>
    <n v="0"/>
    <n v="0"/>
    <m/>
    <m/>
    <n v="0"/>
    <n v="0"/>
  </r>
  <r>
    <x v="8"/>
    <s v="East Central Community College "/>
    <m/>
    <n v="175643"/>
    <x v="6"/>
    <m/>
    <m/>
    <m/>
    <m/>
    <n v="32348"/>
    <n v="30035"/>
    <n v="6534"/>
    <n v="6870"/>
    <n v="37340"/>
    <n v="36003"/>
    <n v="76222"/>
    <n v="2540.7333333333331"/>
    <n v="72908"/>
    <n v="2430.2666666666669"/>
    <n v="8089"/>
    <n v="8369"/>
    <n v="76222"/>
    <n v="72908"/>
    <m/>
    <m/>
    <m/>
    <m/>
    <m/>
    <m/>
    <m/>
    <m/>
    <n v="0"/>
    <n v="0"/>
    <n v="0"/>
    <n v="0"/>
    <m/>
    <m/>
    <n v="0"/>
    <n v="0"/>
  </r>
  <r>
    <x v="8"/>
    <s v="East Mississippi Community College "/>
    <m/>
    <n v="175652"/>
    <x v="6"/>
    <m/>
    <m/>
    <m/>
    <m/>
    <n v="28097"/>
    <n v="25813"/>
    <n v="4735"/>
    <n v="3505"/>
    <n v="31834"/>
    <n v="29654"/>
    <n v="64666"/>
    <n v="2155.5333333333333"/>
    <n v="58972"/>
    <n v="1965.7333333333333"/>
    <n v="6215"/>
    <n v="6112"/>
    <n v="64666"/>
    <n v="58972"/>
    <m/>
    <m/>
    <m/>
    <m/>
    <m/>
    <m/>
    <m/>
    <m/>
    <n v="0"/>
    <n v="0"/>
    <n v="0"/>
    <n v="0"/>
    <m/>
    <m/>
    <n v="0"/>
    <n v="0"/>
  </r>
  <r>
    <x v="8"/>
    <s v="Itawamba Community College "/>
    <m/>
    <n v="175829"/>
    <x v="6"/>
    <m/>
    <m/>
    <m/>
    <m/>
    <n v="38526"/>
    <n v="33114"/>
    <n v="8449"/>
    <n v="19172"/>
    <n v="40505"/>
    <n v="40811"/>
    <n v="87480"/>
    <n v="2916"/>
    <n v="93097"/>
    <n v="3103.2333333333331"/>
    <n v="8432"/>
    <n v="9449"/>
    <n v="87480"/>
    <n v="93097"/>
    <m/>
    <m/>
    <m/>
    <m/>
    <m/>
    <m/>
    <m/>
    <m/>
    <n v="0"/>
    <n v="0"/>
    <n v="0"/>
    <n v="0"/>
    <m/>
    <m/>
    <n v="0"/>
    <n v="0"/>
  </r>
  <r>
    <x v="8"/>
    <s v="Jones College"/>
    <m/>
    <n v="175883"/>
    <x v="6"/>
    <m/>
    <m/>
    <m/>
    <m/>
    <n v="51162"/>
    <n v="43636"/>
    <n v="11031"/>
    <n v="9511"/>
    <n v="57131"/>
    <n v="53765"/>
    <n v="119324"/>
    <n v="3977.4666666666667"/>
    <n v="106912"/>
    <n v="3563.7333333333331"/>
    <n v="8106"/>
    <n v="8650"/>
    <n v="119324"/>
    <n v="106912"/>
    <m/>
    <m/>
    <m/>
    <m/>
    <m/>
    <m/>
    <m/>
    <m/>
    <n v="0"/>
    <n v="0"/>
    <n v="0"/>
    <n v="0"/>
    <m/>
    <m/>
    <n v="0"/>
    <n v="0"/>
  </r>
  <r>
    <x v="8"/>
    <s v="Meridian Community College "/>
    <m/>
    <n v="175935"/>
    <x v="6"/>
    <m/>
    <m/>
    <m/>
    <m/>
    <n v="34059.5"/>
    <n v="30472"/>
    <n v="9833"/>
    <n v="7490"/>
    <n v="35753"/>
    <n v="33931"/>
    <n v="79645.5"/>
    <n v="2654.85"/>
    <n v="71893"/>
    <n v="2396.4333333333334"/>
    <n v="3473"/>
    <n v="3170"/>
    <n v="79645.5"/>
    <n v="71893"/>
    <m/>
    <m/>
    <m/>
    <m/>
    <m/>
    <m/>
    <m/>
    <m/>
    <n v="0"/>
    <n v="0"/>
    <n v="0"/>
    <n v="0"/>
    <m/>
    <m/>
    <n v="0"/>
    <n v="0"/>
  </r>
  <r>
    <x v="8"/>
    <s v="Mississippi Delta Community College "/>
    <m/>
    <n v="176008"/>
    <x v="6"/>
    <m/>
    <m/>
    <m/>
    <m/>
    <n v="25534"/>
    <n v="20200"/>
    <n v="6560"/>
    <n v="5888"/>
    <n v="26377"/>
    <n v="24460"/>
    <n v="58471"/>
    <n v="1949.0333333333333"/>
    <n v="50548"/>
    <n v="1684.9333333333334"/>
    <n v="3257"/>
    <n v="3236"/>
    <n v="58471"/>
    <n v="50548"/>
    <m/>
    <m/>
    <m/>
    <m/>
    <m/>
    <m/>
    <m/>
    <m/>
    <n v="0"/>
    <n v="0"/>
    <n v="0"/>
    <n v="0"/>
    <m/>
    <m/>
    <n v="0"/>
    <n v="0"/>
  </r>
  <r>
    <x v="8"/>
    <s v="Northeast Mississippi Community College "/>
    <m/>
    <n v="176169"/>
    <x v="6"/>
    <m/>
    <m/>
    <m/>
    <m/>
    <n v="40466"/>
    <n v="35136"/>
    <n v="4497"/>
    <n v="24917"/>
    <n v="42009"/>
    <n v="41510"/>
    <n v="86972"/>
    <n v="2899.0666666666666"/>
    <n v="101563"/>
    <n v="3385.4333333333334"/>
    <n v="3601"/>
    <n v="6238"/>
    <n v="86972"/>
    <n v="101563"/>
    <m/>
    <m/>
    <m/>
    <m/>
    <m/>
    <m/>
    <m/>
    <m/>
    <n v="0"/>
    <n v="0"/>
    <n v="0"/>
    <n v="0"/>
    <m/>
    <m/>
    <n v="0"/>
    <n v="0"/>
  </r>
  <r>
    <x v="8"/>
    <s v="Pearl River Community College "/>
    <m/>
    <n v="176239"/>
    <x v="6"/>
    <m/>
    <m/>
    <m/>
    <m/>
    <n v="60443"/>
    <n v="58836"/>
    <n v="10243"/>
    <n v="11886"/>
    <n v="70293"/>
    <n v="68114"/>
    <n v="140979"/>
    <n v="4699.3"/>
    <n v="138836"/>
    <n v="4627.8666666666668"/>
    <n v="7652"/>
    <n v="8343"/>
    <n v="140979"/>
    <n v="138836"/>
    <m/>
    <m/>
    <m/>
    <m/>
    <m/>
    <m/>
    <m/>
    <m/>
    <n v="0"/>
    <n v="0"/>
    <n v="0"/>
    <n v="0"/>
    <m/>
    <m/>
    <n v="0"/>
    <n v="0"/>
  </r>
  <r>
    <x v="8"/>
    <s v="Coahoma Community College "/>
    <m/>
    <n v="175519"/>
    <x v="7"/>
    <m/>
    <m/>
    <m/>
    <m/>
    <n v="19573"/>
    <n v="17144"/>
    <n v="4735"/>
    <n v="8619"/>
    <n v="22257"/>
    <n v="20349"/>
    <n v="46565"/>
    <n v="1552.1666666666667"/>
    <n v="46112"/>
    <n v="1537.0666666666666"/>
    <n v="3654"/>
    <n v="2372"/>
    <n v="46565"/>
    <n v="46112"/>
    <m/>
    <m/>
    <m/>
    <m/>
    <m/>
    <m/>
    <m/>
    <m/>
    <n v="0"/>
    <n v="0"/>
    <n v="0"/>
    <n v="0"/>
    <m/>
    <m/>
    <n v="0"/>
    <n v="0"/>
  </r>
  <r>
    <x v="8"/>
    <s v="Southwest Mississippi Community College"/>
    <m/>
    <n v="176354"/>
    <x v="7"/>
    <m/>
    <m/>
    <m/>
    <m/>
    <n v="26104"/>
    <n v="22924"/>
    <n v="3560"/>
    <n v="4029"/>
    <n v="27633"/>
    <n v="23118"/>
    <n v="57297"/>
    <n v="1909.9"/>
    <n v="50071"/>
    <n v="1669.0333333333333"/>
    <n v="2699"/>
    <n v="2197"/>
    <n v="57297"/>
    <n v="50071"/>
    <m/>
    <m/>
    <m/>
    <m/>
    <m/>
    <m/>
    <m/>
    <m/>
    <n v="0"/>
    <n v="0"/>
    <n v="0"/>
    <n v="0"/>
    <m/>
    <m/>
    <n v="0"/>
    <n v="0"/>
  </r>
  <r>
    <x v="9"/>
    <s v="North Carolina State University "/>
    <m/>
    <n v="199193"/>
    <x v="0"/>
    <m/>
    <m/>
    <m/>
    <m/>
    <n v="330667"/>
    <n v="332870"/>
    <n v="61576"/>
    <n v="49429"/>
    <n v="356095"/>
    <n v="359884"/>
    <n v="748338"/>
    <n v="24944.6"/>
    <n v="742183"/>
    <n v="24739.433333333334"/>
    <n v="2076"/>
    <n v="1769"/>
    <n v="748338"/>
    <n v="742183"/>
    <m/>
    <m/>
    <m/>
    <m/>
    <m/>
    <m/>
    <m/>
    <m/>
    <n v="0"/>
    <n v="0"/>
    <n v="0"/>
    <n v="0"/>
    <m/>
    <m/>
    <n v="0"/>
    <n v="0"/>
  </r>
  <r>
    <x v="9"/>
    <s v="University of North Carolina at Chapel Hill "/>
    <m/>
    <n v="199120"/>
    <x v="0"/>
    <m/>
    <m/>
    <m/>
    <m/>
    <n v="245762"/>
    <n v="248392"/>
    <n v="49262.5"/>
    <n v="36754"/>
    <n v="269367.5"/>
    <n v="274076.5"/>
    <n v="564392"/>
    <n v="18813.066666666666"/>
    <n v="559222.5"/>
    <n v="18640.75"/>
    <n v="0"/>
    <n v="0"/>
    <n v="564392"/>
    <n v="559222.5"/>
    <m/>
    <m/>
    <m/>
    <m/>
    <m/>
    <m/>
    <m/>
    <m/>
    <n v="0"/>
    <n v="0"/>
    <n v="0"/>
    <n v="0"/>
    <m/>
    <m/>
    <n v="0"/>
    <n v="0"/>
  </r>
  <r>
    <x v="9"/>
    <s v="University of North Carolina at Charlotte"/>
    <m/>
    <n v="199139"/>
    <x v="0"/>
    <m/>
    <m/>
    <m/>
    <m/>
    <n v="296870"/>
    <n v="296964"/>
    <n v="67105"/>
    <n v="63569"/>
    <n v="326619"/>
    <n v="317988"/>
    <n v="690594"/>
    <n v="23019.8"/>
    <n v="678521"/>
    <n v="22617.366666666665"/>
    <n v="4905"/>
    <n v="5155"/>
    <n v="690594"/>
    <n v="678521"/>
    <m/>
    <m/>
    <m/>
    <m/>
    <m/>
    <m/>
    <m/>
    <m/>
    <n v="0"/>
    <n v="0"/>
    <n v="0"/>
    <n v="0"/>
    <m/>
    <m/>
    <n v="0"/>
    <n v="0"/>
  </r>
  <r>
    <x v="9"/>
    <s v="University of North Carolina at Greensboro"/>
    <m/>
    <n v="199148"/>
    <x v="0"/>
    <m/>
    <m/>
    <m/>
    <m/>
    <n v="202606"/>
    <n v="192963"/>
    <n v="35659"/>
    <n v="31084"/>
    <n v="213016"/>
    <n v="201170"/>
    <n v="451281"/>
    <n v="15042.7"/>
    <n v="425217"/>
    <n v="14173.9"/>
    <n v="1940"/>
    <n v="2052"/>
    <n v="451281"/>
    <n v="425217"/>
    <m/>
    <m/>
    <m/>
    <m/>
    <m/>
    <m/>
    <m/>
    <m/>
    <n v="0"/>
    <n v="0"/>
    <n v="0"/>
    <n v="0"/>
    <m/>
    <m/>
    <n v="0"/>
    <n v="0"/>
  </r>
  <r>
    <x v="9"/>
    <s v="East Carolina University "/>
    <m/>
    <n v="198464"/>
    <x v="1"/>
    <m/>
    <m/>
    <m/>
    <m/>
    <n v="277548"/>
    <n v="274928"/>
    <n v="50567"/>
    <n v="49295"/>
    <n v="305077"/>
    <n v="289462"/>
    <n v="633192"/>
    <n v="21106.400000000001"/>
    <n v="613685"/>
    <n v="20456.166666666668"/>
    <n v="762"/>
    <n v="1218"/>
    <n v="633192"/>
    <n v="613685"/>
    <m/>
    <m/>
    <m/>
    <m/>
    <m/>
    <m/>
    <m/>
    <m/>
    <n v="0"/>
    <n v="0"/>
    <n v="0"/>
    <n v="0"/>
    <m/>
    <m/>
    <n v="0"/>
    <n v="0"/>
  </r>
  <r>
    <x v="9"/>
    <s v="Appalachian State University "/>
    <m/>
    <n v="197869"/>
    <x v="2"/>
    <m/>
    <m/>
    <m/>
    <m/>
    <n v="235254"/>
    <n v="238929"/>
    <n v="44610"/>
    <n v="41765"/>
    <n v="258583"/>
    <n v="263919"/>
    <n v="538447"/>
    <n v="17948.233333333334"/>
    <n v="544613"/>
    <n v="18153.766666666666"/>
    <n v="0"/>
    <n v="0"/>
    <n v="538447"/>
    <n v="544613"/>
    <m/>
    <m/>
    <m/>
    <m/>
    <m/>
    <m/>
    <m/>
    <m/>
    <n v="0"/>
    <n v="0"/>
    <n v="0"/>
    <n v="0"/>
    <m/>
    <m/>
    <n v="0"/>
    <n v="0"/>
  </r>
  <r>
    <x v="9"/>
    <s v="North Carolina A&amp;T State University"/>
    <s v="Reclassifed: Met the criteria for Four-Year 2 in 2019-20 and 2020-21, and 2021-22"/>
    <n v="199102"/>
    <x v="1"/>
    <m/>
    <m/>
    <m/>
    <m/>
    <n v="141285"/>
    <n v="143233"/>
    <n v="22703"/>
    <n v="29092"/>
    <n v="154813"/>
    <n v="158471"/>
    <n v="318801"/>
    <n v="10626.7"/>
    <n v="330796"/>
    <n v="11026.533333333333"/>
    <n v="2823"/>
    <n v="3340"/>
    <n v="318801"/>
    <n v="330796"/>
    <m/>
    <m/>
    <m/>
    <m/>
    <m/>
    <m/>
    <m/>
    <m/>
    <n v="0"/>
    <n v="0"/>
    <n v="0"/>
    <n v="0"/>
    <m/>
    <m/>
    <n v="0"/>
    <n v="0"/>
  </r>
  <r>
    <x v="9"/>
    <s v="North Carolina Central University "/>
    <m/>
    <n v="199157"/>
    <x v="2"/>
    <m/>
    <m/>
    <m/>
    <m/>
    <n v="69458.5"/>
    <n v="66561.5"/>
    <n v="19653"/>
    <n v="19969"/>
    <n v="78102.5"/>
    <n v="74815.5"/>
    <n v="167214"/>
    <n v="5573.8"/>
    <n v="161346"/>
    <n v="5378.2"/>
    <n v="6024"/>
    <n v="6158"/>
    <n v="167214"/>
    <n v="161346"/>
    <m/>
    <m/>
    <m/>
    <m/>
    <m/>
    <m/>
    <m/>
    <m/>
    <n v="0"/>
    <n v="0"/>
    <n v="0"/>
    <n v="0"/>
    <m/>
    <m/>
    <n v="0"/>
    <n v="0"/>
  </r>
  <r>
    <x v="9"/>
    <s v="University of North Carolina at Wilmington"/>
    <m/>
    <n v="199218"/>
    <x v="2"/>
    <m/>
    <m/>
    <m/>
    <m/>
    <n v="183171.5"/>
    <n v="174949"/>
    <n v="46093.5"/>
    <n v="40448"/>
    <n v="190767"/>
    <n v="187895.5"/>
    <n v="420032"/>
    <n v="14001.066666666668"/>
    <n v="403292.5"/>
    <n v="13443.083333333334"/>
    <n v="2905"/>
    <n v="2774"/>
    <n v="420032"/>
    <n v="403292.5"/>
    <m/>
    <m/>
    <m/>
    <m/>
    <m/>
    <m/>
    <m/>
    <m/>
    <n v="0"/>
    <n v="0"/>
    <n v="0"/>
    <n v="0"/>
    <m/>
    <m/>
    <n v="0"/>
    <n v="0"/>
  </r>
  <r>
    <x v="9"/>
    <s v="Western Carolina University "/>
    <m/>
    <n v="200004"/>
    <x v="2"/>
    <m/>
    <m/>
    <m/>
    <m/>
    <n v="131442"/>
    <n v="126528"/>
    <n v="17731"/>
    <n v="19459"/>
    <n v="139881"/>
    <n v="131803"/>
    <n v="289054"/>
    <n v="9635.1333333333332"/>
    <n v="277790"/>
    <n v="9259.6666666666661"/>
    <n v="0"/>
    <n v="0"/>
    <n v="289054"/>
    <n v="277790"/>
    <m/>
    <m/>
    <m/>
    <m/>
    <m/>
    <m/>
    <m/>
    <m/>
    <n v="0"/>
    <n v="0"/>
    <n v="0"/>
    <n v="0"/>
    <m/>
    <m/>
    <n v="0"/>
    <n v="0"/>
  </r>
  <r>
    <x v="9"/>
    <s v="Fayetteville State University "/>
    <m/>
    <n v="198543"/>
    <x v="3"/>
    <m/>
    <m/>
    <m/>
    <m/>
    <n v="64766"/>
    <n v="61368"/>
    <n v="18429"/>
    <n v="19114"/>
    <n v="66878"/>
    <n v="63942"/>
    <n v="150073"/>
    <n v="5002.4333333333334"/>
    <n v="144424"/>
    <n v="4814.1333333333332"/>
    <n v="7856"/>
    <n v="7668"/>
    <n v="150073"/>
    <n v="144424"/>
    <m/>
    <m/>
    <m/>
    <m/>
    <m/>
    <m/>
    <m/>
    <m/>
    <n v="0"/>
    <n v="0"/>
    <n v="0"/>
    <n v="0"/>
    <m/>
    <m/>
    <n v="0"/>
    <n v="0"/>
  </r>
  <r>
    <x v="9"/>
    <s v="University of North Carolina at Pembroke"/>
    <m/>
    <n v="199281"/>
    <x v="4"/>
    <m/>
    <m/>
    <m/>
    <m/>
    <n v="74554"/>
    <n v="73887"/>
    <n v="18624"/>
    <n v="17147"/>
    <n v="80137"/>
    <n v="78528"/>
    <n v="173315"/>
    <n v="5777.166666666667"/>
    <n v="169562"/>
    <n v="5652.0666666666666"/>
    <n v="0"/>
    <n v="0"/>
    <n v="173315"/>
    <n v="169562"/>
    <m/>
    <m/>
    <m/>
    <m/>
    <m/>
    <m/>
    <m/>
    <m/>
    <n v="0"/>
    <n v="0"/>
    <n v="0"/>
    <n v="0"/>
    <m/>
    <m/>
    <n v="0"/>
    <n v="0"/>
  </r>
  <r>
    <x v="9"/>
    <s v="Winston-Salem State University "/>
    <m/>
    <n v="199999"/>
    <x v="4"/>
    <m/>
    <m/>
    <m/>
    <m/>
    <n v="59980"/>
    <n v="59824"/>
    <n v="10241"/>
    <n v="11379.5"/>
    <n v="64300"/>
    <n v="63945"/>
    <n v="134521"/>
    <n v="4484.0333333333338"/>
    <n v="135148.5"/>
    <n v="4504.95"/>
    <n v="0"/>
    <n v="0"/>
    <n v="134521"/>
    <n v="135148.5"/>
    <m/>
    <m/>
    <m/>
    <m/>
    <m/>
    <m/>
    <m/>
    <m/>
    <n v="0"/>
    <n v="0"/>
    <n v="0"/>
    <n v="0"/>
    <m/>
    <m/>
    <n v="0"/>
    <n v="0"/>
  </r>
  <r>
    <x v="9"/>
    <s v="Elizabeth City State University "/>
    <m/>
    <n v="198507"/>
    <x v="11"/>
    <m/>
    <m/>
    <m/>
    <m/>
    <n v="21962"/>
    <n v="23699"/>
    <n v="3072"/>
    <n v="4955"/>
    <n v="25637"/>
    <n v="25694"/>
    <n v="50671"/>
    <n v="1689.0333333333333"/>
    <n v="54348"/>
    <n v="1811.6"/>
    <n v="9"/>
    <n v="434"/>
    <n v="50671"/>
    <n v="54348"/>
    <m/>
    <m/>
    <m/>
    <m/>
    <m/>
    <m/>
    <m/>
    <m/>
    <n v="0"/>
    <n v="0"/>
    <n v="0"/>
    <n v="0"/>
    <m/>
    <m/>
    <n v="0"/>
    <n v="0"/>
  </r>
  <r>
    <x v="9"/>
    <s v="University of North Carolina at Asheville"/>
    <m/>
    <n v="199111"/>
    <x v="11"/>
    <m/>
    <m/>
    <m/>
    <m/>
    <n v="44259"/>
    <n v="41851"/>
    <n v="6609"/>
    <n v="5639"/>
    <n v="45271"/>
    <n v="43472"/>
    <n v="96139"/>
    <n v="3204.6333333333332"/>
    <n v="90962"/>
    <n v="3032.0666666666666"/>
    <n v="0"/>
    <n v="0"/>
    <n v="96139"/>
    <n v="90962"/>
    <m/>
    <m/>
    <m/>
    <m/>
    <m/>
    <m/>
    <m/>
    <m/>
    <n v="0"/>
    <n v="0"/>
    <n v="0"/>
    <n v="0"/>
    <m/>
    <m/>
    <n v="0"/>
    <n v="0"/>
  </r>
  <r>
    <x v="9"/>
    <s v="University of North Carolina School of the Arts"/>
    <m/>
    <n v="199184"/>
    <x v="10"/>
    <m/>
    <m/>
    <m/>
    <m/>
    <n v="13093"/>
    <n v="12762"/>
    <n v="294"/>
    <n v="222"/>
    <n v="13331"/>
    <n v="13662"/>
    <n v="26718"/>
    <n v="890.6"/>
    <n v="26646"/>
    <n v="888.2"/>
    <n v="0"/>
    <n v="0"/>
    <n v="26718"/>
    <n v="26646"/>
    <m/>
    <m/>
    <m/>
    <m/>
    <m/>
    <m/>
    <m/>
    <m/>
    <n v="0"/>
    <n v="0"/>
    <n v="0"/>
    <n v="0"/>
    <m/>
    <m/>
    <n v="0"/>
    <n v="0"/>
  </r>
  <r>
    <x v="9"/>
    <s v="Asheville-Buncombe Technical Community College"/>
    <s v="Met the criteria for Two-Year 2 in  2021-22"/>
    <n v="197887"/>
    <x v="5"/>
    <m/>
    <m/>
    <m/>
    <m/>
    <n v="52971"/>
    <n v="50441"/>
    <n v="16404"/>
    <n v="13900"/>
    <n v="56401"/>
    <n v="51588"/>
    <n v="125776"/>
    <n v="4192.5333333333338"/>
    <n v="115929"/>
    <n v="3864.3"/>
    <n v="24412"/>
    <n v="23742"/>
    <n v="125776"/>
    <n v="115929"/>
    <m/>
    <m/>
    <n v="197987"/>
    <n v="169006"/>
    <n v="62087"/>
    <n v="124915"/>
    <n v="135143"/>
    <n v="203662"/>
    <n v="395217"/>
    <n v="439.13"/>
    <n v="497583"/>
    <n v="552.87"/>
    <m/>
    <m/>
    <n v="0"/>
    <n v="0"/>
  </r>
  <r>
    <x v="9"/>
    <s v="Cape Fear Community College"/>
    <m/>
    <n v="198154"/>
    <x v="5"/>
    <m/>
    <m/>
    <m/>
    <m/>
    <n v="78980"/>
    <n v="76351.5"/>
    <n v="25264.5"/>
    <n v="25140"/>
    <n v="84916"/>
    <n v="85195"/>
    <n v="189160.5"/>
    <n v="6305.35"/>
    <n v="186686.5"/>
    <n v="6222.8833333333332"/>
    <n v="27599"/>
    <n v="26167"/>
    <n v="189160.5"/>
    <n v="186686.5"/>
    <m/>
    <m/>
    <n v="231137"/>
    <n v="223738"/>
    <n v="74560"/>
    <n v="164509"/>
    <n v="248246"/>
    <n v="313873"/>
    <n v="553943"/>
    <n v="615.49222222222227"/>
    <n v="702120"/>
    <n v="780.13333333333333"/>
    <m/>
    <m/>
    <n v="0"/>
    <n v="0"/>
  </r>
  <r>
    <x v="9"/>
    <s v="Central Piedmont Community College "/>
    <m/>
    <n v="198260"/>
    <x v="5"/>
    <m/>
    <m/>
    <m/>
    <m/>
    <n v="166754"/>
    <n v="157593"/>
    <n v="51271.5"/>
    <n v="45907.5"/>
    <n v="165091"/>
    <n v="164625"/>
    <n v="383116.5"/>
    <n v="12770.55"/>
    <n v="368125.5"/>
    <n v="12270.85"/>
    <n v="45420"/>
    <n v="45812.5"/>
    <n v="383116.5"/>
    <n v="368125.5"/>
    <m/>
    <m/>
    <n v="356816"/>
    <n v="380747"/>
    <n v="179451"/>
    <n v="235004"/>
    <n v="360847"/>
    <n v="495440"/>
    <n v="897114"/>
    <n v="996.79333333333329"/>
    <n v="1111191"/>
    <n v="1234.6566666666668"/>
    <m/>
    <m/>
    <n v="0"/>
    <n v="0"/>
  </r>
  <r>
    <x v="9"/>
    <s v="Fayetteville Technical Community College"/>
    <m/>
    <n v="198534"/>
    <x v="5"/>
    <m/>
    <m/>
    <m/>
    <m/>
    <n v="104333"/>
    <n v="90022"/>
    <n v="33835"/>
    <n v="30346"/>
    <n v="101114"/>
    <n v="92978"/>
    <n v="239282"/>
    <n v="7976.0666666666666"/>
    <n v="213346"/>
    <n v="7111.5333333333338"/>
    <n v="21290"/>
    <n v="17551"/>
    <n v="239282"/>
    <n v="213346"/>
    <m/>
    <m/>
    <n v="750212"/>
    <n v="695287"/>
    <n v="439923"/>
    <n v="499682"/>
    <n v="752533"/>
    <n v="938231"/>
    <n v="1942668"/>
    <n v="2158.52"/>
    <n v="2133200"/>
    <n v="2370.2222222222222"/>
    <m/>
    <m/>
    <n v="0"/>
    <n v="0"/>
  </r>
  <r>
    <x v="9"/>
    <s v="Forsyth Technical Community College"/>
    <m/>
    <n v="198552"/>
    <x v="5"/>
    <m/>
    <m/>
    <m/>
    <m/>
    <n v="66978"/>
    <n v="62251"/>
    <n v="26268"/>
    <n v="22485"/>
    <n v="70109"/>
    <n v="71026"/>
    <n v="163355"/>
    <n v="5445.166666666667"/>
    <n v="155762"/>
    <n v="5192.0666666666666"/>
    <n v="16202"/>
    <n v="15537"/>
    <n v="163355"/>
    <n v="155762"/>
    <m/>
    <m/>
    <n v="161162"/>
    <n v="155598"/>
    <n v="110897"/>
    <n v="109648"/>
    <n v="156381"/>
    <n v="193851"/>
    <n v="428440"/>
    <n v="476.04444444444442"/>
    <n v="459097"/>
    <n v="510.10777777777776"/>
    <m/>
    <m/>
    <n v="0"/>
    <n v="0"/>
  </r>
  <r>
    <x v="9"/>
    <s v="Guilford Technical Community College"/>
    <m/>
    <n v="198622"/>
    <x v="5"/>
    <m/>
    <m/>
    <m/>
    <m/>
    <n v="95481.5"/>
    <n v="86322.5"/>
    <n v="29489"/>
    <n v="26463.5"/>
    <n v="102535"/>
    <n v="93806.5"/>
    <n v="227505.5"/>
    <n v="7583.5166666666664"/>
    <n v="206592.5"/>
    <n v="6886.416666666667"/>
    <n v="22322"/>
    <n v="21590"/>
    <n v="227505.5"/>
    <n v="206592.5"/>
    <m/>
    <m/>
    <n v="289216"/>
    <n v="275873"/>
    <n v="135860"/>
    <n v="213623"/>
    <n v="254166"/>
    <n v="382435"/>
    <n v="679242"/>
    <n v="754.71333333333337"/>
    <n v="871931"/>
    <n v="968.8122222222222"/>
    <m/>
    <m/>
    <n v="0"/>
    <n v="0"/>
  </r>
  <r>
    <x v="9"/>
    <s v="Pitt Community College"/>
    <m/>
    <n v="199333"/>
    <x v="5"/>
    <m/>
    <m/>
    <m/>
    <m/>
    <n v="75221"/>
    <n v="61969"/>
    <n v="25297"/>
    <n v="21766"/>
    <n v="70867"/>
    <n v="66836"/>
    <n v="171385"/>
    <n v="5712.833333333333"/>
    <n v="150571"/>
    <n v="5019.0333333333338"/>
    <n v="20192"/>
    <n v="18501"/>
    <n v="171385"/>
    <n v="150571"/>
    <m/>
    <m/>
    <n v="142069"/>
    <n v="160921"/>
    <n v="110182"/>
    <n v="114409"/>
    <n v="166730"/>
    <n v="169421"/>
    <n v="418981"/>
    <n v="465.53444444444443"/>
    <n v="444751"/>
    <n v="494.16777777777776"/>
    <m/>
    <m/>
    <n v="0"/>
    <n v="0"/>
  </r>
  <r>
    <x v="9"/>
    <s v="Rowan-Cabarrus Community College"/>
    <s v="Met the criteria for Two-Year 2 in  2021-22"/>
    <n v="199494"/>
    <x v="5"/>
    <m/>
    <m/>
    <m/>
    <m/>
    <n v="55755"/>
    <n v="50638"/>
    <n v="14869"/>
    <n v="14750.6"/>
    <n v="59579"/>
    <n v="56780.4"/>
    <n v="130203"/>
    <n v="4340.1000000000004"/>
    <n v="122169"/>
    <n v="4072.3"/>
    <n v="34082"/>
    <n v="30611"/>
    <n v="130203"/>
    <n v="122169"/>
    <m/>
    <m/>
    <n v="242445"/>
    <n v="260745"/>
    <n v="133843"/>
    <n v="204490"/>
    <n v="319390"/>
    <n v="334400"/>
    <n v="695678"/>
    <n v="772.9755555555555"/>
    <n v="799635"/>
    <n v="888.48333333333335"/>
    <m/>
    <m/>
    <n v="0"/>
    <n v="0"/>
  </r>
  <r>
    <x v="9"/>
    <s v="Wake Technical Community College"/>
    <m/>
    <n v="199856"/>
    <x v="5"/>
    <m/>
    <m/>
    <m/>
    <m/>
    <n v="193599"/>
    <n v="188022"/>
    <n v="60890"/>
    <n v="59859"/>
    <n v="206440"/>
    <n v="196924"/>
    <n v="460929"/>
    <n v="15364.3"/>
    <n v="444805"/>
    <n v="14826.833333333334"/>
    <n v="28340"/>
    <n v="31725"/>
    <n v="460929"/>
    <n v="444805"/>
    <m/>
    <m/>
    <n v="645532"/>
    <n v="637952"/>
    <n v="301381"/>
    <n v="444714"/>
    <n v="603078"/>
    <n v="847247"/>
    <n v="1549991"/>
    <n v="1722.2122222222222"/>
    <n v="1929913"/>
    <n v="2144.347777777778"/>
    <m/>
    <m/>
    <n v="0"/>
    <n v="0"/>
  </r>
  <r>
    <x v="9"/>
    <s v="Alamance Community College"/>
    <m/>
    <n v="199786"/>
    <x v="6"/>
    <m/>
    <m/>
    <m/>
    <m/>
    <n v="38193"/>
    <n v="34214"/>
    <n v="10803"/>
    <n v="10415"/>
    <n v="37427.5"/>
    <n v="35989"/>
    <n v="86423.5"/>
    <n v="2880.7833333333333"/>
    <n v="80618"/>
    <n v="2687.2666666666669"/>
    <n v="18997"/>
    <n v="17591"/>
    <n v="86423.5"/>
    <n v="80618"/>
    <m/>
    <m/>
    <n v="160922"/>
    <n v="163338"/>
    <n v="90661"/>
    <n v="130900"/>
    <n v="199375"/>
    <n v="199431"/>
    <n v="450958"/>
    <n v="501.06444444444446"/>
    <n v="493669"/>
    <n v="548.52111111111117"/>
    <m/>
    <m/>
    <n v="0"/>
    <n v="0"/>
  </r>
  <r>
    <x v="9"/>
    <s v="Caldwell Community College &amp; Technical Institute"/>
    <m/>
    <n v="198118"/>
    <x v="6"/>
    <m/>
    <m/>
    <m/>
    <m/>
    <n v="32473"/>
    <n v="32020"/>
    <n v="8103"/>
    <n v="7967"/>
    <n v="36768"/>
    <n v="32012"/>
    <n v="77344"/>
    <n v="2578.1333333333332"/>
    <n v="71999"/>
    <n v="2399.9666666666667"/>
    <n v="20991"/>
    <n v="19753"/>
    <n v="77344"/>
    <n v="71999"/>
    <m/>
    <m/>
    <n v="144511"/>
    <n v="127516"/>
    <n v="78020"/>
    <n v="135331"/>
    <n v="193208"/>
    <n v="221105"/>
    <n v="415739"/>
    <n v="461.93222222222221"/>
    <n v="483952"/>
    <n v="537.72444444444443"/>
    <m/>
    <m/>
    <n v="0"/>
    <n v="0"/>
  </r>
  <r>
    <x v="9"/>
    <s v="Catawba Valley Community College"/>
    <m/>
    <n v="198233"/>
    <x v="6"/>
    <m/>
    <m/>
    <m/>
    <m/>
    <n v="42501"/>
    <n v="37750"/>
    <n v="9680"/>
    <n v="8869"/>
    <n v="42449"/>
    <n v="41529"/>
    <n v="94630"/>
    <n v="3154.3333333333335"/>
    <n v="88148"/>
    <n v="2938.2666666666669"/>
    <n v="23155"/>
    <n v="20832"/>
    <n v="94630"/>
    <n v="88148"/>
    <m/>
    <m/>
    <n v="147723"/>
    <n v="146951"/>
    <n v="90901"/>
    <n v="130250"/>
    <n v="123661"/>
    <n v="208730"/>
    <n v="362285"/>
    <n v="402.53888888888889"/>
    <n v="485931"/>
    <n v="539.92333333333329"/>
    <m/>
    <m/>
    <n v="0"/>
    <n v="0"/>
  </r>
  <r>
    <x v="9"/>
    <s v="Central Carolina Commuity College"/>
    <m/>
    <n v="198251"/>
    <x v="6"/>
    <m/>
    <m/>
    <m/>
    <m/>
    <n v="49765"/>
    <n v="44145"/>
    <n v="9641"/>
    <n v="9265"/>
    <n v="50383"/>
    <n v="46003"/>
    <n v="109789"/>
    <n v="3659.6333333333332"/>
    <n v="99413"/>
    <n v="3313.7666666666669"/>
    <n v="30626"/>
    <n v="26587"/>
    <n v="109789"/>
    <n v="99413"/>
    <m/>
    <m/>
    <n v="206879"/>
    <n v="175981"/>
    <n v="55568"/>
    <n v="123677"/>
    <n v="148443"/>
    <n v="241809"/>
    <n v="410890"/>
    <n v="456.54444444444442"/>
    <n v="541467"/>
    <n v="601.63"/>
    <m/>
    <m/>
    <n v="0"/>
    <n v="0"/>
  </r>
  <r>
    <x v="9"/>
    <s v="Cleveland Community College"/>
    <m/>
    <n v="198321"/>
    <x v="6"/>
    <m/>
    <m/>
    <m/>
    <m/>
    <n v="23419"/>
    <n v="20049"/>
    <n v="6681"/>
    <n v="5931"/>
    <n v="23486"/>
    <n v="25517"/>
    <n v="53586"/>
    <n v="1786.2"/>
    <n v="51497"/>
    <n v="1716.5666666666666"/>
    <n v="8925"/>
    <n v="10191"/>
    <n v="53586"/>
    <n v="51497"/>
    <m/>
    <m/>
    <n v="135304"/>
    <n v="130043"/>
    <n v="84510"/>
    <n v="94265"/>
    <n v="158802"/>
    <n v="166437"/>
    <n v="378616"/>
    <n v="420.68444444444447"/>
    <n v="390745"/>
    <n v="434.1611111111111"/>
    <m/>
    <m/>
    <n v="0"/>
    <n v="0"/>
  </r>
  <r>
    <x v="9"/>
    <s v="Coastal Carolina Community College "/>
    <m/>
    <n v="198330"/>
    <x v="6"/>
    <m/>
    <m/>
    <m/>
    <m/>
    <n v="37420"/>
    <n v="34401"/>
    <n v="14020"/>
    <n v="13436"/>
    <n v="36383"/>
    <n v="35805"/>
    <n v="87823"/>
    <n v="2927.4333333333334"/>
    <n v="83642"/>
    <n v="2788.0666666666666"/>
    <n v="6965"/>
    <n v="8619"/>
    <n v="87823"/>
    <n v="83642"/>
    <m/>
    <m/>
    <n v="127907"/>
    <n v="133942"/>
    <n v="105324"/>
    <n v="123630"/>
    <n v="160242"/>
    <n v="169757"/>
    <n v="393473"/>
    <n v="437.1922222222222"/>
    <n v="427329"/>
    <n v="474.81"/>
    <m/>
    <m/>
    <n v="0"/>
    <n v="0"/>
  </r>
  <r>
    <x v="9"/>
    <s v="Craven Community College "/>
    <m/>
    <n v="198367"/>
    <x v="6"/>
    <m/>
    <m/>
    <m/>
    <m/>
    <n v="25928"/>
    <n v="22775"/>
    <n v="7329"/>
    <n v="6745"/>
    <n v="25101"/>
    <n v="23915"/>
    <n v="58358"/>
    <n v="1945.2666666666667"/>
    <n v="53435"/>
    <n v="1781.1666666666667"/>
    <n v="12139"/>
    <n v="11415"/>
    <n v="58358"/>
    <n v="53435"/>
    <m/>
    <m/>
    <n v="116163"/>
    <n v="104567"/>
    <n v="97566"/>
    <n v="93940"/>
    <n v="131897"/>
    <n v="149852"/>
    <n v="345626"/>
    <n v="384.0288888888889"/>
    <n v="348359"/>
    <n v="387.06555555555553"/>
    <m/>
    <m/>
    <n v="0"/>
    <n v="0"/>
  </r>
  <r>
    <x v="9"/>
    <s v="Davidson-Davie Community College"/>
    <s v="Met the criteria for Two-Year 1 in  2021-22"/>
    <n v="198376"/>
    <x v="6"/>
    <m/>
    <m/>
    <m/>
    <m/>
    <n v="32227"/>
    <n v="64818"/>
    <n v="7864"/>
    <n v="15054"/>
    <n v="36661"/>
    <n v="70040"/>
    <n v="76752"/>
    <n v="2558.4"/>
    <n v="149912"/>
    <n v="4997.0666666666666"/>
    <n v="18473"/>
    <n v="34830"/>
    <n v="76752"/>
    <n v="149912"/>
    <m/>
    <m/>
    <n v="108232"/>
    <n v="300786"/>
    <n v="61383"/>
    <n v="164942"/>
    <n v="146469"/>
    <n v="322998"/>
    <n v="316084"/>
    <n v="351.20444444444445"/>
    <n v="788726"/>
    <n v="876.36222222222227"/>
    <m/>
    <m/>
    <n v="0"/>
    <n v="0"/>
  </r>
  <r>
    <x v="9"/>
    <s v="Durham Technical Community College"/>
    <m/>
    <n v="198455"/>
    <x v="6"/>
    <m/>
    <m/>
    <m/>
    <m/>
    <n v="46492"/>
    <n v="42257"/>
    <n v="14368"/>
    <n v="14303"/>
    <n v="45250"/>
    <n v="39635"/>
    <n v="106110"/>
    <n v="3537"/>
    <n v="96195"/>
    <n v="3206.5"/>
    <n v="13275"/>
    <n v="11992"/>
    <n v="106110"/>
    <n v="96195"/>
    <m/>
    <m/>
    <n v="162693"/>
    <n v="158219"/>
    <n v="69115"/>
    <n v="136594"/>
    <n v="174799"/>
    <n v="226329"/>
    <n v="406607"/>
    <n v="451.78555555555556"/>
    <n v="521142"/>
    <n v="579.04666666666662"/>
    <m/>
    <m/>
    <n v="0"/>
    <n v="0"/>
  </r>
  <r>
    <x v="9"/>
    <s v="Gaston College "/>
    <m/>
    <n v="198570"/>
    <x v="6"/>
    <m/>
    <m/>
    <m/>
    <m/>
    <n v="44501"/>
    <n v="41511"/>
    <n v="16117"/>
    <n v="15147"/>
    <n v="45980"/>
    <n v="44038"/>
    <n v="106598"/>
    <n v="3553.2666666666669"/>
    <n v="100696"/>
    <n v="3356.5333333333333"/>
    <n v="22994"/>
    <n v="25533"/>
    <n v="106598"/>
    <n v="100696"/>
    <m/>
    <m/>
    <n v="104423"/>
    <n v="87156"/>
    <n v="60308"/>
    <n v="92033"/>
    <n v="105440"/>
    <n v="134689"/>
    <n v="270171"/>
    <n v="300.19"/>
    <n v="313878"/>
    <n v="348.75333333333333"/>
    <m/>
    <m/>
    <n v="0"/>
    <n v="0"/>
  </r>
  <r>
    <x v="9"/>
    <s v="Johnston Community College"/>
    <m/>
    <n v="198774"/>
    <x v="6"/>
    <m/>
    <m/>
    <m/>
    <m/>
    <n v="36885"/>
    <n v="35590"/>
    <n v="9470"/>
    <n v="9000"/>
    <n v="39730"/>
    <n v="36127"/>
    <n v="86085"/>
    <n v="2869.5"/>
    <n v="80717"/>
    <n v="2690.5666666666666"/>
    <n v="19723"/>
    <n v="19314"/>
    <n v="86085"/>
    <n v="80717"/>
    <m/>
    <m/>
    <n v="97894"/>
    <n v="142211"/>
    <n v="112156"/>
    <n v="86072"/>
    <n v="142881"/>
    <n v="157901"/>
    <n v="352931"/>
    <n v="392.14555555555557"/>
    <n v="386184"/>
    <n v="429.09333333333331"/>
    <m/>
    <m/>
    <n v="0"/>
    <n v="0"/>
  </r>
  <r>
    <x v="9"/>
    <s v="Lenoir Community College "/>
    <m/>
    <n v="198817"/>
    <x v="6"/>
    <m/>
    <m/>
    <m/>
    <m/>
    <n v="21263"/>
    <n v="19500"/>
    <n v="6856"/>
    <n v="6193"/>
    <n v="23172"/>
    <n v="22935"/>
    <n v="51291"/>
    <n v="1709.7"/>
    <n v="48628"/>
    <n v="1620.9333333333334"/>
    <n v="13474"/>
    <n v="12238"/>
    <n v="51291"/>
    <n v="48628"/>
    <m/>
    <m/>
    <n v="469211"/>
    <n v="383729"/>
    <n v="199905"/>
    <n v="223366"/>
    <n v="383076"/>
    <n v="425898"/>
    <n v="1052192"/>
    <n v="1169.1022222222223"/>
    <n v="1032993"/>
    <n v="1147.77"/>
    <m/>
    <m/>
    <n v="0"/>
    <n v="0"/>
  </r>
  <r>
    <x v="9"/>
    <s v="Mitchell Community College "/>
    <m/>
    <n v="198987"/>
    <x v="6"/>
    <m/>
    <m/>
    <m/>
    <m/>
    <n v="25868"/>
    <n v="24617.200000000001"/>
    <n v="6864"/>
    <n v="6027"/>
    <n v="27460.799999999999"/>
    <n v="27090"/>
    <n v="60192.800000000003"/>
    <n v="2006.4266666666667"/>
    <n v="57734.2"/>
    <n v="1924.4733333333331"/>
    <n v="15931"/>
    <n v="16736"/>
    <n v="60192.800000000003"/>
    <n v="57734.2"/>
    <m/>
    <m/>
    <n v="45508"/>
    <n v="77924"/>
    <n v="61352"/>
    <n v="77569"/>
    <n v="116334"/>
    <n v="130299"/>
    <n v="223194"/>
    <n v="247.99333333333334"/>
    <n v="285792"/>
    <n v="317.54666666666668"/>
    <m/>
    <m/>
    <n v="0"/>
    <n v="0"/>
  </r>
  <r>
    <x v="9"/>
    <s v="Nash Community College"/>
    <m/>
    <n v="199087"/>
    <x v="6"/>
    <m/>
    <m/>
    <m/>
    <m/>
    <n v="26628"/>
    <n v="22204"/>
    <n v="5772"/>
    <n v="6039"/>
    <n v="23633"/>
    <n v="23953"/>
    <n v="56033"/>
    <n v="1867.7666666666667"/>
    <n v="52196"/>
    <n v="1739.8666666666666"/>
    <n v="12109"/>
    <n v="12404"/>
    <n v="56033"/>
    <n v="52196"/>
    <m/>
    <m/>
    <n v="88034"/>
    <n v="95755"/>
    <n v="68974"/>
    <n v="66395"/>
    <n v="94224"/>
    <n v="112444"/>
    <n v="251232"/>
    <n v="279.14666666666665"/>
    <n v="274594"/>
    <n v="305.10444444444443"/>
    <m/>
    <m/>
    <n v="0"/>
    <n v="0"/>
  </r>
  <r>
    <x v="9"/>
    <s v="Randolph Community College"/>
    <s v="Met the criteria for Two-Year 3 in  2021-22"/>
    <n v="199421"/>
    <x v="6"/>
    <m/>
    <m/>
    <m/>
    <m/>
    <n v="24067"/>
    <n v="21408"/>
    <n v="5759"/>
    <n v="5250.6"/>
    <n v="23317"/>
    <n v="21088.1"/>
    <n v="53143"/>
    <n v="1771.4333333333334"/>
    <n v="47746.7"/>
    <n v="1591.5566666666666"/>
    <n v="15007"/>
    <n v="12892.1"/>
    <n v="53143"/>
    <n v="47746.7"/>
    <m/>
    <m/>
    <n v="119407"/>
    <n v="126282"/>
    <n v="67788"/>
    <n v="63310"/>
    <n v="135564"/>
    <n v="141600"/>
    <n v="322759"/>
    <n v="358.62111111111113"/>
    <n v="331192"/>
    <n v="367.99111111111114"/>
    <m/>
    <m/>
    <n v="0"/>
    <n v="0"/>
  </r>
  <r>
    <x v="9"/>
    <s v="Richmond Community College"/>
    <s v="Met the criteria for Two-Year 3 in  2021-22"/>
    <n v="199449"/>
    <x v="6"/>
    <m/>
    <m/>
    <m/>
    <m/>
    <n v="21215.5"/>
    <n v="19976"/>
    <n v="5658"/>
    <n v="5453"/>
    <n v="21125"/>
    <n v="20030"/>
    <n v="47998.5"/>
    <n v="1599.95"/>
    <n v="45459"/>
    <n v="1515.3"/>
    <n v="14377.5"/>
    <n v="13813"/>
    <n v="47998.5"/>
    <n v="45459"/>
    <m/>
    <m/>
    <n v="149337"/>
    <n v="87573"/>
    <n v="73004"/>
    <n v="144062"/>
    <n v="156330"/>
    <n v="157661"/>
    <n v="378671"/>
    <n v="420.74555555555554"/>
    <n v="389296"/>
    <n v="432.55111111111108"/>
    <m/>
    <m/>
    <n v="0"/>
    <n v="0"/>
  </r>
  <r>
    <x v="9"/>
    <s v="Sandhills Community College "/>
    <m/>
    <n v="199634"/>
    <x v="6"/>
    <m/>
    <m/>
    <m/>
    <m/>
    <n v="36297"/>
    <n v="33035"/>
    <n v="11379"/>
    <n v="10293"/>
    <n v="35549"/>
    <n v="34655"/>
    <n v="83225"/>
    <n v="2774.1666666666665"/>
    <n v="77983"/>
    <n v="2599.4333333333334"/>
    <n v="17868"/>
    <n v="16260"/>
    <n v="83225"/>
    <n v="77983"/>
    <m/>
    <m/>
    <n v="124591"/>
    <n v="112824"/>
    <n v="75037"/>
    <n v="92242"/>
    <n v="122591"/>
    <n v="143854"/>
    <n v="322219"/>
    <n v="358.02111111111111"/>
    <n v="348920"/>
    <n v="387.68888888888887"/>
    <m/>
    <m/>
    <n v="0"/>
    <n v="0"/>
  </r>
  <r>
    <x v="9"/>
    <s v="South Piedmont Community College"/>
    <m/>
    <n v="197850"/>
    <x v="6"/>
    <m/>
    <m/>
    <m/>
    <m/>
    <n v="22449"/>
    <n v="22011"/>
    <n v="5482"/>
    <n v="5682"/>
    <n v="23675"/>
    <n v="23916"/>
    <n v="51606"/>
    <n v="1720.2"/>
    <n v="51609"/>
    <n v="1720.3"/>
    <n v="21593"/>
    <n v="19509"/>
    <n v="51606"/>
    <n v="51609"/>
    <m/>
    <m/>
    <n v="165595"/>
    <n v="155012"/>
    <n v="104372"/>
    <n v="106353"/>
    <n v="186417"/>
    <n v="175153"/>
    <n v="456384"/>
    <n v="507.09333333333331"/>
    <n v="436518"/>
    <n v="485.02"/>
    <m/>
    <m/>
    <n v="0"/>
    <n v="0"/>
  </r>
  <r>
    <x v="9"/>
    <s v="Stanly Community College"/>
    <s v="Met the criteria for Two-Year 3 in  2021-22"/>
    <n v="199740"/>
    <x v="6"/>
    <m/>
    <m/>
    <m/>
    <m/>
    <n v="20340"/>
    <n v="18934"/>
    <n v="6245"/>
    <n v="6005"/>
    <n v="21729"/>
    <n v="20001"/>
    <n v="48314"/>
    <n v="1610.4666666666667"/>
    <n v="44940"/>
    <n v="1498"/>
    <n v="9776"/>
    <n v="9284"/>
    <n v="48314"/>
    <n v="44940"/>
    <m/>
    <m/>
    <n v="178692"/>
    <n v="160691"/>
    <n v="76853"/>
    <n v="94947"/>
    <n v="169719"/>
    <n v="167219"/>
    <n v="425264"/>
    <n v="472.51555555555558"/>
    <n v="422857"/>
    <n v="469.8411111111111"/>
    <m/>
    <m/>
    <n v="0"/>
    <n v="0"/>
  </r>
  <r>
    <x v="9"/>
    <s v="Surry Community College "/>
    <m/>
    <n v="199768"/>
    <x v="6"/>
    <m/>
    <m/>
    <m/>
    <m/>
    <n v="28354"/>
    <n v="25465"/>
    <n v="6105"/>
    <n v="5852"/>
    <n v="29348"/>
    <n v="26135"/>
    <n v="63807"/>
    <n v="2126.9"/>
    <n v="57452"/>
    <n v="1915.0666666666666"/>
    <n v="18623"/>
    <n v="16905"/>
    <n v="63807"/>
    <n v="57452"/>
    <m/>
    <m/>
    <n v="98114"/>
    <n v="99017"/>
    <n v="58414"/>
    <n v="73582"/>
    <n v="105255"/>
    <n v="140708"/>
    <n v="261783"/>
    <n v="290.87"/>
    <n v="313307"/>
    <n v="348.11888888888888"/>
    <m/>
    <m/>
    <n v="0"/>
    <n v="0"/>
  </r>
  <r>
    <x v="9"/>
    <s v="Vance-Granville Community College "/>
    <m/>
    <n v="199838"/>
    <x v="6"/>
    <m/>
    <m/>
    <m/>
    <m/>
    <n v="25208"/>
    <n v="22513"/>
    <n v="6710"/>
    <n v="6043"/>
    <n v="25676"/>
    <n v="23984"/>
    <n v="57594"/>
    <n v="1919.8"/>
    <n v="52540"/>
    <n v="1751.3333333333333"/>
    <n v="16015"/>
    <n v="15094"/>
    <n v="57594"/>
    <n v="52540"/>
    <m/>
    <m/>
    <n v="116554"/>
    <n v="96065"/>
    <n v="43951"/>
    <n v="70180"/>
    <n v="119489"/>
    <n v="117346"/>
    <n v="279994"/>
    <n v="311.10444444444443"/>
    <n v="283591"/>
    <n v="315.10111111111109"/>
    <m/>
    <m/>
    <n v="0"/>
    <n v="0"/>
  </r>
  <r>
    <x v="9"/>
    <s v="Wayne Community College"/>
    <m/>
    <n v="199892"/>
    <x v="6"/>
    <m/>
    <m/>
    <m/>
    <m/>
    <n v="29647"/>
    <n v="26543"/>
    <n v="10209"/>
    <n v="9224"/>
    <n v="29159"/>
    <n v="27651"/>
    <n v="69015"/>
    <n v="2300.5"/>
    <n v="63418"/>
    <n v="2113.9333333333334"/>
    <n v="11072"/>
    <n v="9784"/>
    <n v="69015"/>
    <n v="63418"/>
    <m/>
    <m/>
    <n v="115650"/>
    <n v="114055"/>
    <n v="41313"/>
    <n v="82680"/>
    <n v="89156"/>
    <n v="114303"/>
    <n v="246119"/>
    <n v="273.46555555555557"/>
    <n v="311038"/>
    <n v="345.59777777777776"/>
    <m/>
    <m/>
    <n v="0"/>
    <n v="0"/>
  </r>
  <r>
    <x v="9"/>
    <s v="Wilkes Community College "/>
    <m/>
    <n v="199926"/>
    <x v="6"/>
    <m/>
    <m/>
    <m/>
    <m/>
    <n v="24135"/>
    <n v="20374"/>
    <n v="5171"/>
    <n v="4652"/>
    <n v="24048"/>
    <n v="22858"/>
    <n v="53354"/>
    <n v="1778.4666666666667"/>
    <n v="47884"/>
    <n v="1596.1333333333334"/>
    <n v="13955"/>
    <n v="13038"/>
    <n v="53354"/>
    <n v="47884"/>
    <m/>
    <m/>
    <n v="102177"/>
    <n v="96590"/>
    <n v="43914"/>
    <n v="73861"/>
    <n v="92856"/>
    <n v="115703"/>
    <n v="238947"/>
    <n v="265.49666666666667"/>
    <n v="286154"/>
    <n v="317.94888888888892"/>
    <m/>
    <m/>
    <n v="0"/>
    <n v="0"/>
  </r>
  <r>
    <x v="9"/>
    <s v="Beaufort County Community College "/>
    <m/>
    <n v="197966"/>
    <x v="7"/>
    <m/>
    <m/>
    <m/>
    <m/>
    <n v="14040"/>
    <n v="12605"/>
    <n v="3187"/>
    <n v="3007"/>
    <n v="13100"/>
    <n v="16403"/>
    <n v="30327"/>
    <n v="1010.9"/>
    <n v="32015"/>
    <n v="1067.1666666666667"/>
    <n v="11008"/>
    <n v="11157"/>
    <n v="30327"/>
    <n v="32015"/>
    <m/>
    <m/>
    <n v="76361"/>
    <n v="98928"/>
    <n v="31315"/>
    <n v="49822"/>
    <n v="62347"/>
    <n v="92336"/>
    <n v="170023"/>
    <n v="188.91444444444446"/>
    <n v="241086"/>
    <n v="267.87333333333333"/>
    <m/>
    <m/>
    <n v="0"/>
    <n v="0"/>
  </r>
  <r>
    <x v="9"/>
    <s v="Bladen Community College"/>
    <m/>
    <n v="198011"/>
    <x v="7"/>
    <m/>
    <m/>
    <m/>
    <m/>
    <n v="11007"/>
    <n v="9600"/>
    <n v="3049"/>
    <n v="2861"/>
    <n v="11122"/>
    <n v="11737"/>
    <n v="25178"/>
    <n v="839.26666666666665"/>
    <n v="24198"/>
    <n v="806.6"/>
    <n v="7121"/>
    <n v="6910"/>
    <n v="25178"/>
    <n v="24198"/>
    <m/>
    <m/>
    <n v="46628"/>
    <n v="45866"/>
    <n v="26715"/>
    <n v="26934"/>
    <n v="46528"/>
    <n v="56629"/>
    <n v="119871"/>
    <n v="133.19"/>
    <n v="129429"/>
    <n v="143.81"/>
    <m/>
    <m/>
    <n v="0"/>
    <n v="0"/>
  </r>
  <r>
    <x v="9"/>
    <s v="Blue Ridge Community College"/>
    <m/>
    <n v="198039"/>
    <x v="7"/>
    <m/>
    <m/>
    <m/>
    <m/>
    <n v="19551"/>
    <n v="19128"/>
    <n v="5563"/>
    <n v="5506"/>
    <n v="20823"/>
    <n v="23079"/>
    <n v="45937"/>
    <n v="1531.2333333333333"/>
    <n v="47713"/>
    <n v="1590.4333333333334"/>
    <n v="9859"/>
    <n v="9970"/>
    <n v="45937"/>
    <n v="47713"/>
    <m/>
    <m/>
    <n v="104786"/>
    <n v="105341"/>
    <n v="72045"/>
    <n v="95052"/>
    <n v="112368"/>
    <n v="129625"/>
    <n v="289199"/>
    <n v="321.33222222222224"/>
    <n v="330018"/>
    <n v="366.68666666666667"/>
    <m/>
    <m/>
    <n v="0"/>
    <n v="0"/>
  </r>
  <r>
    <x v="9"/>
    <s v="Brunswick Community College"/>
    <m/>
    <n v="198084"/>
    <x v="7"/>
    <m/>
    <m/>
    <m/>
    <m/>
    <n v="14458"/>
    <n v="14667"/>
    <n v="3010"/>
    <n v="3400"/>
    <n v="15746"/>
    <n v="16560"/>
    <n v="33214"/>
    <n v="1107.1333333333334"/>
    <n v="34627"/>
    <n v="1154.2333333333333"/>
    <n v="8923"/>
    <n v="9069"/>
    <n v="33214"/>
    <n v="34627"/>
    <m/>
    <m/>
    <n v="112726"/>
    <n v="120666"/>
    <n v="29097"/>
    <n v="64571"/>
    <n v="87635"/>
    <n v="139893"/>
    <n v="229458"/>
    <n v="254.95333333333335"/>
    <n v="325130"/>
    <n v="361.25555555555553"/>
    <m/>
    <m/>
    <n v="0"/>
    <n v="0"/>
  </r>
  <r>
    <x v="9"/>
    <s v="Carteret Community College"/>
    <m/>
    <n v="198206"/>
    <x v="7"/>
    <m/>
    <m/>
    <m/>
    <m/>
    <n v="13274.5"/>
    <n v="11983"/>
    <n v="3030"/>
    <n v="3184"/>
    <n v="13024"/>
    <n v="15913"/>
    <n v="29328.5"/>
    <n v="977.61666666666667"/>
    <n v="31080"/>
    <n v="1036"/>
    <n v="4951"/>
    <n v="4359"/>
    <n v="29328.5"/>
    <n v="31080"/>
    <m/>
    <m/>
    <n v="86927"/>
    <n v="83103"/>
    <n v="27585"/>
    <n v="50014"/>
    <n v="77078"/>
    <n v="107982"/>
    <n v="191590"/>
    <n v="212.87777777777777"/>
    <n v="241099"/>
    <n v="267.88777777777779"/>
    <m/>
    <m/>
    <n v="0"/>
    <n v="0"/>
  </r>
  <r>
    <x v="9"/>
    <s v="College of The Albemarle"/>
    <m/>
    <n v="197814"/>
    <x v="7"/>
    <m/>
    <m/>
    <m/>
    <m/>
    <n v="23073"/>
    <n v="21868"/>
    <n v="5724"/>
    <n v="5578"/>
    <n v="23783"/>
    <n v="22825"/>
    <n v="52580"/>
    <n v="1752.6666666666667"/>
    <n v="50271"/>
    <n v="1675.7"/>
    <n v="20454"/>
    <n v="19607"/>
    <n v="52580"/>
    <n v="50271"/>
    <m/>
    <m/>
    <n v="47353"/>
    <n v="68758"/>
    <n v="75707"/>
    <n v="67499"/>
    <n v="79283"/>
    <n v="92772"/>
    <n v="202343"/>
    <n v="224.82555555555555"/>
    <n v="229029"/>
    <n v="254.47666666666666"/>
    <m/>
    <m/>
    <n v="0"/>
    <n v="0"/>
  </r>
  <r>
    <x v="9"/>
    <s v="Edgecombe Community College"/>
    <m/>
    <n v="198491"/>
    <x v="7"/>
    <m/>
    <m/>
    <m/>
    <m/>
    <n v="16049"/>
    <n v="12533"/>
    <n v="4869"/>
    <n v="4763"/>
    <n v="13587"/>
    <n v="13753"/>
    <n v="34505"/>
    <n v="1150.1666666666667"/>
    <n v="31049"/>
    <n v="1034.9666666666667"/>
    <n v="5640"/>
    <n v="4858"/>
    <n v="34505"/>
    <n v="31049"/>
    <m/>
    <m/>
    <n v="62483"/>
    <n v="70648"/>
    <n v="46493"/>
    <n v="56153"/>
    <n v="72317"/>
    <n v="107406"/>
    <n v="181293"/>
    <n v="201.43666666666667"/>
    <n v="234207"/>
    <n v="260.23"/>
    <m/>
    <m/>
    <n v="0"/>
    <n v="0"/>
  </r>
  <r>
    <x v="9"/>
    <s v="Halifax Community College "/>
    <m/>
    <n v="198640"/>
    <x v="7"/>
    <m/>
    <m/>
    <m/>
    <m/>
    <n v="9578"/>
    <n v="7631"/>
    <n v="1785"/>
    <n v="1902"/>
    <n v="8088"/>
    <n v="8493"/>
    <n v="19451"/>
    <n v="648.36666666666667"/>
    <n v="18026"/>
    <n v="600.86666666666667"/>
    <n v="7253"/>
    <n v="7209"/>
    <n v="19451"/>
    <n v="18026"/>
    <m/>
    <m/>
    <n v="60942"/>
    <n v="38350"/>
    <n v="16440"/>
    <n v="33996"/>
    <n v="46401"/>
    <n v="49246"/>
    <n v="123783"/>
    <n v="137.53666666666666"/>
    <n v="121592"/>
    <n v="135.10222222222222"/>
    <m/>
    <m/>
    <n v="0"/>
    <n v="0"/>
  </r>
  <r>
    <x v="9"/>
    <s v="Haywood Community College"/>
    <m/>
    <n v="198668"/>
    <x v="7"/>
    <m/>
    <m/>
    <m/>
    <m/>
    <n v="13779"/>
    <n v="12253"/>
    <n v="3087"/>
    <n v="2697"/>
    <n v="13908"/>
    <n v="12436"/>
    <n v="30774"/>
    <n v="1025.8"/>
    <n v="27386"/>
    <n v="912.86666666666667"/>
    <n v="6380"/>
    <n v="5860"/>
    <n v="30774"/>
    <n v="27386"/>
    <m/>
    <m/>
    <n v="54841"/>
    <n v="56548"/>
    <n v="38593"/>
    <n v="31522"/>
    <n v="61555"/>
    <n v="58998"/>
    <n v="154989"/>
    <n v="172.21"/>
    <n v="147068"/>
    <n v="163.4088888888889"/>
    <m/>
    <m/>
    <n v="0"/>
    <n v="0"/>
  </r>
  <r>
    <x v="9"/>
    <s v="Isothermal Community College "/>
    <m/>
    <n v="198710"/>
    <x v="7"/>
    <m/>
    <m/>
    <m/>
    <m/>
    <n v="19862"/>
    <n v="18145"/>
    <n v="5672"/>
    <n v="5598"/>
    <n v="20169"/>
    <n v="18346"/>
    <n v="45703"/>
    <n v="1523.4333333333334"/>
    <n v="42089"/>
    <n v="1402.9666666666667"/>
    <n v="13992"/>
    <n v="12832"/>
    <n v="45703"/>
    <n v="42089"/>
    <m/>
    <m/>
    <n v="54050"/>
    <n v="59705"/>
    <n v="27141"/>
    <n v="37983"/>
    <n v="50967"/>
    <n v="62907"/>
    <n v="132158"/>
    <n v="146.84222222222223"/>
    <n v="160595"/>
    <n v="178.4388888888889"/>
    <m/>
    <m/>
    <n v="0"/>
    <n v="0"/>
  </r>
  <r>
    <x v="9"/>
    <s v="James Sprunt Community College"/>
    <m/>
    <n v="198729"/>
    <x v="7"/>
    <m/>
    <m/>
    <m/>
    <m/>
    <n v="11187"/>
    <n v="9859"/>
    <n v="3558"/>
    <n v="3407"/>
    <n v="10933"/>
    <n v="12763"/>
    <n v="25678"/>
    <n v="855.93333333333328"/>
    <n v="26029"/>
    <n v="867.63333333333333"/>
    <n v="7655"/>
    <n v="6991"/>
    <n v="25678"/>
    <n v="26029"/>
    <m/>
    <m/>
    <n v="85460"/>
    <n v="96220"/>
    <n v="46374"/>
    <n v="49712"/>
    <n v="89255"/>
    <n v="104887"/>
    <n v="221089"/>
    <n v="245.65444444444444"/>
    <n v="250819"/>
    <n v="278.6877777777778"/>
    <m/>
    <m/>
    <n v="0"/>
    <n v="0"/>
  </r>
  <r>
    <x v="9"/>
    <s v="Martin Community College "/>
    <m/>
    <n v="198905"/>
    <x v="7"/>
    <m/>
    <m/>
    <m/>
    <m/>
    <n v="7961"/>
    <n v="7025"/>
    <n v="1646"/>
    <n v="1364"/>
    <n v="8062"/>
    <n v="6704"/>
    <n v="17669"/>
    <n v="588.9666666666667"/>
    <n v="15093"/>
    <n v="503.1"/>
    <n v="9788"/>
    <n v="7708"/>
    <n v="17669"/>
    <n v="15093"/>
    <m/>
    <m/>
    <n v="43282"/>
    <n v="20351"/>
    <n v="8406"/>
    <n v="17082"/>
    <n v="31625"/>
    <n v="42498"/>
    <n v="83313"/>
    <n v="92.57"/>
    <n v="79931"/>
    <n v="88.812222222222218"/>
    <m/>
    <m/>
    <n v="0"/>
    <n v="0"/>
  </r>
  <r>
    <x v="9"/>
    <s v="Mayland Community College"/>
    <m/>
    <n v="198914"/>
    <x v="7"/>
    <m/>
    <m/>
    <m/>
    <m/>
    <n v="8257"/>
    <n v="7353"/>
    <n v="1338"/>
    <n v="1260"/>
    <n v="8309"/>
    <n v="7723"/>
    <n v="17904"/>
    <n v="596.79999999999995"/>
    <n v="16336"/>
    <n v="544.5333333333333"/>
    <n v="7003"/>
    <n v="6527"/>
    <n v="17904"/>
    <n v="16336"/>
    <m/>
    <m/>
    <n v="104456"/>
    <n v="31614"/>
    <n v="17529"/>
    <n v="36826"/>
    <n v="45222"/>
    <n v="54661"/>
    <n v="167207"/>
    <n v="185.78555555555556"/>
    <n v="123101"/>
    <n v="136.7788888888889"/>
    <m/>
    <m/>
    <n v="0"/>
    <n v="0"/>
  </r>
  <r>
    <x v="9"/>
    <s v="McDowell Technical Community College"/>
    <m/>
    <n v="198923"/>
    <x v="7"/>
    <m/>
    <m/>
    <m/>
    <m/>
    <n v="8875"/>
    <n v="8056"/>
    <n v="2503"/>
    <n v="2434"/>
    <n v="9287"/>
    <n v="9928"/>
    <n v="20665"/>
    <n v="688.83333333333337"/>
    <n v="20418"/>
    <n v="680.6"/>
    <n v="8251"/>
    <n v="7601"/>
    <n v="20665"/>
    <n v="20418"/>
    <m/>
    <m/>
    <n v="34558"/>
    <n v="57723"/>
    <n v="22287"/>
    <n v="32372"/>
    <n v="34915"/>
    <n v="70065"/>
    <n v="91760"/>
    <n v="101.95555555555555"/>
    <n v="160160"/>
    <n v="177.95555555555555"/>
    <m/>
    <m/>
    <n v="0"/>
    <n v="0"/>
  </r>
  <r>
    <x v="9"/>
    <s v="Montgomery Community College"/>
    <m/>
    <n v="199023"/>
    <x v="7"/>
    <m/>
    <m/>
    <m/>
    <m/>
    <n v="8348.5"/>
    <n v="6482"/>
    <n v="1322"/>
    <n v="1274"/>
    <n v="7721.5"/>
    <n v="7664"/>
    <n v="17392"/>
    <n v="579.73333333333335"/>
    <n v="15420"/>
    <n v="514"/>
    <n v="5766"/>
    <n v="5525"/>
    <n v="17392"/>
    <n v="15420"/>
    <m/>
    <m/>
    <n v="47705"/>
    <n v="40913"/>
    <n v="20038"/>
    <n v="26159"/>
    <n v="53986"/>
    <n v="55395"/>
    <n v="121729"/>
    <n v="135.25444444444443"/>
    <n v="122467"/>
    <n v="136.07444444444445"/>
    <m/>
    <m/>
    <n v="0"/>
    <n v="0"/>
  </r>
  <r>
    <x v="9"/>
    <s v="Pamlico Community College"/>
    <m/>
    <n v="199263"/>
    <x v="7"/>
    <m/>
    <m/>
    <m/>
    <m/>
    <n v="5565"/>
    <n v="2738"/>
    <n v="1853"/>
    <n v="1095"/>
    <n v="3637"/>
    <n v="2838"/>
    <n v="11055"/>
    <n v="368.5"/>
    <n v="6671"/>
    <n v="222.36666666666667"/>
    <n v="1817"/>
    <n v="1458"/>
    <n v="11055"/>
    <n v="6671"/>
    <m/>
    <m/>
    <n v="27143"/>
    <n v="56978"/>
    <n v="17117"/>
    <n v="29285"/>
    <n v="34509"/>
    <n v="42195"/>
    <n v="78769"/>
    <n v="87.521111111111111"/>
    <n v="128458"/>
    <n v="142.73111111111112"/>
    <m/>
    <m/>
    <n v="0"/>
    <n v="0"/>
  </r>
  <r>
    <x v="9"/>
    <s v="Piedmont Community College"/>
    <m/>
    <n v="199324"/>
    <x v="7"/>
    <m/>
    <m/>
    <m/>
    <m/>
    <n v="11116.5"/>
    <n v="9997.5"/>
    <n v="1927.5"/>
    <n v="1874.5"/>
    <n v="11416.5"/>
    <n v="10789"/>
    <n v="24460.5"/>
    <n v="815.35"/>
    <n v="22661"/>
    <n v="755.36666666666667"/>
    <n v="7899.5"/>
    <n v="7696"/>
    <n v="24460.5"/>
    <n v="22661"/>
    <m/>
    <m/>
    <n v="103711"/>
    <n v="57173"/>
    <n v="29473"/>
    <n v="43830"/>
    <n v="56753"/>
    <n v="94679"/>
    <n v="189937"/>
    <n v="211.04111111111112"/>
    <n v="195682"/>
    <n v="217.42444444444445"/>
    <m/>
    <m/>
    <n v="0"/>
    <n v="0"/>
  </r>
  <r>
    <x v="9"/>
    <s v="Roanoke-Chowan Community College"/>
    <m/>
    <n v="199467"/>
    <x v="7"/>
    <m/>
    <m/>
    <m/>
    <m/>
    <n v="4848"/>
    <n v="4205"/>
    <n v="1106"/>
    <n v="1259"/>
    <n v="4398"/>
    <n v="5385"/>
    <n v="10352"/>
    <n v="345.06666666666666"/>
    <n v="10849"/>
    <n v="361.63333333333333"/>
    <n v="4751"/>
    <n v="4883"/>
    <n v="10352"/>
    <n v="10849"/>
    <m/>
    <m/>
    <n v="27585"/>
    <n v="30078"/>
    <n v="14430"/>
    <n v="31503"/>
    <n v="23466"/>
    <n v="46718"/>
    <n v="65481"/>
    <n v="72.756666666666661"/>
    <n v="108299"/>
    <n v="120.33222222222223"/>
    <m/>
    <m/>
    <n v="0"/>
    <n v="0"/>
  </r>
  <r>
    <x v="9"/>
    <s v="Robeson Community College"/>
    <s v="Met the criteria for Two-Year 2 in 2020-21 and 2021-22"/>
    <n v="199476"/>
    <x v="7"/>
    <m/>
    <m/>
    <m/>
    <m/>
    <n v="17552"/>
    <n v="16176"/>
    <n v="4955"/>
    <n v="5203"/>
    <n v="18778"/>
    <n v="18527"/>
    <n v="41285"/>
    <n v="1376.1666666666667"/>
    <n v="39906"/>
    <n v="1330.2"/>
    <n v="8337"/>
    <n v="7149"/>
    <n v="41285"/>
    <n v="39906"/>
    <m/>
    <m/>
    <n v="238790"/>
    <n v="207542"/>
    <n v="124766"/>
    <n v="141909"/>
    <n v="211115"/>
    <n v="335739"/>
    <n v="574671"/>
    <n v="638.52333333333331"/>
    <n v="685190"/>
    <n v="761.32222222222219"/>
    <m/>
    <m/>
    <n v="0"/>
    <n v="0"/>
  </r>
  <r>
    <x v="9"/>
    <s v="Rockingham Community College "/>
    <m/>
    <n v="199485"/>
    <x v="7"/>
    <m/>
    <m/>
    <m/>
    <m/>
    <n v="15679"/>
    <n v="13797"/>
    <n v="4532"/>
    <n v="3405"/>
    <n v="16697"/>
    <n v="15631"/>
    <n v="36908"/>
    <n v="1230.2666666666667"/>
    <n v="32833"/>
    <n v="1094.4333333333334"/>
    <n v="8885"/>
    <n v="7080"/>
    <n v="36908"/>
    <n v="32833"/>
    <m/>
    <m/>
    <n v="59555"/>
    <n v="67500"/>
    <n v="27044"/>
    <n v="47873"/>
    <n v="68711"/>
    <n v="74125"/>
    <n v="155310"/>
    <n v="172.56666666666666"/>
    <n v="189498"/>
    <n v="210.55333333333334"/>
    <m/>
    <m/>
    <n v="0"/>
    <n v="0"/>
  </r>
  <r>
    <x v="9"/>
    <s v="Sampson Community College"/>
    <m/>
    <n v="199625"/>
    <x v="7"/>
    <m/>
    <m/>
    <m/>
    <m/>
    <n v="15637"/>
    <n v="14831"/>
    <n v="5483"/>
    <n v="5830"/>
    <n v="16424"/>
    <n v="16237"/>
    <n v="37544"/>
    <n v="1251.4666666666667"/>
    <n v="36898"/>
    <n v="1229.9333333333334"/>
    <n v="14222"/>
    <n v="12925"/>
    <n v="37544"/>
    <n v="36898"/>
    <m/>
    <m/>
    <n v="99937"/>
    <n v="105637"/>
    <n v="37012"/>
    <n v="41765"/>
    <n v="111220"/>
    <n v="136647"/>
    <n v="248169"/>
    <n v="275.74333333333334"/>
    <n v="284049"/>
    <n v="315.61"/>
    <m/>
    <m/>
    <n v="0"/>
    <n v="0"/>
  </r>
  <r>
    <x v="9"/>
    <s v="Southeastern Community College "/>
    <m/>
    <n v="199722"/>
    <x v="7"/>
    <m/>
    <m/>
    <m/>
    <m/>
    <n v="13388"/>
    <n v="11406"/>
    <n v="4072"/>
    <n v="3782"/>
    <n v="12428"/>
    <n v="11046"/>
    <n v="29888"/>
    <n v="996.26666666666665"/>
    <n v="26234"/>
    <n v="874.4666666666667"/>
    <n v="7715"/>
    <n v="6465"/>
    <n v="29888"/>
    <n v="26234"/>
    <m/>
    <m/>
    <n v="134653"/>
    <n v="109083"/>
    <n v="34896"/>
    <n v="59623"/>
    <n v="69726"/>
    <n v="135948"/>
    <n v="239275"/>
    <n v="265.86111111111109"/>
    <n v="304654"/>
    <n v="338.50444444444446"/>
    <m/>
    <m/>
    <n v="0"/>
    <n v="0"/>
  </r>
  <r>
    <x v="9"/>
    <s v="Southwestern Community College "/>
    <m/>
    <n v="199731"/>
    <x v="7"/>
    <m/>
    <m/>
    <m/>
    <m/>
    <n v="20636"/>
    <n v="17790"/>
    <n v="4199"/>
    <n v="3768"/>
    <n v="19833"/>
    <n v="21764"/>
    <n v="44668"/>
    <n v="1488.9333333333334"/>
    <n v="43322"/>
    <n v="1444.0666666666666"/>
    <n v="11505"/>
    <n v="10601"/>
    <n v="44668"/>
    <n v="43322"/>
    <m/>
    <m/>
    <n v="92216"/>
    <n v="108877"/>
    <n v="65790"/>
    <n v="73214"/>
    <n v="94109"/>
    <n v="115339"/>
    <n v="252115"/>
    <n v="280.12777777777779"/>
    <n v="297430"/>
    <n v="330.47777777777776"/>
    <m/>
    <m/>
    <n v="0"/>
    <n v="0"/>
  </r>
  <r>
    <x v="9"/>
    <s v="Tri-County Community College "/>
    <m/>
    <n v="199795"/>
    <x v="7"/>
    <m/>
    <m/>
    <m/>
    <m/>
    <n v="10574"/>
    <n v="9846"/>
    <n v="2683"/>
    <n v="2445"/>
    <n v="10300"/>
    <n v="10308"/>
    <n v="23557"/>
    <n v="785.23333333333335"/>
    <n v="22599"/>
    <n v="753.3"/>
    <n v="10035"/>
    <n v="8733"/>
    <n v="23557"/>
    <n v="22599"/>
    <m/>
    <m/>
    <n v="43679"/>
    <n v="46527"/>
    <n v="19456"/>
    <n v="27928"/>
    <n v="42858"/>
    <n v="41509"/>
    <n v="105993"/>
    <n v="117.77"/>
    <n v="115964"/>
    <n v="128.84888888888889"/>
    <m/>
    <m/>
    <n v="0"/>
    <n v="0"/>
  </r>
  <r>
    <x v="9"/>
    <s v="Western Piedmont Community College "/>
    <m/>
    <n v="199908"/>
    <x v="7"/>
    <m/>
    <m/>
    <m/>
    <m/>
    <n v="18183"/>
    <n v="15894"/>
    <n v="4681"/>
    <n v="4218"/>
    <n v="18012"/>
    <n v="16921"/>
    <n v="40876"/>
    <n v="1362.5333333333333"/>
    <n v="37033"/>
    <n v="1234.4333333333334"/>
    <n v="11187"/>
    <n v="10487"/>
    <n v="40876"/>
    <n v="37033"/>
    <m/>
    <m/>
    <n v="51003"/>
    <n v="46930"/>
    <n v="17918"/>
    <n v="34823"/>
    <n v="45077"/>
    <n v="57068"/>
    <n v="113998"/>
    <n v="126.66444444444444"/>
    <n v="138821"/>
    <n v="154.24555555555557"/>
    <m/>
    <m/>
    <n v="0"/>
    <n v="0"/>
  </r>
  <r>
    <x v="9"/>
    <s v="Wilson Community College"/>
    <m/>
    <n v="199953"/>
    <x v="7"/>
    <m/>
    <m/>
    <m/>
    <m/>
    <n v="14556.5"/>
    <n v="13898"/>
    <n v="5246"/>
    <n v="5200"/>
    <n v="16177"/>
    <n v="14776.5"/>
    <n v="35979.5"/>
    <n v="1199.3166666666666"/>
    <n v="33874.5"/>
    <n v="1129.1500000000001"/>
    <n v="10837.5"/>
    <n v="9980.5"/>
    <n v="35979.5"/>
    <n v="33874.5"/>
    <m/>
    <m/>
    <n v="66889"/>
    <n v="67026"/>
    <n v="24323"/>
    <n v="42507"/>
    <n v="61238"/>
    <n v="74384"/>
    <n v="152450"/>
    <n v="169.38888888888889"/>
    <n v="183917"/>
    <n v="204.35222222222222"/>
    <m/>
    <m/>
    <n v="0"/>
    <n v="0"/>
  </r>
  <r>
    <x v="10"/>
    <m/>
    <m/>
    <m/>
    <x v="13"/>
    <m/>
    <m/>
    <m/>
    <m/>
    <m/>
    <m/>
    <m/>
    <m/>
    <m/>
    <m/>
    <n v="0"/>
    <n v="0"/>
    <n v="0"/>
    <n v="0"/>
    <m/>
    <m/>
    <n v="0"/>
    <n v="0"/>
    <m/>
    <m/>
    <m/>
    <m/>
    <m/>
    <m/>
    <m/>
    <m/>
    <n v="0"/>
    <n v="0"/>
    <n v="0"/>
    <n v="0"/>
    <m/>
    <m/>
    <n v="0"/>
    <n v="0"/>
  </r>
  <r>
    <x v="10"/>
    <s v="Canadian Valley Technology Center                 "/>
    <s v="Met the crtiera for Technical College 2 in 2021-22"/>
    <n v="365374"/>
    <x v="8"/>
    <m/>
    <m/>
    <m/>
    <m/>
    <m/>
    <m/>
    <m/>
    <m/>
    <m/>
    <m/>
    <n v="0"/>
    <n v="0"/>
    <n v="0"/>
    <n v="0"/>
    <m/>
    <m/>
    <n v="0"/>
    <n v="0"/>
    <m/>
    <m/>
    <m/>
    <m/>
    <m/>
    <m/>
    <n v="970575"/>
    <n v="436806"/>
    <n v="970575"/>
    <n v="1078.4166666666667"/>
    <n v="436806"/>
    <n v="485.34"/>
    <m/>
    <m/>
    <n v="0"/>
    <n v="0"/>
  </r>
  <r>
    <x v="10"/>
    <s v="Francis Tuttle Technology Center                  "/>
    <s v="Met the crtiera for Technical College 2 in 2021-22"/>
    <n v="245999"/>
    <x v="8"/>
    <m/>
    <m/>
    <m/>
    <m/>
    <m/>
    <m/>
    <m/>
    <m/>
    <m/>
    <m/>
    <n v="0"/>
    <n v="0"/>
    <n v="0"/>
    <n v="0"/>
    <m/>
    <m/>
    <n v="0"/>
    <n v="0"/>
    <m/>
    <m/>
    <m/>
    <m/>
    <m/>
    <m/>
    <n v="1514425.9"/>
    <n v="485462"/>
    <n v="1514425.9"/>
    <n v="1682.6954444444443"/>
    <n v="485462"/>
    <n v="539.40222222222224"/>
    <m/>
    <m/>
    <n v="0"/>
    <n v="0"/>
  </r>
  <r>
    <x v="10"/>
    <s v="Tulsa Technology Center-Lemley Campus             "/>
    <s v="Met the criteria for Technical Institute or College 2 in 2021-22"/>
    <n v="261375"/>
    <x v="8"/>
    <m/>
    <m/>
    <m/>
    <m/>
    <m/>
    <m/>
    <m/>
    <m/>
    <m/>
    <m/>
    <n v="0"/>
    <n v="0"/>
    <n v="0"/>
    <n v="0"/>
    <m/>
    <m/>
    <n v="0"/>
    <n v="0"/>
    <m/>
    <m/>
    <m/>
    <m/>
    <m/>
    <m/>
    <n v="1309950"/>
    <n v="672079"/>
    <n v="1309950"/>
    <n v="1455.5"/>
    <n v="672079"/>
    <n v="746.7544444444444"/>
    <m/>
    <m/>
    <n v="0"/>
    <n v="0"/>
  </r>
  <r>
    <x v="10"/>
    <s v="Autry Technology Center                           "/>
    <m/>
    <n v="365213"/>
    <x v="9"/>
    <m/>
    <m/>
    <m/>
    <m/>
    <m/>
    <m/>
    <m/>
    <m/>
    <m/>
    <m/>
    <n v="0"/>
    <n v="0"/>
    <n v="0"/>
    <n v="0"/>
    <m/>
    <m/>
    <n v="0"/>
    <n v="0"/>
    <m/>
    <m/>
    <m/>
    <m/>
    <m/>
    <m/>
    <n v="465419.4"/>
    <n v="223511"/>
    <n v="465419.4"/>
    <n v="517.13266666666664"/>
    <n v="223511"/>
    <n v="248.34555555555556"/>
    <m/>
    <m/>
    <n v="0"/>
    <n v="0"/>
  </r>
  <r>
    <x v="10"/>
    <s v="Caddo Kiowa Technology Center                     "/>
    <m/>
    <n v="364946"/>
    <x v="9"/>
    <m/>
    <m/>
    <m/>
    <m/>
    <m/>
    <m/>
    <m/>
    <m/>
    <m/>
    <m/>
    <n v="0"/>
    <n v="0"/>
    <n v="0"/>
    <n v="0"/>
    <m/>
    <m/>
    <n v="0"/>
    <n v="0"/>
    <m/>
    <m/>
    <m/>
    <m/>
    <m/>
    <m/>
    <n v="256418.1"/>
    <n v="154785"/>
    <n v="256418.1"/>
    <n v="284.90899999999999"/>
    <n v="154785"/>
    <n v="171.98333333333332"/>
    <m/>
    <m/>
    <n v="0"/>
    <n v="0"/>
  </r>
  <r>
    <x v="10"/>
    <s v="Central Technology Center                         "/>
    <m/>
    <n v="246017"/>
    <x v="9"/>
    <m/>
    <m/>
    <m/>
    <m/>
    <m/>
    <m/>
    <m/>
    <m/>
    <m/>
    <m/>
    <n v="0"/>
    <n v="0"/>
    <n v="0"/>
    <n v="0"/>
    <m/>
    <m/>
    <n v="0"/>
    <n v="0"/>
    <m/>
    <m/>
    <m/>
    <m/>
    <m/>
    <m/>
    <n v="677725.7"/>
    <n v="454439"/>
    <n v="677725.7"/>
    <n v="753.0285555555555"/>
    <n v="454439"/>
    <n v="504.93222222222221"/>
    <m/>
    <m/>
    <n v="0"/>
    <n v="0"/>
  </r>
  <r>
    <x v="10"/>
    <s v="Chisholm Trail Technology Center                  "/>
    <m/>
    <n v="375656"/>
    <x v="9"/>
    <m/>
    <m/>
    <m/>
    <m/>
    <m/>
    <m/>
    <m/>
    <m/>
    <m/>
    <m/>
    <n v="0"/>
    <n v="0"/>
    <n v="0"/>
    <n v="0"/>
    <m/>
    <m/>
    <n v="0"/>
    <n v="0"/>
    <m/>
    <m/>
    <m/>
    <m/>
    <m/>
    <m/>
    <n v="126730.5"/>
    <n v="35130"/>
    <n v="126730.5"/>
    <n v="140.81166666666667"/>
    <n v="35130"/>
    <n v="39.033333333333331"/>
    <m/>
    <m/>
    <n v="0"/>
    <n v="0"/>
  </r>
  <r>
    <x v="10"/>
    <s v="Eastern Oklahoma County Technology Center         "/>
    <m/>
    <n v="418348"/>
    <x v="9"/>
    <m/>
    <m/>
    <m/>
    <m/>
    <m/>
    <m/>
    <m/>
    <m/>
    <m/>
    <m/>
    <n v="0"/>
    <n v="0"/>
    <n v="0"/>
    <n v="0"/>
    <m/>
    <m/>
    <n v="0"/>
    <n v="0"/>
    <m/>
    <m/>
    <m/>
    <m/>
    <m/>
    <m/>
    <n v="487232.9"/>
    <n v="206781"/>
    <n v="487232.9"/>
    <n v="541.36988888888891"/>
    <n v="206781"/>
    <n v="229.75666666666666"/>
    <m/>
    <m/>
    <n v="0"/>
    <n v="0"/>
  </r>
  <r>
    <x v="10"/>
    <s v="Gordon Cooper Technology Center                   "/>
    <m/>
    <n v="375683"/>
    <x v="9"/>
    <m/>
    <m/>
    <m/>
    <m/>
    <m/>
    <m/>
    <m/>
    <m/>
    <m/>
    <m/>
    <n v="0"/>
    <n v="0"/>
    <n v="0"/>
    <n v="0"/>
    <m/>
    <m/>
    <n v="0"/>
    <n v="0"/>
    <m/>
    <m/>
    <m/>
    <m/>
    <m/>
    <m/>
    <n v="1009352.8"/>
    <n v="299823"/>
    <n v="1009352.8"/>
    <n v="1121.5031111111111"/>
    <n v="299823"/>
    <n v="333.13666666666666"/>
    <m/>
    <m/>
    <n v="0"/>
    <n v="0"/>
  </r>
  <r>
    <x v="10"/>
    <s v="Great Plains Technology Center                    "/>
    <m/>
    <n v="364548"/>
    <x v="9"/>
    <m/>
    <m/>
    <m/>
    <m/>
    <m/>
    <m/>
    <m/>
    <m/>
    <m/>
    <m/>
    <n v="0"/>
    <n v="0"/>
    <n v="0"/>
    <n v="0"/>
    <m/>
    <m/>
    <n v="0"/>
    <n v="0"/>
    <m/>
    <m/>
    <m/>
    <m/>
    <m/>
    <m/>
    <n v="683487"/>
    <n v="369250"/>
    <n v="683487"/>
    <n v="759.43"/>
    <n v="369250"/>
    <n v="410.27777777777777"/>
    <m/>
    <m/>
    <n v="0"/>
    <n v="0"/>
  </r>
  <r>
    <x v="10"/>
    <s v="Green Country Technology Center                   "/>
    <m/>
    <n v="428019"/>
    <x v="9"/>
    <m/>
    <m/>
    <m/>
    <m/>
    <m/>
    <m/>
    <m/>
    <m/>
    <m/>
    <m/>
    <n v="0"/>
    <n v="0"/>
    <n v="0"/>
    <n v="0"/>
    <m/>
    <m/>
    <n v="0"/>
    <n v="0"/>
    <m/>
    <m/>
    <m/>
    <m/>
    <m/>
    <m/>
    <n v="233309"/>
    <n v="98754"/>
    <n v="233309"/>
    <n v="259.23222222222222"/>
    <n v="98754"/>
    <n v="109.72666666666667"/>
    <m/>
    <m/>
    <n v="0"/>
    <n v="0"/>
  </r>
  <r>
    <x v="10"/>
    <s v="High Plains Technology Center                     "/>
    <m/>
    <n v="208053"/>
    <x v="9"/>
    <m/>
    <m/>
    <m/>
    <m/>
    <m/>
    <m/>
    <m/>
    <m/>
    <m/>
    <m/>
    <n v="0"/>
    <n v="0"/>
    <n v="0"/>
    <n v="0"/>
    <m/>
    <m/>
    <n v="0"/>
    <n v="0"/>
    <m/>
    <m/>
    <m/>
    <m/>
    <m/>
    <m/>
    <n v="204946.9"/>
    <n v="141360"/>
    <n v="204946.9"/>
    <n v="227.71877777777777"/>
    <n v="141360"/>
    <n v="157.06666666666666"/>
    <m/>
    <m/>
    <n v="0"/>
    <n v="0"/>
  </r>
  <r>
    <x v="10"/>
    <s v="Indian Capital Technology Center-Muskogee         "/>
    <m/>
    <n v="418296"/>
    <x v="9"/>
    <m/>
    <m/>
    <m/>
    <m/>
    <m/>
    <m/>
    <m/>
    <m/>
    <m/>
    <m/>
    <n v="0"/>
    <n v="0"/>
    <n v="0"/>
    <n v="0"/>
    <m/>
    <m/>
    <n v="0"/>
    <n v="0"/>
    <m/>
    <m/>
    <m/>
    <m/>
    <m/>
    <m/>
    <n v="517115.4"/>
    <n v="316864"/>
    <n v="517115.4"/>
    <n v="574.57266666666669"/>
    <n v="316864"/>
    <n v="352.07111111111112"/>
    <m/>
    <m/>
    <n v="0"/>
    <n v="0"/>
  </r>
  <r>
    <x v="10"/>
    <s v="Indian Capital Technology Center-Sallisaw         "/>
    <m/>
    <n v="421540"/>
    <x v="9"/>
    <m/>
    <m/>
    <m/>
    <m/>
    <m/>
    <m/>
    <m/>
    <m/>
    <m/>
    <m/>
    <n v="0"/>
    <n v="0"/>
    <n v="0"/>
    <n v="0"/>
    <m/>
    <m/>
    <n v="0"/>
    <n v="0"/>
    <m/>
    <m/>
    <m/>
    <m/>
    <m/>
    <m/>
    <n v="99576.7"/>
    <n v="94745"/>
    <n v="99576.7"/>
    <n v="110.64077777777777"/>
    <n v="94745"/>
    <n v="105.27222222222223"/>
    <m/>
    <m/>
    <n v="0"/>
    <n v="0"/>
  </r>
  <r>
    <x v="10"/>
    <s v="Indian Capital Technology Center-Stilwell         "/>
    <m/>
    <n v="421559"/>
    <x v="9"/>
    <m/>
    <m/>
    <m/>
    <m/>
    <m/>
    <m/>
    <m/>
    <m/>
    <m/>
    <m/>
    <n v="0"/>
    <n v="0"/>
    <n v="0"/>
    <n v="0"/>
    <m/>
    <m/>
    <n v="0"/>
    <n v="0"/>
    <m/>
    <m/>
    <m/>
    <m/>
    <m/>
    <m/>
    <n v="114030"/>
    <n v="63600"/>
    <n v="114030"/>
    <n v="126.7"/>
    <n v="63600"/>
    <n v="70.666666666666671"/>
    <m/>
    <m/>
    <n v="0"/>
    <n v="0"/>
  </r>
  <r>
    <x v="10"/>
    <s v="Indian Capital Technology Center-Tahlequah        "/>
    <m/>
    <n v="208026"/>
    <x v="9"/>
    <m/>
    <m/>
    <m/>
    <m/>
    <m/>
    <m/>
    <m/>
    <m/>
    <m/>
    <m/>
    <n v="0"/>
    <n v="0"/>
    <n v="0"/>
    <n v="0"/>
    <m/>
    <m/>
    <n v="0"/>
    <n v="0"/>
    <m/>
    <m/>
    <m/>
    <m/>
    <m/>
    <m/>
    <n v="228733.2"/>
    <n v="116634"/>
    <n v="228733.2"/>
    <n v="254.14800000000002"/>
    <n v="116634"/>
    <n v="129.59333333333333"/>
    <m/>
    <m/>
    <n v="0"/>
    <n v="0"/>
  </r>
  <r>
    <x v="10"/>
    <s v="Kiamichi Technology Center-Atoka                  "/>
    <m/>
    <n v="375692"/>
    <x v="9"/>
    <m/>
    <m/>
    <m/>
    <m/>
    <m/>
    <m/>
    <m/>
    <m/>
    <m/>
    <m/>
    <n v="0"/>
    <n v="0"/>
    <n v="0"/>
    <n v="0"/>
    <m/>
    <m/>
    <n v="0"/>
    <n v="0"/>
    <m/>
    <m/>
    <m/>
    <m/>
    <m/>
    <m/>
    <n v="203282"/>
    <n v="53380"/>
    <n v="203282"/>
    <n v="225.86888888888888"/>
    <n v="53380"/>
    <n v="59.31111111111111"/>
    <m/>
    <m/>
    <n v="0"/>
    <n v="0"/>
  </r>
  <r>
    <x v="10"/>
    <s v="Kiamichi Technology Center-Durant                 "/>
    <m/>
    <n v="375708"/>
    <x v="9"/>
    <m/>
    <m/>
    <m/>
    <m/>
    <m/>
    <m/>
    <m/>
    <m/>
    <m/>
    <m/>
    <n v="0"/>
    <n v="0"/>
    <n v="0"/>
    <n v="0"/>
    <m/>
    <m/>
    <n v="0"/>
    <n v="0"/>
    <m/>
    <m/>
    <m/>
    <m/>
    <m/>
    <m/>
    <n v="151019.5"/>
    <n v="92863"/>
    <n v="151019.5"/>
    <n v="167.79944444444445"/>
    <n v="92863"/>
    <n v="103.18111111111111"/>
    <m/>
    <m/>
    <n v="0"/>
    <n v="0"/>
  </r>
  <r>
    <x v="10"/>
    <s v="Kiamichi Technology Center-Hugo                   "/>
    <m/>
    <n v="375717"/>
    <x v="9"/>
    <m/>
    <m/>
    <m/>
    <m/>
    <m/>
    <m/>
    <m/>
    <m/>
    <m/>
    <m/>
    <n v="0"/>
    <n v="0"/>
    <n v="0"/>
    <n v="0"/>
    <m/>
    <m/>
    <n v="0"/>
    <n v="0"/>
    <m/>
    <m/>
    <m/>
    <m/>
    <m/>
    <m/>
    <n v="71652"/>
    <n v="58173"/>
    <n v="71652"/>
    <n v="79.61333333333333"/>
    <n v="58173"/>
    <n v="64.63666666666667"/>
    <m/>
    <m/>
    <n v="0"/>
    <n v="0"/>
  </r>
  <r>
    <x v="10"/>
    <s v="Kiamichi Technology Center-Idabel                 "/>
    <m/>
    <n v="375735"/>
    <x v="9"/>
    <m/>
    <m/>
    <m/>
    <m/>
    <m/>
    <m/>
    <m/>
    <m/>
    <m/>
    <m/>
    <n v="0"/>
    <n v="0"/>
    <n v="0"/>
    <n v="0"/>
    <m/>
    <m/>
    <n v="0"/>
    <n v="0"/>
    <m/>
    <m/>
    <m/>
    <m/>
    <m/>
    <m/>
    <n v="164047"/>
    <n v="94645"/>
    <n v="164047"/>
    <n v="182.27444444444444"/>
    <n v="94645"/>
    <n v="105.16111111111111"/>
    <m/>
    <m/>
    <n v="0"/>
    <n v="0"/>
  </r>
  <r>
    <x v="10"/>
    <s v="Kiamichi Technology Center-McAlester              "/>
    <m/>
    <n v="375726"/>
    <x v="9"/>
    <m/>
    <m/>
    <m/>
    <m/>
    <m/>
    <m/>
    <m/>
    <m/>
    <m/>
    <m/>
    <n v="0"/>
    <n v="0"/>
    <n v="0"/>
    <n v="0"/>
    <m/>
    <m/>
    <n v="0"/>
    <n v="0"/>
    <m/>
    <m/>
    <m/>
    <m/>
    <m/>
    <m/>
    <n v="241451"/>
    <n v="160450"/>
    <n v="241451"/>
    <n v="268.2788888888889"/>
    <n v="160450"/>
    <n v="178.27777777777777"/>
    <m/>
    <m/>
    <n v="0"/>
    <n v="0"/>
  </r>
  <r>
    <x v="10"/>
    <s v="Kiamichi Technology Center-Poteau                 "/>
    <m/>
    <n v="375744"/>
    <x v="9"/>
    <m/>
    <m/>
    <m/>
    <m/>
    <m/>
    <m/>
    <m/>
    <m/>
    <m/>
    <m/>
    <n v="0"/>
    <n v="0"/>
    <n v="0"/>
    <n v="0"/>
    <m/>
    <m/>
    <n v="0"/>
    <n v="0"/>
    <m/>
    <m/>
    <m/>
    <m/>
    <m/>
    <m/>
    <n v="203094"/>
    <n v="130317"/>
    <n v="203094"/>
    <n v="225.66"/>
    <n v="130317"/>
    <n v="144.79666666666665"/>
    <m/>
    <m/>
    <n v="0"/>
    <n v="0"/>
  </r>
  <r>
    <x v="10"/>
    <s v="Kiamichi Technology Center-Spiro                  "/>
    <m/>
    <n v="375753"/>
    <x v="9"/>
    <m/>
    <m/>
    <m/>
    <m/>
    <m/>
    <m/>
    <m/>
    <m/>
    <m/>
    <m/>
    <n v="0"/>
    <n v="0"/>
    <n v="0"/>
    <n v="0"/>
    <m/>
    <m/>
    <n v="0"/>
    <n v="0"/>
    <m/>
    <m/>
    <m/>
    <m/>
    <m/>
    <m/>
    <n v="15054"/>
    <n v="5346"/>
    <n v="15054"/>
    <n v="16.726666666666667"/>
    <n v="5346"/>
    <n v="5.94"/>
    <m/>
    <m/>
    <n v="0"/>
    <n v="0"/>
  </r>
  <r>
    <x v="10"/>
    <s v="Kiamichi Technology Center-Stigler                "/>
    <m/>
    <n v="405748"/>
    <x v="9"/>
    <m/>
    <m/>
    <m/>
    <m/>
    <m/>
    <m/>
    <m/>
    <m/>
    <m/>
    <m/>
    <n v="0"/>
    <n v="0"/>
    <n v="0"/>
    <n v="0"/>
    <m/>
    <m/>
    <n v="0"/>
    <n v="0"/>
    <m/>
    <m/>
    <m/>
    <m/>
    <m/>
    <m/>
    <n v="79776"/>
    <n v="12186"/>
    <n v="79776"/>
    <n v="88.64"/>
    <n v="12186"/>
    <n v="13.54"/>
    <m/>
    <m/>
    <n v="0"/>
    <n v="0"/>
  </r>
  <r>
    <x v="10"/>
    <s v="Kiamichi Technology Center-Talihina               "/>
    <m/>
    <n v="375762"/>
    <x v="9"/>
    <m/>
    <m/>
    <m/>
    <m/>
    <m/>
    <m/>
    <m/>
    <m/>
    <m/>
    <m/>
    <n v="0"/>
    <n v="0"/>
    <n v="0"/>
    <n v="0"/>
    <m/>
    <m/>
    <n v="0"/>
    <n v="0"/>
    <m/>
    <m/>
    <m/>
    <m/>
    <m/>
    <m/>
    <n v="57855"/>
    <n v="28473"/>
    <n v="57855"/>
    <n v="64.283333333333331"/>
    <n v="28473"/>
    <n v="31.636666666666667"/>
    <m/>
    <m/>
    <n v="0"/>
    <n v="0"/>
  </r>
  <r>
    <x v="10"/>
    <s v="Meridian Technology Center                        "/>
    <m/>
    <n v="365480"/>
    <x v="9"/>
    <m/>
    <m/>
    <m/>
    <m/>
    <m/>
    <m/>
    <m/>
    <m/>
    <m/>
    <m/>
    <n v="0"/>
    <n v="0"/>
    <n v="0"/>
    <n v="0"/>
    <m/>
    <m/>
    <n v="0"/>
    <n v="0"/>
    <m/>
    <m/>
    <m/>
    <m/>
    <m/>
    <m/>
    <n v="546093.80000000005"/>
    <n v="261413"/>
    <n v="546093.80000000005"/>
    <n v="606.77088888888898"/>
    <n v="261413"/>
    <n v="290.45888888888891"/>
    <m/>
    <m/>
    <n v="0"/>
    <n v="0"/>
  </r>
  <r>
    <x v="10"/>
    <s v="Metro Technology Centers                          "/>
    <m/>
    <n v="363165"/>
    <x v="9"/>
    <m/>
    <m/>
    <m/>
    <m/>
    <m/>
    <m/>
    <m/>
    <m/>
    <m/>
    <m/>
    <n v="0"/>
    <n v="0"/>
    <n v="0"/>
    <n v="0"/>
    <m/>
    <m/>
    <n v="0"/>
    <n v="0"/>
    <m/>
    <m/>
    <m/>
    <m/>
    <m/>
    <m/>
    <n v="694158.8"/>
    <n v="205995"/>
    <n v="694158.8"/>
    <n v="771.28755555555563"/>
    <n v="205995"/>
    <n v="228.88333333333333"/>
    <m/>
    <m/>
    <n v="0"/>
    <n v="0"/>
  </r>
  <r>
    <x v="10"/>
    <s v="Mid-America Technology Center                     "/>
    <m/>
    <n v="418320"/>
    <x v="9"/>
    <m/>
    <m/>
    <m/>
    <m/>
    <m/>
    <m/>
    <m/>
    <m/>
    <m/>
    <m/>
    <n v="0"/>
    <n v="0"/>
    <n v="0"/>
    <n v="0"/>
    <m/>
    <m/>
    <n v="0"/>
    <n v="0"/>
    <m/>
    <m/>
    <m/>
    <m/>
    <m/>
    <m/>
    <n v="924678"/>
    <n v="314042"/>
    <n v="924678"/>
    <n v="1027.42"/>
    <n v="314042"/>
    <n v="348.93555555555554"/>
    <m/>
    <m/>
    <n v="0"/>
    <n v="0"/>
  </r>
  <r>
    <x v="10"/>
    <s v="Mid-Del Technology Center                         "/>
    <m/>
    <n v="431017"/>
    <x v="9"/>
    <m/>
    <m/>
    <m/>
    <m/>
    <m/>
    <m/>
    <m/>
    <m/>
    <m/>
    <m/>
    <n v="0"/>
    <n v="0"/>
    <n v="0"/>
    <n v="0"/>
    <m/>
    <m/>
    <n v="0"/>
    <n v="0"/>
    <m/>
    <m/>
    <m/>
    <m/>
    <m/>
    <m/>
    <n v="564600"/>
    <n v="216071"/>
    <n v="564600"/>
    <n v="627.33333333333337"/>
    <n v="216071"/>
    <n v="240.07888888888888"/>
    <m/>
    <m/>
    <n v="0"/>
    <n v="0"/>
  </r>
  <r>
    <x v="10"/>
    <s v="Moore Norman Technology Center                    "/>
    <m/>
    <n v="248606"/>
    <x v="9"/>
    <m/>
    <m/>
    <m/>
    <m/>
    <m/>
    <m/>
    <m/>
    <m/>
    <m/>
    <m/>
    <n v="0"/>
    <n v="0"/>
    <n v="0"/>
    <n v="0"/>
    <m/>
    <m/>
    <n v="0"/>
    <n v="0"/>
    <m/>
    <m/>
    <m/>
    <m/>
    <m/>
    <m/>
    <n v="1970282.5"/>
    <n v="431879"/>
    <n v="1970282.5"/>
    <n v="2189.2027777777776"/>
    <n v="431879"/>
    <n v="479.86555555555555"/>
    <m/>
    <m/>
    <n v="0"/>
    <n v="0"/>
  </r>
  <r>
    <x v="10"/>
    <s v="Northeast Technology Center-Afton                 "/>
    <m/>
    <n v="420459"/>
    <x v="9"/>
    <m/>
    <m/>
    <m/>
    <m/>
    <m/>
    <m/>
    <m/>
    <m/>
    <m/>
    <m/>
    <n v="0"/>
    <n v="0"/>
    <n v="0"/>
    <n v="0"/>
    <m/>
    <m/>
    <n v="0"/>
    <n v="0"/>
    <m/>
    <m/>
    <m/>
    <m/>
    <m/>
    <m/>
    <n v="268268"/>
    <n v="173539"/>
    <n v="268268"/>
    <n v="298.07555555555558"/>
    <n v="173539"/>
    <n v="192.82111111111112"/>
    <m/>
    <m/>
    <n v="0"/>
    <n v="0"/>
  </r>
  <r>
    <x v="10"/>
    <s v="Northeast Technology Center-Claremore"/>
    <m/>
    <n v="456560"/>
    <x v="9"/>
    <m/>
    <m/>
    <m/>
    <m/>
    <m/>
    <m/>
    <m/>
    <m/>
    <m/>
    <m/>
    <n v="0"/>
    <n v="0"/>
    <n v="0"/>
    <n v="0"/>
    <m/>
    <m/>
    <n v="0"/>
    <n v="0"/>
    <m/>
    <m/>
    <m/>
    <m/>
    <m/>
    <m/>
    <n v="188328"/>
    <n v="95716"/>
    <n v="188328"/>
    <n v="209.25333333333333"/>
    <n v="95716"/>
    <n v="106.35111111111111"/>
    <m/>
    <m/>
    <n v="0"/>
    <n v="0"/>
  </r>
  <r>
    <x v="10"/>
    <s v="Northeast Technology Center-Kansas                "/>
    <m/>
    <n v="432074"/>
    <x v="9"/>
    <m/>
    <m/>
    <m/>
    <m/>
    <m/>
    <m/>
    <m/>
    <m/>
    <m/>
    <m/>
    <n v="0"/>
    <n v="0"/>
    <n v="0"/>
    <n v="0"/>
    <m/>
    <m/>
    <n v="0"/>
    <n v="0"/>
    <m/>
    <m/>
    <m/>
    <m/>
    <m/>
    <m/>
    <n v="144608"/>
    <n v="85937"/>
    <n v="144608"/>
    <n v="160.67555555555555"/>
    <n v="85937"/>
    <n v="95.48555555555555"/>
    <m/>
    <m/>
    <n v="0"/>
    <n v="0"/>
  </r>
  <r>
    <x v="10"/>
    <s v="Northeast Technology Center-Pryor                 "/>
    <m/>
    <n v="418339"/>
    <x v="9"/>
    <m/>
    <m/>
    <m/>
    <m/>
    <m/>
    <m/>
    <m/>
    <m/>
    <m/>
    <m/>
    <n v="0"/>
    <n v="0"/>
    <n v="0"/>
    <n v="0"/>
    <m/>
    <m/>
    <n v="0"/>
    <n v="0"/>
    <m/>
    <m/>
    <m/>
    <m/>
    <m/>
    <m/>
    <n v="291293.5"/>
    <n v="159015"/>
    <n v="291293.5"/>
    <n v="323.65944444444443"/>
    <n v="159015"/>
    <n v="176.68333333333334"/>
    <m/>
    <m/>
    <n v="0"/>
    <n v="0"/>
  </r>
  <r>
    <x v="10"/>
    <s v="Northwest Technology Center-Alva                  "/>
    <m/>
    <n v="366623"/>
    <x v="9"/>
    <m/>
    <m/>
    <m/>
    <m/>
    <m/>
    <m/>
    <m/>
    <m/>
    <m/>
    <m/>
    <n v="0"/>
    <n v="0"/>
    <n v="0"/>
    <n v="0"/>
    <m/>
    <m/>
    <n v="0"/>
    <n v="0"/>
    <m/>
    <m/>
    <m/>
    <m/>
    <m/>
    <m/>
    <n v="90094.5"/>
    <n v="60225"/>
    <n v="90094.5"/>
    <n v="100.105"/>
    <n v="60225"/>
    <n v="66.916666666666671"/>
    <m/>
    <m/>
    <n v="0"/>
    <n v="0"/>
  </r>
  <r>
    <x v="10"/>
    <s v="Northwest Technology Center-Fairview              "/>
    <m/>
    <n v="407601"/>
    <x v="9"/>
    <m/>
    <m/>
    <m/>
    <m/>
    <m/>
    <m/>
    <m/>
    <m/>
    <m/>
    <m/>
    <n v="0"/>
    <n v="0"/>
    <n v="0"/>
    <n v="0"/>
    <m/>
    <m/>
    <n v="0"/>
    <n v="0"/>
    <m/>
    <m/>
    <m/>
    <m/>
    <m/>
    <m/>
    <n v="59402"/>
    <n v="37854"/>
    <n v="59402"/>
    <n v="66.002222222222215"/>
    <n v="37854"/>
    <n v="42.06"/>
    <m/>
    <m/>
    <n v="0"/>
    <n v="0"/>
  </r>
  <r>
    <x v="10"/>
    <s v="Pioneer Technology Center                         "/>
    <m/>
    <n v="364627"/>
    <x v="9"/>
    <m/>
    <m/>
    <m/>
    <m/>
    <m/>
    <m/>
    <m/>
    <m/>
    <m/>
    <m/>
    <n v="0"/>
    <n v="0"/>
    <n v="0"/>
    <n v="0"/>
    <m/>
    <m/>
    <n v="0"/>
    <n v="0"/>
    <m/>
    <m/>
    <m/>
    <m/>
    <m/>
    <m/>
    <n v="289198"/>
    <n v="159048"/>
    <n v="289198"/>
    <n v="321.33111111111111"/>
    <n v="159048"/>
    <n v="176.72"/>
    <m/>
    <m/>
    <n v="0"/>
    <n v="0"/>
  </r>
  <r>
    <x v="10"/>
    <s v="Pontotoc Technology Center                        "/>
    <m/>
    <n v="206905"/>
    <x v="9"/>
    <m/>
    <m/>
    <m/>
    <m/>
    <m/>
    <m/>
    <m/>
    <m/>
    <m/>
    <m/>
    <n v="0"/>
    <n v="0"/>
    <n v="0"/>
    <n v="0"/>
    <m/>
    <m/>
    <n v="0"/>
    <n v="0"/>
    <m/>
    <m/>
    <m/>
    <m/>
    <m/>
    <m/>
    <n v="182868.6"/>
    <n v="124016"/>
    <n v="182868.6"/>
    <n v="203.18733333333333"/>
    <n v="124016"/>
    <n v="137.79555555555555"/>
    <m/>
    <m/>
    <n v="0"/>
    <n v="0"/>
  </r>
  <r>
    <x v="10"/>
    <s v="Red River Technology Center                       "/>
    <m/>
    <n v="250993"/>
    <x v="9"/>
    <m/>
    <m/>
    <m/>
    <m/>
    <m/>
    <m/>
    <m/>
    <m/>
    <m/>
    <m/>
    <n v="0"/>
    <n v="0"/>
    <n v="0"/>
    <n v="0"/>
    <m/>
    <m/>
    <n v="0"/>
    <n v="0"/>
    <m/>
    <m/>
    <m/>
    <m/>
    <m/>
    <m/>
    <n v="456748.1"/>
    <n v="151656"/>
    <n v="456748.1"/>
    <n v="507.49788888888884"/>
    <n v="151656"/>
    <n v="168.50666666666666"/>
    <m/>
    <m/>
    <n v="0"/>
    <n v="0"/>
  </r>
  <r>
    <x v="10"/>
    <s v="Southern Oklahoma Technology Center               "/>
    <m/>
    <n v="365198"/>
    <x v="9"/>
    <m/>
    <m/>
    <m/>
    <m/>
    <m/>
    <m/>
    <m/>
    <m/>
    <m/>
    <m/>
    <n v="0"/>
    <n v="0"/>
    <n v="0"/>
    <n v="0"/>
    <m/>
    <m/>
    <n v="0"/>
    <n v="0"/>
    <m/>
    <m/>
    <m/>
    <m/>
    <m/>
    <m/>
    <n v="785593.7"/>
    <n v="245095"/>
    <n v="785593.7"/>
    <n v="872.88188888888885"/>
    <n v="245095"/>
    <n v="272.32777777777778"/>
    <m/>
    <m/>
    <n v="0"/>
    <n v="0"/>
  </r>
  <r>
    <x v="10"/>
    <s v="Southwest Technology Center                       "/>
    <m/>
    <n v="368364"/>
    <x v="9"/>
    <m/>
    <m/>
    <m/>
    <m/>
    <m/>
    <m/>
    <m/>
    <m/>
    <m/>
    <m/>
    <n v="0"/>
    <n v="0"/>
    <n v="0"/>
    <n v="0"/>
    <m/>
    <m/>
    <n v="0"/>
    <n v="0"/>
    <m/>
    <m/>
    <m/>
    <m/>
    <m/>
    <m/>
    <n v="198633.5"/>
    <n v="155110"/>
    <n v="198633.5"/>
    <n v="220.70388888888888"/>
    <n v="155110"/>
    <n v="172.34444444444443"/>
    <m/>
    <m/>
    <n v="0"/>
    <n v="0"/>
  </r>
  <r>
    <x v="10"/>
    <s v="Tri County Technology Center                      "/>
    <m/>
    <n v="418287"/>
    <x v="9"/>
    <m/>
    <m/>
    <m/>
    <m/>
    <m/>
    <m/>
    <m/>
    <m/>
    <m/>
    <m/>
    <n v="0"/>
    <n v="0"/>
    <n v="0"/>
    <n v="0"/>
    <m/>
    <m/>
    <n v="0"/>
    <n v="0"/>
    <m/>
    <m/>
    <m/>
    <m/>
    <m/>
    <m/>
    <n v="309395"/>
    <n v="205091"/>
    <n v="309395"/>
    <n v="343.77222222222224"/>
    <n v="205091"/>
    <n v="227.87888888888889"/>
    <m/>
    <m/>
    <n v="0"/>
    <n v="0"/>
  </r>
  <r>
    <x v="10"/>
    <s v="Tulsa County Area Voc Tech School Dist 18-Peoria  "/>
    <m/>
    <n v="207607"/>
    <x v="9"/>
    <m/>
    <m/>
    <m/>
    <m/>
    <m/>
    <m/>
    <m/>
    <m/>
    <m/>
    <m/>
    <n v="0"/>
    <n v="0"/>
    <n v="0"/>
    <n v="0"/>
    <m/>
    <m/>
    <n v="0"/>
    <n v="0"/>
    <m/>
    <m/>
    <m/>
    <m/>
    <m/>
    <m/>
    <n v="333342"/>
    <n v="248842"/>
    <n v="333342"/>
    <n v="370.38"/>
    <n v="248842"/>
    <n v="276.49111111111114"/>
    <m/>
    <m/>
    <n v="0"/>
    <n v="0"/>
  </r>
  <r>
    <x v="10"/>
    <s v="Tulsa Technology Center-Broken Arrow Campus       "/>
    <m/>
    <n v="261393"/>
    <x v="9"/>
    <m/>
    <m/>
    <m/>
    <m/>
    <m/>
    <m/>
    <m/>
    <m/>
    <m/>
    <m/>
    <n v="0"/>
    <n v="0"/>
    <n v="0"/>
    <n v="0"/>
    <m/>
    <m/>
    <n v="0"/>
    <n v="0"/>
    <m/>
    <m/>
    <m/>
    <m/>
    <m/>
    <m/>
    <n v="424787.5"/>
    <n v="318692"/>
    <n v="424787.5"/>
    <n v="471.98611111111109"/>
    <n v="318692"/>
    <n v="354.10222222222222"/>
    <m/>
    <m/>
    <n v="0"/>
    <n v="0"/>
  </r>
  <r>
    <x v="10"/>
    <s v="Tulsa Technology Center-Owasso"/>
    <m/>
    <n v="482264"/>
    <x v="9"/>
    <m/>
    <m/>
    <m/>
    <m/>
    <m/>
    <m/>
    <m/>
    <m/>
    <m/>
    <m/>
    <n v="0"/>
    <n v="0"/>
    <n v="0"/>
    <n v="0"/>
    <m/>
    <m/>
    <n v="0"/>
    <n v="0"/>
    <m/>
    <m/>
    <m/>
    <m/>
    <m/>
    <m/>
    <n v="251858"/>
    <n v="210342"/>
    <n v="251858"/>
    <n v="279.84222222222223"/>
    <n v="210342"/>
    <n v="233.71333333333334"/>
    <m/>
    <m/>
    <n v="0"/>
    <n v="0"/>
  </r>
  <r>
    <x v="10"/>
    <s v="Tulsa Technology Center-Riverside Campus          "/>
    <m/>
    <n v="261384"/>
    <x v="9"/>
    <m/>
    <m/>
    <m/>
    <m/>
    <m/>
    <m/>
    <m/>
    <m/>
    <m/>
    <m/>
    <n v="0"/>
    <n v="0"/>
    <n v="0"/>
    <n v="0"/>
    <m/>
    <m/>
    <n v="0"/>
    <n v="0"/>
    <m/>
    <m/>
    <m/>
    <m/>
    <m/>
    <m/>
    <n v="433976"/>
    <n v="287920"/>
    <n v="433976"/>
    <n v="482.19555555555553"/>
    <n v="287920"/>
    <n v="319.9111111111111"/>
    <m/>
    <m/>
    <n v="0"/>
    <n v="0"/>
  </r>
  <r>
    <x v="10"/>
    <s v="Tulsa Technology Center-Sand Springs"/>
    <m/>
    <n v="482273"/>
    <x v="9"/>
    <m/>
    <m/>
    <m/>
    <m/>
    <m/>
    <m/>
    <m/>
    <m/>
    <m/>
    <m/>
    <n v="0"/>
    <n v="0"/>
    <n v="0"/>
    <n v="0"/>
    <m/>
    <m/>
    <n v="0"/>
    <n v="0"/>
    <m/>
    <m/>
    <m/>
    <m/>
    <m/>
    <m/>
    <n v="126993"/>
    <n v="97281"/>
    <n v="126993"/>
    <n v="141.10333333333332"/>
    <n v="97281"/>
    <n v="108.09"/>
    <m/>
    <m/>
    <n v="0"/>
    <n v="0"/>
  </r>
  <r>
    <x v="10"/>
    <s v="Wes Watkins Technology Center                     "/>
    <m/>
    <n v="418357"/>
    <x v="9"/>
    <m/>
    <m/>
    <m/>
    <m/>
    <m/>
    <m/>
    <m/>
    <m/>
    <m/>
    <m/>
    <n v="0"/>
    <n v="0"/>
    <n v="0"/>
    <n v="0"/>
    <m/>
    <m/>
    <n v="0"/>
    <n v="0"/>
    <m/>
    <m/>
    <m/>
    <m/>
    <m/>
    <m/>
    <n v="131116.70000000001"/>
    <n v="67290"/>
    <n v="131116.70000000001"/>
    <n v="145.68522222222222"/>
    <n v="67290"/>
    <n v="74.766666666666666"/>
    <m/>
    <m/>
    <n v="0"/>
    <n v="0"/>
  </r>
  <r>
    <x v="10"/>
    <s v="Western Technology Center                         "/>
    <m/>
    <n v="418302"/>
    <x v="9"/>
    <m/>
    <m/>
    <m/>
    <m/>
    <m/>
    <m/>
    <m/>
    <m/>
    <m/>
    <m/>
    <n v="0"/>
    <n v="0"/>
    <n v="0"/>
    <n v="0"/>
    <m/>
    <m/>
    <n v="0"/>
    <n v="0"/>
    <m/>
    <m/>
    <m/>
    <m/>
    <m/>
    <m/>
    <n v="344865.8"/>
    <n v="172100"/>
    <n v="344865.8"/>
    <n v="383.18422222222222"/>
    <n v="172100"/>
    <n v="191.22222222222223"/>
    <m/>
    <m/>
    <n v="0"/>
    <n v="0"/>
  </r>
  <r>
    <x v="11"/>
    <s v="Clemson University"/>
    <m/>
    <n v="217882"/>
    <x v="0"/>
    <m/>
    <m/>
    <m/>
    <m/>
    <n v="278087"/>
    <n v="289745"/>
    <n v="37821"/>
    <n v="38247"/>
    <n v="313062"/>
    <n v="323315"/>
    <n v="628970"/>
    <n v="20965.666666666668"/>
    <n v="651307"/>
    <n v="21710.233333333334"/>
    <n v="193"/>
    <n v="201"/>
    <n v="628970"/>
    <n v="651307"/>
    <m/>
    <m/>
    <m/>
    <m/>
    <m/>
    <m/>
    <m/>
    <m/>
    <n v="0"/>
    <n v="0"/>
    <n v="0"/>
    <n v="0"/>
    <m/>
    <m/>
    <n v="0"/>
    <n v="0"/>
  </r>
  <r>
    <x v="11"/>
    <s v="University of South Carolina-Columbia"/>
    <m/>
    <n v="218663"/>
    <x v="0"/>
    <m/>
    <m/>
    <m/>
    <m/>
    <n v="380399"/>
    <n v="374567"/>
    <n v="49747"/>
    <n v="46185"/>
    <n v="407477"/>
    <n v="397546"/>
    <n v="837623"/>
    <n v="27920.766666666666"/>
    <n v="818298"/>
    <n v="27276.6"/>
    <n v="31"/>
    <n v="34"/>
    <n v="837623"/>
    <n v="818298"/>
    <m/>
    <m/>
    <m/>
    <m/>
    <m/>
    <m/>
    <m/>
    <m/>
    <n v="0"/>
    <n v="0"/>
    <n v="0"/>
    <n v="0"/>
    <m/>
    <m/>
    <n v="0"/>
    <n v="0"/>
  </r>
  <r>
    <x v="11"/>
    <s v="College of Charleston"/>
    <m/>
    <n v="217819"/>
    <x v="2"/>
    <m/>
    <m/>
    <m/>
    <m/>
    <n v="130713"/>
    <n v="126725"/>
    <n v="15498"/>
    <n v="14510"/>
    <n v="133970"/>
    <n v="142627"/>
    <n v="280181"/>
    <n v="9339.3666666666668"/>
    <n v="283862"/>
    <n v="9462.0666666666675"/>
    <n v="777"/>
    <n v="520"/>
    <n v="280181"/>
    <n v="283862"/>
    <m/>
    <m/>
    <m/>
    <m/>
    <m/>
    <m/>
    <m/>
    <m/>
    <n v="0"/>
    <n v="0"/>
    <n v="0"/>
    <n v="0"/>
    <m/>
    <m/>
    <n v="0"/>
    <n v="0"/>
  </r>
  <r>
    <x v="11"/>
    <s v="The Citadel, the Military College of South Carolina "/>
    <m/>
    <n v="217864"/>
    <x v="2"/>
    <m/>
    <m/>
    <m/>
    <m/>
    <n v="46280"/>
    <n v="44715"/>
    <n v="5770"/>
    <n v="5693"/>
    <n v="46368"/>
    <n v="44702"/>
    <n v="98418"/>
    <n v="3280.6"/>
    <n v="95110"/>
    <n v="3170.3333333333335"/>
    <n v="3"/>
    <n v="9"/>
    <n v="98418"/>
    <n v="95110"/>
    <m/>
    <m/>
    <m/>
    <m/>
    <m/>
    <m/>
    <m/>
    <m/>
    <n v="0"/>
    <n v="0"/>
    <n v="0"/>
    <n v="0"/>
    <m/>
    <m/>
    <n v="0"/>
    <n v="0"/>
  </r>
  <r>
    <x v="11"/>
    <s v="Winthrop University "/>
    <m/>
    <n v="218964"/>
    <x v="2"/>
    <m/>
    <m/>
    <m/>
    <m/>
    <n v="62726.5"/>
    <n v="57958"/>
    <n v="5725.5"/>
    <n v="5633"/>
    <n v="63850.5"/>
    <n v="56476"/>
    <n v="132302.5"/>
    <n v="4410.083333333333"/>
    <n v="120067"/>
    <n v="4002.2333333333331"/>
    <n v="1110"/>
    <n v="1065"/>
    <n v="132302.5"/>
    <n v="120067"/>
    <m/>
    <m/>
    <m/>
    <m/>
    <m/>
    <m/>
    <m/>
    <m/>
    <n v="0"/>
    <n v="0"/>
    <n v="0"/>
    <n v="0"/>
    <m/>
    <m/>
    <n v="0"/>
    <n v="0"/>
  </r>
  <r>
    <x v="11"/>
    <s v="Coastal Carolina University"/>
    <m/>
    <n v="218724"/>
    <x v="3"/>
    <m/>
    <m/>
    <m/>
    <m/>
    <n v="128539"/>
    <n v="124068"/>
    <n v="17440"/>
    <n v="15819"/>
    <n v="137780"/>
    <n v="143105"/>
    <n v="283759"/>
    <n v="9458.6333333333332"/>
    <n v="282992"/>
    <n v="9433.0666666666675"/>
    <n v="2560"/>
    <n v="2472"/>
    <n v="283759"/>
    <n v="282992"/>
    <m/>
    <m/>
    <m/>
    <m/>
    <m/>
    <m/>
    <m/>
    <m/>
    <n v="0"/>
    <n v="0"/>
    <n v="0"/>
    <n v="0"/>
    <m/>
    <m/>
    <n v="0"/>
    <n v="0"/>
  </r>
  <r>
    <x v="11"/>
    <s v="Francis Marion University "/>
    <m/>
    <n v="218061"/>
    <x v="4"/>
    <m/>
    <m/>
    <m/>
    <m/>
    <n v="42314"/>
    <n v="39846"/>
    <n v="3092"/>
    <n v="2838"/>
    <n v="46182"/>
    <n v="44201"/>
    <n v="91588"/>
    <n v="3052.9333333333334"/>
    <n v="86885"/>
    <n v="2896.1666666666665"/>
    <n v="4814"/>
    <n v="4965"/>
    <n v="91588"/>
    <n v="86885"/>
    <m/>
    <m/>
    <m/>
    <m/>
    <m/>
    <m/>
    <m/>
    <m/>
    <n v="0"/>
    <n v="0"/>
    <n v="0"/>
    <n v="0"/>
    <m/>
    <m/>
    <n v="0"/>
    <n v="0"/>
  </r>
  <r>
    <x v="11"/>
    <s v="South Carolina State University "/>
    <m/>
    <n v="218733"/>
    <x v="4"/>
    <m/>
    <m/>
    <m/>
    <m/>
    <n v="28262"/>
    <n v="23585"/>
    <n v="2270"/>
    <n v="2338"/>
    <n v="28376"/>
    <n v="29280"/>
    <n v="58908"/>
    <n v="1963.6"/>
    <n v="55203"/>
    <n v="1840.1"/>
    <n v="138"/>
    <n v="144"/>
    <n v="58908"/>
    <n v="55203"/>
    <m/>
    <m/>
    <m/>
    <m/>
    <m/>
    <m/>
    <m/>
    <m/>
    <n v="0"/>
    <n v="0"/>
    <n v="0"/>
    <n v="0"/>
    <m/>
    <m/>
    <n v="0"/>
    <n v="0"/>
  </r>
  <r>
    <x v="11"/>
    <s v="Lander University"/>
    <s v="Met the criteria for Four-Year 5 in 2021-22"/>
    <n v="218229"/>
    <x v="11"/>
    <m/>
    <m/>
    <m/>
    <m/>
    <n v="41599.5"/>
    <n v="43699.5"/>
    <n v="3449.5"/>
    <n v="4476"/>
    <n v="49907"/>
    <n v="51620"/>
    <n v="94956"/>
    <n v="3165.2"/>
    <n v="99795.5"/>
    <n v="3326.5166666666669"/>
    <n v="663"/>
    <n v="1068"/>
    <n v="94956"/>
    <n v="99795.5"/>
    <m/>
    <m/>
    <m/>
    <m/>
    <m/>
    <m/>
    <m/>
    <m/>
    <n v="0"/>
    <n v="0"/>
    <n v="0"/>
    <n v="0"/>
    <m/>
    <m/>
    <n v="0"/>
    <n v="0"/>
  </r>
  <r>
    <x v="11"/>
    <s v="University of South Carolina-Aiken"/>
    <s v="Reclassified Met the criteria for Four-Year 5 in 2019-20 and 2020-21, and 2021, 22"/>
    <n v="218645"/>
    <x v="4"/>
    <m/>
    <m/>
    <m/>
    <m/>
    <n v="37525"/>
    <n v="36287"/>
    <n v="5890"/>
    <n v="6304"/>
    <n v="42006"/>
    <n v="39700"/>
    <n v="85421"/>
    <n v="2847.3666666666668"/>
    <n v="82291"/>
    <n v="2743.0333333333333"/>
    <n v="2063"/>
    <n v="2734"/>
    <n v="85421"/>
    <n v="82291"/>
    <m/>
    <m/>
    <m/>
    <m/>
    <m/>
    <m/>
    <m/>
    <m/>
    <n v="0"/>
    <n v="0"/>
    <n v="0"/>
    <n v="0"/>
    <m/>
    <m/>
    <n v="0"/>
    <n v="0"/>
  </r>
  <r>
    <x v="11"/>
    <s v="University of South Carolina-Beaufort"/>
    <m/>
    <n v="218654"/>
    <x v="11"/>
    <m/>
    <m/>
    <m/>
    <m/>
    <n v="26682"/>
    <n v="24139"/>
    <n v="4024"/>
    <n v="3640"/>
    <n v="27074"/>
    <n v="26579"/>
    <n v="57780"/>
    <n v="1926"/>
    <n v="54358"/>
    <n v="1811.9333333333334"/>
    <n v="1274"/>
    <n v="1549"/>
    <n v="57780"/>
    <n v="54358"/>
    <m/>
    <m/>
    <m/>
    <m/>
    <m/>
    <m/>
    <m/>
    <m/>
    <n v="0"/>
    <n v="0"/>
    <n v="0"/>
    <n v="0"/>
    <m/>
    <m/>
    <n v="0"/>
    <n v="0"/>
  </r>
  <r>
    <x v="11"/>
    <s v="University of South Carolina-Upstate"/>
    <s v="Met the criteria for Four-Year 5 in 2021-22"/>
    <n v="218742"/>
    <x v="11"/>
    <m/>
    <m/>
    <m/>
    <m/>
    <n v="67923"/>
    <n v="63925"/>
    <n v="10120"/>
    <n v="9641"/>
    <n v="71420"/>
    <n v="64607"/>
    <n v="149463"/>
    <n v="4982.1000000000004"/>
    <n v="138173"/>
    <n v="4605.7666666666664"/>
    <n v="4463"/>
    <n v="4454"/>
    <n v="149463"/>
    <n v="138173"/>
    <m/>
    <m/>
    <m/>
    <m/>
    <m/>
    <m/>
    <m/>
    <m/>
    <n v="0"/>
    <n v="0"/>
    <n v="0"/>
    <n v="0"/>
    <m/>
    <m/>
    <n v="0"/>
    <n v="0"/>
  </r>
  <r>
    <x v="11"/>
    <s v="Greenville Technical College "/>
    <m/>
    <n v="218113"/>
    <x v="5"/>
    <m/>
    <m/>
    <m/>
    <m/>
    <n v="90725"/>
    <n v="82567"/>
    <n v="32803"/>
    <n v="32267"/>
    <n v="100387"/>
    <n v="92449"/>
    <n v="223915"/>
    <n v="7463.833333333333"/>
    <n v="207283"/>
    <n v="6909.4333333333334"/>
    <n v="18654"/>
    <n v="17340"/>
    <n v="223915"/>
    <n v="207283"/>
    <m/>
    <m/>
    <m/>
    <m/>
    <m/>
    <m/>
    <m/>
    <m/>
    <n v="0"/>
    <n v="0"/>
    <n v="0"/>
    <n v="0"/>
    <m/>
    <m/>
    <n v="0"/>
    <n v="0"/>
  </r>
  <r>
    <x v="11"/>
    <s v="Horry-Georgetown Technical College "/>
    <s v="Met the criteria for Two-Year 2 in 2020-21, and 2021-22"/>
    <n v="218140"/>
    <x v="5"/>
    <m/>
    <m/>
    <m/>
    <m/>
    <n v="62140"/>
    <n v="58168"/>
    <n v="21329"/>
    <n v="22065"/>
    <n v="65184"/>
    <n v="63357"/>
    <n v="148653"/>
    <n v="4955.1000000000004"/>
    <n v="143590"/>
    <n v="4786.333333333333"/>
    <n v="10087"/>
    <n v="13425"/>
    <n v="148653"/>
    <n v="143590"/>
    <m/>
    <m/>
    <m/>
    <m/>
    <m/>
    <m/>
    <m/>
    <m/>
    <n v="0"/>
    <n v="0"/>
    <n v="0"/>
    <n v="0"/>
    <m/>
    <m/>
    <n v="0"/>
    <n v="0"/>
  </r>
  <r>
    <x v="11"/>
    <s v="Midlands Technical College "/>
    <m/>
    <n v="218353"/>
    <x v="5"/>
    <m/>
    <m/>
    <m/>
    <m/>
    <n v="82915"/>
    <n v="75537"/>
    <n v="28199"/>
    <n v="28235"/>
    <n v="86052"/>
    <n v="84255"/>
    <n v="197166"/>
    <n v="6572.2"/>
    <n v="188027"/>
    <n v="6267.5666666666666"/>
    <n v="8502"/>
    <n v="11429"/>
    <n v="197166"/>
    <n v="188027"/>
    <m/>
    <m/>
    <m/>
    <m/>
    <m/>
    <m/>
    <m/>
    <m/>
    <n v="0"/>
    <n v="0"/>
    <n v="0"/>
    <n v="0"/>
    <m/>
    <m/>
    <n v="0"/>
    <n v="0"/>
  </r>
  <r>
    <x v="11"/>
    <s v="Trident Technical College "/>
    <m/>
    <n v="218894"/>
    <x v="5"/>
    <m/>
    <m/>
    <m/>
    <m/>
    <n v="98156"/>
    <n v="92864"/>
    <n v="43408"/>
    <n v="39543"/>
    <n v="105011"/>
    <n v="101176"/>
    <n v="246575"/>
    <n v="8219.1666666666661"/>
    <n v="233583"/>
    <n v="7786.1"/>
    <n v="34175"/>
    <n v="34473"/>
    <n v="246575"/>
    <n v="233583"/>
    <m/>
    <m/>
    <m/>
    <m/>
    <m/>
    <m/>
    <m/>
    <m/>
    <n v="0"/>
    <n v="0"/>
    <n v="0"/>
    <n v="0"/>
    <m/>
    <m/>
    <n v="0"/>
    <n v="0"/>
  </r>
  <r>
    <x v="11"/>
    <s v="Central Carolina Technical College "/>
    <s v="Met the criteria for Two-Year 3 in 2021-22"/>
    <n v="218858"/>
    <x v="6"/>
    <m/>
    <m/>
    <m/>
    <m/>
    <n v="28097"/>
    <n v="23540"/>
    <n v="11741"/>
    <n v="10664"/>
    <n v="25823"/>
    <n v="23429"/>
    <n v="65661"/>
    <n v="2188.6999999999998"/>
    <n v="57633"/>
    <n v="1921.1"/>
    <n v="10470"/>
    <n v="9543"/>
    <n v="65661"/>
    <n v="57633"/>
    <m/>
    <m/>
    <m/>
    <m/>
    <m/>
    <m/>
    <m/>
    <m/>
    <n v="0"/>
    <n v="0"/>
    <n v="0"/>
    <n v="0"/>
    <m/>
    <m/>
    <n v="0"/>
    <n v="0"/>
  </r>
  <r>
    <x v="11"/>
    <s v="Florence-Darlington Technical College "/>
    <m/>
    <n v="218025"/>
    <x v="6"/>
    <m/>
    <m/>
    <m/>
    <m/>
    <n v="29923"/>
    <n v="25348"/>
    <n v="10333"/>
    <n v="8946"/>
    <n v="30826"/>
    <n v="26253"/>
    <n v="71082"/>
    <n v="2369.4"/>
    <n v="60547"/>
    <n v="2018.2333333333333"/>
    <n v="6508"/>
    <n v="7110"/>
    <n v="71082"/>
    <n v="60547"/>
    <m/>
    <m/>
    <m/>
    <m/>
    <m/>
    <m/>
    <m/>
    <m/>
    <n v="0"/>
    <n v="0"/>
    <n v="0"/>
    <n v="0"/>
    <m/>
    <m/>
    <n v="0"/>
    <n v="0"/>
  </r>
  <r>
    <x v="11"/>
    <s v="Piedmont Technical College "/>
    <m/>
    <n v="218520"/>
    <x v="6"/>
    <m/>
    <m/>
    <m/>
    <m/>
    <n v="42756"/>
    <n v="39760"/>
    <n v="18949"/>
    <n v="17232"/>
    <n v="44444"/>
    <n v="41817"/>
    <n v="106149"/>
    <n v="3538.3"/>
    <n v="98809"/>
    <n v="3293.6333333333332"/>
    <n v="13670"/>
    <n v="13721"/>
    <n v="106149"/>
    <n v="98809"/>
    <m/>
    <m/>
    <m/>
    <m/>
    <m/>
    <m/>
    <m/>
    <m/>
    <n v="0"/>
    <n v="0"/>
    <n v="0"/>
    <n v="0"/>
    <m/>
    <m/>
    <n v="0"/>
    <n v="0"/>
  </r>
  <r>
    <x v="11"/>
    <s v="Spartanburg Community College "/>
    <m/>
    <n v="218830"/>
    <x v="6"/>
    <m/>
    <m/>
    <m/>
    <m/>
    <n v="40908"/>
    <n v="36732"/>
    <n v="12364"/>
    <n v="12615"/>
    <n v="39650"/>
    <n v="58991"/>
    <n v="92922"/>
    <n v="3097.4"/>
    <n v="108338"/>
    <n v="3611.2666666666669"/>
    <n v="10694"/>
    <n v="12447"/>
    <n v="92922"/>
    <n v="108338"/>
    <m/>
    <m/>
    <m/>
    <m/>
    <m/>
    <m/>
    <m/>
    <m/>
    <n v="0"/>
    <n v="0"/>
    <n v="0"/>
    <n v="0"/>
    <m/>
    <m/>
    <n v="0"/>
    <n v="0"/>
  </r>
  <r>
    <x v="11"/>
    <s v="Tri-County Technical College "/>
    <m/>
    <n v="218885"/>
    <x v="6"/>
    <m/>
    <m/>
    <m/>
    <m/>
    <n v="59374"/>
    <n v="56396"/>
    <n v="19731"/>
    <n v="19319"/>
    <n v="62102"/>
    <n v="62737"/>
    <n v="141207"/>
    <n v="4706.8999999999996"/>
    <n v="138452"/>
    <n v="4615.0666666666666"/>
    <n v="7782"/>
    <n v="7002"/>
    <n v="141207"/>
    <n v="138452"/>
    <m/>
    <m/>
    <m/>
    <m/>
    <m/>
    <m/>
    <m/>
    <m/>
    <n v="0"/>
    <n v="0"/>
    <n v="0"/>
    <n v="0"/>
    <m/>
    <m/>
    <n v="0"/>
    <n v="0"/>
  </r>
  <r>
    <x v="11"/>
    <s v="York Technical College "/>
    <m/>
    <n v="218991"/>
    <x v="6"/>
    <m/>
    <m/>
    <m/>
    <m/>
    <n v="40559"/>
    <n v="37057"/>
    <n v="12895"/>
    <n v="10857"/>
    <n v="43493"/>
    <n v="40036"/>
    <n v="96947"/>
    <n v="3231.5666666666666"/>
    <n v="87950"/>
    <n v="2931.6666666666665"/>
    <n v="7688"/>
    <n v="8126"/>
    <n v="96947"/>
    <n v="87950"/>
    <m/>
    <m/>
    <m/>
    <m/>
    <m/>
    <m/>
    <m/>
    <m/>
    <n v="0"/>
    <n v="0"/>
    <n v="0"/>
    <n v="0"/>
    <m/>
    <m/>
    <n v="0"/>
    <n v="0"/>
  </r>
  <r>
    <x v="11"/>
    <s v="Aiken Technical College "/>
    <m/>
    <n v="217615"/>
    <x v="7"/>
    <m/>
    <m/>
    <m/>
    <m/>
    <n v="17459"/>
    <n v="16325"/>
    <n v="7354"/>
    <n v="7171"/>
    <n v="17502"/>
    <n v="16786"/>
    <n v="42315"/>
    <n v="1410.5"/>
    <n v="40282"/>
    <n v="1342.7333333333333"/>
    <n v="2401"/>
    <n v="2481"/>
    <n v="42315"/>
    <n v="40282"/>
    <m/>
    <m/>
    <m/>
    <m/>
    <m/>
    <m/>
    <m/>
    <m/>
    <n v="0"/>
    <n v="0"/>
    <n v="0"/>
    <n v="0"/>
    <m/>
    <m/>
    <n v="0"/>
    <n v="0"/>
  </r>
  <r>
    <x v="11"/>
    <s v="Denmark Technical College "/>
    <m/>
    <n v="217989"/>
    <x v="7"/>
    <m/>
    <m/>
    <m/>
    <m/>
    <n v="5292"/>
    <n v="4753"/>
    <n v="2498"/>
    <n v="2200"/>
    <n v="4864"/>
    <n v="6265"/>
    <n v="12654"/>
    <n v="421.8"/>
    <n v="13218"/>
    <n v="440.6"/>
    <n v="3232"/>
    <n v="3201"/>
    <n v="12654"/>
    <n v="13218"/>
    <m/>
    <m/>
    <m/>
    <m/>
    <m/>
    <m/>
    <m/>
    <m/>
    <n v="0"/>
    <n v="0"/>
    <n v="0"/>
    <n v="0"/>
    <m/>
    <m/>
    <n v="0"/>
    <n v="0"/>
  </r>
  <r>
    <x v="11"/>
    <s v="Northeastern Technical College "/>
    <m/>
    <n v="217837"/>
    <x v="7"/>
    <m/>
    <m/>
    <m/>
    <m/>
    <n v="11735"/>
    <n v="11134"/>
    <n v="5252"/>
    <n v="6085"/>
    <n v="11705"/>
    <n v="13076"/>
    <n v="28692"/>
    <n v="956.4"/>
    <n v="30295"/>
    <n v="1009.8333333333334"/>
    <n v="6757"/>
    <n v="8756"/>
    <n v="28692"/>
    <n v="30295"/>
    <m/>
    <m/>
    <m/>
    <m/>
    <m/>
    <m/>
    <m/>
    <m/>
    <n v="0"/>
    <n v="0"/>
    <n v="0"/>
    <n v="0"/>
    <m/>
    <m/>
    <n v="0"/>
    <n v="0"/>
  </r>
  <r>
    <x v="11"/>
    <s v="Orangeburg-Calhoun Technical College "/>
    <m/>
    <n v="218487"/>
    <x v="7"/>
    <m/>
    <m/>
    <m/>
    <m/>
    <n v="20317"/>
    <n v="18433"/>
    <n v="8554"/>
    <n v="9334"/>
    <n v="19487"/>
    <n v="19188"/>
    <n v="48358"/>
    <n v="1611.9333333333334"/>
    <n v="46955"/>
    <n v="1565.1666666666667"/>
    <n v="8319"/>
    <n v="8702"/>
    <n v="48358"/>
    <n v="46955"/>
    <m/>
    <m/>
    <m/>
    <m/>
    <m/>
    <m/>
    <m/>
    <m/>
    <n v="0"/>
    <n v="0"/>
    <n v="0"/>
    <n v="0"/>
    <m/>
    <m/>
    <n v="0"/>
    <n v="0"/>
  </r>
  <r>
    <x v="11"/>
    <s v="Technical College of the Lowcountry"/>
    <m/>
    <n v="217712"/>
    <x v="7"/>
    <m/>
    <m/>
    <m/>
    <m/>
    <n v="17906"/>
    <n v="15986"/>
    <n v="7258"/>
    <n v="6393"/>
    <n v="17633"/>
    <n v="16578"/>
    <n v="42797"/>
    <n v="1426.5666666666666"/>
    <n v="38957"/>
    <n v="1298.5666666666666"/>
    <n v="5341"/>
    <n v="6020"/>
    <n v="42797"/>
    <n v="38957"/>
    <m/>
    <m/>
    <m/>
    <m/>
    <m/>
    <m/>
    <m/>
    <m/>
    <n v="0"/>
    <n v="0"/>
    <n v="0"/>
    <n v="0"/>
    <m/>
    <m/>
    <n v="0"/>
    <n v="0"/>
  </r>
  <r>
    <x v="11"/>
    <s v="University of South Carolina-Lancaster"/>
    <m/>
    <n v="218672"/>
    <x v="7"/>
    <m/>
    <m/>
    <m/>
    <m/>
    <n v="14692"/>
    <n v="15675"/>
    <n v="3448"/>
    <n v="3092"/>
    <n v="17416"/>
    <n v="17140"/>
    <n v="35556"/>
    <n v="1185.2"/>
    <n v="35907"/>
    <n v="1196.9000000000001"/>
    <n v="13210"/>
    <n v="14619"/>
    <n v="35556"/>
    <n v="35907"/>
    <m/>
    <m/>
    <m/>
    <m/>
    <m/>
    <m/>
    <m/>
    <m/>
    <n v="0"/>
    <n v="0"/>
    <n v="0"/>
    <n v="0"/>
    <m/>
    <m/>
    <n v="0"/>
    <n v="0"/>
  </r>
  <r>
    <x v="11"/>
    <s v="University of South Carolina-Salkehatchie"/>
    <m/>
    <n v="218681"/>
    <x v="7"/>
    <m/>
    <m/>
    <m/>
    <m/>
    <n v="8338"/>
    <n v="8220"/>
    <n v="1108"/>
    <n v="1141"/>
    <n v="9621"/>
    <n v="7999"/>
    <n v="19067"/>
    <n v="635.56666666666672"/>
    <n v="17360"/>
    <n v="578.66666666666663"/>
    <n v="5828"/>
    <n v="5424"/>
    <n v="19067"/>
    <n v="17360"/>
    <m/>
    <m/>
    <m/>
    <m/>
    <m/>
    <m/>
    <m/>
    <m/>
    <n v="0"/>
    <n v="0"/>
    <n v="0"/>
    <n v="0"/>
    <m/>
    <m/>
    <n v="0"/>
    <n v="0"/>
  </r>
  <r>
    <x v="11"/>
    <s v="University of South Carolina-Sumter"/>
    <m/>
    <n v="218690"/>
    <x v="7"/>
    <m/>
    <m/>
    <m/>
    <m/>
    <n v="10821"/>
    <n v="10326"/>
    <n v="1831"/>
    <n v="1553"/>
    <n v="12496"/>
    <n v="12736"/>
    <n v="25148"/>
    <n v="838.26666666666665"/>
    <n v="24615"/>
    <n v="820.5"/>
    <n v="9035"/>
    <n v="9594"/>
    <n v="25148"/>
    <n v="24615"/>
    <m/>
    <m/>
    <m/>
    <m/>
    <m/>
    <m/>
    <m/>
    <m/>
    <n v="0"/>
    <n v="0"/>
    <n v="0"/>
    <n v="0"/>
    <m/>
    <m/>
    <n v="0"/>
    <n v="0"/>
  </r>
  <r>
    <x v="11"/>
    <s v="University of South Carolina-Union"/>
    <m/>
    <n v="218706"/>
    <x v="7"/>
    <m/>
    <m/>
    <m/>
    <m/>
    <n v="10067"/>
    <n v="9521"/>
    <n v="835"/>
    <n v="698"/>
    <n v="9495"/>
    <n v="10977"/>
    <n v="20397"/>
    <n v="679.9"/>
    <n v="21196"/>
    <n v="706.5333333333333"/>
    <n v="11620"/>
    <n v="13190"/>
    <n v="20397"/>
    <n v="21196"/>
    <m/>
    <m/>
    <m/>
    <m/>
    <m/>
    <m/>
    <m/>
    <m/>
    <n v="0"/>
    <n v="0"/>
    <n v="0"/>
    <n v="0"/>
    <m/>
    <m/>
    <n v="0"/>
    <n v="0"/>
  </r>
  <r>
    <x v="11"/>
    <s v="Williamsburg Technical College "/>
    <m/>
    <n v="218955"/>
    <x v="7"/>
    <m/>
    <m/>
    <m/>
    <m/>
    <n v="5983"/>
    <n v="4732"/>
    <n v="2595"/>
    <n v="2327"/>
    <n v="5268"/>
    <n v="4474"/>
    <n v="13846"/>
    <n v="461.53333333333336"/>
    <n v="11533"/>
    <n v="384.43333333333334"/>
    <n v="4189"/>
    <n v="2482"/>
    <n v="13846"/>
    <n v="11533"/>
    <m/>
    <m/>
    <m/>
    <m/>
    <m/>
    <m/>
    <m/>
    <m/>
    <n v="0"/>
    <n v="0"/>
    <n v="0"/>
    <n v="0"/>
    <m/>
    <m/>
    <n v="0"/>
    <n v="0"/>
  </r>
  <r>
    <x v="12"/>
    <s v="University of Memphis"/>
    <m/>
    <n v="220862"/>
    <x v="0"/>
    <m/>
    <m/>
    <m/>
    <m/>
    <n v="187171"/>
    <n v="179591"/>
    <n v="33100"/>
    <n v="30308"/>
    <n v="206590"/>
    <n v="200941"/>
    <n v="426861"/>
    <n v="14228.7"/>
    <n v="410840"/>
    <n v="13694.666666666666"/>
    <n v="14172"/>
    <n v="15870"/>
    <n v="426861"/>
    <n v="410840"/>
    <m/>
    <m/>
    <m/>
    <m/>
    <m/>
    <m/>
    <m/>
    <m/>
    <n v="0"/>
    <n v="0"/>
    <n v="0"/>
    <n v="0"/>
    <m/>
    <m/>
    <n v="0"/>
    <n v="0"/>
  </r>
  <r>
    <x v="12"/>
    <s v="University of Tennessee, Knoxville"/>
    <m/>
    <n v="221759"/>
    <x v="0"/>
    <m/>
    <m/>
    <m/>
    <m/>
    <n v="303943.5"/>
    <n v="313374"/>
    <n v="38517"/>
    <n v="35428"/>
    <n v="335338"/>
    <n v="346951"/>
    <n v="677798.5"/>
    <n v="22593.283333333333"/>
    <n v="695753"/>
    <n v="23191.766666666666"/>
    <n v="131"/>
    <n v="183"/>
    <n v="677798.5"/>
    <n v="695753"/>
    <m/>
    <m/>
    <m/>
    <m/>
    <m/>
    <m/>
    <m/>
    <m/>
    <n v="0"/>
    <n v="0"/>
    <n v="0"/>
    <n v="0"/>
    <m/>
    <m/>
    <n v="0"/>
    <n v="0"/>
  </r>
  <r>
    <x v="12"/>
    <s v="East Tennessee State University "/>
    <m/>
    <n v="220075"/>
    <x v="1"/>
    <m/>
    <m/>
    <m/>
    <m/>
    <n v="138142"/>
    <n v="131346"/>
    <n v="23686"/>
    <n v="19976"/>
    <n v="147230"/>
    <n v="140950"/>
    <n v="309058"/>
    <n v="10301.933333333332"/>
    <n v="292272"/>
    <n v="9742.4"/>
    <n v="4023"/>
    <n v="4220"/>
    <n v="309058"/>
    <n v="292272"/>
    <m/>
    <m/>
    <m/>
    <m/>
    <m/>
    <m/>
    <m/>
    <m/>
    <n v="0"/>
    <n v="0"/>
    <n v="0"/>
    <n v="0"/>
    <m/>
    <m/>
    <n v="0"/>
    <n v="0"/>
  </r>
  <r>
    <x v="12"/>
    <s v="Middle Tennessee State University "/>
    <m/>
    <n v="220978"/>
    <x v="1"/>
    <m/>
    <m/>
    <m/>
    <m/>
    <n v="222766"/>
    <n v="216883"/>
    <n v="37417"/>
    <n v="34403"/>
    <n v="245294"/>
    <n v="228573"/>
    <n v="505477"/>
    <n v="16849.233333333334"/>
    <n v="479859"/>
    <n v="15995.3"/>
    <n v="10218"/>
    <n v="9300"/>
    <n v="505477"/>
    <n v="479859"/>
    <m/>
    <m/>
    <m/>
    <m/>
    <m/>
    <m/>
    <m/>
    <m/>
    <n v="0"/>
    <n v="0"/>
    <n v="0"/>
    <n v="0"/>
    <m/>
    <m/>
    <n v="0"/>
    <n v="0"/>
  </r>
  <r>
    <x v="12"/>
    <s v="Tennessee State University "/>
    <m/>
    <n v="221838"/>
    <x v="1"/>
    <m/>
    <m/>
    <m/>
    <m/>
    <n v="66138"/>
    <n v="61487"/>
    <n v="9647"/>
    <n v="11049"/>
    <n v="79644"/>
    <n v="81856"/>
    <n v="155429"/>
    <n v="5180.9666666666662"/>
    <n v="154392"/>
    <n v="5146.3999999999996"/>
    <n v="798"/>
    <n v="564"/>
    <n v="155429"/>
    <n v="154392"/>
    <m/>
    <m/>
    <m/>
    <m/>
    <m/>
    <m/>
    <m/>
    <m/>
    <n v="0"/>
    <n v="0"/>
    <n v="0"/>
    <n v="0"/>
    <m/>
    <m/>
    <n v="0"/>
    <n v="0"/>
  </r>
  <r>
    <x v="12"/>
    <s v="Austin Peay State University "/>
    <m/>
    <n v="219602"/>
    <x v="2"/>
    <m/>
    <m/>
    <m/>
    <m/>
    <n v="109134"/>
    <n v="97910"/>
    <n v="18369"/>
    <n v="17064"/>
    <n v="110707"/>
    <n v="100663"/>
    <n v="238210"/>
    <n v="7940.333333333333"/>
    <n v="215637"/>
    <n v="7187.9"/>
    <n v="10283"/>
    <n v="10356"/>
    <n v="238210"/>
    <n v="215637"/>
    <m/>
    <m/>
    <m/>
    <m/>
    <m/>
    <m/>
    <m/>
    <m/>
    <n v="0"/>
    <n v="0"/>
    <n v="0"/>
    <n v="0"/>
    <m/>
    <m/>
    <n v="0"/>
    <n v="0"/>
  </r>
  <r>
    <x v="12"/>
    <s v="Tennessee Technological University "/>
    <m/>
    <n v="221847"/>
    <x v="2"/>
    <m/>
    <m/>
    <m/>
    <m/>
    <n v="110310"/>
    <n v="106087"/>
    <n v="13842"/>
    <n v="12637"/>
    <n v="121291"/>
    <n v="116606"/>
    <n v="245443"/>
    <n v="8181.4333333333334"/>
    <n v="235330"/>
    <n v="7844.333333333333"/>
    <n v="1390"/>
    <n v="1495"/>
    <n v="245443"/>
    <n v="235330"/>
    <m/>
    <m/>
    <m/>
    <m/>
    <m/>
    <m/>
    <m/>
    <m/>
    <n v="0"/>
    <n v="0"/>
    <n v="0"/>
    <n v="0"/>
    <m/>
    <m/>
    <n v="0"/>
    <n v="0"/>
  </r>
  <r>
    <x v="12"/>
    <s v="University of Tennessee at Chattanooga"/>
    <m/>
    <n v="221740"/>
    <x v="2"/>
    <m/>
    <m/>
    <m/>
    <m/>
    <n v="126556"/>
    <n v="123905"/>
    <n v="18128"/>
    <n v="16904"/>
    <n v="143408"/>
    <n v="138324"/>
    <n v="288092"/>
    <n v="9603.0666666666675"/>
    <n v="279133"/>
    <n v="9304.4333333333325"/>
    <n v="120"/>
    <n v="116"/>
    <n v="288092"/>
    <n v="279133"/>
    <m/>
    <m/>
    <m/>
    <m/>
    <m/>
    <m/>
    <m/>
    <m/>
    <n v="0"/>
    <n v="0"/>
    <n v="0"/>
    <n v="0"/>
    <m/>
    <m/>
    <n v="0"/>
    <n v="0"/>
  </r>
  <r>
    <x v="12"/>
    <s v="University of Tennessee at Martin"/>
    <m/>
    <n v="221768"/>
    <x v="3"/>
    <m/>
    <m/>
    <m/>
    <m/>
    <n v="73147"/>
    <n v="69490"/>
    <n v="10292"/>
    <n v="9037"/>
    <n v="78090"/>
    <n v="72342"/>
    <n v="161529"/>
    <n v="5384.3"/>
    <n v="150869"/>
    <n v="5028.9666666666662"/>
    <n v="9560"/>
    <n v="8627"/>
    <n v="161529"/>
    <n v="150869"/>
    <m/>
    <m/>
    <m/>
    <m/>
    <m/>
    <m/>
    <m/>
    <m/>
    <n v="0"/>
    <n v="0"/>
    <n v="0"/>
    <n v="0"/>
    <m/>
    <m/>
    <n v="0"/>
    <n v="0"/>
  </r>
  <r>
    <x v="12"/>
    <s v="Chattanooga State Technical Community College "/>
    <s v="Met the criteria for Two-Year 1 in  2021-22"/>
    <n v="219824"/>
    <x v="5"/>
    <m/>
    <m/>
    <m/>
    <m/>
    <n v="68065"/>
    <n v="57727"/>
    <n v="13928"/>
    <n v="12207"/>
    <n v="74880"/>
    <n v="67843"/>
    <n v="156873"/>
    <n v="5229.1000000000004"/>
    <n v="137777"/>
    <n v="4592.5666666666666"/>
    <n v="14596"/>
    <n v="14034"/>
    <n v="156873"/>
    <n v="137777"/>
    <m/>
    <m/>
    <m/>
    <m/>
    <m/>
    <m/>
    <m/>
    <m/>
    <n v="0"/>
    <n v="0"/>
    <n v="0"/>
    <n v="0"/>
    <m/>
    <m/>
    <n v="0"/>
    <n v="0"/>
  </r>
  <r>
    <x v="12"/>
    <s v="Nashville State Technical Community College"/>
    <s v="Met the criteria for Two-Year 1 in  2021-22"/>
    <n v="221184"/>
    <x v="5"/>
    <m/>
    <m/>
    <m/>
    <m/>
    <n v="66128"/>
    <n v="58132"/>
    <n v="14852"/>
    <n v="15812"/>
    <n v="66315.5"/>
    <n v="62152"/>
    <n v="147295.5"/>
    <n v="4909.8500000000004"/>
    <n v="136096"/>
    <n v="4536.5333333333338"/>
    <n v="8232"/>
    <n v="9406"/>
    <n v="147295.5"/>
    <n v="136096"/>
    <m/>
    <m/>
    <m/>
    <m/>
    <m/>
    <m/>
    <m/>
    <m/>
    <n v="0"/>
    <n v="0"/>
    <n v="0"/>
    <n v="0"/>
    <m/>
    <m/>
    <n v="0"/>
    <n v="0"/>
  </r>
  <r>
    <x v="12"/>
    <s v="Pellissippi State Technical Community College"/>
    <m/>
    <n v="221643"/>
    <x v="5"/>
    <m/>
    <m/>
    <m/>
    <m/>
    <n v="86752"/>
    <n v="73420"/>
    <n v="20056"/>
    <n v="18129"/>
    <n v="91649"/>
    <n v="84613"/>
    <n v="198457"/>
    <n v="6615.2333333333336"/>
    <n v="176162"/>
    <n v="5872.0666666666666"/>
    <n v="10753"/>
    <n v="11151"/>
    <n v="198457"/>
    <n v="176162"/>
    <m/>
    <m/>
    <m/>
    <m/>
    <m/>
    <m/>
    <m/>
    <m/>
    <n v="0"/>
    <n v="0"/>
    <n v="0"/>
    <n v="0"/>
    <m/>
    <m/>
    <n v="0"/>
    <n v="0"/>
  </r>
  <r>
    <x v="12"/>
    <s v="Southwest Tennessee Community College"/>
    <s v="Met the criteria for Two-Year 1 in  2021-22"/>
    <n v="221485"/>
    <x v="5"/>
    <m/>
    <m/>
    <m/>
    <m/>
    <n v="75486"/>
    <n v="57362"/>
    <n v="21370"/>
    <n v="15882"/>
    <n v="72975"/>
    <n v="65144"/>
    <n v="169831"/>
    <n v="5661.0333333333338"/>
    <n v="138388"/>
    <n v="4612.9333333333334"/>
    <n v="5196"/>
    <n v="5538"/>
    <n v="169831"/>
    <n v="138388"/>
    <m/>
    <m/>
    <m/>
    <m/>
    <m/>
    <m/>
    <m/>
    <m/>
    <n v="0"/>
    <n v="0"/>
    <n v="0"/>
    <n v="0"/>
    <m/>
    <m/>
    <n v="0"/>
    <n v="0"/>
  </r>
  <r>
    <x v="12"/>
    <s v="Volunteer State Community College "/>
    <m/>
    <n v="222053"/>
    <x v="5"/>
    <m/>
    <m/>
    <m/>
    <m/>
    <n v="75735"/>
    <n v="64850"/>
    <n v="17087"/>
    <n v="14937"/>
    <n v="87017"/>
    <n v="73032"/>
    <n v="179839"/>
    <n v="5994.6333333333332"/>
    <n v="152819"/>
    <n v="5093.9666666666662"/>
    <n v="17262.5"/>
    <n v="14419"/>
    <n v="179839"/>
    <n v="152819"/>
    <m/>
    <m/>
    <m/>
    <m/>
    <m/>
    <m/>
    <m/>
    <m/>
    <n v="0"/>
    <n v="0"/>
    <n v="0"/>
    <n v="0"/>
    <m/>
    <m/>
    <n v="0"/>
    <n v="0"/>
  </r>
  <r>
    <x v="12"/>
    <s v="Cleveland State Community College "/>
    <m/>
    <n v="219879"/>
    <x v="6"/>
    <m/>
    <m/>
    <m/>
    <m/>
    <n v="28661"/>
    <n v="25326"/>
    <n v="5006"/>
    <n v="4836"/>
    <n v="32319"/>
    <n v="30177"/>
    <n v="65986"/>
    <n v="2199.5333333333333"/>
    <n v="60339"/>
    <n v="2011.3"/>
    <n v="8637"/>
    <n v="8905"/>
    <n v="65986"/>
    <n v="60339"/>
    <m/>
    <m/>
    <m/>
    <m/>
    <m/>
    <m/>
    <m/>
    <m/>
    <n v="0"/>
    <n v="0"/>
    <n v="0"/>
    <n v="0"/>
    <m/>
    <m/>
    <n v="0"/>
    <n v="0"/>
  </r>
  <r>
    <x v="12"/>
    <s v="Columbia State Community College "/>
    <m/>
    <n v="219888"/>
    <x v="6"/>
    <m/>
    <m/>
    <m/>
    <m/>
    <n v="56195"/>
    <n v="51095"/>
    <n v="13161"/>
    <n v="11599"/>
    <n v="63016"/>
    <n v="56969"/>
    <n v="132372"/>
    <n v="4412.3999999999996"/>
    <n v="119663"/>
    <n v="3988.7666666666669"/>
    <n v="9368"/>
    <n v="8566"/>
    <n v="132372"/>
    <n v="119663"/>
    <m/>
    <m/>
    <m/>
    <m/>
    <m/>
    <m/>
    <m/>
    <m/>
    <n v="0"/>
    <n v="0"/>
    <n v="0"/>
    <n v="0"/>
    <m/>
    <m/>
    <n v="0"/>
    <n v="0"/>
  </r>
  <r>
    <x v="12"/>
    <s v="Jackson State Community College "/>
    <m/>
    <n v="220400"/>
    <x v="6"/>
    <m/>
    <m/>
    <m/>
    <m/>
    <n v="39614"/>
    <n v="31211"/>
    <n v="8294"/>
    <n v="7647"/>
    <n v="39819"/>
    <n v="36392"/>
    <n v="87727"/>
    <n v="2924.2333333333331"/>
    <n v="75250"/>
    <n v="2508.3333333333335"/>
    <n v="12319"/>
    <n v="11064"/>
    <n v="87727"/>
    <n v="75250"/>
    <m/>
    <m/>
    <m/>
    <m/>
    <m/>
    <m/>
    <m/>
    <m/>
    <n v="0"/>
    <n v="0"/>
    <n v="0"/>
    <n v="0"/>
    <m/>
    <m/>
    <n v="0"/>
    <n v="0"/>
  </r>
  <r>
    <x v="12"/>
    <s v="Motlow State Community College "/>
    <m/>
    <n v="221096"/>
    <x v="6"/>
    <m/>
    <m/>
    <m/>
    <m/>
    <n v="59335"/>
    <n v="49374"/>
    <n v="11507"/>
    <n v="9890"/>
    <n v="62334"/>
    <n v="56558"/>
    <n v="133176"/>
    <n v="4439.2"/>
    <n v="115822"/>
    <n v="3860.7333333333331"/>
    <n v="19055"/>
    <n v="17161"/>
    <n v="133176"/>
    <n v="115822"/>
    <m/>
    <m/>
    <m/>
    <m/>
    <m/>
    <m/>
    <m/>
    <m/>
    <n v="0"/>
    <n v="0"/>
    <n v="0"/>
    <n v="0"/>
    <m/>
    <m/>
    <n v="0"/>
    <n v="0"/>
  </r>
  <r>
    <x v="12"/>
    <s v="Northeast State Technical Community College"/>
    <m/>
    <n v="221908"/>
    <x v="6"/>
    <m/>
    <m/>
    <m/>
    <m/>
    <n v="52343"/>
    <n v="44286"/>
    <n v="8345"/>
    <n v="8400"/>
    <n v="55682"/>
    <n v="53506"/>
    <n v="116370"/>
    <n v="3879"/>
    <n v="106192"/>
    <n v="3539.7333333333331"/>
    <n v="8529"/>
    <n v="8192"/>
    <n v="116370"/>
    <n v="106192"/>
    <m/>
    <m/>
    <m/>
    <m/>
    <m/>
    <m/>
    <m/>
    <m/>
    <n v="0"/>
    <n v="0"/>
    <n v="0"/>
    <n v="0"/>
    <m/>
    <m/>
    <n v="0"/>
    <n v="0"/>
  </r>
  <r>
    <x v="12"/>
    <s v="Roane State Community College "/>
    <m/>
    <n v="221397"/>
    <x v="6"/>
    <m/>
    <m/>
    <m/>
    <m/>
    <n v="51276"/>
    <n v="44652"/>
    <n v="7706"/>
    <n v="6768"/>
    <n v="52972"/>
    <n v="47374"/>
    <n v="111954"/>
    <n v="3731.8"/>
    <n v="98794"/>
    <n v="3293.1333333333332"/>
    <n v="14910"/>
    <n v="14395"/>
    <n v="111954"/>
    <n v="98794"/>
    <m/>
    <m/>
    <m/>
    <m/>
    <m/>
    <m/>
    <m/>
    <m/>
    <n v="0"/>
    <n v="0"/>
    <n v="0"/>
    <n v="0"/>
    <m/>
    <m/>
    <n v="0"/>
    <n v="0"/>
  </r>
  <r>
    <x v="12"/>
    <s v="Walters State Community College "/>
    <m/>
    <n v="222062"/>
    <x v="6"/>
    <m/>
    <m/>
    <m/>
    <m/>
    <n v="51325"/>
    <n v="47215"/>
    <n v="8152"/>
    <n v="6148"/>
    <n v="57526"/>
    <n v="54390"/>
    <n v="117003"/>
    <n v="3900.1"/>
    <n v="107753"/>
    <n v="3591.7666666666669"/>
    <n v="12784"/>
    <n v="13671"/>
    <n v="117003"/>
    <n v="107753"/>
    <m/>
    <m/>
    <m/>
    <m/>
    <m/>
    <m/>
    <m/>
    <m/>
    <n v="0"/>
    <n v="0"/>
    <n v="0"/>
    <n v="0"/>
    <m/>
    <m/>
    <n v="0"/>
    <n v="0"/>
  </r>
  <r>
    <x v="12"/>
    <s v="Dyersburg State Community College "/>
    <m/>
    <n v="220057"/>
    <x v="7"/>
    <m/>
    <m/>
    <m/>
    <m/>
    <n v="22766"/>
    <n v="21230"/>
    <n v="4325"/>
    <n v="4649"/>
    <n v="24448"/>
    <n v="25937"/>
    <n v="51539"/>
    <n v="1717.9666666666667"/>
    <n v="51816"/>
    <n v="1727.2"/>
    <n v="5504"/>
    <n v="5566"/>
    <n v="51539"/>
    <n v="51816"/>
    <m/>
    <m/>
    <m/>
    <m/>
    <m/>
    <m/>
    <m/>
    <m/>
    <n v="0"/>
    <n v="0"/>
    <n v="0"/>
    <n v="0"/>
    <m/>
    <m/>
    <n v="0"/>
    <n v="0"/>
  </r>
  <r>
    <x v="12"/>
    <s v="Tennessee College of Applied Technology at Athens"/>
    <m/>
    <n v="219596"/>
    <x v="9"/>
    <m/>
    <m/>
    <m/>
    <m/>
    <m/>
    <m/>
    <m/>
    <m/>
    <m/>
    <m/>
    <n v="0"/>
    <n v="0"/>
    <n v="0"/>
    <n v="0"/>
    <m/>
    <m/>
    <n v="0"/>
    <n v="0"/>
    <m/>
    <m/>
    <n v="89100"/>
    <n v="76161"/>
    <n v="67936"/>
    <n v="63773"/>
    <n v="78454"/>
    <n v="94779"/>
    <n v="235490"/>
    <n v="261.65555555555557"/>
    <n v="234713"/>
    <n v="260.79222222222222"/>
    <m/>
    <m/>
    <n v="0"/>
    <n v="0"/>
  </r>
  <r>
    <x v="12"/>
    <s v="Tennessee College of Applied Technology at Chattanooga"/>
    <m/>
    <s v="219824B"/>
    <x v="9"/>
    <m/>
    <m/>
    <m/>
    <m/>
    <m/>
    <m/>
    <m/>
    <m/>
    <m/>
    <m/>
    <n v="0"/>
    <n v="0"/>
    <n v="0"/>
    <n v="0"/>
    <m/>
    <m/>
    <n v="0"/>
    <n v="0"/>
    <m/>
    <m/>
    <n v="332363"/>
    <n v="273031"/>
    <n v="187331"/>
    <n v="179760"/>
    <n v="295842"/>
    <n v="320508"/>
    <n v="815536"/>
    <n v="906.15111111111116"/>
    <n v="773299"/>
    <n v="859.2211111111111"/>
    <m/>
    <m/>
    <n v="0"/>
    <n v="0"/>
  </r>
  <r>
    <x v="12"/>
    <s v="Tennessee College of Applied Technology at Covington"/>
    <m/>
    <n v="219921"/>
    <x v="9"/>
    <m/>
    <m/>
    <m/>
    <m/>
    <m/>
    <m/>
    <m/>
    <m/>
    <m/>
    <m/>
    <n v="0"/>
    <n v="0"/>
    <n v="0"/>
    <n v="0"/>
    <m/>
    <m/>
    <n v="0"/>
    <n v="0"/>
    <m/>
    <m/>
    <n v="81592"/>
    <n v="82362"/>
    <n v="71588"/>
    <n v="72572"/>
    <n v="92879"/>
    <n v="91111"/>
    <n v="246059"/>
    <n v="273.39888888888891"/>
    <n v="246045"/>
    <n v="273.38333333333333"/>
    <m/>
    <m/>
    <n v="0"/>
    <n v="0"/>
  </r>
  <r>
    <x v="12"/>
    <s v="Tennessee College of Applied Technology at Crossville"/>
    <m/>
    <n v="221591"/>
    <x v="9"/>
    <m/>
    <m/>
    <m/>
    <m/>
    <m/>
    <m/>
    <m/>
    <m/>
    <m/>
    <m/>
    <n v="0"/>
    <n v="0"/>
    <n v="0"/>
    <n v="0"/>
    <m/>
    <m/>
    <n v="0"/>
    <n v="0"/>
    <m/>
    <m/>
    <n v="124158"/>
    <n v="146890"/>
    <n v="108760"/>
    <n v="119108"/>
    <n v="143991"/>
    <n v="147693"/>
    <n v="376909"/>
    <n v="418.78777777777776"/>
    <n v="413691"/>
    <n v="459.65666666666669"/>
    <m/>
    <m/>
    <n v="0"/>
    <n v="0"/>
  </r>
  <r>
    <x v="12"/>
    <s v="Tennessee College of Applied Technology at Crump"/>
    <m/>
    <n v="221430"/>
    <x v="9"/>
    <m/>
    <m/>
    <m/>
    <m/>
    <m/>
    <m/>
    <m/>
    <m/>
    <m/>
    <m/>
    <n v="0"/>
    <n v="0"/>
    <n v="0"/>
    <n v="0"/>
    <m/>
    <m/>
    <n v="0"/>
    <n v="0"/>
    <m/>
    <m/>
    <n v="125883"/>
    <n v="145352"/>
    <n v="74810"/>
    <n v="89945"/>
    <n v="158002"/>
    <n v="184534"/>
    <n v="358695"/>
    <n v="398.55"/>
    <n v="419831"/>
    <n v="466.47888888888889"/>
    <m/>
    <m/>
    <n v="0"/>
    <n v="0"/>
  </r>
  <r>
    <x v="12"/>
    <s v="Tennessee College of Applied Technology at Dickson"/>
    <m/>
    <n v="219994"/>
    <x v="9"/>
    <m/>
    <m/>
    <m/>
    <m/>
    <m/>
    <m/>
    <m/>
    <m/>
    <m/>
    <m/>
    <n v="0"/>
    <n v="0"/>
    <n v="0"/>
    <n v="0"/>
    <m/>
    <m/>
    <n v="0"/>
    <n v="0"/>
    <m/>
    <m/>
    <n v="247400"/>
    <n v="245192"/>
    <n v="202300"/>
    <n v="216570"/>
    <n v="252017"/>
    <n v="252219"/>
    <n v="701717"/>
    <n v="779.68555555555554"/>
    <n v="713981"/>
    <n v="793.3122222222222"/>
    <m/>
    <m/>
    <n v="0"/>
    <n v="0"/>
  </r>
  <r>
    <x v="12"/>
    <s v="Tennessee College of Applied Technology at Elizabethton"/>
    <m/>
    <n v="220127"/>
    <x v="9"/>
    <m/>
    <m/>
    <m/>
    <m/>
    <m/>
    <m/>
    <m/>
    <m/>
    <m/>
    <m/>
    <n v="0"/>
    <n v="0"/>
    <n v="0"/>
    <n v="0"/>
    <m/>
    <m/>
    <n v="0"/>
    <n v="0"/>
    <m/>
    <m/>
    <n v="182440"/>
    <n v="172473"/>
    <n v="168363"/>
    <n v="152092"/>
    <n v="176639"/>
    <n v="171631"/>
    <n v="527442"/>
    <n v="586.04666666666662"/>
    <n v="496196"/>
    <n v="551.32888888888886"/>
    <m/>
    <m/>
    <n v="0"/>
    <n v="0"/>
  </r>
  <r>
    <x v="12"/>
    <s v="Tennessee College of Applied Technology at Harriman"/>
    <m/>
    <n v="220251"/>
    <x v="9"/>
    <m/>
    <m/>
    <m/>
    <m/>
    <m/>
    <m/>
    <m/>
    <m/>
    <m/>
    <m/>
    <n v="0"/>
    <n v="0"/>
    <n v="0"/>
    <n v="0"/>
    <m/>
    <m/>
    <n v="0"/>
    <n v="0"/>
    <m/>
    <m/>
    <n v="71693"/>
    <n v="102341"/>
    <n v="67098"/>
    <n v="78165"/>
    <n v="99460"/>
    <n v="133733"/>
    <n v="238251"/>
    <n v="264.72333333333336"/>
    <n v="314239"/>
    <n v="349.15444444444444"/>
    <m/>
    <m/>
    <n v="0"/>
    <n v="0"/>
  </r>
  <r>
    <x v="12"/>
    <s v="Tennessee College of Applied Technology at Hartsville"/>
    <m/>
    <n v="220279"/>
    <x v="9"/>
    <m/>
    <m/>
    <m/>
    <m/>
    <m/>
    <m/>
    <m/>
    <m/>
    <m/>
    <m/>
    <n v="0"/>
    <n v="0"/>
    <n v="0"/>
    <n v="0"/>
    <m/>
    <m/>
    <n v="0"/>
    <n v="0"/>
    <m/>
    <m/>
    <n v="102119"/>
    <n v="106720"/>
    <n v="70094"/>
    <n v="66158"/>
    <n v="124442"/>
    <n v="136138"/>
    <n v="296655"/>
    <n v="329.61666666666667"/>
    <n v="309016"/>
    <n v="343.35111111111109"/>
    <m/>
    <m/>
    <n v="0"/>
    <n v="0"/>
  </r>
  <r>
    <x v="12"/>
    <s v="Tennessee College of Applied Technology at Hohenwald"/>
    <m/>
    <n v="220321"/>
    <x v="9"/>
    <m/>
    <m/>
    <m/>
    <m/>
    <m/>
    <m/>
    <m/>
    <m/>
    <m/>
    <m/>
    <n v="0"/>
    <n v="0"/>
    <n v="0"/>
    <n v="0"/>
    <m/>
    <m/>
    <n v="0"/>
    <n v="0"/>
    <m/>
    <m/>
    <n v="125147"/>
    <n v="127833"/>
    <n v="98161"/>
    <n v="91132"/>
    <n v="133516"/>
    <n v="144701"/>
    <n v="356824"/>
    <n v="396.4711111111111"/>
    <n v="363666"/>
    <n v="404.07333333333332"/>
    <m/>
    <m/>
    <n v="0"/>
    <n v="0"/>
  </r>
  <r>
    <x v="12"/>
    <s v="Tennessee College of Applied Technology at Jacksboro"/>
    <m/>
    <n v="220394"/>
    <x v="9"/>
    <m/>
    <m/>
    <m/>
    <m/>
    <m/>
    <m/>
    <m/>
    <m/>
    <m/>
    <m/>
    <n v="0"/>
    <n v="0"/>
    <n v="0"/>
    <n v="0"/>
    <m/>
    <m/>
    <n v="0"/>
    <n v="0"/>
    <m/>
    <m/>
    <n v="80310"/>
    <n v="81667"/>
    <n v="64620"/>
    <n v="59171"/>
    <n v="99359"/>
    <n v="82414"/>
    <n v="244289"/>
    <n v="271.43222222222221"/>
    <n v="223252"/>
    <n v="248.05777777777777"/>
    <m/>
    <m/>
    <n v="0"/>
    <n v="0"/>
  </r>
  <r>
    <x v="12"/>
    <s v="Tennessee College of Applied Technology at Jackson"/>
    <m/>
    <n v="221616"/>
    <x v="9"/>
    <m/>
    <m/>
    <m/>
    <m/>
    <m/>
    <m/>
    <m/>
    <m/>
    <m/>
    <m/>
    <n v="0"/>
    <n v="0"/>
    <n v="0"/>
    <n v="0"/>
    <m/>
    <m/>
    <n v="0"/>
    <n v="0"/>
    <m/>
    <m/>
    <n v="169953"/>
    <n v="149728"/>
    <n v="144499"/>
    <n v="125652"/>
    <n v="167689"/>
    <n v="303646"/>
    <n v="482141"/>
    <n v="535.71222222222218"/>
    <n v="579026"/>
    <n v="643.36222222222227"/>
    <m/>
    <m/>
    <n v="0"/>
    <n v="0"/>
  </r>
  <r>
    <x v="12"/>
    <s v="Tennessee College of Applied Technology at Knoxville"/>
    <m/>
    <n v="221625"/>
    <x v="9"/>
    <m/>
    <m/>
    <m/>
    <m/>
    <m/>
    <m/>
    <m/>
    <m/>
    <m/>
    <m/>
    <n v="0"/>
    <n v="0"/>
    <n v="0"/>
    <n v="0"/>
    <m/>
    <m/>
    <n v="0"/>
    <n v="0"/>
    <m/>
    <m/>
    <n v="264105"/>
    <n v="295121"/>
    <n v="207348"/>
    <n v="233217"/>
    <n v="301050"/>
    <n v="306390"/>
    <n v="772503"/>
    <n v="858.3366666666667"/>
    <n v="834728"/>
    <n v="927.4755555555555"/>
    <m/>
    <m/>
    <n v="0"/>
    <n v="0"/>
  </r>
  <r>
    <x v="12"/>
    <s v="Tennessee College of Applied Technology at Livingston"/>
    <m/>
    <n v="220640"/>
    <x v="9"/>
    <m/>
    <m/>
    <m/>
    <m/>
    <m/>
    <m/>
    <m/>
    <m/>
    <m/>
    <m/>
    <n v="0"/>
    <n v="0"/>
    <n v="0"/>
    <n v="0"/>
    <m/>
    <m/>
    <n v="0"/>
    <n v="0"/>
    <m/>
    <m/>
    <n v="170602"/>
    <n v="149535"/>
    <n v="75987"/>
    <n v="83097"/>
    <n v="165959"/>
    <n v="221999"/>
    <n v="412548"/>
    <n v="458.38666666666666"/>
    <n v="454631"/>
    <n v="505.14555555555557"/>
    <m/>
    <m/>
    <n v="0"/>
    <n v="0"/>
  </r>
  <r>
    <x v="12"/>
    <s v="Tennessee College of Applied Technology at McKenzie"/>
    <m/>
    <n v="220756"/>
    <x v="9"/>
    <m/>
    <m/>
    <m/>
    <m/>
    <m/>
    <m/>
    <m/>
    <m/>
    <m/>
    <m/>
    <n v="0"/>
    <n v="0"/>
    <n v="0"/>
    <n v="0"/>
    <m/>
    <m/>
    <n v="0"/>
    <n v="0"/>
    <m/>
    <m/>
    <n v="52013"/>
    <n v="37381"/>
    <n v="40200"/>
    <n v="32382"/>
    <n v="40514"/>
    <n v="33380"/>
    <n v="132727"/>
    <n v="147.47444444444446"/>
    <n v="103143"/>
    <n v="114.60333333333334"/>
    <m/>
    <m/>
    <n v="0"/>
    <n v="0"/>
  </r>
  <r>
    <x v="12"/>
    <s v="Tennessee College of Applied Technology at McMinnville"/>
    <m/>
    <n v="221607"/>
    <x v="9"/>
    <m/>
    <m/>
    <m/>
    <m/>
    <m/>
    <m/>
    <m/>
    <m/>
    <m/>
    <m/>
    <n v="0"/>
    <n v="0"/>
    <n v="0"/>
    <n v="0"/>
    <m/>
    <m/>
    <n v="0"/>
    <n v="0"/>
    <m/>
    <m/>
    <n v="78745"/>
    <n v="92038"/>
    <n v="70687"/>
    <n v="80145"/>
    <n v="88996"/>
    <n v="95964"/>
    <n v="238428"/>
    <n v="264.92"/>
    <n v="268147"/>
    <n v="297.94111111111113"/>
    <m/>
    <m/>
    <n v="0"/>
    <n v="0"/>
  </r>
  <r>
    <x v="12"/>
    <s v="Tennessee College of Applied Technology at Memphis"/>
    <m/>
    <n v="220853"/>
    <x v="9"/>
    <m/>
    <m/>
    <m/>
    <m/>
    <m/>
    <m/>
    <m/>
    <m/>
    <m/>
    <m/>
    <n v="0"/>
    <n v="0"/>
    <n v="0"/>
    <n v="0"/>
    <m/>
    <m/>
    <n v="0"/>
    <n v="0"/>
    <m/>
    <m/>
    <n v="335548"/>
    <n v="321751"/>
    <n v="282602"/>
    <n v="239487"/>
    <n v="358913"/>
    <n v="286535"/>
    <n v="977063"/>
    <n v="1085.6255555555556"/>
    <n v="847773"/>
    <n v="941.97"/>
    <m/>
    <m/>
    <n v="0"/>
    <n v="0"/>
  </r>
  <r>
    <x v="12"/>
    <s v="Tennessee College of Applied Technology at Morristown"/>
    <m/>
    <n v="221050"/>
    <x v="9"/>
    <m/>
    <m/>
    <m/>
    <m/>
    <m/>
    <m/>
    <m/>
    <m/>
    <m/>
    <m/>
    <n v="0"/>
    <n v="0"/>
    <n v="0"/>
    <n v="0"/>
    <m/>
    <m/>
    <n v="0"/>
    <n v="0"/>
    <m/>
    <m/>
    <n v="214530"/>
    <n v="198786"/>
    <n v="162466"/>
    <n v="178315"/>
    <n v="217295"/>
    <n v="238710"/>
    <n v="594291"/>
    <n v="660.32333333333338"/>
    <n v="615811"/>
    <n v="684.23444444444442"/>
    <m/>
    <m/>
    <n v="0"/>
    <n v="0"/>
  </r>
  <r>
    <x v="12"/>
    <s v="Tennessee College of Applied Technology at Murfreesboro"/>
    <m/>
    <n v="221102"/>
    <x v="9"/>
    <m/>
    <m/>
    <m/>
    <m/>
    <m/>
    <m/>
    <m/>
    <m/>
    <m/>
    <m/>
    <n v="0"/>
    <n v="0"/>
    <n v="0"/>
    <n v="0"/>
    <m/>
    <m/>
    <n v="0"/>
    <n v="0"/>
    <m/>
    <m/>
    <n v="209345"/>
    <n v="204201"/>
    <n v="189316"/>
    <n v="216525"/>
    <n v="217383"/>
    <n v="229352"/>
    <n v="616044"/>
    <n v="684.49333333333334"/>
    <n v="650078"/>
    <n v="722.30888888888887"/>
    <m/>
    <m/>
    <n v="0"/>
    <n v="0"/>
  </r>
  <r>
    <x v="12"/>
    <s v="Tennessee College of Applied Technology at Nashville"/>
    <m/>
    <n v="248925"/>
    <x v="9"/>
    <m/>
    <m/>
    <m/>
    <m/>
    <m/>
    <m/>
    <m/>
    <m/>
    <m/>
    <m/>
    <n v="0"/>
    <n v="0"/>
    <n v="0"/>
    <n v="0"/>
    <m/>
    <m/>
    <n v="0"/>
    <n v="0"/>
    <m/>
    <m/>
    <n v="277727"/>
    <n v="277590"/>
    <n v="235696"/>
    <n v="239719"/>
    <n v="288403"/>
    <n v="272030"/>
    <n v="801826"/>
    <n v="890.91777777777781"/>
    <n v="789339"/>
    <n v="877.04333333333329"/>
    <m/>
    <m/>
    <n v="0"/>
    <n v="0"/>
  </r>
  <r>
    <x v="12"/>
    <s v="Tennessee College of Applied Technology at Newbern"/>
    <m/>
    <n v="221236"/>
    <x v="9"/>
    <m/>
    <m/>
    <m/>
    <m/>
    <m/>
    <m/>
    <m/>
    <m/>
    <m/>
    <m/>
    <n v="0"/>
    <n v="0"/>
    <n v="0"/>
    <n v="0"/>
    <m/>
    <m/>
    <n v="0"/>
    <n v="0"/>
    <m/>
    <m/>
    <n v="130305"/>
    <n v="126056"/>
    <n v="117939"/>
    <n v="99528"/>
    <n v="141733"/>
    <n v="136839"/>
    <n v="389977"/>
    <n v="433.3077777777778"/>
    <n v="362423"/>
    <n v="402.6922222222222"/>
    <m/>
    <m/>
    <n v="0"/>
    <n v="0"/>
  </r>
  <r>
    <x v="12"/>
    <s v="Tennessee College of Applied Technology at Oneida"/>
    <m/>
    <n v="221582"/>
    <x v="9"/>
    <m/>
    <m/>
    <m/>
    <m/>
    <m/>
    <m/>
    <m/>
    <m/>
    <m/>
    <m/>
    <n v="0"/>
    <n v="0"/>
    <n v="0"/>
    <n v="0"/>
    <m/>
    <m/>
    <n v="0"/>
    <n v="0"/>
    <m/>
    <m/>
    <n v="63031"/>
    <n v="60065"/>
    <n v="42308"/>
    <n v="48844"/>
    <n v="60630"/>
    <n v="80701"/>
    <n v="165969"/>
    <n v="184.41"/>
    <n v="189610"/>
    <n v="210.67777777777778"/>
    <m/>
    <m/>
    <n v="0"/>
    <n v="0"/>
  </r>
  <r>
    <x v="12"/>
    <s v="Tennessee College of Applied Technology at Paris"/>
    <m/>
    <n v="221281"/>
    <x v="9"/>
    <m/>
    <m/>
    <m/>
    <m/>
    <m/>
    <m/>
    <m/>
    <m/>
    <m/>
    <m/>
    <n v="0"/>
    <n v="0"/>
    <n v="0"/>
    <n v="0"/>
    <m/>
    <m/>
    <n v="0"/>
    <n v="0"/>
    <m/>
    <m/>
    <n v="85330"/>
    <n v="61055"/>
    <n v="68827"/>
    <n v="49393"/>
    <n v="76163"/>
    <n v="65730"/>
    <n v="230320"/>
    <n v="255.9111111111111"/>
    <n v="176178"/>
    <n v="195.75333333333333"/>
    <m/>
    <m/>
    <n v="0"/>
    <n v="0"/>
  </r>
  <r>
    <x v="12"/>
    <s v="Tennessee College of Applied Technology at Pulaski"/>
    <m/>
    <n v="221333"/>
    <x v="9"/>
    <m/>
    <m/>
    <m/>
    <m/>
    <m/>
    <m/>
    <m/>
    <m/>
    <m/>
    <m/>
    <n v="0"/>
    <n v="0"/>
    <n v="0"/>
    <n v="0"/>
    <m/>
    <m/>
    <n v="0"/>
    <n v="0"/>
    <m/>
    <m/>
    <n v="119455"/>
    <n v="135440"/>
    <n v="85250"/>
    <n v="83808"/>
    <n v="137369"/>
    <n v="131577"/>
    <n v="342074"/>
    <n v="380.08222222222224"/>
    <n v="350825"/>
    <n v="389.80555555555554"/>
    <m/>
    <m/>
    <n v="0"/>
    <n v="0"/>
  </r>
  <r>
    <x v="12"/>
    <s v="Tennessee College of Applied Technology at Ripley"/>
    <m/>
    <n v="221388"/>
    <x v="9"/>
    <m/>
    <m/>
    <m/>
    <m/>
    <m/>
    <m/>
    <m/>
    <m/>
    <m/>
    <m/>
    <n v="0"/>
    <n v="0"/>
    <n v="0"/>
    <n v="0"/>
    <m/>
    <m/>
    <n v="0"/>
    <n v="0"/>
    <m/>
    <m/>
    <n v="64572"/>
    <n v="61556"/>
    <n v="51038"/>
    <n v="54380"/>
    <n v="66660"/>
    <n v="70801"/>
    <n v="182270"/>
    <n v="202.52222222222221"/>
    <n v="186737"/>
    <n v="207.48555555555555"/>
    <m/>
    <m/>
    <n v="0"/>
    <n v="0"/>
  </r>
  <r>
    <x v="12"/>
    <s v="Tennessee College of Applied Technology at Shelbyville"/>
    <m/>
    <n v="221494"/>
    <x v="9"/>
    <m/>
    <m/>
    <m/>
    <m/>
    <m/>
    <m/>
    <m/>
    <m/>
    <m/>
    <m/>
    <n v="0"/>
    <n v="0"/>
    <n v="0"/>
    <n v="0"/>
    <m/>
    <m/>
    <n v="0"/>
    <n v="0"/>
    <m/>
    <m/>
    <n v="153962"/>
    <n v="154546"/>
    <n v="124412"/>
    <n v="131191"/>
    <n v="166188"/>
    <n v="171059"/>
    <n v="444562"/>
    <n v="493.95777777777778"/>
    <n v="456796"/>
    <n v="507.55111111111108"/>
    <m/>
    <m/>
    <n v="0"/>
    <n v="0"/>
  </r>
  <r>
    <x v="12"/>
    <s v="Tennessee College of Applied Technology at Whiteville"/>
    <m/>
    <n v="221634"/>
    <x v="9"/>
    <m/>
    <m/>
    <m/>
    <m/>
    <m/>
    <m/>
    <m/>
    <m/>
    <m/>
    <m/>
    <n v="0"/>
    <n v="0"/>
    <n v="0"/>
    <n v="0"/>
    <m/>
    <m/>
    <n v="0"/>
    <n v="0"/>
    <m/>
    <m/>
    <n v="69075"/>
    <n v="71892"/>
    <n v="49088"/>
    <n v="35543"/>
    <n v="69009"/>
    <m/>
    <n v="187172"/>
    <n v="207.9688888888889"/>
    <n v="107435"/>
    <n v="119.37222222222222"/>
    <m/>
    <m/>
    <n v="0"/>
    <n v="0"/>
  </r>
  <r>
    <x v="13"/>
    <s v="Texas A&amp;M University "/>
    <m/>
    <n v="228723"/>
    <x v="0"/>
    <m/>
    <m/>
    <n v="0"/>
    <m/>
    <n v="618157"/>
    <n v="643861"/>
    <n v="106529"/>
    <n v="95302"/>
    <n v="687589"/>
    <n v="687883"/>
    <n v="1412275"/>
    <n v="47075.833333333336"/>
    <n v="1427046"/>
    <n v="47568.2"/>
    <n v="0"/>
    <n v="0"/>
    <n v="1412275"/>
    <n v="1427046"/>
    <m/>
    <m/>
    <m/>
    <m/>
    <m/>
    <m/>
    <m/>
    <m/>
    <n v="0"/>
    <n v="0"/>
    <n v="0"/>
    <n v="0"/>
    <m/>
    <m/>
    <n v="0"/>
    <n v="0"/>
  </r>
  <r>
    <x v="13"/>
    <s v="Texas Tech University "/>
    <m/>
    <n v="229115"/>
    <x v="0"/>
    <m/>
    <m/>
    <n v="0"/>
    <m/>
    <n v="372727"/>
    <n v="388493"/>
    <n v="87314"/>
    <n v="76572"/>
    <n v="428759"/>
    <n v="429399"/>
    <n v="888800"/>
    <n v="29626.666666666668"/>
    <n v="894464"/>
    <n v="29815.466666666667"/>
    <n v="2275"/>
    <n v="1822"/>
    <n v="888800"/>
    <n v="894464"/>
    <m/>
    <m/>
    <m/>
    <m/>
    <m/>
    <m/>
    <m/>
    <m/>
    <n v="0"/>
    <n v="0"/>
    <n v="0"/>
    <n v="0"/>
    <m/>
    <m/>
    <n v="0"/>
    <n v="0"/>
  </r>
  <r>
    <x v="13"/>
    <s v="University of Houston"/>
    <m/>
    <n v="225511"/>
    <x v="0"/>
    <m/>
    <m/>
    <n v="0"/>
    <m/>
    <n v="426560"/>
    <n v="432386"/>
    <n v="100530"/>
    <n v="79772"/>
    <n v="474900"/>
    <n v="450975"/>
    <n v="1001990"/>
    <n v="33399.666666666664"/>
    <n v="963133"/>
    <n v="32104.433333333334"/>
    <n v="0"/>
    <n v="0"/>
    <n v="1001990"/>
    <n v="963133"/>
    <m/>
    <m/>
    <m/>
    <m/>
    <m/>
    <m/>
    <m/>
    <m/>
    <n v="0"/>
    <n v="0"/>
    <n v="0"/>
    <n v="0"/>
    <m/>
    <m/>
    <n v="0"/>
    <n v="0"/>
  </r>
  <r>
    <x v="13"/>
    <s v="University of North Texas"/>
    <m/>
    <n v="227216"/>
    <x v="0"/>
    <m/>
    <m/>
    <n v="0"/>
    <m/>
    <n v="367716"/>
    <n v="372993"/>
    <n v="86916"/>
    <n v="79861"/>
    <n v="408907"/>
    <n v="394682"/>
    <n v="863539"/>
    <n v="28784.633333333335"/>
    <n v="847536"/>
    <n v="28251.200000000001"/>
    <n v="0"/>
    <n v="0"/>
    <n v="863539"/>
    <n v="847536"/>
    <m/>
    <m/>
    <m/>
    <m/>
    <m/>
    <m/>
    <m/>
    <m/>
    <n v="0"/>
    <n v="0"/>
    <n v="0"/>
    <n v="0"/>
    <m/>
    <m/>
    <n v="0"/>
    <n v="0"/>
  </r>
  <r>
    <x v="13"/>
    <s v="University of Texas at Arlington"/>
    <m/>
    <n v="228769"/>
    <x v="0"/>
    <m/>
    <m/>
    <n v="0"/>
    <m/>
    <n v="328968"/>
    <n v="326379"/>
    <n v="125850"/>
    <n v="117108"/>
    <n v="324905"/>
    <n v="310437"/>
    <n v="779723"/>
    <n v="25990.766666666666"/>
    <n v="753924"/>
    <n v="25130.799999999999"/>
    <n v="1638"/>
    <n v="1440"/>
    <n v="779723"/>
    <n v="753924"/>
    <m/>
    <m/>
    <m/>
    <m/>
    <m/>
    <m/>
    <m/>
    <m/>
    <n v="0"/>
    <n v="0"/>
    <n v="0"/>
    <n v="0"/>
    <m/>
    <m/>
    <n v="0"/>
    <n v="0"/>
  </r>
  <r>
    <x v="13"/>
    <s v="University of Texas at Austin"/>
    <m/>
    <n v="228778"/>
    <x v="0"/>
    <m/>
    <m/>
    <n v="0"/>
    <m/>
    <n v="506449"/>
    <n v="506515"/>
    <n v="71982"/>
    <n v="58500"/>
    <n v="542029"/>
    <n v="544686"/>
    <n v="1120460"/>
    <n v="37348.666666666664"/>
    <n v="1109701"/>
    <n v="36990.033333333333"/>
    <n v="0"/>
    <n v="0"/>
    <n v="1120460"/>
    <n v="1109701"/>
    <m/>
    <m/>
    <m/>
    <m/>
    <m/>
    <m/>
    <m/>
    <m/>
    <n v="0"/>
    <n v="0"/>
    <n v="0"/>
    <n v="0"/>
    <m/>
    <m/>
    <n v="0"/>
    <n v="0"/>
  </r>
  <r>
    <x v="13"/>
    <s v="University of Texas at Dallas"/>
    <m/>
    <n v="228787"/>
    <x v="0"/>
    <m/>
    <m/>
    <n v="0"/>
    <m/>
    <n v="257129"/>
    <n v="250097"/>
    <n v="40418"/>
    <n v="35182"/>
    <n v="275329"/>
    <n v="277720"/>
    <n v="572876"/>
    <n v="19095.866666666665"/>
    <n v="562999"/>
    <n v="18766.633333333335"/>
    <n v="0"/>
    <n v="0"/>
    <n v="572876"/>
    <n v="562999"/>
    <m/>
    <m/>
    <m/>
    <m/>
    <m/>
    <m/>
    <m/>
    <m/>
    <n v="0"/>
    <n v="0"/>
    <n v="0"/>
    <n v="0"/>
    <m/>
    <m/>
    <n v="0"/>
    <n v="0"/>
  </r>
  <r>
    <x v="13"/>
    <s v="University of Texas at San Antonio"/>
    <m/>
    <n v="229027"/>
    <x v="0"/>
    <m/>
    <m/>
    <n v="0"/>
    <m/>
    <n v="310970"/>
    <n v="318928"/>
    <n v="75703"/>
    <n v="73248"/>
    <n v="355487"/>
    <n v="342267"/>
    <n v="742160"/>
    <n v="24738.666666666668"/>
    <n v="734443"/>
    <n v="24481.433333333334"/>
    <n v="2394"/>
    <n v="2576"/>
    <n v="742160"/>
    <n v="734443"/>
    <m/>
    <m/>
    <m/>
    <m/>
    <m/>
    <m/>
    <m/>
    <m/>
    <n v="0"/>
    <n v="0"/>
    <n v="0"/>
    <n v="0"/>
    <m/>
    <m/>
    <n v="0"/>
    <n v="0"/>
  </r>
  <r>
    <x v="13"/>
    <s v="Texas State University"/>
    <m/>
    <n v="228459"/>
    <x v="1"/>
    <m/>
    <m/>
    <n v="0"/>
    <m/>
    <n v="378021"/>
    <n v="366153"/>
    <n v="71840"/>
    <n v="66306"/>
    <n v="410585"/>
    <n v="408329"/>
    <n v="860446"/>
    <n v="28681.533333333333"/>
    <n v="840788"/>
    <n v="28026.266666666666"/>
    <n v="0"/>
    <n v="0"/>
    <n v="860446"/>
    <n v="840788"/>
    <m/>
    <m/>
    <m/>
    <m/>
    <m/>
    <m/>
    <m/>
    <m/>
    <n v="0"/>
    <n v="0"/>
    <n v="0"/>
    <n v="0"/>
    <m/>
    <m/>
    <n v="0"/>
    <n v="0"/>
  </r>
  <r>
    <x v="13"/>
    <s v="Texas Woman's University"/>
    <s v="Met the requirments for Four-Year 1 in 2020-21, and 2021-22"/>
    <n v="229179"/>
    <x v="1"/>
    <m/>
    <m/>
    <n v="0"/>
    <m/>
    <n v="107964"/>
    <n v="106380"/>
    <n v="25526"/>
    <n v="22975"/>
    <n v="117950"/>
    <n v="112136"/>
    <n v="251440"/>
    <n v="8381.3333333333339"/>
    <n v="241491"/>
    <n v="8049.7"/>
    <n v="12311"/>
    <n v="12917"/>
    <n v="251440"/>
    <n v="241491"/>
    <m/>
    <m/>
    <m/>
    <m/>
    <m/>
    <m/>
    <m/>
    <m/>
    <n v="0"/>
    <n v="0"/>
    <n v="0"/>
    <n v="0"/>
    <m/>
    <m/>
    <n v="0"/>
    <n v="0"/>
  </r>
  <r>
    <x v="13"/>
    <s v="University of Texas at El Paso"/>
    <s v="Met the requirments for Four-Year 1 in 2020-21, and 2021-22"/>
    <n v="228796"/>
    <x v="1"/>
    <m/>
    <m/>
    <n v="0"/>
    <m/>
    <n v="216528"/>
    <n v="206110"/>
    <n v="68562"/>
    <n v="54640"/>
    <n v="234262"/>
    <n v="215086"/>
    <n v="519352"/>
    <n v="17311.733333333334"/>
    <n v="475836"/>
    <n v="15861.2"/>
    <n v="0"/>
    <n v="0"/>
    <n v="519352"/>
    <n v="475836"/>
    <m/>
    <m/>
    <m/>
    <m/>
    <m/>
    <m/>
    <m/>
    <m/>
    <n v="0"/>
    <n v="0"/>
    <n v="0"/>
    <n v="0"/>
    <m/>
    <m/>
    <n v="0"/>
    <n v="0"/>
  </r>
  <r>
    <x v="13"/>
    <s v="Angelo State University"/>
    <m/>
    <n v="222831"/>
    <x v="2"/>
    <m/>
    <m/>
    <n v="0"/>
    <m/>
    <n v="84921"/>
    <n v="81994"/>
    <n v="18081"/>
    <n v="19142"/>
    <n v="90009"/>
    <n v="86302"/>
    <n v="193011"/>
    <n v="6433.7"/>
    <n v="187438"/>
    <n v="6247.9333333333334"/>
    <n v="32458"/>
    <n v="35742"/>
    <n v="193011"/>
    <n v="187438"/>
    <m/>
    <m/>
    <m/>
    <m/>
    <m/>
    <m/>
    <m/>
    <m/>
    <n v="0"/>
    <n v="0"/>
    <n v="0"/>
    <n v="0"/>
    <m/>
    <m/>
    <n v="0"/>
    <n v="0"/>
  </r>
  <r>
    <x v="13"/>
    <s v="Lamar University"/>
    <s v="Met the requirments for 4-Year 2 in 2021-22"/>
    <n v="226091"/>
    <x v="2"/>
    <m/>
    <m/>
    <n v="0"/>
    <m/>
    <n v="93735"/>
    <n v="89507"/>
    <n v="34210"/>
    <n v="33466"/>
    <n v="87986"/>
    <n v="85209"/>
    <n v="215931"/>
    <n v="7197.7"/>
    <n v="208182"/>
    <n v="6939.4"/>
    <n v="3691"/>
    <n v="4056"/>
    <n v="215931"/>
    <n v="208182"/>
    <m/>
    <m/>
    <m/>
    <m/>
    <m/>
    <m/>
    <m/>
    <m/>
    <n v="0"/>
    <n v="0"/>
    <n v="0"/>
    <n v="0"/>
    <m/>
    <m/>
    <n v="0"/>
    <n v="0"/>
  </r>
  <r>
    <x v="13"/>
    <s v="Midwestern State University"/>
    <m/>
    <n v="226833"/>
    <x v="2"/>
    <m/>
    <m/>
    <n v="0"/>
    <m/>
    <n v="54366"/>
    <n v="50052"/>
    <n v="12049"/>
    <n v="11502"/>
    <n v="55292"/>
    <n v="52852"/>
    <n v="121707"/>
    <n v="4056.9"/>
    <n v="114406"/>
    <n v="3813.5333333333333"/>
    <n v="779"/>
    <n v="1243"/>
    <n v="121707"/>
    <n v="114406"/>
    <m/>
    <m/>
    <m/>
    <m/>
    <m/>
    <m/>
    <m/>
    <m/>
    <n v="0"/>
    <n v="0"/>
    <n v="0"/>
    <n v="0"/>
    <m/>
    <m/>
    <n v="0"/>
    <n v="0"/>
  </r>
  <r>
    <x v="13"/>
    <s v="Prairie View A&amp;M University"/>
    <m/>
    <n v="227526"/>
    <x v="2"/>
    <m/>
    <m/>
    <n v="0"/>
    <m/>
    <n v="100613"/>
    <n v="99992"/>
    <n v="16639"/>
    <n v="15100"/>
    <n v="108702"/>
    <n v="110742"/>
    <n v="225954"/>
    <n v="7531.8"/>
    <n v="225834"/>
    <n v="7527.8"/>
    <n v="0"/>
    <n v="0"/>
    <n v="225954"/>
    <n v="225834"/>
    <m/>
    <m/>
    <m/>
    <m/>
    <m/>
    <m/>
    <m/>
    <m/>
    <n v="0"/>
    <n v="0"/>
    <n v="0"/>
    <n v="0"/>
    <m/>
    <m/>
    <n v="0"/>
    <n v="0"/>
  </r>
  <r>
    <x v="13"/>
    <s v="Sam Houston State University "/>
    <s v="Met the requirments for 4-Year 2 in 2021-22"/>
    <n v="227881"/>
    <x v="2"/>
    <m/>
    <m/>
    <n v="0"/>
    <m/>
    <n v="210085"/>
    <n v="200858"/>
    <n v="43027"/>
    <n v="39632"/>
    <n v="225806"/>
    <n v="214854"/>
    <n v="478918"/>
    <n v="15963.933333333332"/>
    <n v="455344"/>
    <n v="15178.133333333333"/>
    <n v="0"/>
    <n v="0"/>
    <n v="478918"/>
    <n v="455344"/>
    <m/>
    <m/>
    <m/>
    <m/>
    <m/>
    <m/>
    <m/>
    <m/>
    <n v="0"/>
    <n v="0"/>
    <n v="0"/>
    <n v="0"/>
    <m/>
    <m/>
    <n v="0"/>
    <n v="0"/>
  </r>
  <r>
    <x v="13"/>
    <s v="Stephen F. Austin State University"/>
    <m/>
    <n v="228431"/>
    <x v="2"/>
    <m/>
    <m/>
    <n v="0"/>
    <m/>
    <n v="124979"/>
    <n v="124604"/>
    <n v="24648"/>
    <n v="22212"/>
    <n v="127857"/>
    <n v="126377"/>
    <n v="277484"/>
    <n v="9249.4666666666672"/>
    <n v="273193"/>
    <n v="9106.4333333333325"/>
    <n v="10361"/>
    <n v="9192"/>
    <n v="277484"/>
    <n v="273193"/>
    <m/>
    <m/>
    <m/>
    <m/>
    <m/>
    <m/>
    <m/>
    <m/>
    <n v="0"/>
    <n v="0"/>
    <n v="0"/>
    <n v="0"/>
    <m/>
    <m/>
    <n v="0"/>
    <n v="0"/>
  </r>
  <r>
    <x v="13"/>
    <s v="Sul Ross State University "/>
    <m/>
    <n v="228501"/>
    <x v="2"/>
    <m/>
    <m/>
    <n v="0"/>
    <m/>
    <n v="12644"/>
    <n v="11415"/>
    <n v="2439"/>
    <n v="2486"/>
    <n v="13095"/>
    <n v="11769"/>
    <n v="28178"/>
    <n v="939.26666666666665"/>
    <n v="25670"/>
    <n v="855.66666666666663"/>
    <n v="537"/>
    <n v="628"/>
    <n v="28178"/>
    <n v="25670"/>
    <m/>
    <m/>
    <m/>
    <m/>
    <m/>
    <m/>
    <m/>
    <m/>
    <n v="0"/>
    <n v="0"/>
    <n v="0"/>
    <n v="0"/>
    <m/>
    <m/>
    <n v="0"/>
    <n v="0"/>
  </r>
  <r>
    <x v="13"/>
    <s v="Tarleton State University"/>
    <m/>
    <n v="228529"/>
    <x v="2"/>
    <m/>
    <m/>
    <n v="0"/>
    <m/>
    <n v="123752"/>
    <n v="126922"/>
    <n v="34154"/>
    <n v="35040"/>
    <n v="136860"/>
    <n v="136127"/>
    <n v="294766"/>
    <n v="9825.5333333333328"/>
    <n v="298089"/>
    <n v="9936.2999999999993"/>
    <n v="0"/>
    <n v="0"/>
    <n v="294766"/>
    <n v="298089"/>
    <m/>
    <m/>
    <m/>
    <m/>
    <m/>
    <m/>
    <m/>
    <m/>
    <n v="0"/>
    <n v="0"/>
    <n v="0"/>
    <n v="0"/>
    <m/>
    <m/>
    <n v="0"/>
    <n v="0"/>
  </r>
  <r>
    <x v="13"/>
    <s v="Texas A&amp;M International University"/>
    <m/>
    <n v="226152"/>
    <x v="2"/>
    <m/>
    <m/>
    <n v="0"/>
    <m/>
    <n v="73238"/>
    <n v="77466"/>
    <n v="23149"/>
    <n v="15280"/>
    <n v="84816"/>
    <n v="80443"/>
    <n v="181203"/>
    <n v="6040.1"/>
    <n v="173189"/>
    <n v="5772.9666666666662"/>
    <n v="7920"/>
    <n v="7680"/>
    <n v="181203"/>
    <n v="173189"/>
    <m/>
    <m/>
    <m/>
    <m/>
    <m/>
    <m/>
    <m/>
    <m/>
    <n v="0"/>
    <n v="0"/>
    <n v="0"/>
    <n v="0"/>
    <m/>
    <m/>
    <n v="0"/>
    <n v="0"/>
  </r>
  <r>
    <x v="13"/>
    <s v="Texas A&amp;M University-Commerce"/>
    <m/>
    <n v="224554"/>
    <x v="2"/>
    <m/>
    <m/>
    <n v="0"/>
    <m/>
    <n v="86644"/>
    <n v="82107"/>
    <n v="26367"/>
    <n v="21915"/>
    <n v="91977"/>
    <n v="80627"/>
    <n v="204988"/>
    <n v="6832.9333333333334"/>
    <n v="184649"/>
    <n v="6154.9666666666662"/>
    <n v="5468"/>
    <n v="5463"/>
    <n v="204988"/>
    <n v="184649"/>
    <m/>
    <m/>
    <m/>
    <m/>
    <m/>
    <m/>
    <m/>
    <m/>
    <n v="0"/>
    <n v="0"/>
    <n v="0"/>
    <n v="0"/>
    <m/>
    <m/>
    <n v="0"/>
    <n v="0"/>
  </r>
  <r>
    <x v="13"/>
    <s v="Texas A&amp;M University-Corpus Christi "/>
    <m/>
    <n v="224147"/>
    <x v="2"/>
    <m/>
    <m/>
    <n v="0"/>
    <m/>
    <n v="99390"/>
    <n v="89693"/>
    <n v="27482"/>
    <n v="25276"/>
    <n v="97477"/>
    <n v="92954"/>
    <n v="224349"/>
    <n v="7478.3"/>
    <n v="207923"/>
    <n v="6930.7666666666664"/>
    <n v="1482"/>
    <n v="917"/>
    <n v="224349"/>
    <n v="207923"/>
    <m/>
    <m/>
    <m/>
    <m/>
    <m/>
    <m/>
    <m/>
    <m/>
    <n v="0"/>
    <n v="0"/>
    <n v="0"/>
    <n v="0"/>
    <m/>
    <m/>
    <n v="0"/>
    <n v="0"/>
  </r>
  <r>
    <x v="13"/>
    <s v="Texas A&amp;M University-Kingsville"/>
    <m/>
    <n v="228705"/>
    <x v="2"/>
    <m/>
    <m/>
    <n v="0"/>
    <m/>
    <n v="63620"/>
    <n v="58927"/>
    <n v="11624"/>
    <n v="9305"/>
    <n v="67527"/>
    <n v="60908"/>
    <n v="142771"/>
    <n v="4759.0333333333338"/>
    <n v="129140"/>
    <n v="4304.666666666667"/>
    <n v="6202"/>
    <n v="3663"/>
    <n v="142771"/>
    <n v="129140"/>
    <m/>
    <m/>
    <m/>
    <m/>
    <m/>
    <m/>
    <m/>
    <m/>
    <n v="0"/>
    <n v="0"/>
    <n v="0"/>
    <n v="0"/>
    <m/>
    <m/>
    <n v="0"/>
    <n v="0"/>
  </r>
  <r>
    <x v="13"/>
    <s v="Texas Southern University "/>
    <m/>
    <n v="229063"/>
    <x v="2"/>
    <m/>
    <m/>
    <n v="0"/>
    <m/>
    <n v="80828"/>
    <n v="64778"/>
    <n v="8548"/>
    <n v="7872"/>
    <n v="68291"/>
    <n v="76173"/>
    <n v="157667"/>
    <n v="5255.5666666666666"/>
    <n v="148823"/>
    <n v="4960.7666666666664"/>
    <n v="0"/>
    <n v="0"/>
    <n v="157667"/>
    <n v="148823"/>
    <m/>
    <m/>
    <m/>
    <m/>
    <m/>
    <m/>
    <m/>
    <m/>
    <n v="0"/>
    <n v="0"/>
    <n v="0"/>
    <n v="0"/>
    <m/>
    <m/>
    <n v="0"/>
    <n v="0"/>
  </r>
  <r>
    <x v="13"/>
    <s v="University of Houston-Clear Lake "/>
    <m/>
    <n v="225414"/>
    <x v="2"/>
    <m/>
    <m/>
    <n v="0"/>
    <m/>
    <n v="63458"/>
    <n v="64915"/>
    <n v="20677"/>
    <n v="20620"/>
    <n v="67145"/>
    <n v="67094"/>
    <n v="151280"/>
    <n v="5042.666666666667"/>
    <n v="152629"/>
    <n v="5087.6333333333332"/>
    <n v="0"/>
    <n v="0"/>
    <n v="151280"/>
    <n v="152629"/>
    <m/>
    <m/>
    <m/>
    <m/>
    <m/>
    <m/>
    <m/>
    <m/>
    <n v="0"/>
    <n v="0"/>
    <n v="0"/>
    <n v="0"/>
    <m/>
    <m/>
    <n v="0"/>
    <n v="0"/>
  </r>
  <r>
    <x v="13"/>
    <s v="University of Texas at Tyler"/>
    <m/>
    <n v="228802"/>
    <x v="2"/>
    <m/>
    <m/>
    <n v="0"/>
    <m/>
    <n v="74404"/>
    <n v="74187"/>
    <n v="24135"/>
    <n v="23005"/>
    <n v="81281"/>
    <n v="79333"/>
    <n v="179820"/>
    <n v="5994"/>
    <n v="176525"/>
    <n v="5884.166666666667"/>
    <n v="2969"/>
    <n v="3493"/>
    <n v="179820"/>
    <n v="176525"/>
    <m/>
    <m/>
    <m/>
    <m/>
    <m/>
    <m/>
    <m/>
    <m/>
    <n v="0"/>
    <n v="0"/>
    <n v="0"/>
    <n v="0"/>
    <m/>
    <m/>
    <n v="0"/>
    <n v="0"/>
  </r>
  <r>
    <x v="13"/>
    <s v="University of Texas Permian Basin"/>
    <m/>
    <n v="229018"/>
    <x v="2"/>
    <m/>
    <m/>
    <n v="0"/>
    <m/>
    <n v="41240"/>
    <n v="43195"/>
    <n v="18791"/>
    <n v="19379"/>
    <n v="42710"/>
    <n v="38429"/>
    <n v="102741"/>
    <n v="3424.7"/>
    <n v="101003"/>
    <n v="3366.7666666666669"/>
    <n v="7036"/>
    <n v="5805"/>
    <n v="102741"/>
    <n v="101003"/>
    <m/>
    <m/>
    <m/>
    <m/>
    <m/>
    <m/>
    <m/>
    <m/>
    <n v="0"/>
    <n v="0"/>
    <n v="0"/>
    <n v="0"/>
    <m/>
    <m/>
    <n v="0"/>
    <n v="0"/>
  </r>
  <r>
    <x v="13"/>
    <s v="University of Texas-Rio Grande Valley"/>
    <m/>
    <n v="227368"/>
    <x v="2"/>
    <m/>
    <m/>
    <n v="0"/>
    <m/>
    <n v="287507"/>
    <n v="291473"/>
    <n v="99548"/>
    <n v="81963"/>
    <n v="335363"/>
    <n v="315031"/>
    <n v="722418"/>
    <n v="24080.6"/>
    <n v="688467"/>
    <n v="22948.9"/>
    <n v="21495"/>
    <n v="19258"/>
    <n v="722418"/>
    <n v="688467"/>
    <m/>
    <m/>
    <m/>
    <m/>
    <m/>
    <m/>
    <m/>
    <m/>
    <n v="0"/>
    <n v="0"/>
    <n v="0"/>
    <n v="0"/>
    <m/>
    <m/>
    <n v="0"/>
    <n v="0"/>
  </r>
  <r>
    <x v="13"/>
    <s v="West Texas A&amp;M University"/>
    <m/>
    <n v="229814"/>
    <x v="2"/>
    <m/>
    <m/>
    <n v="0"/>
    <m/>
    <n v="80960"/>
    <n v="78587"/>
    <n v="15613"/>
    <n v="13481"/>
    <n v="90517"/>
    <n v="84987"/>
    <n v="187090"/>
    <n v="6236.333333333333"/>
    <n v="177055"/>
    <n v="5901.833333333333"/>
    <n v="0"/>
    <n v="0"/>
    <n v="187090"/>
    <n v="177055"/>
    <m/>
    <m/>
    <m/>
    <m/>
    <m/>
    <m/>
    <m/>
    <m/>
    <n v="0"/>
    <n v="0"/>
    <n v="0"/>
    <n v="0"/>
    <m/>
    <m/>
    <n v="0"/>
    <n v="0"/>
  </r>
  <r>
    <x v="13"/>
    <s v="Texas A&amp;M -Texarkana"/>
    <s v="Met the requirments for 4-Year 3 in 2021-22"/>
    <n v="224545"/>
    <x v="3"/>
    <m/>
    <m/>
    <n v="0"/>
    <m/>
    <n v="18651"/>
    <n v="18536"/>
    <n v="4916"/>
    <n v="3950"/>
    <n v="19946"/>
    <n v="18679"/>
    <n v="43513"/>
    <n v="1450.4333333333334"/>
    <n v="41165"/>
    <n v="1372.1666666666667"/>
    <n v="0"/>
    <n v="0"/>
    <n v="43513"/>
    <n v="41165"/>
    <m/>
    <m/>
    <m/>
    <m/>
    <m/>
    <m/>
    <m/>
    <m/>
    <n v="0"/>
    <n v="0"/>
    <n v="0"/>
    <n v="0"/>
    <m/>
    <m/>
    <n v="0"/>
    <n v="0"/>
  </r>
  <r>
    <x v="13"/>
    <s v="Texas A&amp;M University-Central Texas"/>
    <m/>
    <n v="483036"/>
    <x v="2"/>
    <m/>
    <m/>
    <n v="0"/>
    <m/>
    <n v="15868"/>
    <n v="16180"/>
    <n v="7476"/>
    <n v="5819"/>
    <n v="16096"/>
    <n v="14959"/>
    <n v="39440"/>
    <n v="1314.6666666666667"/>
    <n v="36958"/>
    <n v="1231.9333333333334"/>
    <n v="0"/>
    <n v="0"/>
    <n v="39440"/>
    <n v="36958"/>
    <m/>
    <m/>
    <m/>
    <m/>
    <m/>
    <m/>
    <m/>
    <m/>
    <n v="0"/>
    <n v="0"/>
    <n v="0"/>
    <n v="0"/>
    <m/>
    <m/>
    <n v="0"/>
    <n v="0"/>
  </r>
  <r>
    <x v="13"/>
    <s v="University of Houston-Downtown"/>
    <s v="Met the requirments for 4-Year 3 in 2021-22"/>
    <n v="225432"/>
    <x v="3"/>
    <m/>
    <m/>
    <n v="0"/>
    <m/>
    <n v="117046"/>
    <n v="125369"/>
    <n v="43063"/>
    <n v="42585"/>
    <n v="133433"/>
    <n v="127479"/>
    <n v="293542"/>
    <n v="9784.7333333333336"/>
    <n v="295433"/>
    <n v="9847.7666666666664"/>
    <n v="0"/>
    <n v="0"/>
    <n v="293542"/>
    <n v="295433"/>
    <m/>
    <m/>
    <m/>
    <m/>
    <m/>
    <m/>
    <m/>
    <m/>
    <n v="0"/>
    <n v="0"/>
    <n v="0"/>
    <n v="0"/>
    <m/>
    <m/>
    <n v="0"/>
    <n v="0"/>
  </r>
  <r>
    <x v="13"/>
    <s v="University of Houston-Victoria"/>
    <s v="Met the requirments for 4-Year 3 in 2021-22"/>
    <n v="225502"/>
    <x v="3"/>
    <m/>
    <m/>
    <n v="0"/>
    <m/>
    <n v="29993"/>
    <n v="32876"/>
    <n v="10030"/>
    <n v="9576"/>
    <n v="35153"/>
    <n v="28654"/>
    <n v="75176"/>
    <n v="2505.8666666666668"/>
    <n v="71106"/>
    <n v="2370.1999999999998"/>
    <n v="0"/>
    <n v="0"/>
    <n v="75176"/>
    <n v="71106"/>
    <m/>
    <m/>
    <m/>
    <m/>
    <m/>
    <m/>
    <m/>
    <m/>
    <n v="0"/>
    <n v="0"/>
    <n v="0"/>
    <n v="0"/>
    <m/>
    <m/>
    <n v="0"/>
    <n v="0"/>
  </r>
  <r>
    <x v="13"/>
    <s v="Sul Ross State University-Rio Grande College"/>
    <s v="Met the requirments for 4-Year 4 in 2021-22"/>
    <s v="228501B"/>
    <x v="4"/>
    <m/>
    <m/>
    <n v="0"/>
    <m/>
    <n v="5351"/>
    <n v="5459"/>
    <n v="2877"/>
    <n v="2703"/>
    <n v="6086"/>
    <n v="5271"/>
    <n v="14314"/>
    <n v="477.13333333333333"/>
    <n v="13433"/>
    <n v="447.76666666666665"/>
    <n v="0"/>
    <n v="0"/>
    <n v="14314"/>
    <n v="13433"/>
    <m/>
    <m/>
    <m/>
    <m/>
    <m/>
    <m/>
    <m/>
    <m/>
    <n v="0"/>
    <n v="0"/>
    <n v="0"/>
    <n v="0"/>
    <m/>
    <m/>
    <n v="0"/>
    <n v="0"/>
  </r>
  <r>
    <x v="13"/>
    <s v="Texas A&amp;M University at Galveston"/>
    <s v="Met the requirments for 4-Year 4 in 2021-22"/>
    <n v="228714"/>
    <x v="4"/>
    <m/>
    <m/>
    <n v="0"/>
    <m/>
    <n v="22463"/>
    <n v="20341"/>
    <n v="4074"/>
    <n v="3297"/>
    <n v="24046"/>
    <n v="25966"/>
    <n v="50583"/>
    <n v="1686.1"/>
    <n v="49604"/>
    <n v="1653.4666666666667"/>
    <n v="0"/>
    <n v="0"/>
    <n v="50583"/>
    <n v="49604"/>
    <m/>
    <m/>
    <m/>
    <m/>
    <m/>
    <m/>
    <m/>
    <m/>
    <n v="0"/>
    <n v="0"/>
    <n v="0"/>
    <n v="0"/>
    <m/>
    <m/>
    <n v="0"/>
    <n v="0"/>
  </r>
  <r>
    <x v="13"/>
    <s v="Texas A&amp;M University-San Antonio"/>
    <s v="Met the requirments for 4-Year 4 in 2021-22"/>
    <n v="870501"/>
    <x v="3"/>
    <m/>
    <m/>
    <n v="0"/>
    <m/>
    <n v="56503"/>
    <n v="54692"/>
    <n v="17076"/>
    <n v="14981"/>
    <n v="61404"/>
    <n v="63429"/>
    <n v="134983"/>
    <n v="4499.4333333333334"/>
    <n v="133102"/>
    <n v="4436.7333333333336"/>
    <n v="784"/>
    <n v="1203"/>
    <n v="134983"/>
    <n v="133102"/>
    <m/>
    <m/>
    <m/>
    <m/>
    <m/>
    <m/>
    <m/>
    <m/>
    <n v="0"/>
    <n v="0"/>
    <n v="0"/>
    <n v="0"/>
    <m/>
    <m/>
    <n v="0"/>
    <n v="0"/>
  </r>
  <r>
    <x v="13"/>
    <s v="Brazosport College "/>
    <m/>
    <n v="223506"/>
    <x v="12"/>
    <m/>
    <m/>
    <n v="27932"/>
    <n v="25803"/>
    <n v="9121"/>
    <n v="10117"/>
    <n v="2926"/>
    <n v="2307"/>
    <n v="26840"/>
    <n v="28223"/>
    <n v="66819"/>
    <n v="2227.3000000000002"/>
    <n v="66450"/>
    <n v="2215"/>
    <n v="10576"/>
    <n v="10070"/>
    <n v="66819"/>
    <n v="66450"/>
    <n v="4811"/>
    <n v="4711"/>
    <n v="2728"/>
    <n v="5080"/>
    <n v="2184"/>
    <n v="5930"/>
    <n v="3546"/>
    <n v="4005"/>
    <n v="13269"/>
    <n v="14.743333333333334"/>
    <n v="19726"/>
    <n v="21.917777777777779"/>
    <m/>
    <m/>
    <n v="0"/>
    <n v="0"/>
  </r>
  <r>
    <x v="13"/>
    <s v="Midland College "/>
    <m/>
    <n v="226806"/>
    <x v="12"/>
    <m/>
    <m/>
    <n v="37771"/>
    <n v="37591"/>
    <n v="13772"/>
    <n v="9513"/>
    <n v="0"/>
    <n v="0"/>
    <n v="36179"/>
    <n v="39139"/>
    <n v="87722"/>
    <n v="2924.0666666666666"/>
    <n v="86243"/>
    <n v="2874.7666666666669"/>
    <n v="19854"/>
    <n v="22071"/>
    <n v="87722"/>
    <n v="86243"/>
    <n v="27908"/>
    <n v="17254"/>
    <n v="16060"/>
    <n v="13926"/>
    <n v="13895"/>
    <n v="33155"/>
    <n v="38088"/>
    <n v="31079"/>
    <n v="95951"/>
    <n v="106.61222222222223"/>
    <n v="95414"/>
    <n v="106.01555555555555"/>
    <m/>
    <m/>
    <n v="0"/>
    <n v="0"/>
  </r>
  <r>
    <x v="13"/>
    <s v="South Texas College"/>
    <m/>
    <n v="409315"/>
    <x v="12"/>
    <m/>
    <m/>
    <n v="270144"/>
    <n v="216567"/>
    <n v="70042"/>
    <n v="66317"/>
    <n v="0"/>
    <n v="0"/>
    <n v="251086"/>
    <n v="241381"/>
    <n v="591272"/>
    <n v="19709.066666666666"/>
    <n v="524265"/>
    <n v="17475.5"/>
    <n v="210479"/>
    <n v="169220"/>
    <n v="591272"/>
    <n v="524265"/>
    <n v="52314"/>
    <n v="62359"/>
    <n v="41310"/>
    <n v="39373"/>
    <n v="27105"/>
    <n v="31651"/>
    <n v="43786"/>
    <n v="54094"/>
    <n v="164515"/>
    <n v="182.79444444444445"/>
    <n v="187477"/>
    <n v="208.30777777777777"/>
    <m/>
    <m/>
    <n v="0"/>
    <n v="0"/>
  </r>
  <r>
    <x v="13"/>
    <s v="Amarillo College "/>
    <m/>
    <n v="222576"/>
    <x v="5"/>
    <m/>
    <m/>
    <n v="72096"/>
    <n v="67235"/>
    <n v="17951"/>
    <n v="17757"/>
    <n v="0"/>
    <n v="0"/>
    <n v="76821"/>
    <n v="75791"/>
    <n v="166868"/>
    <n v="5562.2666666666664"/>
    <n v="160783"/>
    <n v="5359.4333333333334"/>
    <n v="23416"/>
    <n v="23499"/>
    <n v="166868"/>
    <n v="160783"/>
    <n v="81838"/>
    <n v="34180"/>
    <n v="27967"/>
    <n v="57939"/>
    <n v="35190"/>
    <n v="64711"/>
    <n v="45276"/>
    <n v="72627"/>
    <n v="190271"/>
    <n v="211.41222222222223"/>
    <n v="229457"/>
    <n v="254.95222222222222"/>
    <m/>
    <m/>
    <n v="0"/>
    <n v="0"/>
  </r>
  <r>
    <x v="13"/>
    <s v="Austin Community College "/>
    <m/>
    <n v="222992"/>
    <x v="5"/>
    <m/>
    <m/>
    <n v="290435"/>
    <n v="284819"/>
    <n v="172353"/>
    <n v="162073"/>
    <n v="0"/>
    <n v="0"/>
    <n v="260152"/>
    <n v="227508"/>
    <n v="722940"/>
    <n v="24098"/>
    <n v="674400"/>
    <n v="22480"/>
    <n v="111260"/>
    <n v="102333"/>
    <n v="722940"/>
    <n v="674400"/>
    <n v="152220"/>
    <n v="118287"/>
    <n v="64190"/>
    <n v="94416"/>
    <n v="176016"/>
    <n v="262518"/>
    <n v="112469"/>
    <n v="161750"/>
    <n v="504895"/>
    <n v="560.99444444444441"/>
    <n v="636971"/>
    <n v="707.7455555555556"/>
    <m/>
    <m/>
    <n v="0"/>
    <n v="0"/>
  </r>
  <r>
    <x v="13"/>
    <s v="Blinn College"/>
    <m/>
    <n v="223427"/>
    <x v="5"/>
    <m/>
    <m/>
    <n v="175038"/>
    <n v="153683"/>
    <n v="38626"/>
    <n v="26195"/>
    <n v="17806"/>
    <n v="14512"/>
    <n v="176943"/>
    <n v="167473"/>
    <n v="408413"/>
    <n v="13613.766666666666"/>
    <n v="361863"/>
    <n v="12062.1"/>
    <n v="19375"/>
    <n v="17468"/>
    <n v="408413"/>
    <n v="361863"/>
    <n v="21290"/>
    <n v="17440"/>
    <n v="482"/>
    <n v="8676"/>
    <n v="8990"/>
    <n v="26222"/>
    <n v="22255"/>
    <n v="16177"/>
    <n v="53017"/>
    <n v="58.907777777777781"/>
    <n v="68515"/>
    <n v="76.12777777777778"/>
    <m/>
    <m/>
    <n v="0"/>
    <n v="0"/>
  </r>
  <r>
    <x v="13"/>
    <s v="Brookhaven College (DCCCD)"/>
    <m/>
    <n v="223524"/>
    <x v="5"/>
    <m/>
    <m/>
    <n v="79755"/>
    <m/>
    <n v="56213"/>
    <m/>
    <n v="0"/>
    <m/>
    <n v="0"/>
    <m/>
    <n v="135968"/>
    <n v="4532.2666666666664"/>
    <n v="0"/>
    <n v="0"/>
    <n v="13270"/>
    <m/>
    <n v="135968"/>
    <n v="0"/>
    <n v="32686"/>
    <m/>
    <n v="14456"/>
    <m/>
    <n v="14917"/>
    <m/>
    <n v="0"/>
    <m/>
    <n v="62059"/>
    <n v="68.954444444444448"/>
    <n v="0"/>
    <n v="0"/>
    <m/>
    <m/>
    <n v="0"/>
    <n v="0"/>
  </r>
  <r>
    <x v="13"/>
    <s v="Central Texas College "/>
    <m/>
    <n v="223816"/>
    <x v="5"/>
    <m/>
    <m/>
    <n v="89855"/>
    <n v="74599"/>
    <n v="46775"/>
    <n v="39089"/>
    <n v="6068"/>
    <n v="3773"/>
    <n v="58911"/>
    <n v="51295"/>
    <n v="201609"/>
    <n v="6720.3"/>
    <n v="168756"/>
    <n v="5625.2"/>
    <n v="34252"/>
    <n v="29156"/>
    <n v="201609"/>
    <n v="168756"/>
    <n v="70597"/>
    <n v="63153"/>
    <n v="52114"/>
    <n v="71413"/>
    <n v="69655"/>
    <n v="59547"/>
    <n v="75201"/>
    <n v="62987"/>
    <n v="267567"/>
    <n v="297.29666666666668"/>
    <n v="257100"/>
    <n v="285.66666666666669"/>
    <m/>
    <m/>
    <n v="0"/>
    <n v="0"/>
  </r>
  <r>
    <x v="13"/>
    <s v="Collin County Community College District"/>
    <m/>
    <n v="247834"/>
    <x v="5"/>
    <m/>
    <m/>
    <n v="267116"/>
    <n v="269204"/>
    <n v="77238"/>
    <n v="82211"/>
    <n v="0"/>
    <n v="0"/>
    <n v="296253"/>
    <n v="276033"/>
    <n v="640607"/>
    <n v="21353.566666666666"/>
    <n v="627448"/>
    <n v="20914.933333333334"/>
    <n v="99603"/>
    <n v="97950"/>
    <n v="640607"/>
    <n v="627448"/>
    <n v="144151"/>
    <n v="77377"/>
    <n v="66374"/>
    <n v="89609"/>
    <n v="88991"/>
    <n v="92172"/>
    <n v="135009"/>
    <n v="157505"/>
    <n v="434525"/>
    <n v="482.80555555555554"/>
    <n v="416663"/>
    <n v="462.95888888888891"/>
    <m/>
    <m/>
    <n v="0"/>
    <n v="0"/>
  </r>
  <r>
    <x v="13"/>
    <s v="Del Mar College "/>
    <m/>
    <n v="224350"/>
    <x v="5"/>
    <m/>
    <m/>
    <n v="85205"/>
    <n v="81394"/>
    <n v="16694"/>
    <n v="18075"/>
    <n v="18313"/>
    <n v="17152"/>
    <n v="72840"/>
    <n v="76419"/>
    <n v="193052"/>
    <n v="6435.0666666666666"/>
    <n v="193040"/>
    <n v="6434.666666666667"/>
    <n v="32179"/>
    <n v="31883"/>
    <n v="193052"/>
    <n v="193040"/>
    <n v="160894"/>
    <n v="195608"/>
    <n v="33572"/>
    <n v="87911"/>
    <n v="114067"/>
    <n v="118265"/>
    <n v="185493"/>
    <n v="141275"/>
    <n v="494026"/>
    <n v="548.91777777777781"/>
    <n v="543059"/>
    <n v="603.39888888888891"/>
    <m/>
    <m/>
    <n v="0"/>
    <n v="0"/>
  </r>
  <r>
    <x v="13"/>
    <s v="Eastfield College (DCCCD)"/>
    <m/>
    <n v="224572"/>
    <x v="5"/>
    <m/>
    <m/>
    <n v="112770"/>
    <m/>
    <n v="80845"/>
    <m/>
    <n v="0"/>
    <m/>
    <n v="0"/>
    <m/>
    <n v="193615"/>
    <n v="6453.833333333333"/>
    <n v="0"/>
    <n v="0"/>
    <n v="36729"/>
    <m/>
    <n v="193615"/>
    <n v="0"/>
    <n v="27167"/>
    <m/>
    <n v="14928"/>
    <m/>
    <n v="18238"/>
    <m/>
    <n v="0"/>
    <m/>
    <n v="60333"/>
    <n v="67.036666666666662"/>
    <n v="0"/>
    <n v="0"/>
    <m/>
    <m/>
    <n v="0"/>
    <n v="0"/>
  </r>
  <r>
    <x v="13"/>
    <s v="El Centro College  (DCCCD)"/>
    <m/>
    <n v="224615"/>
    <x v="5"/>
    <m/>
    <m/>
    <n v="68199"/>
    <m/>
    <n v="39011"/>
    <m/>
    <n v="0"/>
    <m/>
    <n v="0"/>
    <m/>
    <n v="107210"/>
    <n v="3573.6666666666665"/>
    <n v="0"/>
    <n v="0"/>
    <n v="18254"/>
    <m/>
    <n v="107210"/>
    <n v="0"/>
    <n v="242746"/>
    <m/>
    <n v="115022"/>
    <m/>
    <n v="60844"/>
    <m/>
    <n v="0"/>
    <m/>
    <n v="418612"/>
    <n v="465.12444444444446"/>
    <n v="0"/>
    <n v="0"/>
    <m/>
    <m/>
    <n v="0"/>
    <n v="0"/>
  </r>
  <r>
    <x v="13"/>
    <s v="El Paso County Community College District"/>
    <m/>
    <n v="224642"/>
    <x v="5"/>
    <m/>
    <m/>
    <n v="211599"/>
    <n v="179813"/>
    <n v="57973"/>
    <n v="45879"/>
    <n v="0"/>
    <n v="0"/>
    <n v="219969"/>
    <n v="194555"/>
    <n v="489541"/>
    <n v="16318.033333333333"/>
    <n v="420247"/>
    <n v="14008.233333333334"/>
    <n v="124321"/>
    <n v="118718"/>
    <n v="489541"/>
    <n v="420247"/>
    <n v="72307"/>
    <n v="35719"/>
    <n v="10852"/>
    <n v="29741"/>
    <n v="25009"/>
    <n v="60289"/>
    <n v="29514"/>
    <n v="51273"/>
    <n v="137682"/>
    <n v="152.97999999999999"/>
    <n v="177022"/>
    <n v="196.6911111111111"/>
    <m/>
    <m/>
    <n v="0"/>
    <n v="0"/>
  </r>
  <r>
    <x v="13"/>
    <s v="Houston Community College"/>
    <m/>
    <n v="225423"/>
    <x v="5"/>
    <m/>
    <m/>
    <n v="436694"/>
    <n v="380587"/>
    <n v="252453"/>
    <n v="226209"/>
    <n v="0"/>
    <n v="0"/>
    <n v="266027"/>
    <n v="259369"/>
    <n v="955174"/>
    <n v="31839.133333333335"/>
    <n v="866165"/>
    <n v="28872.166666666668"/>
    <n v="103429"/>
    <n v="114952"/>
    <n v="955174"/>
    <n v="866165"/>
    <n v="473804"/>
    <n v="279705"/>
    <n v="311931"/>
    <n v="275362"/>
    <n v="238983"/>
    <n v="357495"/>
    <n v="391025"/>
    <n v="492492"/>
    <n v="1415743"/>
    <n v="1573.0477777777778"/>
    <n v="1405054"/>
    <n v="1561.171111111111"/>
    <m/>
    <m/>
    <n v="0"/>
    <n v="0"/>
  </r>
  <r>
    <x v="13"/>
    <s v="Laredo College "/>
    <m/>
    <n v="226134"/>
    <x v="5"/>
    <m/>
    <m/>
    <n v="79173"/>
    <n v="86982"/>
    <n v="12516"/>
    <n v="18242"/>
    <n v="6061"/>
    <n v="6280"/>
    <n v="47641"/>
    <n v="71951"/>
    <n v="145391"/>
    <n v="4846.3666666666668"/>
    <n v="183455"/>
    <n v="6115.166666666667"/>
    <n v="29099"/>
    <n v="70282"/>
    <n v="145391"/>
    <n v="183455"/>
    <n v="16860"/>
    <n v="15783"/>
    <n v="8631"/>
    <n v="29868"/>
    <n v="19077"/>
    <n v="23197"/>
    <n v="41552"/>
    <n v="38911"/>
    <n v="86120"/>
    <n v="95.688888888888883"/>
    <n v="107759"/>
    <n v="119.73222222222222"/>
    <m/>
    <m/>
    <n v="0"/>
    <n v="0"/>
  </r>
  <r>
    <x v="13"/>
    <s v="Lone Star College System District"/>
    <m/>
    <n v="227182"/>
    <x v="5"/>
    <m/>
    <m/>
    <n v="539418"/>
    <n v="550601"/>
    <n v="256686"/>
    <n v="273996"/>
    <n v="0"/>
    <n v="0"/>
    <n v="440544"/>
    <n v="443961"/>
    <n v="1236648"/>
    <n v="41221.599999999999"/>
    <n v="1268558"/>
    <n v="42285.26666666667"/>
    <n v="207745"/>
    <n v="248743"/>
    <n v="1236648"/>
    <n v="1268558"/>
    <n v="67582"/>
    <n v="57434"/>
    <n v="10620"/>
    <n v="73987"/>
    <n v="53288"/>
    <n v="75756"/>
    <n v="84121"/>
    <n v="94801"/>
    <n v="215611"/>
    <n v="239.56777777777779"/>
    <n v="301978"/>
    <n v="335.5311111111111"/>
    <m/>
    <m/>
    <n v="0"/>
    <n v="0"/>
  </r>
  <r>
    <x v="13"/>
    <s v="McLennan Community College "/>
    <m/>
    <n v="226578"/>
    <x v="5"/>
    <m/>
    <m/>
    <n v="72494"/>
    <n v="63124"/>
    <n v="21619"/>
    <n v="17435"/>
    <n v="12119"/>
    <n v="10230"/>
    <n v="62084"/>
    <n v="60246"/>
    <n v="168316"/>
    <n v="5610.5333333333338"/>
    <n v="151035"/>
    <n v="5034.5"/>
    <n v="21894"/>
    <n v="19132"/>
    <n v="168316"/>
    <n v="151035"/>
    <n v="42310"/>
    <n v="32565"/>
    <n v="15686"/>
    <n v="27360"/>
    <n v="37933"/>
    <n v="44041"/>
    <n v="43200"/>
    <n v="28815"/>
    <n v="139129"/>
    <n v="154.58777777777777"/>
    <n v="132781"/>
    <n v="147.53444444444443"/>
    <m/>
    <m/>
    <n v="0"/>
    <n v="0"/>
  </r>
  <r>
    <x v="13"/>
    <s v="Mountain View College  (DCCCD)"/>
    <m/>
    <n v="226930"/>
    <x v="5"/>
    <m/>
    <m/>
    <n v="78668"/>
    <m/>
    <n v="41033"/>
    <m/>
    <n v="0"/>
    <m/>
    <n v="0"/>
    <m/>
    <n v="119701"/>
    <n v="3990.0333333333333"/>
    <n v="0"/>
    <n v="0"/>
    <n v="26408"/>
    <m/>
    <n v="119701"/>
    <n v="0"/>
    <n v="31500"/>
    <m/>
    <n v="13465"/>
    <m/>
    <n v="13576"/>
    <m/>
    <n v="0"/>
    <m/>
    <n v="58541"/>
    <n v="65.045555555555552"/>
    <n v="0"/>
    <n v="0"/>
    <m/>
    <m/>
    <n v="0"/>
    <n v="0"/>
  </r>
  <r>
    <x v="13"/>
    <s v="Navarro College "/>
    <m/>
    <n v="227146"/>
    <x v="5"/>
    <m/>
    <m/>
    <n v="66967"/>
    <n v="59387"/>
    <n v="11002"/>
    <n v="9205"/>
    <n v="8939"/>
    <n v="7568"/>
    <n v="64917"/>
    <n v="58689"/>
    <n v="151825"/>
    <n v="5060.833333333333"/>
    <n v="134849"/>
    <n v="4494.9666666666662"/>
    <n v="37729"/>
    <n v="33560"/>
    <n v="151825"/>
    <n v="134849"/>
    <n v="34060"/>
    <n v="23112"/>
    <n v="19285"/>
    <n v="17581"/>
    <n v="61176"/>
    <n v="47545"/>
    <n v="37226"/>
    <n v="18790"/>
    <n v="151747"/>
    <n v="168.60777777777778"/>
    <n v="107028"/>
    <n v="118.92"/>
    <m/>
    <m/>
    <n v="0"/>
    <n v="0"/>
  </r>
  <r>
    <x v="13"/>
    <s v="North Central Texas Community College"/>
    <m/>
    <n v="224110"/>
    <x v="5"/>
    <m/>
    <m/>
    <n v="75454"/>
    <n v="66829"/>
    <n v="31024"/>
    <n v="25466"/>
    <n v="0"/>
    <n v="0"/>
    <n v="62006"/>
    <n v="58028"/>
    <n v="168484"/>
    <n v="5616.1333333333332"/>
    <n v="150323"/>
    <n v="5010.7666666666664"/>
    <n v="26088"/>
    <n v="19740"/>
    <n v="168484"/>
    <n v="150323"/>
    <n v="8698"/>
    <n v="7471"/>
    <n v="3772"/>
    <n v="7413"/>
    <n v="3798"/>
    <n v="4084"/>
    <n v="6705"/>
    <n v="3232"/>
    <n v="22973"/>
    <n v="25.525555555555556"/>
    <n v="22200"/>
    <n v="24.666666666666668"/>
    <m/>
    <m/>
    <n v="0"/>
    <n v="0"/>
  </r>
  <r>
    <x v="13"/>
    <s v="North Lake College (DCCCD)"/>
    <m/>
    <n v="227191"/>
    <x v="5"/>
    <m/>
    <m/>
    <n v="71451"/>
    <m/>
    <n v="52425"/>
    <m/>
    <n v="0"/>
    <m/>
    <n v="0"/>
    <m/>
    <n v="123876"/>
    <n v="4129.2"/>
    <n v="0"/>
    <n v="0"/>
    <n v="13178"/>
    <m/>
    <n v="123876"/>
    <n v="0"/>
    <n v="132919"/>
    <m/>
    <n v="20000"/>
    <m/>
    <n v="20698"/>
    <m/>
    <n v="0"/>
    <m/>
    <n v="173617"/>
    <n v="192.90777777777777"/>
    <n v="0"/>
    <n v="0"/>
    <m/>
    <m/>
    <n v="0"/>
    <n v="0"/>
  </r>
  <r>
    <x v="13"/>
    <s v="Northwest Vista College (ACCD)"/>
    <m/>
    <n v="420398"/>
    <x v="5"/>
    <m/>
    <m/>
    <n v="118232"/>
    <n v="107461"/>
    <n v="37888"/>
    <n v="30566"/>
    <n v="0"/>
    <n v="0"/>
    <n v="130014"/>
    <n v="114164"/>
    <n v="286134"/>
    <n v="9537.7999999999993"/>
    <n v="252191"/>
    <n v="8406.3666666666668"/>
    <n v="43397"/>
    <n v="40553"/>
    <n v="286134"/>
    <n v="252191"/>
    <n v="14264"/>
    <n v="19446"/>
    <n v="6390"/>
    <n v="17064"/>
    <n v="19056"/>
    <n v="16834"/>
    <n v="16556"/>
    <n v="33324"/>
    <n v="56266"/>
    <n v="62.517777777777781"/>
    <n v="86668"/>
    <n v="96.297777777777782"/>
    <m/>
    <m/>
    <n v="0"/>
    <n v="0"/>
  </r>
  <r>
    <x v="13"/>
    <s v="Palo Alto College (ACCD)"/>
    <m/>
    <n v="246354"/>
    <x v="5"/>
    <m/>
    <m/>
    <n v="67722"/>
    <n v="61956"/>
    <n v="22327"/>
    <n v="16978"/>
    <n v="0"/>
    <n v="0"/>
    <n v="73085"/>
    <n v="66309"/>
    <n v="163134"/>
    <n v="5437.8"/>
    <n v="145243"/>
    <n v="4841.4333333333334"/>
    <n v="38070"/>
    <n v="37253"/>
    <n v="163134"/>
    <n v="145243"/>
    <n v="14826"/>
    <n v="10758"/>
    <n v="10919"/>
    <n v="13526"/>
    <n v="11456"/>
    <n v="11354"/>
    <n v="6427"/>
    <n v="16850"/>
    <n v="43628"/>
    <n v="48.475555555555559"/>
    <n v="52488"/>
    <n v="58.32"/>
    <m/>
    <m/>
    <n v="0"/>
    <n v="0"/>
  </r>
  <r>
    <x v="13"/>
    <s v="Richland College (DCCCD)"/>
    <m/>
    <n v="227766"/>
    <x v="5"/>
    <m/>
    <m/>
    <n v="141822"/>
    <m/>
    <n v="78958"/>
    <m/>
    <n v="0"/>
    <m/>
    <n v="0"/>
    <m/>
    <n v="220780"/>
    <n v="7359.333333333333"/>
    <n v="0"/>
    <n v="0"/>
    <n v="32442"/>
    <m/>
    <n v="220780"/>
    <n v="0"/>
    <n v="81457"/>
    <m/>
    <n v="54372"/>
    <m/>
    <n v="22428"/>
    <m/>
    <n v="0"/>
    <m/>
    <n v="158257"/>
    <n v="175.8411111111111"/>
    <n v="0"/>
    <n v="0"/>
    <m/>
    <m/>
    <n v="0"/>
    <n v="0"/>
  </r>
  <r>
    <x v="13"/>
    <s v="San Antonio College (ACCD)"/>
    <m/>
    <n v="227924"/>
    <x v="5"/>
    <m/>
    <m/>
    <n v="130371"/>
    <n v="115374"/>
    <n v="42730"/>
    <n v="32882"/>
    <n v="0"/>
    <n v="0"/>
    <n v="130351"/>
    <n v="120451"/>
    <n v="303452"/>
    <n v="10115.066666666668"/>
    <n v="268707"/>
    <n v="8956.9"/>
    <n v="24701"/>
    <n v="23359"/>
    <n v="303452"/>
    <n v="268707"/>
    <n v="7372"/>
    <n v="5512"/>
    <n v="6576"/>
    <n v="9439"/>
    <n v="6624"/>
    <n v="5904"/>
    <n v="5070"/>
    <n v="11820"/>
    <n v="25642"/>
    <n v="28.49111111111111"/>
    <n v="32675"/>
    <n v="36.305555555555557"/>
    <m/>
    <m/>
    <n v="0"/>
    <n v="0"/>
  </r>
  <r>
    <x v="13"/>
    <s v="San Jacinto College"/>
    <m/>
    <n v="227979"/>
    <x v="5"/>
    <m/>
    <m/>
    <n v="242491"/>
    <n v="234188"/>
    <n v="89936"/>
    <n v="84651"/>
    <n v="0"/>
    <n v="0"/>
    <n v="256587"/>
    <n v="256359"/>
    <n v="589014"/>
    <n v="19633.8"/>
    <n v="575198"/>
    <n v="19173.266666666666"/>
    <n v="90956"/>
    <n v="92661"/>
    <n v="589014"/>
    <n v="575198"/>
    <n v="61128"/>
    <n v="31605"/>
    <n v="8557"/>
    <n v="24231"/>
    <n v="16672"/>
    <n v="39544"/>
    <n v="31090"/>
    <n v="57986"/>
    <n v="117447"/>
    <n v="130.49666666666667"/>
    <n v="153366"/>
    <n v="170.40666666666667"/>
    <m/>
    <m/>
    <n v="0"/>
    <n v="0"/>
  </r>
  <r>
    <x v="13"/>
    <s v="South Plains College "/>
    <m/>
    <n v="228158"/>
    <x v="5"/>
    <m/>
    <m/>
    <n v="78310"/>
    <n v="72511"/>
    <n v="19209"/>
    <n v="19714"/>
    <n v="0"/>
    <n v="0"/>
    <n v="80920"/>
    <n v="81724"/>
    <n v="178439"/>
    <n v="5947.9666666666662"/>
    <n v="173949"/>
    <n v="5798.3"/>
    <n v="24701"/>
    <n v="26988"/>
    <n v="178439"/>
    <n v="173949"/>
    <n v="19232"/>
    <n v="13126"/>
    <n v="8255"/>
    <n v="13542"/>
    <n v="13180"/>
    <n v="17653"/>
    <n v="19631"/>
    <n v="22067"/>
    <n v="60298"/>
    <n v="66.997777777777785"/>
    <n v="66388"/>
    <n v="73.76444444444445"/>
    <m/>
    <m/>
    <n v="0"/>
    <n v="0"/>
  </r>
  <r>
    <x v="13"/>
    <s v="St. Philip's College (ACCD)"/>
    <m/>
    <n v="227854"/>
    <x v="5"/>
    <m/>
    <m/>
    <n v="82580"/>
    <n v="76777"/>
    <n v="24838"/>
    <n v="24334"/>
    <n v="0"/>
    <n v="0"/>
    <n v="76428"/>
    <n v="76048"/>
    <n v="183846"/>
    <n v="6128.2"/>
    <n v="177159"/>
    <n v="5905.3"/>
    <n v="41474"/>
    <n v="38709"/>
    <n v="183846"/>
    <n v="177159"/>
    <n v="30534"/>
    <n v="5724"/>
    <n v="9254"/>
    <n v="9156"/>
    <n v="8056"/>
    <n v="15306"/>
    <n v="8493"/>
    <n v="19742"/>
    <n v="56337"/>
    <n v="62.596666666666664"/>
    <n v="49928"/>
    <n v="55.475555555555559"/>
    <m/>
    <m/>
    <n v="0"/>
    <n v="0"/>
  </r>
  <r>
    <x v="13"/>
    <s v="Tarrant County College"/>
    <m/>
    <n v="228547"/>
    <x v="5"/>
    <m/>
    <m/>
    <n v="367816"/>
    <n v="351112"/>
    <n v="206272"/>
    <n v="174560"/>
    <n v="0"/>
    <n v="0"/>
    <n v="318185"/>
    <n v="252284"/>
    <n v="892273"/>
    <n v="29742.433333333334"/>
    <n v="777956"/>
    <n v="25931.866666666665"/>
    <n v="121026"/>
    <n v="109895"/>
    <n v="892273"/>
    <n v="777956"/>
    <n v="142215"/>
    <n v="102262"/>
    <n v="76805"/>
    <n v="116343"/>
    <n v="76082"/>
    <n v="129678"/>
    <n v="96718"/>
    <n v="142569"/>
    <n v="391820"/>
    <n v="435.35555555555555"/>
    <n v="490852"/>
    <n v="545.39111111111106"/>
    <m/>
    <m/>
    <n v="0"/>
    <n v="0"/>
  </r>
  <r>
    <x v="13"/>
    <s v="Trinity Valley Community College"/>
    <m/>
    <n v="225308"/>
    <x v="5"/>
    <m/>
    <m/>
    <n v="54084"/>
    <n v="45740"/>
    <n v="11319"/>
    <n v="18021"/>
    <n v="0"/>
    <n v="0"/>
    <n v="54207"/>
    <n v="47477"/>
    <n v="119610"/>
    <n v="3987"/>
    <n v="111238"/>
    <n v="3707.9333333333334"/>
    <n v="28008"/>
    <n v="32364"/>
    <n v="119610"/>
    <n v="111238"/>
    <n v="108186"/>
    <n v="70963"/>
    <n v="96114"/>
    <n v="79595"/>
    <n v="46116"/>
    <n v="36418"/>
    <n v="87630"/>
    <n v="72280"/>
    <n v="338046"/>
    <n v="375.60666666666668"/>
    <n v="259256"/>
    <n v="288.0622222222222"/>
    <m/>
    <m/>
    <n v="0"/>
    <n v="0"/>
  </r>
  <r>
    <x v="13"/>
    <s v="Tyler Junior College "/>
    <m/>
    <n v="229355"/>
    <x v="5"/>
    <m/>
    <m/>
    <n v="108603"/>
    <n v="105735"/>
    <n v="25210"/>
    <n v="19481"/>
    <n v="7522"/>
    <n v="6799"/>
    <n v="106585"/>
    <n v="106574"/>
    <n v="247920"/>
    <n v="8264"/>
    <n v="238589"/>
    <n v="7952.9666666666662"/>
    <n v="30619"/>
    <n v="30638"/>
    <n v="247920"/>
    <n v="238589"/>
    <n v="25303"/>
    <n v="25852"/>
    <n v="3538"/>
    <n v="28755"/>
    <n v="27128"/>
    <n v="42579"/>
    <n v="31938"/>
    <n v="22570"/>
    <n v="87907"/>
    <n v="97.674444444444447"/>
    <n v="119756"/>
    <n v="133.06222222222223"/>
    <m/>
    <m/>
    <n v="0"/>
    <n v="0"/>
  </r>
  <r>
    <x v="13"/>
    <s v="Alvin Community College "/>
    <m/>
    <n v="222567"/>
    <x v="6"/>
    <m/>
    <m/>
    <n v="42909"/>
    <n v="37580"/>
    <n v="17873"/>
    <n v="17276"/>
    <n v="0"/>
    <n v="0"/>
    <n v="40377"/>
    <n v="35325"/>
    <n v="101159"/>
    <n v="3371.9666666666667"/>
    <n v="90181"/>
    <n v="3006.0333333333333"/>
    <n v="31000"/>
    <n v="28270"/>
    <n v="101159"/>
    <n v="90181"/>
    <n v="22814"/>
    <n v="18116"/>
    <n v="4536"/>
    <n v="9796"/>
    <n v="9928"/>
    <n v="10477"/>
    <n v="17450"/>
    <n v="9308"/>
    <n v="54728"/>
    <n v="60.808888888888887"/>
    <n v="47697"/>
    <n v="52.99666666666667"/>
    <m/>
    <m/>
    <n v="0"/>
    <n v="0"/>
  </r>
  <r>
    <x v="13"/>
    <s v="Angelina College "/>
    <m/>
    <n v="222822"/>
    <x v="6"/>
    <m/>
    <m/>
    <n v="33392"/>
    <n v="31476"/>
    <n v="8127"/>
    <n v="7778"/>
    <n v="0"/>
    <n v="0"/>
    <n v="36131"/>
    <n v="34194"/>
    <n v="77650"/>
    <n v="2588.3333333333335"/>
    <n v="73448"/>
    <n v="2448.2666666666669"/>
    <n v="17817"/>
    <n v="18958"/>
    <n v="77650"/>
    <n v="73448"/>
    <n v="23143"/>
    <n v="45108"/>
    <n v="39697"/>
    <n v="29093"/>
    <n v="63699"/>
    <n v="47098"/>
    <n v="22529"/>
    <n v="18977"/>
    <n v="149068"/>
    <n v="165.63111111111112"/>
    <n v="140276"/>
    <n v="155.86222222222221"/>
    <m/>
    <m/>
    <n v="0"/>
    <n v="0"/>
  </r>
  <r>
    <x v="13"/>
    <s v="Cedar Valley College (DCCCD)"/>
    <m/>
    <n v="223773"/>
    <x v="6"/>
    <m/>
    <m/>
    <n v="60014"/>
    <m/>
    <n v="35867"/>
    <m/>
    <n v="0"/>
    <m/>
    <n v="0"/>
    <m/>
    <n v="95881"/>
    <n v="3196.0333333333333"/>
    <n v="0"/>
    <n v="0"/>
    <n v="13858"/>
    <m/>
    <n v="95881"/>
    <n v="0"/>
    <n v="45895"/>
    <m/>
    <n v="125379"/>
    <m/>
    <n v="48404"/>
    <m/>
    <n v="0"/>
    <m/>
    <n v="219678"/>
    <n v="244.08666666666667"/>
    <n v="0"/>
    <n v="0"/>
    <m/>
    <m/>
    <n v="0"/>
    <n v="0"/>
  </r>
  <r>
    <x v="13"/>
    <s v="Cisco Junior College "/>
    <m/>
    <n v="223898"/>
    <x v="6"/>
    <m/>
    <m/>
    <n v="28502"/>
    <n v="26235"/>
    <n v="6632"/>
    <n v="6241"/>
    <n v="2720"/>
    <n v="2560"/>
    <n v="28293"/>
    <n v="26457"/>
    <n v="66147"/>
    <n v="2204.9"/>
    <n v="61493"/>
    <n v="2049.7666666666669"/>
    <n v="12466"/>
    <n v="11543"/>
    <n v="66147"/>
    <n v="61493"/>
    <n v="4228"/>
    <n v="80"/>
    <n v="1000"/>
    <n v="1120"/>
    <n v="3516"/>
    <n v="5414"/>
    <n v="3703"/>
    <n v="3124"/>
    <n v="12447"/>
    <n v="13.83"/>
    <n v="9738"/>
    <n v="10.82"/>
    <m/>
    <m/>
    <n v="0"/>
    <n v="0"/>
  </r>
  <r>
    <x v="13"/>
    <s v="Coastal Bend College"/>
    <m/>
    <n v="223320"/>
    <x v="6"/>
    <m/>
    <m/>
    <n v="35600"/>
    <n v="27131"/>
    <n v="6559"/>
    <n v="5614"/>
    <n v="3445"/>
    <n v="3156"/>
    <n v="30785"/>
    <n v="28344"/>
    <n v="76389"/>
    <n v="2546.3000000000002"/>
    <n v="64245"/>
    <n v="2141.5"/>
    <n v="28242"/>
    <n v="23250"/>
    <n v="76389"/>
    <n v="64245"/>
    <n v="1678"/>
    <n v="52284"/>
    <n v="0"/>
    <n v="10038"/>
    <n v="6593"/>
    <n v="10548"/>
    <n v="49932"/>
    <n v="41636"/>
    <n v="58203"/>
    <n v="64.67"/>
    <n v="114506"/>
    <n v="127.22888888888889"/>
    <m/>
    <m/>
    <n v="0"/>
    <n v="0"/>
  </r>
  <r>
    <x v="13"/>
    <s v="College of the Mainland"/>
    <m/>
    <n v="226408"/>
    <x v="6"/>
    <m/>
    <m/>
    <n v="36237"/>
    <n v="31036"/>
    <n v="10632"/>
    <n v="9221"/>
    <n v="0"/>
    <n v="0"/>
    <n v="39016"/>
    <n v="35908"/>
    <n v="85885"/>
    <n v="2862.8333333333335"/>
    <n v="76165"/>
    <n v="2538.8333333333335"/>
    <n v="21807"/>
    <n v="19923"/>
    <n v="85885"/>
    <n v="76165"/>
    <n v="29949"/>
    <n v="30862"/>
    <n v="2382"/>
    <n v="11985"/>
    <n v="9690"/>
    <n v="18433"/>
    <n v="10069"/>
    <n v="14292"/>
    <n v="52090"/>
    <n v="57.87777777777778"/>
    <n v="75572"/>
    <n v="83.968888888888884"/>
    <m/>
    <m/>
    <n v="0"/>
    <n v="0"/>
  </r>
  <r>
    <x v="13"/>
    <s v="Grayson County College "/>
    <m/>
    <n v="225070"/>
    <x v="6"/>
    <m/>
    <m/>
    <n v="33036"/>
    <n v="29886"/>
    <n v="9891"/>
    <n v="7481"/>
    <n v="0"/>
    <n v="0"/>
    <n v="33893"/>
    <n v="33039"/>
    <n v="76820"/>
    <n v="2560.6666666666665"/>
    <n v="70406"/>
    <n v="2346.8666666666668"/>
    <n v="12370"/>
    <n v="14168"/>
    <n v="76820"/>
    <n v="70406"/>
    <n v="16399"/>
    <n v="11630"/>
    <n v="8230"/>
    <n v="11472"/>
    <n v="10718"/>
    <n v="10361"/>
    <n v="16229"/>
    <n v="12639"/>
    <n v="51576"/>
    <n v="57.306666666666665"/>
    <n v="46102"/>
    <n v="51.224444444444444"/>
    <m/>
    <m/>
    <n v="0"/>
    <n v="0"/>
  </r>
  <r>
    <x v="13"/>
    <s v="Hill College"/>
    <m/>
    <n v="225371"/>
    <x v="6"/>
    <m/>
    <m/>
    <n v="35967"/>
    <n v="32603"/>
    <n v="9619"/>
    <n v="8208"/>
    <n v="3450"/>
    <n v="2655"/>
    <n v="32839"/>
    <n v="30945"/>
    <n v="81875"/>
    <n v="2729.1666666666665"/>
    <n v="74411"/>
    <n v="2480.3666666666668"/>
    <n v="16219"/>
    <n v="16446"/>
    <n v="81875"/>
    <n v="74411"/>
    <n v="25286"/>
    <n v="19387"/>
    <n v="3046"/>
    <n v="12900"/>
    <n v="4342"/>
    <n v="16068"/>
    <n v="5068"/>
    <n v="8506"/>
    <n v="37742"/>
    <n v="41.935555555555553"/>
    <n v="56861"/>
    <n v="63.178888888888892"/>
    <m/>
    <m/>
    <n v="0"/>
    <n v="0"/>
  </r>
  <r>
    <x v="13"/>
    <s v="Howard College (HCJCD)"/>
    <m/>
    <n v="225520"/>
    <x v="6"/>
    <m/>
    <m/>
    <n v="25072"/>
    <n v="25016"/>
    <n v="4414"/>
    <n v="3392"/>
    <n v="2174"/>
    <n v="2079"/>
    <n v="28078"/>
    <n v="27578"/>
    <n v="59738"/>
    <n v="1991.2666666666667"/>
    <n v="58065"/>
    <n v="1935.5"/>
    <n v="15202"/>
    <n v="16449"/>
    <n v="59738"/>
    <n v="58065"/>
    <n v="112996"/>
    <n v="49956"/>
    <n v="14690"/>
    <n v="72869"/>
    <n v="31336"/>
    <n v="52394"/>
    <n v="40849"/>
    <n v="54973"/>
    <n v="199871"/>
    <n v="222.07888888888888"/>
    <n v="230192"/>
    <n v="255.76888888888888"/>
    <m/>
    <m/>
    <n v="0"/>
    <n v="0"/>
  </r>
  <r>
    <x v="13"/>
    <s v="Kilgore College "/>
    <m/>
    <n v="226019"/>
    <x v="6"/>
    <m/>
    <m/>
    <n v="62906"/>
    <n v="41432"/>
    <n v="7020"/>
    <n v="7061"/>
    <n v="0"/>
    <n v="0"/>
    <n v="50850"/>
    <n v="49348"/>
    <n v="120776"/>
    <n v="4025.8666666666668"/>
    <n v="97841"/>
    <n v="3261.3666666666668"/>
    <n v="18815"/>
    <n v="16074"/>
    <n v="120776"/>
    <n v="97841"/>
    <n v="94426"/>
    <n v="119021"/>
    <n v="32272"/>
    <n v="92885"/>
    <n v="119621"/>
    <n v="122419"/>
    <n v="116810"/>
    <n v="123524"/>
    <n v="363129"/>
    <n v="403.47666666666669"/>
    <n v="457849"/>
    <n v="508.7211111111111"/>
    <m/>
    <m/>
    <n v="0"/>
    <n v="0"/>
  </r>
  <r>
    <x v="13"/>
    <s v="Lamar Institute of Technology"/>
    <m/>
    <n v="441760"/>
    <x v="6"/>
    <m/>
    <m/>
    <n v="32004"/>
    <n v="33714"/>
    <n v="6842"/>
    <n v="6899"/>
    <n v="0"/>
    <n v="0"/>
    <n v="38512"/>
    <n v="38106"/>
    <n v="77358"/>
    <n v="2578.6"/>
    <n v="78719"/>
    <n v="2623.9666666666667"/>
    <n v="13239"/>
    <n v="16284"/>
    <n v="77358"/>
    <n v="78719"/>
    <n v="52880"/>
    <n v="49741"/>
    <n v="30582"/>
    <n v="96939"/>
    <n v="37281"/>
    <n v="86690"/>
    <n v="44733"/>
    <n v="75558"/>
    <n v="165476"/>
    <n v="183.86222222222221"/>
    <n v="308928"/>
    <n v="343.25333333333333"/>
    <m/>
    <m/>
    <n v="0"/>
    <n v="0"/>
  </r>
  <r>
    <x v="13"/>
    <s v="Lee College "/>
    <m/>
    <n v="226204"/>
    <x v="6"/>
    <m/>
    <m/>
    <n v="60919"/>
    <n v="75452"/>
    <n v="31586"/>
    <n v="32566"/>
    <n v="0"/>
    <n v="0"/>
    <n v="37710"/>
    <n v="54036"/>
    <n v="130215"/>
    <n v="4340.5"/>
    <n v="162054"/>
    <n v="5401.8"/>
    <n v="21062"/>
    <n v="37111"/>
    <n v="130215"/>
    <n v="162054"/>
    <n v="16100"/>
    <n v="7139"/>
    <n v="407"/>
    <n v="5368"/>
    <n v="8345"/>
    <n v="8400"/>
    <n v="5000"/>
    <n v="8190"/>
    <n v="29852"/>
    <n v="33.168888888888887"/>
    <n v="29097"/>
    <n v="32.33"/>
    <m/>
    <m/>
    <n v="0"/>
    <n v="0"/>
  </r>
  <r>
    <x v="13"/>
    <s v="Northeast Texas Community College "/>
    <m/>
    <n v="227225"/>
    <x v="6"/>
    <m/>
    <m/>
    <n v="25503"/>
    <n v="23616"/>
    <n v="8126"/>
    <n v="7246"/>
    <n v="0"/>
    <n v="0"/>
    <n v="24893"/>
    <n v="25206"/>
    <n v="58522"/>
    <n v="1950.7333333333333"/>
    <n v="56068"/>
    <n v="1868.9333333333334"/>
    <n v="10041"/>
    <n v="10950"/>
    <n v="58522"/>
    <n v="56068"/>
    <n v="6647"/>
    <n v="6740"/>
    <n v="2944"/>
    <n v="5800"/>
    <n v="2486"/>
    <n v="6445"/>
    <n v="3957"/>
    <n v="8836"/>
    <n v="16034"/>
    <n v="17.815555555555555"/>
    <n v="27821"/>
    <n v="30.912222222222223"/>
    <m/>
    <m/>
    <n v="0"/>
    <n v="0"/>
  </r>
  <r>
    <x v="13"/>
    <s v="Odessa College "/>
    <m/>
    <n v="227304"/>
    <x v="6"/>
    <m/>
    <m/>
    <n v="53441"/>
    <n v="54961"/>
    <n v="7288"/>
    <n v="7582"/>
    <n v="8169"/>
    <n v="7552"/>
    <n v="59196"/>
    <n v="67910"/>
    <n v="128094"/>
    <n v="4269.8"/>
    <n v="138005"/>
    <n v="4600.166666666667"/>
    <n v="34370"/>
    <n v="40922"/>
    <n v="128094"/>
    <n v="138005"/>
    <n v="36101"/>
    <n v="30288"/>
    <n v="22501"/>
    <n v="30867"/>
    <n v="25765"/>
    <n v="32327"/>
    <n v="25079"/>
    <n v="28450"/>
    <n v="109446"/>
    <n v="121.60666666666667"/>
    <n v="121932"/>
    <n v="135.47999999999999"/>
    <m/>
    <m/>
    <n v="0"/>
    <n v="0"/>
  </r>
  <r>
    <x v="13"/>
    <s v="Paris Junior College"/>
    <m/>
    <n v="227401"/>
    <x v="6"/>
    <m/>
    <m/>
    <n v="37329"/>
    <n v="32854"/>
    <n v="9958"/>
    <n v="10412"/>
    <n v="0"/>
    <n v="0"/>
    <n v="41626"/>
    <n v="39948"/>
    <n v="88913"/>
    <n v="2963.7666666666669"/>
    <n v="83214"/>
    <n v="2773.8"/>
    <n v="23484"/>
    <n v="23225"/>
    <n v="88913"/>
    <n v="83214"/>
    <n v="6389"/>
    <n v="11924"/>
    <n v="5245"/>
    <n v="9844"/>
    <n v="13803"/>
    <n v="11556"/>
    <n v="8647"/>
    <n v="17608"/>
    <n v="34084"/>
    <n v="37.871111111111112"/>
    <n v="50932"/>
    <n v="56.591111111111111"/>
    <m/>
    <m/>
    <n v="0"/>
    <n v="0"/>
  </r>
  <r>
    <x v="13"/>
    <s v="Southwest Texas Junior College "/>
    <m/>
    <n v="228316"/>
    <x v="6"/>
    <m/>
    <m/>
    <n v="54242"/>
    <n v="49634"/>
    <n v="11952"/>
    <n v="11852"/>
    <n v="5258"/>
    <n v="4651"/>
    <n v="50094"/>
    <n v="42113"/>
    <n v="121546"/>
    <n v="4051.5333333333333"/>
    <n v="108250"/>
    <n v="3608.3333333333335"/>
    <n v="42354"/>
    <n v="40145"/>
    <n v="121546"/>
    <n v="108250"/>
    <n v="15092"/>
    <n v="20423"/>
    <n v="4650"/>
    <n v="19044"/>
    <n v="8606"/>
    <n v="17884"/>
    <n v="12128"/>
    <n v="20138"/>
    <n v="40476"/>
    <n v="44.973333333333336"/>
    <n v="77489"/>
    <n v="86.098888888888894"/>
    <m/>
    <m/>
    <n v="0"/>
    <n v="0"/>
  </r>
  <r>
    <x v="13"/>
    <s v="Temple College "/>
    <m/>
    <n v="228608"/>
    <x v="6"/>
    <m/>
    <m/>
    <n v="38725"/>
    <n v="38719"/>
    <n v="11492"/>
    <n v="18311"/>
    <n v="0"/>
    <n v="0"/>
    <n v="34876"/>
    <n v="28423"/>
    <n v="85093"/>
    <n v="2836.4333333333334"/>
    <n v="85453"/>
    <n v="2848.4333333333334"/>
    <n v="15971"/>
    <n v="15613"/>
    <n v="85093"/>
    <n v="85453"/>
    <n v="3080"/>
    <n v="18638"/>
    <n v="10560"/>
    <n v="3990"/>
    <n v="4978"/>
    <n v="11295"/>
    <n v="17138"/>
    <n v="31769"/>
    <n v="35756"/>
    <n v="39.728888888888889"/>
    <n v="65692"/>
    <n v="72.99111111111111"/>
    <m/>
    <m/>
    <n v="0"/>
    <n v="0"/>
  </r>
  <r>
    <x v="13"/>
    <s v="Texarkana College "/>
    <m/>
    <n v="228699"/>
    <x v="6"/>
    <m/>
    <m/>
    <n v="30551"/>
    <n v="26820"/>
    <n v="6841"/>
    <n v="5648"/>
    <n v="0"/>
    <n v="0"/>
    <n v="34257"/>
    <n v="31319"/>
    <n v="71649"/>
    <n v="2388.3000000000002"/>
    <n v="63787"/>
    <n v="2126.2333333333331"/>
    <n v="18514"/>
    <n v="19336"/>
    <n v="71649"/>
    <n v="63787"/>
    <n v="84998"/>
    <n v="14864"/>
    <n v="4657"/>
    <n v="46871"/>
    <n v="10150"/>
    <n v="52679"/>
    <n v="15523"/>
    <n v="53105"/>
    <n v="115328"/>
    <n v="128.14222222222222"/>
    <n v="167519"/>
    <n v="186.13222222222223"/>
    <m/>
    <m/>
    <n v="0"/>
    <n v="0"/>
  </r>
  <r>
    <x v="13"/>
    <s v="Texas Southmost College "/>
    <m/>
    <n v="227377"/>
    <x v="6"/>
    <m/>
    <m/>
    <n v="64456"/>
    <n v="63045"/>
    <n v="10761"/>
    <n v="10103"/>
    <n v="8315"/>
    <n v="6617"/>
    <n v="61364"/>
    <n v="53845"/>
    <n v="144896"/>
    <n v="4829.8666666666668"/>
    <n v="133610"/>
    <n v="4453.666666666667"/>
    <n v="52725"/>
    <n v="52008"/>
    <n v="144896"/>
    <n v="133610"/>
    <n v="16704"/>
    <n v="16304"/>
    <n v="19936"/>
    <n v="25664"/>
    <n v="10040"/>
    <n v="20228"/>
    <n v="13200"/>
    <n v="36680"/>
    <n v="59880"/>
    <n v="66.533333333333331"/>
    <n v="98876"/>
    <n v="109.86222222222223"/>
    <m/>
    <m/>
    <n v="0"/>
    <n v="0"/>
  </r>
  <r>
    <x v="13"/>
    <s v="Texas State Technical College-Harlingen "/>
    <m/>
    <n v="229319"/>
    <x v="6"/>
    <m/>
    <m/>
    <n v="30839"/>
    <n v="28004"/>
    <n v="4452"/>
    <n v="16660"/>
    <n v="0"/>
    <n v="0"/>
    <n v="45140"/>
    <n v="28922"/>
    <n v="80431"/>
    <n v="2681.0333333333333"/>
    <n v="73586"/>
    <n v="2452.8666666666668"/>
    <n v="1329"/>
    <n v="853"/>
    <n v="80431"/>
    <n v="73586"/>
    <n v="8452"/>
    <n v="5990"/>
    <n v="2080"/>
    <n v="14206"/>
    <n v="5120"/>
    <n v="8265"/>
    <n v="10000"/>
    <n v="6880"/>
    <n v="25652"/>
    <n v="28.502222222222223"/>
    <n v="35341"/>
    <n v="39.267777777777781"/>
    <m/>
    <m/>
    <n v="0"/>
    <n v="0"/>
  </r>
  <r>
    <x v="13"/>
    <s v="Texas State Technical College-Waco"/>
    <m/>
    <n v="228680"/>
    <x v="6"/>
    <m/>
    <m/>
    <n v="35851"/>
    <n v="29578"/>
    <n v="1647"/>
    <n v="19264"/>
    <n v="0"/>
    <n v="0"/>
    <n v="51374"/>
    <n v="31295"/>
    <n v="88872"/>
    <n v="2962.4"/>
    <n v="80137"/>
    <n v="2671.2333333333331"/>
    <n v="1192"/>
    <n v="1107"/>
    <n v="88872"/>
    <n v="80137"/>
    <n v="0"/>
    <n v="1904"/>
    <n v="0"/>
    <n v="504"/>
    <n v="1400"/>
    <n v="0"/>
    <n v="0"/>
    <n v="0"/>
    <n v="1400"/>
    <n v="1.5555555555555556"/>
    <n v="2408"/>
    <n v="2.6755555555555555"/>
    <m/>
    <m/>
    <n v="0"/>
    <n v="0"/>
  </r>
  <r>
    <x v="13"/>
    <s v="Vernon College "/>
    <m/>
    <n v="229504"/>
    <x v="6"/>
    <m/>
    <m/>
    <n v="23349"/>
    <n v="20709"/>
    <n v="2467"/>
    <n v="1820"/>
    <n v="3912"/>
    <n v="3657"/>
    <n v="23765"/>
    <n v="19644"/>
    <n v="53493"/>
    <n v="1783.1"/>
    <n v="45830"/>
    <n v="1527.6666666666667"/>
    <n v="8957"/>
    <n v="7762"/>
    <n v="53493"/>
    <n v="45830"/>
    <n v="55757"/>
    <n v="48503"/>
    <n v="32096"/>
    <n v="36214"/>
    <n v="15016"/>
    <n v="29006"/>
    <n v="65616"/>
    <n v="60866"/>
    <n v="168485"/>
    <n v="187.20555555555555"/>
    <n v="174589"/>
    <n v="193.98777777777778"/>
    <m/>
    <m/>
    <n v="0"/>
    <n v="0"/>
  </r>
  <r>
    <x v="13"/>
    <s v="Victoria College "/>
    <m/>
    <n v="229540"/>
    <x v="6"/>
    <m/>
    <m/>
    <n v="24997"/>
    <n v="21311"/>
    <n v="7545"/>
    <n v="7113"/>
    <n v="0"/>
    <n v="0"/>
    <n v="24574"/>
    <n v="23112"/>
    <n v="57116"/>
    <n v="1903.8666666666666"/>
    <n v="51536"/>
    <n v="1717.8666666666666"/>
    <n v="6033"/>
    <n v="5709"/>
    <n v="57116"/>
    <n v="51536"/>
    <n v="28270"/>
    <n v="18346"/>
    <n v="13718"/>
    <n v="23076"/>
    <n v="14695"/>
    <n v="18619"/>
    <n v="31559"/>
    <n v="37857"/>
    <n v="88242"/>
    <n v="98.046666666666667"/>
    <n v="97898"/>
    <n v="108.77555555555556"/>
    <m/>
    <m/>
    <n v="0"/>
    <n v="0"/>
  </r>
  <r>
    <x v="13"/>
    <s v="Weatherford College "/>
    <m/>
    <n v="229799"/>
    <x v="6"/>
    <m/>
    <m/>
    <n v="46080"/>
    <n v="41371"/>
    <n v="6740"/>
    <n v="10185"/>
    <n v="5813"/>
    <n v="0"/>
    <n v="46253"/>
    <n v="48339"/>
    <n v="104886"/>
    <n v="3496.2"/>
    <n v="99895"/>
    <n v="3329.8333333333335"/>
    <n v="17064"/>
    <n v="22342"/>
    <n v="104886"/>
    <n v="99895"/>
    <n v="25023"/>
    <n v="18283"/>
    <n v="10408"/>
    <n v="24970"/>
    <n v="26999"/>
    <n v="22748"/>
    <n v="14092"/>
    <n v="13461"/>
    <n v="76522"/>
    <n v="85.024444444444441"/>
    <n v="79462"/>
    <n v="88.291111111111107"/>
    <m/>
    <m/>
    <n v="0"/>
    <n v="0"/>
  </r>
  <r>
    <x v="13"/>
    <s v="Wharton County Junior College "/>
    <m/>
    <n v="229841"/>
    <x v="6"/>
    <m/>
    <m/>
    <n v="59528"/>
    <n v="50424"/>
    <n v="10245"/>
    <n v="14415"/>
    <n v="5883"/>
    <n v="0"/>
    <n v="57917"/>
    <n v="51723"/>
    <n v="133573"/>
    <n v="4452.4333333333334"/>
    <n v="116562"/>
    <n v="3885.4"/>
    <n v="6738"/>
    <n v="6099"/>
    <n v="133573"/>
    <n v="116562"/>
    <n v="7544"/>
    <n v="3854"/>
    <n v="2968"/>
    <n v="7006"/>
    <n v="8709"/>
    <n v="11766"/>
    <n v="7098"/>
    <n v="7378"/>
    <n v="26319"/>
    <n v="29.243333333333332"/>
    <n v="30004"/>
    <n v="33.337777777777781"/>
    <m/>
    <m/>
    <n v="0"/>
    <n v="0"/>
  </r>
  <r>
    <x v="13"/>
    <s v="Clarendon College "/>
    <m/>
    <n v="223922"/>
    <x v="7"/>
    <m/>
    <m/>
    <n v="13076"/>
    <n v="11375"/>
    <n v="844"/>
    <n v="2647"/>
    <n v="2476"/>
    <n v="653"/>
    <n v="12614"/>
    <n v="13279"/>
    <n v="29010"/>
    <n v="967"/>
    <n v="27954"/>
    <n v="931.8"/>
    <n v="7738"/>
    <n v="7354"/>
    <n v="29010"/>
    <n v="27954"/>
    <n v="1104"/>
    <n v="3776"/>
    <n v="0"/>
    <n v="2352"/>
    <n v="2376"/>
    <n v="1808"/>
    <n v="2552"/>
    <n v="6240"/>
    <n v="6032"/>
    <n v="6.7022222222222219"/>
    <n v="14176"/>
    <n v="15.751111111111111"/>
    <m/>
    <m/>
    <n v="0"/>
    <n v="0"/>
  </r>
  <r>
    <x v="13"/>
    <s v="Frank Phillips College "/>
    <m/>
    <n v="224891"/>
    <x v="7"/>
    <m/>
    <m/>
    <n v="11863"/>
    <n v="12987"/>
    <n v="1787"/>
    <n v="2301"/>
    <n v="1006"/>
    <n v="1039"/>
    <n v="13751"/>
    <n v="14577"/>
    <n v="28407"/>
    <n v="946.9"/>
    <n v="30904"/>
    <n v="1030.1333333333334"/>
    <n v="10545"/>
    <n v="11402"/>
    <n v="28407"/>
    <n v="30904"/>
    <n v="17525"/>
    <n v="11219"/>
    <n v="7898"/>
    <n v="12620"/>
    <n v="11312"/>
    <n v="14055"/>
    <n v="18493"/>
    <n v="16343"/>
    <n v="55228"/>
    <n v="61.364444444444445"/>
    <n v="54237"/>
    <n v="60.263333333333335"/>
    <m/>
    <m/>
    <n v="0"/>
    <n v="0"/>
  </r>
  <r>
    <x v="13"/>
    <s v="Galveston College "/>
    <m/>
    <n v="224961"/>
    <x v="7"/>
    <m/>
    <m/>
    <n v="18697"/>
    <n v="19018"/>
    <n v="3300"/>
    <n v="3675"/>
    <n v="4562"/>
    <n v="3363"/>
    <n v="18166"/>
    <n v="16443"/>
    <n v="44725"/>
    <n v="1490.8333333333333"/>
    <n v="42499"/>
    <n v="1416.6333333333334"/>
    <n v="6491"/>
    <n v="6163"/>
    <n v="44725"/>
    <n v="42499"/>
    <n v="24177"/>
    <n v="13374"/>
    <n v="432"/>
    <n v="5091"/>
    <n v="2028"/>
    <n v="4864"/>
    <n v="15463"/>
    <n v="11805"/>
    <n v="42100"/>
    <n v="46.777777777777779"/>
    <n v="35134"/>
    <n v="39.037777777777777"/>
    <m/>
    <m/>
    <n v="0"/>
    <n v="0"/>
  </r>
  <r>
    <x v="13"/>
    <s v="Lamar State College-Orange"/>
    <m/>
    <n v="226107"/>
    <x v="7"/>
    <m/>
    <m/>
    <n v="19031"/>
    <n v="18445"/>
    <n v="8765"/>
    <n v="6838"/>
    <n v="0"/>
    <n v="0"/>
    <n v="20531"/>
    <n v="20219"/>
    <n v="48327"/>
    <n v="1610.9"/>
    <n v="45502"/>
    <n v="1516.7333333333333"/>
    <n v="7072"/>
    <n v="8927"/>
    <n v="48327"/>
    <n v="45502"/>
    <n v="8783"/>
    <n v="4784"/>
    <n v="1768"/>
    <n v="10742"/>
    <n v="7206"/>
    <n v="14787"/>
    <n v="1931"/>
    <n v="9312"/>
    <n v="19688"/>
    <n v="21.875555555555554"/>
    <n v="39625"/>
    <n v="44.027777777777779"/>
    <m/>
    <m/>
    <n v="0"/>
    <n v="0"/>
  </r>
  <r>
    <x v="13"/>
    <s v="Lamar State College-Port Arthur"/>
    <m/>
    <n v="226116"/>
    <x v="7"/>
    <m/>
    <m/>
    <n v="22534"/>
    <n v="18892"/>
    <n v="8953"/>
    <n v="5999"/>
    <n v="0"/>
    <n v="0"/>
    <n v="22662"/>
    <n v="20934"/>
    <n v="54149"/>
    <n v="1804.9666666666667"/>
    <n v="45825"/>
    <n v="1527.5"/>
    <n v="10086"/>
    <n v="9766"/>
    <n v="54149"/>
    <n v="45825"/>
    <n v="36551"/>
    <n v="8560"/>
    <n v="3160"/>
    <n v="23768"/>
    <n v="7152"/>
    <n v="11000"/>
    <n v="24624"/>
    <n v="23160"/>
    <n v="71487"/>
    <n v="79.430000000000007"/>
    <n v="66488"/>
    <n v="73.87555555555555"/>
    <m/>
    <m/>
    <n v="0"/>
    <n v="0"/>
  </r>
  <r>
    <x v="13"/>
    <s v="Northeast Lakeview College (ACCD)"/>
    <m/>
    <n v="488730"/>
    <x v="6"/>
    <m/>
    <m/>
    <n v="47061"/>
    <n v="38530"/>
    <n v="10298"/>
    <n v="9181"/>
    <n v="0"/>
    <n v="0"/>
    <n v="44986"/>
    <n v="43223"/>
    <n v="102345"/>
    <n v="3411.5"/>
    <n v="90934"/>
    <n v="3031.1333333333332"/>
    <n v="13148"/>
    <n v="13626"/>
    <n v="102345"/>
    <n v="90934"/>
    <n v="5808"/>
    <n v="7008"/>
    <n v="3952"/>
    <n v="2080"/>
    <n v="2384"/>
    <n v="2864"/>
    <n v="3616"/>
    <n v="7694"/>
    <n v="15760"/>
    <n v="17.511111111111113"/>
    <n v="19646"/>
    <n v="21.828888888888891"/>
    <m/>
    <m/>
    <n v="0"/>
    <n v="0"/>
  </r>
  <r>
    <x v="13"/>
    <s v="Panola College"/>
    <m/>
    <n v="227386"/>
    <x v="7"/>
    <m/>
    <m/>
    <n v="20595"/>
    <n v="21382"/>
    <n v="3321"/>
    <n v="2992"/>
    <n v="1908"/>
    <n v="2173"/>
    <n v="22918"/>
    <n v="22863"/>
    <n v="48742"/>
    <n v="1624.7333333333333"/>
    <n v="49410"/>
    <n v="1647"/>
    <n v="11241"/>
    <n v="12490"/>
    <n v="48742"/>
    <n v="49410"/>
    <n v="8826"/>
    <n v="11695"/>
    <n v="6434"/>
    <n v="8802"/>
    <n v="13645"/>
    <n v="10559"/>
    <n v="13291"/>
    <n v="9653"/>
    <n v="42196"/>
    <n v="46.884444444444448"/>
    <n v="40709"/>
    <n v="45.232222222222219"/>
    <m/>
    <m/>
    <n v="0"/>
    <n v="0"/>
  </r>
  <r>
    <x v="13"/>
    <s v="Ranger College "/>
    <m/>
    <n v="227687"/>
    <x v="7"/>
    <m/>
    <m/>
    <n v="19494"/>
    <n v="19651"/>
    <n v="3050"/>
    <n v="3004"/>
    <n v="931"/>
    <n v="730"/>
    <n v="21363"/>
    <n v="19835"/>
    <n v="44838"/>
    <n v="1494.6"/>
    <n v="43220"/>
    <n v="1440.6666666666667"/>
    <n v="13286"/>
    <n v="15057"/>
    <n v="44838"/>
    <n v="43220"/>
    <n v="20456"/>
    <n v="22080"/>
    <n v="20262"/>
    <n v="7030"/>
    <n v="8062"/>
    <n v="8800"/>
    <n v="5528"/>
    <n v="4500"/>
    <n v="54308"/>
    <n v="60.342222222222219"/>
    <n v="42410"/>
    <n v="47.12222222222222"/>
    <m/>
    <m/>
    <n v="0"/>
    <n v="0"/>
  </r>
  <r>
    <x v="13"/>
    <s v="Southwest Collegiate Institute for the Deaf (HCJCD)"/>
    <m/>
    <n v="382911"/>
    <x v="7"/>
    <m/>
    <m/>
    <n v="627"/>
    <n v="633"/>
    <n v="0"/>
    <n v="19"/>
    <n v="0"/>
    <n v="0"/>
    <n v="469"/>
    <n v="507"/>
    <n v="1096"/>
    <n v="36.533333333333331"/>
    <n v="1159"/>
    <n v="38.633333333333333"/>
    <n v="15"/>
    <n v="36"/>
    <n v="1096"/>
    <n v="1159"/>
    <n v="0"/>
    <m/>
    <n v="0"/>
    <m/>
    <n v="0"/>
    <n v="800"/>
    <n v="0"/>
    <m/>
    <n v="0"/>
    <n v="0"/>
    <n v="800"/>
    <n v="0.88888888888888884"/>
    <m/>
    <m/>
    <n v="0"/>
    <n v="0"/>
  </r>
  <r>
    <x v="13"/>
    <s v="Texas State Technical College-Fort Bend"/>
    <m/>
    <s v="N/A"/>
    <x v="7"/>
    <m/>
    <m/>
    <n v="4525"/>
    <n v="5482"/>
    <n v="24"/>
    <n v="3275"/>
    <n v="0"/>
    <n v="0"/>
    <n v="7933"/>
    <n v="6259"/>
    <n v="12482"/>
    <n v="416.06666666666666"/>
    <n v="15016"/>
    <n v="500.53333333333336"/>
    <n v="247"/>
    <n v="318"/>
    <n v="12482"/>
    <n v="15016"/>
    <n v="0"/>
    <n v="800"/>
    <n v="0"/>
    <n v="640"/>
    <n v="460"/>
    <n v="800"/>
    <n v="0"/>
    <n v="400"/>
    <n v="460"/>
    <n v="0.51111111111111107"/>
    <n v="2640"/>
    <n v="2.9333333333333331"/>
    <m/>
    <m/>
    <n v="0"/>
    <n v="0"/>
  </r>
  <r>
    <x v="13"/>
    <s v="Texas State Technical College-Marshall"/>
    <m/>
    <n v="408394"/>
    <x v="7"/>
    <m/>
    <m/>
    <n v="4788"/>
    <n v="4213"/>
    <n v="312"/>
    <n v="3264"/>
    <n v="0"/>
    <n v="0"/>
    <n v="8025"/>
    <n v="5721"/>
    <n v="13125"/>
    <n v="437.5"/>
    <n v="13198"/>
    <n v="439.93333333333334"/>
    <n v="213"/>
    <n v="273"/>
    <n v="13125"/>
    <n v="13198"/>
    <n v="0"/>
    <n v="360"/>
    <n v="0"/>
    <n v="1200"/>
    <n v="0"/>
    <m/>
    <n v="0"/>
    <n v="1400"/>
    <n v="0"/>
    <n v="0"/>
    <n v="2960"/>
    <n v="3.2888888888888888"/>
    <m/>
    <m/>
    <n v="0"/>
    <n v="0"/>
  </r>
  <r>
    <x v="13"/>
    <s v="Texas State Technical College-North Texas"/>
    <m/>
    <s v="N/A"/>
    <x v="7"/>
    <m/>
    <m/>
    <n v="1958"/>
    <n v="2289"/>
    <n v="0"/>
    <n v="1665"/>
    <n v="0"/>
    <n v="0"/>
    <n v="3898"/>
    <n v="1998"/>
    <n v="5856"/>
    <n v="195.2"/>
    <n v="5952"/>
    <n v="198.4"/>
    <n v="235"/>
    <n v="169"/>
    <n v="5856"/>
    <n v="5952"/>
    <n v="0"/>
    <m/>
    <n v="0"/>
    <m/>
    <n v="0"/>
    <m/>
    <n v="0"/>
    <m/>
    <n v="0"/>
    <n v="0"/>
    <n v="0"/>
    <n v="0"/>
    <m/>
    <m/>
    <n v="0"/>
    <n v="0"/>
  </r>
  <r>
    <x v="13"/>
    <s v="Texas State Technical College-West Texas"/>
    <m/>
    <n v="229328"/>
    <x v="7"/>
    <m/>
    <m/>
    <n v="12263"/>
    <n v="10122"/>
    <n v="4785"/>
    <n v="6103"/>
    <n v="0"/>
    <n v="0"/>
    <n v="15799"/>
    <n v="10097"/>
    <n v="32847"/>
    <n v="1094.9000000000001"/>
    <n v="26322"/>
    <n v="877.4"/>
    <n v="1489"/>
    <n v="615"/>
    <n v="32847"/>
    <n v="26322"/>
    <n v="700"/>
    <n v="0"/>
    <n v="300"/>
    <n v="1440"/>
    <n v="800"/>
    <n v="0"/>
    <n v="480"/>
    <n v="840"/>
    <n v="2280"/>
    <n v="2.5333333333333332"/>
    <n v="2280"/>
    <n v="2.5333333333333332"/>
    <m/>
    <m/>
    <n v="0"/>
    <n v="0"/>
  </r>
  <r>
    <x v="13"/>
    <s v="Western Texas College "/>
    <m/>
    <n v="229832"/>
    <x v="7"/>
    <m/>
    <m/>
    <n v="15536"/>
    <n v="12969"/>
    <n v="4643"/>
    <n v="3604"/>
    <n v="3381"/>
    <n v="2043"/>
    <n v="11865"/>
    <n v="12150"/>
    <n v="35425"/>
    <n v="1180.8333333333333"/>
    <n v="30766"/>
    <n v="1025.5333333333333"/>
    <n v="8616"/>
    <n v="8883"/>
    <n v="35425"/>
    <n v="30766"/>
    <n v="29459"/>
    <n v="15181"/>
    <n v="23188"/>
    <n v="15205"/>
    <n v="20288"/>
    <n v="7762"/>
    <n v="10868"/>
    <n v="25103"/>
    <n v="83803"/>
    <n v="93.114444444444445"/>
    <n v="63251"/>
    <n v="70.278888888888886"/>
    <m/>
    <m/>
    <n v="0"/>
    <n v="0"/>
  </r>
  <r>
    <x v="13"/>
    <s v="Alamo Community College District (ACCD)"/>
    <m/>
    <m/>
    <x v="14"/>
    <m/>
    <m/>
    <n v="445966"/>
    <m/>
    <n v="138081"/>
    <m/>
    <n v="0"/>
    <m/>
    <n v="454864"/>
    <m/>
    <n v="1038911"/>
    <n v="34630.366666666669"/>
    <n v="0"/>
    <n v="0"/>
    <n v="160790"/>
    <m/>
    <n v="1038911"/>
    <n v="0"/>
    <n v="72804"/>
    <m/>
    <n v="37091"/>
    <m/>
    <n v="47576"/>
    <m/>
    <n v="40162"/>
    <m/>
    <n v="197633"/>
    <n v="219.59222222222223"/>
    <n v="0"/>
    <n v="0"/>
    <m/>
    <m/>
    <n v="0"/>
    <n v="0"/>
  </r>
  <r>
    <x v="13"/>
    <s v="Dallas College"/>
    <m/>
    <n v="224615"/>
    <x v="14"/>
    <m/>
    <m/>
    <n v="612679"/>
    <n v="549203"/>
    <n v="384352"/>
    <n v="346711"/>
    <n v="0"/>
    <n v="0"/>
    <n v="0"/>
    <n v="396836"/>
    <n v="997031"/>
    <n v="33234.366666666669"/>
    <n v="1292750"/>
    <n v="43091.666666666664"/>
    <n v="154139"/>
    <m/>
    <n v="997031"/>
    <n v="0"/>
    <n v="594370"/>
    <n v="194232"/>
    <n v="357622"/>
    <n v="169685"/>
    <n v="199105"/>
    <n v="267944"/>
    <m/>
    <n v="332182"/>
    <n v="1151097"/>
    <n v="1278.9966666666667"/>
    <n v="964043"/>
    <n v="1071.1588888888889"/>
    <m/>
    <m/>
    <n v="0"/>
    <n v="0"/>
  </r>
  <r>
    <x v="13"/>
    <s v="Howard County Community/Junior College District (HCJCD)"/>
    <m/>
    <m/>
    <x v="14"/>
    <m/>
    <m/>
    <n v="25699"/>
    <m/>
    <n v="4414"/>
    <m/>
    <n v="2174"/>
    <m/>
    <n v="28547"/>
    <m/>
    <n v="60834"/>
    <n v="2027.8"/>
    <n v="0"/>
    <n v="0"/>
    <n v="15202"/>
    <m/>
    <n v="60834"/>
    <n v="0"/>
    <n v="112996"/>
    <m/>
    <n v="14690"/>
    <m/>
    <n v="31336"/>
    <m/>
    <n v="40849"/>
    <m/>
    <n v="199871"/>
    <n v="222.07888888888888"/>
    <n v="0"/>
    <n v="0"/>
    <m/>
    <m/>
    <n v="0"/>
    <n v="0"/>
  </r>
  <r>
    <x v="13"/>
    <s v="University of North Texas at Dallas"/>
    <m/>
    <n v="484905"/>
    <x v="3"/>
    <m/>
    <m/>
    <n v="0"/>
    <m/>
    <n v="32598"/>
    <n v="34830"/>
    <n v="10503"/>
    <n v="10609"/>
    <n v="36674"/>
    <n v="35613"/>
    <n v="79775"/>
    <n v="2659.1666666666665"/>
    <n v="81052"/>
    <n v="2701.7333333333331"/>
    <n v="0"/>
    <n v="822"/>
    <n v="79775"/>
    <n v="81052"/>
    <m/>
    <m/>
    <m/>
    <m/>
    <m/>
    <m/>
    <m/>
    <m/>
    <n v="0"/>
    <n v="0"/>
    <n v="0"/>
    <n v="0"/>
    <m/>
    <m/>
    <n v="0"/>
    <n v="0"/>
  </r>
  <r>
    <x v="13"/>
    <s v="Alamo Community College District (ACCD)"/>
    <m/>
    <m/>
    <x v="15"/>
    <m/>
    <m/>
    <n v="398905"/>
    <m/>
    <n v="127783"/>
    <m/>
    <n v="0"/>
    <m/>
    <n v="409878"/>
    <m/>
    <n v="936566"/>
    <n v="31218.866666666665"/>
    <n v="0"/>
    <n v="0"/>
    <n v="147642"/>
    <m/>
    <n v="936566"/>
    <n v="0"/>
    <n v="66996"/>
    <m/>
    <n v="33139"/>
    <m/>
    <n v="45192"/>
    <m/>
    <n v="36546"/>
    <m/>
    <n v="181873"/>
    <n v="202.08111111111111"/>
    <n v="0"/>
    <n v="0"/>
    <m/>
    <m/>
    <n v="0"/>
    <n v="0"/>
  </r>
  <r>
    <x v="13"/>
    <s v="Dallas County Community College District (DCCCD)"/>
    <m/>
    <m/>
    <x v="15"/>
    <m/>
    <m/>
    <n v="552665"/>
    <m/>
    <n v="348485"/>
    <m/>
    <n v="0"/>
    <m/>
    <m/>
    <m/>
    <n v="901150"/>
    <n v="30038.333333333332"/>
    <n v="0"/>
    <n v="0"/>
    <n v="140281"/>
    <m/>
    <n v="901150"/>
    <n v="0"/>
    <n v="548475"/>
    <m/>
    <n v="232243"/>
    <m/>
    <n v="150701"/>
    <m/>
    <m/>
    <m/>
    <n v="931419"/>
    <n v="1034.9100000000001"/>
    <n v="0"/>
    <n v="0"/>
    <m/>
    <m/>
    <n v="0"/>
    <n v="0"/>
  </r>
  <r>
    <x v="13"/>
    <s v="Dallas County Community College District (DCCCD)"/>
    <m/>
    <m/>
    <x v="16"/>
    <m/>
    <m/>
    <n v="60014"/>
    <m/>
    <n v="35867"/>
    <m/>
    <n v="0"/>
    <m/>
    <m/>
    <m/>
    <n v="95881"/>
    <n v="3196.0333333333333"/>
    <n v="0"/>
    <n v="0"/>
    <n v="13858"/>
    <m/>
    <n v="95881"/>
    <n v="0"/>
    <n v="45895"/>
    <m/>
    <n v="125379"/>
    <m/>
    <n v="48404"/>
    <m/>
    <m/>
    <m/>
    <n v="219678"/>
    <n v="244.08666666666667"/>
    <n v="0"/>
    <n v="0"/>
    <m/>
    <m/>
    <n v="0"/>
    <n v="0"/>
  </r>
  <r>
    <x v="13"/>
    <s v="Howard County Community/Junior College District (HCJCD)"/>
    <m/>
    <m/>
    <x v="16"/>
    <m/>
    <m/>
    <n v="25072"/>
    <m/>
    <n v="4414"/>
    <m/>
    <n v="2174"/>
    <m/>
    <n v="28078"/>
    <m/>
    <n v="59738"/>
    <n v="1991.2666666666667"/>
    <n v="0"/>
    <n v="0"/>
    <n v="15202"/>
    <m/>
    <n v="59738"/>
    <n v="0"/>
    <n v="112996"/>
    <m/>
    <n v="14690"/>
    <m/>
    <n v="31336"/>
    <m/>
    <n v="40849"/>
    <m/>
    <n v="199871"/>
    <n v="222.07888888888888"/>
    <n v="0"/>
    <n v="0"/>
    <m/>
    <m/>
    <n v="0"/>
    <n v="0"/>
  </r>
  <r>
    <x v="13"/>
    <s v="Alamo Community College District (ACCD)"/>
    <m/>
    <m/>
    <x v="17"/>
    <m/>
    <m/>
    <n v="47061"/>
    <m/>
    <n v="10298"/>
    <m/>
    <n v="0"/>
    <m/>
    <n v="44986"/>
    <m/>
    <n v="102345"/>
    <n v="3411.5"/>
    <n v="0"/>
    <n v="0"/>
    <n v="13148"/>
    <m/>
    <n v="102345"/>
    <n v="0"/>
    <n v="5808"/>
    <m/>
    <n v="3952"/>
    <m/>
    <n v="2384"/>
    <m/>
    <n v="3616"/>
    <m/>
    <n v="15760"/>
    <n v="17.511111111111113"/>
    <n v="0"/>
    <n v="0"/>
    <m/>
    <m/>
    <n v="0"/>
    <n v="0"/>
  </r>
  <r>
    <x v="13"/>
    <s v="Howard County Community/Junior College District (HCJCD)"/>
    <m/>
    <m/>
    <x v="17"/>
    <m/>
    <m/>
    <n v="627"/>
    <m/>
    <n v="0"/>
    <m/>
    <n v="0"/>
    <m/>
    <n v="469"/>
    <m/>
    <n v="1096"/>
    <n v="36.533333333333331"/>
    <n v="0"/>
    <n v="0"/>
    <n v="0"/>
    <m/>
    <n v="1096"/>
    <n v="0"/>
    <n v="0"/>
    <m/>
    <n v="0"/>
    <m/>
    <n v="0"/>
    <m/>
    <n v="0"/>
    <m/>
    <n v="0"/>
    <n v="0"/>
    <n v="0"/>
    <n v="0"/>
    <m/>
    <m/>
    <n v="0"/>
    <n v="0"/>
  </r>
  <r>
    <x v="13"/>
    <s v="Dallas College"/>
    <s v="Classification Corrected"/>
    <n v="224615"/>
    <x v="5"/>
    <m/>
    <m/>
    <m/>
    <m/>
    <m/>
    <m/>
    <m/>
    <m/>
    <n v="380470"/>
    <m/>
    <n v="380470"/>
    <n v="12682.333333333334"/>
    <n v="0"/>
    <n v="0"/>
    <n v="58234"/>
    <m/>
    <n v="380470"/>
    <n v="0"/>
    <m/>
    <m/>
    <m/>
    <m/>
    <m/>
    <m/>
    <n v="274467"/>
    <m/>
    <n v="274467"/>
    <n v="304.96333333333331"/>
    <n v="0"/>
    <n v="0"/>
    <m/>
    <m/>
    <n v="0"/>
    <n v="0"/>
  </r>
  <r>
    <x v="13"/>
    <s v="Texas State Technical College-Connect (Online Only)"/>
    <m/>
    <m/>
    <x v="7"/>
    <m/>
    <m/>
    <m/>
    <m/>
    <m/>
    <m/>
    <m/>
    <m/>
    <m/>
    <n v="18069"/>
    <n v="0"/>
    <n v="0"/>
    <n v="18069"/>
    <n v="602.29999999999995"/>
    <m/>
    <n v="772"/>
    <n v="0"/>
    <n v="18069"/>
    <m/>
    <m/>
    <m/>
    <m/>
    <m/>
    <m/>
    <m/>
    <m/>
    <n v="0"/>
    <n v="0"/>
    <n v="0"/>
    <n v="0"/>
    <m/>
    <m/>
    <n v="0"/>
    <n v="0"/>
  </r>
  <r>
    <x v="14"/>
    <s v="George Mason University "/>
    <m/>
    <n v="232186"/>
    <x v="0"/>
    <m/>
    <m/>
    <m/>
    <m/>
    <n v="338616"/>
    <n v="333698.5"/>
    <n v="61816"/>
    <n v="75208"/>
    <n v="358793.5"/>
    <n v="349496"/>
    <n v="759225.5"/>
    <n v="25307.516666666666"/>
    <n v="758402.5"/>
    <n v="25280.083333333332"/>
    <n v="14501"/>
    <n v="9106"/>
    <n v="759225.5"/>
    <n v="758402.5"/>
    <m/>
    <m/>
    <m/>
    <m/>
    <m/>
    <m/>
    <m/>
    <m/>
    <n v="0"/>
    <n v="0"/>
    <n v="0"/>
    <n v="0"/>
    <m/>
    <m/>
    <n v="0"/>
    <n v="0"/>
  </r>
  <r>
    <x v="14"/>
    <s v="Old Dominion University "/>
    <m/>
    <n v="232982"/>
    <x v="0"/>
    <m/>
    <m/>
    <m/>
    <m/>
    <n v="213104"/>
    <n v="209229"/>
    <n v="58936"/>
    <n v="54261"/>
    <n v="238597"/>
    <n v="224501"/>
    <n v="510637"/>
    <n v="17021.233333333334"/>
    <n v="487991"/>
    <n v="16266.366666666667"/>
    <n v="65"/>
    <n v="117"/>
    <n v="510637"/>
    <n v="487991"/>
    <m/>
    <m/>
    <m/>
    <m/>
    <m/>
    <m/>
    <m/>
    <m/>
    <n v="0"/>
    <n v="0"/>
    <n v="0"/>
    <n v="0"/>
    <m/>
    <m/>
    <n v="0"/>
    <n v="0"/>
  </r>
  <r>
    <x v="14"/>
    <s v="University of Virginia"/>
    <m/>
    <n v="234076"/>
    <x v="0"/>
    <m/>
    <m/>
    <m/>
    <m/>
    <n v="238263.5"/>
    <n v="249910.5"/>
    <n v="21095.5"/>
    <n v="21829"/>
    <n v="243065"/>
    <n v="247913"/>
    <n v="502424"/>
    <n v="16747.466666666667"/>
    <n v="519652.5"/>
    <n v="17321.75"/>
    <n v="0"/>
    <n v="0"/>
    <n v="502424"/>
    <n v="519652.5"/>
    <m/>
    <m/>
    <m/>
    <m/>
    <m/>
    <m/>
    <m/>
    <m/>
    <n v="0"/>
    <n v="0"/>
    <n v="0"/>
    <n v="0"/>
    <m/>
    <m/>
    <n v="0"/>
    <n v="0"/>
  </r>
  <r>
    <x v="14"/>
    <s v="Virginia Commonwealth University"/>
    <m/>
    <n v="234030"/>
    <x v="0"/>
    <m/>
    <m/>
    <m/>
    <m/>
    <n v="282686.5"/>
    <n v="274390.5"/>
    <n v="43550"/>
    <n v="37763"/>
    <n v="296965"/>
    <n v="290714.5"/>
    <n v="623201.5"/>
    <n v="20773.383333333335"/>
    <n v="602868"/>
    <n v="20095.599999999999"/>
    <n v="3808"/>
    <n v="107"/>
    <n v="623201.5"/>
    <n v="602868"/>
    <m/>
    <m/>
    <m/>
    <m/>
    <m/>
    <m/>
    <m/>
    <m/>
    <n v="0"/>
    <n v="0"/>
    <n v="0"/>
    <n v="0"/>
    <m/>
    <m/>
    <n v="0"/>
    <n v="0"/>
  </r>
  <r>
    <x v="14"/>
    <s v="Virginia Tech "/>
    <m/>
    <n v="233921"/>
    <x v="0"/>
    <m/>
    <m/>
    <m/>
    <m/>
    <n v="434732"/>
    <n v="440153"/>
    <n v="27925"/>
    <n v="35952"/>
    <n v="459631"/>
    <n v="450665"/>
    <n v="922288"/>
    <n v="30742.933333333334"/>
    <n v="926770"/>
    <n v="30892.333333333332"/>
    <n v="0"/>
    <n v="0"/>
    <n v="922288"/>
    <n v="926770"/>
    <m/>
    <m/>
    <m/>
    <m/>
    <m/>
    <m/>
    <m/>
    <m/>
    <n v="0"/>
    <n v="0"/>
    <n v="0"/>
    <n v="0"/>
    <m/>
    <m/>
    <n v="0"/>
    <n v="0"/>
  </r>
  <r>
    <x v="14"/>
    <s v="William &amp; Mary"/>
    <m/>
    <n v="231624"/>
    <x v="1"/>
    <m/>
    <m/>
    <m/>
    <m/>
    <n v="85585.3"/>
    <n v="86306.8"/>
    <n v="7589"/>
    <n v="7921"/>
    <n v="89426"/>
    <n v="91856.7"/>
    <n v="182600.3"/>
    <n v="6086.6766666666663"/>
    <n v="186084.5"/>
    <n v="6202.8166666666666"/>
    <n v="0"/>
    <n v="0"/>
    <n v="182600.3"/>
    <n v="186084.5"/>
    <m/>
    <m/>
    <m/>
    <m/>
    <m/>
    <m/>
    <m/>
    <m/>
    <n v="0"/>
    <n v="0"/>
    <n v="0"/>
    <n v="0"/>
    <m/>
    <m/>
    <n v="0"/>
    <n v="0"/>
  </r>
  <r>
    <x v="14"/>
    <s v="James Madison University"/>
    <s v="Met the requirments for 4-Year 2 in 2021-22"/>
    <n v="232423"/>
    <x v="2"/>
    <m/>
    <m/>
    <m/>
    <m/>
    <n v="268849"/>
    <n v="268744"/>
    <n v="33098"/>
    <n v="41133"/>
    <n v="287318"/>
    <n v="287810"/>
    <n v="589265"/>
    <n v="19642.166666666668"/>
    <n v="597687"/>
    <n v="19922.900000000001"/>
    <n v="2642"/>
    <n v="1550"/>
    <n v="589265"/>
    <n v="597687"/>
    <m/>
    <m/>
    <m/>
    <m/>
    <m/>
    <m/>
    <m/>
    <m/>
    <n v="0"/>
    <n v="0"/>
    <n v="0"/>
    <n v="0"/>
    <m/>
    <m/>
    <n v="0"/>
    <n v="0"/>
  </r>
  <r>
    <x v="14"/>
    <s v="Longwood University "/>
    <m/>
    <n v="232566"/>
    <x v="4"/>
    <m/>
    <m/>
    <m/>
    <m/>
    <n v="50265"/>
    <n v="48073"/>
    <n v="7770"/>
    <n v="7003"/>
    <n v="51540"/>
    <n v="46461"/>
    <n v="109575"/>
    <n v="3652.5"/>
    <n v="101537"/>
    <n v="3384.5666666666666"/>
    <n v="3790"/>
    <n v="3031"/>
    <n v="109575"/>
    <n v="101537"/>
    <m/>
    <m/>
    <m/>
    <m/>
    <m/>
    <m/>
    <m/>
    <m/>
    <n v="0"/>
    <n v="0"/>
    <n v="0"/>
    <n v="0"/>
    <m/>
    <m/>
    <n v="0"/>
    <n v="0"/>
  </r>
  <r>
    <x v="14"/>
    <s v="Norfolk State University "/>
    <m/>
    <n v="232937"/>
    <x v="3"/>
    <m/>
    <m/>
    <m/>
    <m/>
    <n v="64911"/>
    <n v="59311"/>
    <n v="4564"/>
    <n v="5396"/>
    <n v="67327"/>
    <n v="68650"/>
    <n v="136802"/>
    <n v="4560.0666666666666"/>
    <n v="133357"/>
    <n v="4445.2333333333336"/>
    <n v="106"/>
    <n v="61"/>
    <n v="136802"/>
    <n v="133357"/>
    <m/>
    <m/>
    <m/>
    <m/>
    <m/>
    <m/>
    <m/>
    <m/>
    <n v="0"/>
    <n v="0"/>
    <n v="0"/>
    <n v="0"/>
    <m/>
    <m/>
    <n v="0"/>
    <n v="0"/>
  </r>
  <r>
    <x v="14"/>
    <s v="Radford University"/>
    <m/>
    <n v="233277"/>
    <x v="2"/>
    <m/>
    <m/>
    <m/>
    <m/>
    <n v="105583"/>
    <n v="90896"/>
    <n v="9226"/>
    <n v="8953"/>
    <n v="104755"/>
    <n v="92331"/>
    <n v="219564"/>
    <n v="7318.8"/>
    <n v="192180"/>
    <n v="6406"/>
    <n v="356"/>
    <n v="364"/>
    <n v="219564"/>
    <n v="192180"/>
    <m/>
    <m/>
    <m/>
    <m/>
    <m/>
    <m/>
    <m/>
    <m/>
    <n v="0"/>
    <n v="0"/>
    <n v="0"/>
    <n v="0"/>
    <m/>
    <m/>
    <n v="0"/>
    <n v="0"/>
  </r>
  <r>
    <x v="14"/>
    <s v="University of Mary Washington "/>
    <m/>
    <n v="232681"/>
    <x v="4"/>
    <m/>
    <m/>
    <m/>
    <m/>
    <n v="53521"/>
    <n v="50569"/>
    <n v="5827"/>
    <n v="4809"/>
    <n v="55814"/>
    <n v="48917"/>
    <n v="115162"/>
    <n v="3838.7333333333331"/>
    <n v="104295"/>
    <n v="3476.5"/>
    <n v="25"/>
    <n v="27"/>
    <n v="115162"/>
    <n v="104295"/>
    <m/>
    <m/>
    <m/>
    <m/>
    <m/>
    <m/>
    <m/>
    <m/>
    <n v="0"/>
    <n v="0"/>
    <n v="0"/>
    <n v="0"/>
    <m/>
    <m/>
    <n v="0"/>
    <n v="0"/>
  </r>
  <r>
    <x v="14"/>
    <s v="Virginia State University "/>
    <m/>
    <n v="234155"/>
    <x v="2"/>
    <m/>
    <m/>
    <m/>
    <m/>
    <n v="55669"/>
    <n v="49207"/>
    <n v="3038"/>
    <n v="4261"/>
    <n v="54988"/>
    <n v="56127"/>
    <n v="113695"/>
    <n v="3789.8333333333335"/>
    <n v="109595"/>
    <n v="3653.1666666666665"/>
    <n v="0"/>
    <n v="0"/>
    <n v="113695"/>
    <n v="109595"/>
    <m/>
    <m/>
    <m/>
    <m/>
    <m/>
    <m/>
    <m/>
    <m/>
    <n v="0"/>
    <n v="0"/>
    <n v="0"/>
    <n v="0"/>
    <m/>
    <m/>
    <n v="0"/>
    <n v="0"/>
  </r>
  <r>
    <x v="14"/>
    <s v="Christopher Newport University"/>
    <m/>
    <n v="231712"/>
    <x v="4"/>
    <m/>
    <m/>
    <m/>
    <m/>
    <n v="66741"/>
    <n v="65430"/>
    <n v="2278"/>
    <n v="1257"/>
    <n v="70308"/>
    <n v="65543"/>
    <n v="139327"/>
    <n v="4644.2333333333336"/>
    <n v="132230"/>
    <n v="4407.666666666667"/>
    <n v="129"/>
    <n v="288"/>
    <n v="139327"/>
    <n v="132230"/>
    <m/>
    <m/>
    <m/>
    <m/>
    <m/>
    <m/>
    <m/>
    <m/>
    <n v="0"/>
    <n v="0"/>
    <n v="0"/>
    <n v="0"/>
    <m/>
    <m/>
    <n v="0"/>
    <n v="0"/>
  </r>
  <r>
    <x v="14"/>
    <s v="University of Virginia's College at Wise"/>
    <s v="Was University of Virginia's College Wise"/>
    <n v="233897"/>
    <x v="11"/>
    <m/>
    <m/>
    <m/>
    <m/>
    <n v="19625"/>
    <n v="18909"/>
    <n v="6180"/>
    <n v="7946"/>
    <n v="20016"/>
    <n v="19720"/>
    <n v="45821"/>
    <n v="1527.3666666666666"/>
    <n v="46575"/>
    <n v="1552.5"/>
    <n v="0"/>
    <n v="27"/>
    <n v="45821"/>
    <n v="46575"/>
    <m/>
    <m/>
    <m/>
    <m/>
    <m/>
    <m/>
    <m/>
    <m/>
    <n v="0"/>
    <n v="0"/>
    <n v="0"/>
    <n v="0"/>
    <m/>
    <m/>
    <n v="0"/>
    <n v="0"/>
  </r>
  <r>
    <x v="14"/>
    <s v="J.S. Reynolds Community College"/>
    <m/>
    <n v="232414"/>
    <x v="5"/>
    <m/>
    <m/>
    <m/>
    <m/>
    <n v="67243"/>
    <n v="59962"/>
    <n v="23872"/>
    <n v="24465"/>
    <n v="66657"/>
    <n v="61888"/>
    <n v="157772"/>
    <n v="5259.0666666666666"/>
    <n v="146315"/>
    <n v="4877.166666666667"/>
    <n v="39787"/>
    <n v="43274"/>
    <n v="157772"/>
    <n v="146315"/>
    <m/>
    <m/>
    <m/>
    <m/>
    <m/>
    <m/>
    <m/>
    <m/>
    <n v="0"/>
    <n v="0"/>
    <n v="0"/>
    <n v="0"/>
    <m/>
    <m/>
    <n v="0"/>
    <n v="0"/>
  </r>
  <r>
    <x v="14"/>
    <s v="Brightpoint Community College"/>
    <s v="Was John Tyler Community College"/>
    <n v="232450"/>
    <x v="5"/>
    <m/>
    <m/>
    <m/>
    <m/>
    <n v="70027"/>
    <n v="64377"/>
    <n v="17990"/>
    <n v="20072"/>
    <n v="70932"/>
    <n v="64944"/>
    <n v="158949"/>
    <n v="5298.3"/>
    <n v="149393"/>
    <n v="4979.7666666666664"/>
    <n v="59783"/>
    <n v="56228"/>
    <n v="158949"/>
    <n v="149393"/>
    <m/>
    <m/>
    <m/>
    <m/>
    <m/>
    <m/>
    <m/>
    <m/>
    <n v="0"/>
    <n v="0"/>
    <n v="0"/>
    <n v="0"/>
    <m/>
    <m/>
    <n v="0"/>
    <n v="0"/>
  </r>
  <r>
    <x v="14"/>
    <s v="Northern Virginia Community College "/>
    <m/>
    <n v="232946"/>
    <x v="5"/>
    <m/>
    <m/>
    <m/>
    <m/>
    <n v="374636"/>
    <n v="369606"/>
    <n v="122506"/>
    <n v="167809"/>
    <n v="426201"/>
    <n v="391883"/>
    <n v="923343"/>
    <n v="30778.1"/>
    <n v="929298"/>
    <n v="30976.6"/>
    <n v="201989"/>
    <n v="215237"/>
    <n v="923343"/>
    <n v="929298"/>
    <m/>
    <m/>
    <m/>
    <m/>
    <m/>
    <m/>
    <m/>
    <m/>
    <n v="0"/>
    <n v="0"/>
    <n v="0"/>
    <n v="0"/>
    <m/>
    <m/>
    <n v="0"/>
    <n v="0"/>
  </r>
  <r>
    <x v="14"/>
    <s v="Virginia Peninsula Community College"/>
    <s v="Reclassifed: Met the criteria for Two-Year 2 in 2019-20 and 2020-21 and 2021-22 Was Thomas Nelson"/>
    <n v="233754"/>
    <x v="6"/>
    <m/>
    <m/>
    <m/>
    <m/>
    <n v="60181"/>
    <n v="51651"/>
    <n v="18219"/>
    <n v="17700"/>
    <n v="53945"/>
    <n v="49083"/>
    <n v="132345"/>
    <n v="4411.5"/>
    <n v="118434"/>
    <n v="3947.8"/>
    <n v="36327"/>
    <n v="36672"/>
    <n v="132345"/>
    <n v="118434"/>
    <m/>
    <m/>
    <m/>
    <m/>
    <m/>
    <m/>
    <m/>
    <m/>
    <n v="0"/>
    <n v="0"/>
    <n v="0"/>
    <n v="0"/>
    <m/>
    <m/>
    <n v="0"/>
    <n v="0"/>
  </r>
  <r>
    <x v="14"/>
    <s v="Tidewater Community College "/>
    <m/>
    <n v="233772"/>
    <x v="5"/>
    <m/>
    <m/>
    <m/>
    <m/>
    <n v="152829"/>
    <n v="135962"/>
    <n v="57152"/>
    <n v="46677"/>
    <n v="149370"/>
    <n v="143075"/>
    <n v="359351"/>
    <n v="11978.366666666667"/>
    <n v="325714"/>
    <n v="10857.133333333333"/>
    <n v="43263"/>
    <n v="44847"/>
    <n v="359351"/>
    <n v="325714"/>
    <m/>
    <m/>
    <m/>
    <m/>
    <m/>
    <m/>
    <m/>
    <m/>
    <n v="0"/>
    <n v="0"/>
    <n v="0"/>
    <n v="0"/>
    <m/>
    <m/>
    <n v="0"/>
    <n v="0"/>
  </r>
  <r>
    <x v="14"/>
    <s v="Blue Ridge Community College "/>
    <s v="Met the criteria for Two-Year 3  in 2021-22"/>
    <n v="231536"/>
    <x v="6"/>
    <m/>
    <m/>
    <m/>
    <m/>
    <n v="27836"/>
    <n v="24201"/>
    <n v="7729"/>
    <n v="8187"/>
    <n v="29392"/>
    <n v="27495"/>
    <n v="64957"/>
    <n v="2165.2333333333331"/>
    <n v="59883"/>
    <n v="1996.1"/>
    <n v="16901"/>
    <n v="15623"/>
    <n v="64957"/>
    <n v="59883"/>
    <m/>
    <m/>
    <m/>
    <m/>
    <m/>
    <m/>
    <m/>
    <m/>
    <n v="0"/>
    <n v="0"/>
    <n v="0"/>
    <n v="0"/>
    <m/>
    <m/>
    <n v="0"/>
    <n v="0"/>
  </r>
  <r>
    <x v="14"/>
    <s v="Central Virginia Community College "/>
    <m/>
    <n v="231697"/>
    <x v="6"/>
    <m/>
    <m/>
    <m/>
    <m/>
    <n v="28531"/>
    <n v="25997"/>
    <n v="7022"/>
    <n v="6670"/>
    <n v="29219"/>
    <n v="28495"/>
    <n v="64772"/>
    <n v="2159.0666666666666"/>
    <n v="61162"/>
    <n v="2038.7333333333333"/>
    <n v="39776"/>
    <n v="37053"/>
    <n v="64772"/>
    <n v="61162"/>
    <m/>
    <m/>
    <m/>
    <m/>
    <m/>
    <m/>
    <m/>
    <m/>
    <n v="0"/>
    <n v="0"/>
    <n v="0"/>
    <n v="0"/>
    <m/>
    <m/>
    <n v="0"/>
    <n v="0"/>
  </r>
  <r>
    <x v="14"/>
    <s v="Germanna Community College"/>
    <m/>
    <n v="232195"/>
    <x v="6"/>
    <m/>
    <m/>
    <m/>
    <m/>
    <n v="56244"/>
    <n v="58255"/>
    <n v="16762"/>
    <n v="21358"/>
    <n v="62972"/>
    <n v="61491"/>
    <n v="135978"/>
    <n v="4532.6000000000004"/>
    <n v="141104"/>
    <n v="4703.4666666666662"/>
    <n v="32196"/>
    <n v="33826"/>
    <n v="135978"/>
    <n v="141104"/>
    <m/>
    <m/>
    <m/>
    <m/>
    <m/>
    <m/>
    <m/>
    <m/>
    <n v="0"/>
    <n v="0"/>
    <n v="0"/>
    <n v="0"/>
    <m/>
    <m/>
    <n v="0"/>
    <n v="0"/>
  </r>
  <r>
    <x v="14"/>
    <s v="Laurel Ridge Community College"/>
    <s v="Was Lord Fairfax Community College"/>
    <n v="232575"/>
    <x v="6"/>
    <m/>
    <m/>
    <m/>
    <m/>
    <n v="49731"/>
    <n v="44031"/>
    <n v="11116"/>
    <n v="12899"/>
    <n v="54685"/>
    <n v="50147"/>
    <n v="115532"/>
    <n v="3851.0666666666666"/>
    <n v="107077"/>
    <n v="3569.2333333333331"/>
    <n v="71645"/>
    <n v="70536"/>
    <n v="115532"/>
    <n v="107077"/>
    <m/>
    <m/>
    <m/>
    <m/>
    <m/>
    <m/>
    <m/>
    <m/>
    <n v="0"/>
    <n v="0"/>
    <n v="0"/>
    <n v="0"/>
    <m/>
    <m/>
    <n v="0"/>
    <n v="0"/>
  </r>
  <r>
    <x v="14"/>
    <s v="New River Community College "/>
    <m/>
    <n v="232867"/>
    <x v="6"/>
    <m/>
    <m/>
    <m/>
    <m/>
    <n v="33438"/>
    <n v="30771"/>
    <n v="6903"/>
    <n v="7726"/>
    <n v="38427"/>
    <n v="36360"/>
    <n v="78768"/>
    <n v="2625.6"/>
    <n v="74857"/>
    <n v="2495.2333333333331"/>
    <n v="41209"/>
    <n v="43179"/>
    <n v="78768"/>
    <n v="74857"/>
    <m/>
    <m/>
    <m/>
    <m/>
    <m/>
    <m/>
    <m/>
    <m/>
    <n v="0"/>
    <n v="0"/>
    <n v="0"/>
    <n v="0"/>
    <m/>
    <m/>
    <n v="0"/>
    <n v="0"/>
  </r>
  <r>
    <x v="14"/>
    <s v="Piedmont Virginia Community College "/>
    <m/>
    <n v="233116"/>
    <x v="6"/>
    <m/>
    <m/>
    <m/>
    <m/>
    <n v="34142"/>
    <n v="32400"/>
    <n v="8871"/>
    <n v="9421"/>
    <n v="39052"/>
    <n v="38061"/>
    <n v="82065"/>
    <n v="2735.5"/>
    <n v="79882"/>
    <n v="2662.7333333333331"/>
    <n v="38320"/>
    <n v="36011"/>
    <n v="82065"/>
    <n v="79882"/>
    <m/>
    <m/>
    <m/>
    <m/>
    <m/>
    <m/>
    <m/>
    <m/>
    <n v="0"/>
    <n v="0"/>
    <n v="0"/>
    <n v="0"/>
    <m/>
    <m/>
    <n v="0"/>
    <n v="0"/>
  </r>
  <r>
    <x v="14"/>
    <s v="Southside Virginia Community College"/>
    <s v="Reclassifed Met the criteria for Two-Year 3 in 2019-20 and 2020-21, and 2021-22"/>
    <n v="233639"/>
    <x v="7"/>
    <m/>
    <m/>
    <m/>
    <m/>
    <n v="26537"/>
    <n v="25257"/>
    <n v="4747"/>
    <n v="4639"/>
    <n v="28458"/>
    <n v="26413"/>
    <n v="59742"/>
    <n v="1991.4"/>
    <n v="56309"/>
    <n v="1876.9666666666667"/>
    <n v="50331"/>
    <n v="47386"/>
    <n v="59742"/>
    <n v="56309"/>
    <m/>
    <m/>
    <m/>
    <m/>
    <m/>
    <m/>
    <m/>
    <m/>
    <n v="0"/>
    <n v="0"/>
    <n v="0"/>
    <n v="0"/>
    <m/>
    <m/>
    <n v="0"/>
    <n v="0"/>
  </r>
  <r>
    <x v="14"/>
    <s v="Virginia Western Community College "/>
    <m/>
    <n v="233949"/>
    <x v="6"/>
    <m/>
    <m/>
    <m/>
    <m/>
    <n v="44231"/>
    <n v="42513"/>
    <n v="10632"/>
    <n v="10242"/>
    <n v="48259"/>
    <n v="46850"/>
    <n v="103122"/>
    <n v="3437.4"/>
    <n v="99605"/>
    <n v="3320.1666666666665"/>
    <n v="39688"/>
    <n v="38241"/>
    <n v="103122"/>
    <n v="99605"/>
    <m/>
    <m/>
    <m/>
    <m/>
    <m/>
    <m/>
    <m/>
    <m/>
    <n v="0"/>
    <n v="0"/>
    <n v="0"/>
    <n v="0"/>
    <m/>
    <m/>
    <n v="0"/>
    <n v="0"/>
  </r>
  <r>
    <x v="14"/>
    <s v="Mountain Gateway Community College"/>
    <s v="Was D.S. Lancaster Community College "/>
    <n v="231873"/>
    <x v="7"/>
    <m/>
    <m/>
    <m/>
    <m/>
    <n v="7919"/>
    <n v="8628"/>
    <n v="1331"/>
    <n v="1620"/>
    <n v="9406"/>
    <n v="9155"/>
    <n v="18656"/>
    <n v="621.86666666666667"/>
    <n v="19403"/>
    <n v="646.76666666666665"/>
    <n v="10447"/>
    <n v="11990"/>
    <n v="18656"/>
    <n v="19403"/>
    <m/>
    <m/>
    <m/>
    <m/>
    <m/>
    <m/>
    <m/>
    <m/>
    <n v="0"/>
    <n v="0"/>
    <n v="0"/>
    <n v="0"/>
    <m/>
    <m/>
    <n v="0"/>
    <n v="0"/>
  </r>
  <r>
    <x v="14"/>
    <s v="Danville Community College "/>
    <m/>
    <n v="231882"/>
    <x v="7"/>
    <m/>
    <m/>
    <m/>
    <m/>
    <n v="21827"/>
    <n v="18205"/>
    <n v="5707"/>
    <n v="5458"/>
    <n v="21954"/>
    <n v="20467"/>
    <n v="49488"/>
    <n v="1649.6"/>
    <n v="44130"/>
    <n v="1471"/>
    <n v="25445"/>
    <n v="23579"/>
    <n v="49488"/>
    <n v="44130"/>
    <m/>
    <m/>
    <m/>
    <m/>
    <m/>
    <m/>
    <m/>
    <m/>
    <n v="0"/>
    <n v="0"/>
    <n v="0"/>
    <n v="0"/>
    <m/>
    <m/>
    <n v="0"/>
    <n v="0"/>
  </r>
  <r>
    <x v="14"/>
    <s v="Eastern Shore Community College"/>
    <m/>
    <n v="232052"/>
    <x v="7"/>
    <m/>
    <m/>
    <m/>
    <m/>
    <n v="5460"/>
    <n v="5184"/>
    <n v="783"/>
    <n v="1023"/>
    <n v="5939"/>
    <n v="5517"/>
    <n v="12182"/>
    <n v="406.06666666666666"/>
    <n v="11724"/>
    <n v="390.8"/>
    <n v="6484"/>
    <n v="6863"/>
    <n v="12182"/>
    <n v="11724"/>
    <m/>
    <m/>
    <m/>
    <m/>
    <m/>
    <m/>
    <m/>
    <m/>
    <n v="0"/>
    <n v="0"/>
    <n v="0"/>
    <n v="0"/>
    <m/>
    <m/>
    <n v="0"/>
    <n v="0"/>
  </r>
  <r>
    <x v="14"/>
    <s v="Mountain Empire Community College"/>
    <m/>
    <n v="232788"/>
    <x v="7"/>
    <m/>
    <m/>
    <m/>
    <m/>
    <n v="18368"/>
    <n v="18242"/>
    <n v="5334"/>
    <n v="5776"/>
    <n v="21535"/>
    <n v="19667"/>
    <n v="45237"/>
    <n v="1507.9"/>
    <n v="43685"/>
    <n v="1456.1666666666667"/>
    <n v="24553"/>
    <n v="24556"/>
    <n v="45237"/>
    <n v="43685"/>
    <m/>
    <m/>
    <m/>
    <m/>
    <m/>
    <m/>
    <m/>
    <m/>
    <n v="0"/>
    <n v="0"/>
    <n v="0"/>
    <n v="0"/>
    <m/>
    <m/>
    <n v="0"/>
    <n v="0"/>
  </r>
  <r>
    <x v="14"/>
    <s v="Patrick &amp; Henry Community College"/>
    <s v="Was  Patrick Henry Community College"/>
    <n v="233019"/>
    <x v="7"/>
    <m/>
    <m/>
    <m/>
    <m/>
    <n v="19699"/>
    <n v="18130"/>
    <n v="4288"/>
    <n v="3750"/>
    <n v="22098"/>
    <n v="20657"/>
    <n v="46085"/>
    <n v="1536.1666666666667"/>
    <n v="42537"/>
    <n v="1417.9"/>
    <n v="22866"/>
    <n v="20128"/>
    <n v="46085"/>
    <n v="42537"/>
    <m/>
    <m/>
    <m/>
    <m/>
    <m/>
    <m/>
    <m/>
    <m/>
    <n v="0"/>
    <n v="0"/>
    <n v="0"/>
    <n v="0"/>
    <m/>
    <m/>
    <n v="0"/>
    <n v="0"/>
  </r>
  <r>
    <x v="14"/>
    <s v="Paul D. Camp Community College"/>
    <m/>
    <n v="233037"/>
    <x v="7"/>
    <m/>
    <m/>
    <m/>
    <m/>
    <n v="10120"/>
    <n v="9521"/>
    <n v="2808"/>
    <n v="2700"/>
    <n v="10008"/>
    <n v="9826"/>
    <n v="22936"/>
    <n v="764.5333333333333"/>
    <n v="22047"/>
    <n v="734.9"/>
    <n v="16213"/>
    <n v="15918"/>
    <n v="22936"/>
    <n v="22047"/>
    <m/>
    <m/>
    <m/>
    <m/>
    <m/>
    <m/>
    <m/>
    <m/>
    <n v="0"/>
    <n v="0"/>
    <n v="0"/>
    <n v="0"/>
    <m/>
    <m/>
    <n v="0"/>
    <n v="0"/>
  </r>
  <r>
    <x v="14"/>
    <s v="Rappahannock Community College"/>
    <m/>
    <n v="233310"/>
    <x v="7"/>
    <m/>
    <m/>
    <m/>
    <m/>
    <n v="20326"/>
    <n v="17985"/>
    <n v="5351"/>
    <n v="5601"/>
    <n v="22233"/>
    <n v="21610"/>
    <n v="47910"/>
    <n v="1597"/>
    <n v="45196"/>
    <n v="1506.5333333333333"/>
    <n v="39608"/>
    <n v="39114"/>
    <n v="47910"/>
    <n v="45196"/>
    <m/>
    <m/>
    <m/>
    <m/>
    <m/>
    <m/>
    <m/>
    <m/>
    <n v="0"/>
    <n v="0"/>
    <n v="0"/>
    <n v="0"/>
    <m/>
    <m/>
    <n v="0"/>
    <n v="0"/>
  </r>
  <r>
    <x v="14"/>
    <s v="Richard Bland College "/>
    <m/>
    <n v="233338"/>
    <x v="7"/>
    <m/>
    <m/>
    <m/>
    <m/>
    <n v="16391"/>
    <n v="13244"/>
    <n v="1221"/>
    <n v="1215"/>
    <n v="19236"/>
    <n v="18087"/>
    <n v="36848"/>
    <n v="1228.2666666666667"/>
    <n v="32546"/>
    <n v="1084.8666666666666"/>
    <n v="25605"/>
    <n v="25516"/>
    <n v="36848"/>
    <n v="32546"/>
    <m/>
    <m/>
    <m/>
    <m/>
    <m/>
    <m/>
    <m/>
    <m/>
    <n v="0"/>
    <n v="0"/>
    <n v="0"/>
    <n v="0"/>
    <m/>
    <m/>
    <n v="0"/>
    <n v="0"/>
  </r>
  <r>
    <x v="14"/>
    <s v="Southwest Virginia Community College "/>
    <m/>
    <n v="233648"/>
    <x v="7"/>
    <m/>
    <m/>
    <m/>
    <m/>
    <n v="20190"/>
    <n v="20560"/>
    <n v="6103"/>
    <n v="6221"/>
    <n v="22421"/>
    <n v="21465"/>
    <n v="48714"/>
    <n v="1623.8"/>
    <n v="48246"/>
    <n v="1608.2"/>
    <n v="17697"/>
    <n v="15734"/>
    <n v="48714"/>
    <n v="48246"/>
    <m/>
    <m/>
    <m/>
    <m/>
    <m/>
    <m/>
    <m/>
    <m/>
    <n v="0"/>
    <n v="0"/>
    <n v="0"/>
    <n v="0"/>
    <m/>
    <m/>
    <n v="0"/>
    <n v="0"/>
  </r>
  <r>
    <x v="14"/>
    <s v="Virginia Highlands Community College "/>
    <m/>
    <n v="233903"/>
    <x v="7"/>
    <m/>
    <m/>
    <m/>
    <m/>
    <n v="18506"/>
    <n v="17616"/>
    <n v="3777"/>
    <n v="4328"/>
    <n v="19702"/>
    <n v="22831"/>
    <n v="41985"/>
    <n v="1399.5"/>
    <n v="44775"/>
    <n v="1492.5"/>
    <n v="18509"/>
    <n v="19249"/>
    <n v="41985"/>
    <n v="44775"/>
    <m/>
    <m/>
    <m/>
    <m/>
    <m/>
    <m/>
    <m/>
    <m/>
    <n v="0"/>
    <n v="0"/>
    <n v="0"/>
    <n v="0"/>
    <m/>
    <m/>
    <n v="0"/>
    <n v="0"/>
  </r>
  <r>
    <x v="14"/>
    <s v="Wytheville Community College "/>
    <m/>
    <n v="234377"/>
    <x v="7"/>
    <m/>
    <m/>
    <m/>
    <m/>
    <n v="19675"/>
    <n v="18006.5"/>
    <n v="4281"/>
    <n v="5002"/>
    <n v="20131"/>
    <n v="18543"/>
    <n v="44087"/>
    <n v="1469.5666666666666"/>
    <n v="41551.5"/>
    <n v="1385.05"/>
    <n v="25010"/>
    <n v="22970"/>
    <n v="44087"/>
    <n v="41551.5"/>
    <m/>
    <m/>
    <m/>
    <m/>
    <m/>
    <m/>
    <m/>
    <m/>
    <n v="0"/>
    <n v="0"/>
    <n v="0"/>
    <n v="0"/>
    <m/>
    <m/>
    <n v="0"/>
    <n v="0"/>
  </r>
  <r>
    <x v="14"/>
    <s v="All Community Colleges except R. Bland"/>
    <m/>
    <s v="All CC - Bland"/>
    <x v="14"/>
    <m/>
    <m/>
    <m/>
    <m/>
    <n v="1187696"/>
    <n v="1117060.5"/>
    <n v="353284"/>
    <n v="399344"/>
    <n v="1272996"/>
    <n v="1195923"/>
    <n v="2813976"/>
    <n v="93799.2"/>
    <n v="2712327.5"/>
    <n v="90410.916666666672"/>
    <n v="918047"/>
    <n v="918214"/>
    <n v="2813976"/>
    <n v="2712327.5"/>
    <m/>
    <m/>
    <m/>
    <m/>
    <m/>
    <m/>
    <m/>
    <m/>
    <n v="0"/>
    <n v="0"/>
    <n v="0"/>
    <n v="0"/>
    <m/>
    <m/>
    <n v="0"/>
    <n v="0"/>
  </r>
  <r>
    <x v="14"/>
    <m/>
    <m/>
    <m/>
    <x v="15"/>
    <m/>
    <m/>
    <m/>
    <m/>
    <n v="724916"/>
    <n v="681558"/>
    <n v="239739"/>
    <n v="276723"/>
    <n v="767105"/>
    <n v="710873"/>
    <n v="1731760"/>
    <n v="57725.333333333336"/>
    <n v="1669154"/>
    <n v="55638.466666666667"/>
    <n v="381149"/>
    <n v="396258"/>
    <n v="1731760"/>
    <n v="1669154"/>
    <m/>
    <m/>
    <m/>
    <m/>
    <m/>
    <m/>
    <m/>
    <m/>
    <n v="0"/>
    <n v="0"/>
    <n v="0"/>
    <n v="0"/>
    <m/>
    <m/>
    <n v="0"/>
    <n v="0"/>
  </r>
  <r>
    <x v="14"/>
    <m/>
    <m/>
    <m/>
    <x v="16"/>
    <m/>
    <m/>
    <m/>
    <m/>
    <n v="300690"/>
    <n v="283425"/>
    <n v="73782"/>
    <n v="81142"/>
    <n v="330464"/>
    <n v="315312"/>
    <n v="704936"/>
    <n v="23497.866666666665"/>
    <n v="679879"/>
    <n v="22662.633333333335"/>
    <n v="330066"/>
    <n v="321855"/>
    <n v="704936"/>
    <n v="679879"/>
    <m/>
    <m/>
    <m/>
    <m/>
    <m/>
    <m/>
    <m/>
    <m/>
    <n v="0"/>
    <n v="0"/>
    <n v="0"/>
    <n v="0"/>
    <m/>
    <m/>
    <n v="0"/>
    <n v="0"/>
  </r>
  <r>
    <x v="14"/>
    <s v="Richard Bland College B"/>
    <m/>
    <s v="233338"/>
    <x v="17"/>
    <m/>
    <m/>
    <m/>
    <m/>
    <n v="16391"/>
    <n v="13244"/>
    <n v="1221"/>
    <n v="1215"/>
    <n v="19236"/>
    <n v="18087"/>
    <n v="36848"/>
    <n v="1228.2666666666667"/>
    <n v="32546"/>
    <n v="1084.8666666666666"/>
    <n v="25605"/>
    <n v="25516"/>
    <n v="36848"/>
    <n v="32546"/>
    <m/>
    <m/>
    <m/>
    <m/>
    <m/>
    <m/>
    <m/>
    <m/>
    <n v="0"/>
    <n v="0"/>
    <n v="0"/>
    <n v="0"/>
    <m/>
    <m/>
    <n v="0"/>
    <n v="0"/>
  </r>
  <r>
    <x v="14"/>
    <m/>
    <m/>
    <m/>
    <x v="17"/>
    <m/>
    <m/>
    <m/>
    <m/>
    <n v="162090"/>
    <n v="152077.5"/>
    <n v="39763"/>
    <n v="41479"/>
    <n v="175427"/>
    <n v="169738"/>
    <n v="377280"/>
    <n v="12576"/>
    <n v="363294.5"/>
    <n v="12109.816666666668"/>
    <n v="206832"/>
    <n v="200101"/>
    <n v="377280"/>
    <n v="363294.5"/>
    <m/>
    <m/>
    <m/>
    <m/>
    <m/>
    <m/>
    <m/>
    <m/>
    <n v="0"/>
    <n v="0"/>
    <n v="0"/>
    <n v="0"/>
    <m/>
    <m/>
    <n v="0"/>
    <n v="0"/>
  </r>
  <r>
    <x v="15"/>
    <s v="West Virginia University"/>
    <m/>
    <n v="238032"/>
    <x v="0"/>
    <s v="sem"/>
    <s v="sem"/>
    <m/>
    <m/>
    <n v="271478"/>
    <n v="256934"/>
    <n v="37080"/>
    <n v="31748"/>
    <n v="287589"/>
    <n v="273263"/>
    <n v="596147"/>
    <n v="19871.566666666666"/>
    <n v="561945"/>
    <n v="18731.5"/>
    <n v="6214"/>
    <n v="5820"/>
    <n v="596147"/>
    <n v="561945"/>
    <m/>
    <m/>
    <m/>
    <m/>
    <m/>
    <m/>
    <m/>
    <m/>
    <n v="0"/>
    <n v="0"/>
    <n v="0"/>
    <n v="0"/>
    <m/>
    <m/>
    <n v="0"/>
    <n v="0"/>
  </r>
  <r>
    <x v="15"/>
    <s v="Marshall University "/>
    <m/>
    <n v="237525"/>
    <x v="2"/>
    <s v="sem"/>
    <s v="sem"/>
    <m/>
    <m/>
    <n v="108351"/>
    <n v="101682"/>
    <n v="11380"/>
    <n v="10564"/>
    <n v="116225"/>
    <n v="107138"/>
    <n v="235956"/>
    <n v="7865.2"/>
    <n v="219384"/>
    <n v="7312.8"/>
    <n v="12750"/>
    <n v="8077"/>
    <n v="235956"/>
    <n v="219384"/>
    <m/>
    <m/>
    <m/>
    <m/>
    <m/>
    <m/>
    <m/>
    <m/>
    <n v="0"/>
    <n v="0"/>
    <n v="0"/>
    <n v="0"/>
    <m/>
    <m/>
    <n v="0"/>
    <n v="0"/>
  </r>
  <r>
    <x v="15"/>
    <s v="Concord University "/>
    <m/>
    <n v="237330"/>
    <x v="4"/>
    <s v="sem"/>
    <s v="sem"/>
    <m/>
    <m/>
    <n v="19692"/>
    <n v="18749"/>
    <n v="2052"/>
    <n v="2059"/>
    <n v="21668"/>
    <n v="20286"/>
    <n v="43412"/>
    <n v="1447.0666666666666"/>
    <n v="41094"/>
    <n v="1369.8"/>
    <n v="244"/>
    <n v="240"/>
    <n v="43412"/>
    <n v="41094"/>
    <m/>
    <m/>
    <m/>
    <m/>
    <m/>
    <m/>
    <m/>
    <m/>
    <n v="0"/>
    <n v="0"/>
    <n v="0"/>
    <n v="0"/>
    <m/>
    <m/>
    <n v="0"/>
    <n v="0"/>
  </r>
  <r>
    <x v="15"/>
    <s v="Fairmont State University"/>
    <s v="Met the Requirment for Four-Year 4 in 2021-22"/>
    <n v="237367"/>
    <x v="4"/>
    <s v="sem"/>
    <s v="sem"/>
    <m/>
    <m/>
    <n v="42507"/>
    <n v="40432"/>
    <n v="3997"/>
    <n v="3695"/>
    <n v="48023"/>
    <n v="42058"/>
    <n v="94527"/>
    <n v="3150.9"/>
    <n v="86185"/>
    <n v="2872.8333333333335"/>
    <n v="1632"/>
    <n v="2127"/>
    <n v="94527"/>
    <n v="86185"/>
    <m/>
    <m/>
    <m/>
    <m/>
    <m/>
    <m/>
    <m/>
    <m/>
    <n v="0"/>
    <n v="0"/>
    <n v="0"/>
    <n v="0"/>
    <m/>
    <m/>
    <n v="0"/>
    <n v="0"/>
  </r>
  <r>
    <x v="15"/>
    <s v="Shepherd University "/>
    <m/>
    <n v="237792"/>
    <x v="4"/>
    <s v="sem"/>
    <s v="sem"/>
    <m/>
    <m/>
    <n v="35331.5"/>
    <n v="32420.5"/>
    <n v="3458"/>
    <n v="3340"/>
    <n v="36641.5"/>
    <n v="32813"/>
    <n v="75431"/>
    <n v="2514.3666666666668"/>
    <n v="68573.5"/>
    <n v="2285.7833333333333"/>
    <n v="1998"/>
    <n v="1662"/>
    <n v="75431"/>
    <n v="68573.5"/>
    <m/>
    <m/>
    <m/>
    <m/>
    <m/>
    <m/>
    <m/>
    <m/>
    <n v="0"/>
    <n v="0"/>
    <n v="0"/>
    <n v="0"/>
    <m/>
    <m/>
    <n v="0"/>
    <n v="0"/>
  </r>
  <r>
    <x v="15"/>
    <s v="West Liberty University"/>
    <s v="Reclassifed: Met the criteria for Four-Year 4 in 2019-20 2020-21, and 2021-22"/>
    <n v="237932"/>
    <x v="3"/>
    <s v="sem"/>
    <s v="sem"/>
    <m/>
    <m/>
    <n v="27859"/>
    <n v="25776"/>
    <n v="1976"/>
    <n v="1594"/>
    <n v="30114"/>
    <n v="27263"/>
    <n v="59949"/>
    <n v="1998.3"/>
    <n v="54633"/>
    <n v="1821.1"/>
    <n v="1822"/>
    <n v="1659"/>
    <n v="59949"/>
    <n v="54633"/>
    <m/>
    <m/>
    <m/>
    <m/>
    <m/>
    <m/>
    <m/>
    <m/>
    <n v="0"/>
    <n v="0"/>
    <n v="0"/>
    <n v="0"/>
    <m/>
    <m/>
    <n v="0"/>
    <n v="0"/>
  </r>
  <r>
    <x v="15"/>
    <s v="Bluefield State University"/>
    <m/>
    <n v="237215"/>
    <x v="11"/>
    <s v="sem"/>
    <s v="sem"/>
    <m/>
    <m/>
    <n v="14666"/>
    <n v="13536"/>
    <n v="1250"/>
    <n v="863"/>
    <n v="15617"/>
    <n v="16441"/>
    <n v="31533"/>
    <n v="1051.0999999999999"/>
    <n v="30840"/>
    <n v="1028"/>
    <n v="643"/>
    <n v="820"/>
    <n v="31533"/>
    <n v="30840"/>
    <m/>
    <m/>
    <m/>
    <m/>
    <m/>
    <m/>
    <m/>
    <m/>
    <n v="0"/>
    <n v="0"/>
    <n v="0"/>
    <n v="0"/>
    <m/>
    <m/>
    <n v="0"/>
    <n v="0"/>
  </r>
  <r>
    <x v="15"/>
    <s v="Glenville State University "/>
    <m/>
    <n v="237385"/>
    <x v="11"/>
    <s v="sem"/>
    <s v="sem"/>
    <m/>
    <m/>
    <n v="16171"/>
    <n v="15726"/>
    <n v="1475"/>
    <n v="1920"/>
    <n v="19242"/>
    <n v="17909"/>
    <n v="36888"/>
    <n v="1229.5999999999999"/>
    <n v="35555"/>
    <n v="1185.1666666666667"/>
    <n v="4372"/>
    <n v="4283"/>
    <n v="36888"/>
    <n v="35555"/>
    <m/>
    <m/>
    <m/>
    <m/>
    <m/>
    <m/>
    <m/>
    <m/>
    <n v="0"/>
    <n v="0"/>
    <n v="0"/>
    <n v="0"/>
    <m/>
    <m/>
    <n v="0"/>
    <n v="0"/>
  </r>
  <r>
    <x v="15"/>
    <s v="West Virginia State University "/>
    <s v="Reclassifed: Met the criteria for Four-Year 4 in 2019-20 2020-21, and 2021-22"/>
    <n v="237899"/>
    <x v="3"/>
    <s v="sem"/>
    <s v="sem"/>
    <m/>
    <m/>
    <n v="30502"/>
    <n v="25787"/>
    <n v="1690"/>
    <n v="1239"/>
    <n v="32825"/>
    <n v="30110"/>
    <n v="65017"/>
    <n v="2167.2333333333331"/>
    <n v="57136"/>
    <n v="1904.5333333333333"/>
    <n v="16722"/>
    <n v="17678"/>
    <n v="65017"/>
    <n v="57136"/>
    <m/>
    <m/>
    <m/>
    <m/>
    <m/>
    <m/>
    <m/>
    <m/>
    <n v="0"/>
    <n v="0"/>
    <n v="0"/>
    <n v="0"/>
    <m/>
    <m/>
    <n v="0"/>
    <n v="0"/>
  </r>
  <r>
    <x v="15"/>
    <s v="West Virginia University Institute of Technology"/>
    <m/>
    <n v="237950"/>
    <x v="11"/>
    <s v="sem"/>
    <s v="sem"/>
    <m/>
    <m/>
    <n v="18971"/>
    <n v="17341"/>
    <n v="1199"/>
    <n v="1103"/>
    <n v="19292"/>
    <n v="18736"/>
    <n v="39462"/>
    <n v="1315.4"/>
    <n v="37180"/>
    <n v="1239.3333333333333"/>
    <n v="4003"/>
    <n v="4015"/>
    <n v="39462"/>
    <n v="37180"/>
    <m/>
    <m/>
    <m/>
    <m/>
    <m/>
    <m/>
    <m/>
    <m/>
    <n v="0"/>
    <n v="0"/>
    <n v="0"/>
    <n v="0"/>
    <m/>
    <m/>
    <n v="0"/>
    <n v="0"/>
  </r>
  <r>
    <x v="15"/>
    <s v="Potomac State College of West Virginia University"/>
    <m/>
    <n v="237701"/>
    <x v="12"/>
    <s v="sem"/>
    <s v="sem"/>
    <m/>
    <m/>
    <n v="14896"/>
    <n v="14241"/>
    <n v="1311"/>
    <n v="1256"/>
    <n v="15481"/>
    <n v="15048"/>
    <n v="31688"/>
    <n v="1056.2666666666667"/>
    <n v="30545"/>
    <n v="1018.1666666666666"/>
    <n v="2252"/>
    <n v="1938"/>
    <n v="31688"/>
    <n v="30545"/>
    <m/>
    <m/>
    <m/>
    <m/>
    <m/>
    <m/>
    <m/>
    <m/>
    <n v="0"/>
    <n v="0"/>
    <n v="0"/>
    <n v="0"/>
    <m/>
    <m/>
    <n v="0"/>
    <n v="0"/>
  </r>
  <r>
    <x v="15"/>
    <s v="West Virginia University at Parkersburg"/>
    <m/>
    <n v="237686"/>
    <x v="12"/>
    <s v="sem"/>
    <s v="sem"/>
    <m/>
    <m/>
    <n v="24231"/>
    <n v="22328"/>
    <n v="4213"/>
    <n v="3385"/>
    <n v="25609"/>
    <n v="23091"/>
    <n v="54053"/>
    <n v="1801.7666666666667"/>
    <n v="48804"/>
    <n v="1626.8"/>
    <n v="9737"/>
    <n v="8874"/>
    <n v="54053"/>
    <n v="48804"/>
    <m/>
    <m/>
    <m/>
    <m/>
    <m/>
    <m/>
    <m/>
    <m/>
    <n v="0"/>
    <n v="0"/>
    <n v="0"/>
    <n v="0"/>
    <m/>
    <m/>
    <n v="0"/>
    <n v="0"/>
  </r>
  <r>
    <x v="15"/>
    <s v="Blue Ridge Community &amp; Technical College"/>
    <s v="Met the criteria for Two-Year 3 in 2020-21, and 2021-22"/>
    <n v="446774"/>
    <x v="6"/>
    <s v="sem"/>
    <s v="sem"/>
    <m/>
    <m/>
    <n v="27181.1"/>
    <n v="18121"/>
    <n v="3226"/>
    <n v="2972"/>
    <n v="20445.3"/>
    <n v="18717"/>
    <n v="50852.399999999994"/>
    <n v="1695.0799999999997"/>
    <n v="39810"/>
    <n v="1327"/>
    <n v="7811.1"/>
    <n v="7077"/>
    <n v="50852.399999999994"/>
    <n v="39810"/>
    <m/>
    <m/>
    <m/>
    <m/>
    <m/>
    <m/>
    <m/>
    <m/>
    <n v="0"/>
    <n v="0"/>
    <n v="0"/>
    <n v="0"/>
    <m/>
    <m/>
    <n v="0"/>
    <n v="0"/>
  </r>
  <r>
    <x v="15"/>
    <s v="BridgeValley Community &amp; Technical College"/>
    <m/>
    <n v="484932"/>
    <x v="7"/>
    <s v="sem"/>
    <s v="sem"/>
    <m/>
    <m/>
    <n v="16917"/>
    <n v="16331"/>
    <n v="1199"/>
    <n v="1388"/>
    <n v="18667"/>
    <n v="17422"/>
    <n v="36783"/>
    <n v="1226.0999999999999"/>
    <n v="35141"/>
    <n v="1171.3666666666666"/>
    <n v="39"/>
    <n v="92"/>
    <n v="36783"/>
    <n v="35141"/>
    <m/>
    <m/>
    <m/>
    <m/>
    <m/>
    <m/>
    <m/>
    <m/>
    <n v="0"/>
    <n v="0"/>
    <n v="0"/>
    <n v="0"/>
    <m/>
    <m/>
    <n v="0"/>
    <n v="0"/>
  </r>
  <r>
    <x v="15"/>
    <s v="Eastern West Virginia Community &amp; Technical College"/>
    <m/>
    <n v="438708"/>
    <x v="7"/>
    <s v="sem"/>
    <s v="sem"/>
    <m/>
    <m/>
    <n v="3204"/>
    <n v="2637"/>
    <n v="380"/>
    <n v="261"/>
    <n v="3012"/>
    <n v="2852"/>
    <n v="6596"/>
    <n v="219.86666666666667"/>
    <n v="5750"/>
    <n v="191.66666666666666"/>
    <n v="1586"/>
    <n v="1364"/>
    <n v="6596"/>
    <n v="5750"/>
    <m/>
    <m/>
    <m/>
    <m/>
    <m/>
    <m/>
    <m/>
    <m/>
    <n v="0"/>
    <n v="0"/>
    <n v="0"/>
    <n v="0"/>
    <m/>
    <m/>
    <n v="0"/>
    <n v="0"/>
  </r>
  <r>
    <x v="15"/>
    <s v="Mountwest Community &amp; Technical College"/>
    <m/>
    <n v="444954"/>
    <x v="7"/>
    <s v="sem"/>
    <s v="sem"/>
    <m/>
    <m/>
    <n v="16851"/>
    <n v="12476"/>
    <n v="2201"/>
    <n v="1839"/>
    <n v="14657"/>
    <n v="13405"/>
    <n v="33709"/>
    <n v="1123.6333333333334"/>
    <n v="27720"/>
    <n v="924"/>
    <n v="2330"/>
    <n v="1129"/>
    <n v="33709"/>
    <n v="27720"/>
    <m/>
    <m/>
    <m/>
    <m/>
    <m/>
    <m/>
    <m/>
    <m/>
    <n v="0"/>
    <n v="0"/>
    <n v="0"/>
    <n v="0"/>
    <m/>
    <m/>
    <n v="0"/>
    <n v="0"/>
  </r>
  <r>
    <x v="15"/>
    <s v="New River Community &amp; Technical College"/>
    <m/>
    <n v="447582"/>
    <x v="7"/>
    <s v="sem"/>
    <s v="sem"/>
    <m/>
    <m/>
    <n v="11625"/>
    <n v="10186"/>
    <n v="2523"/>
    <n v="2170"/>
    <n v="11263"/>
    <n v="11253"/>
    <n v="25411"/>
    <n v="847.0333333333333"/>
    <n v="23609"/>
    <n v="786.9666666666667"/>
    <n v="2141"/>
    <n v="2111"/>
    <n v="25411"/>
    <n v="23609"/>
    <m/>
    <m/>
    <m/>
    <m/>
    <m/>
    <m/>
    <m/>
    <m/>
    <n v="0"/>
    <n v="0"/>
    <n v="0"/>
    <n v="0"/>
    <m/>
    <m/>
    <n v="0"/>
    <n v="0"/>
  </r>
  <r>
    <x v="15"/>
    <s v="Pierpont Community &amp; Technical College"/>
    <m/>
    <n v="443492"/>
    <x v="7"/>
    <s v="sem"/>
    <s v="sem"/>
    <m/>
    <m/>
    <n v="16020"/>
    <n v="14418"/>
    <n v="1583"/>
    <n v="1718"/>
    <n v="17976"/>
    <n v="16266"/>
    <n v="35579"/>
    <n v="1185.9666666666667"/>
    <n v="32402"/>
    <n v="1080.0666666666666"/>
    <n v="4116"/>
    <n v="4184"/>
    <n v="35579"/>
    <n v="32402"/>
    <m/>
    <m/>
    <m/>
    <m/>
    <m/>
    <m/>
    <m/>
    <m/>
    <n v="0"/>
    <n v="0"/>
    <n v="0"/>
    <n v="0"/>
    <m/>
    <m/>
    <n v="0"/>
    <n v="0"/>
  </r>
  <r>
    <x v="15"/>
    <s v="Southern West Virginia Community &amp; Technical College "/>
    <m/>
    <n v="237817"/>
    <x v="7"/>
    <s v="sem"/>
    <s v="sem"/>
    <m/>
    <m/>
    <n v="14980"/>
    <n v="14219"/>
    <n v="801"/>
    <n v="634"/>
    <n v="17626"/>
    <n v="16173"/>
    <n v="33407"/>
    <n v="1113.5666666666666"/>
    <n v="31026"/>
    <n v="1034.2"/>
    <n v="1419"/>
    <n v="2015"/>
    <n v="33407"/>
    <n v="31026"/>
    <m/>
    <m/>
    <m/>
    <m/>
    <m/>
    <m/>
    <m/>
    <m/>
    <n v="0"/>
    <n v="0"/>
    <n v="0"/>
    <n v="0"/>
    <m/>
    <m/>
    <n v="0"/>
    <n v="0"/>
  </r>
  <r>
    <x v="15"/>
    <s v="West Virginia Northern Community College"/>
    <m/>
    <n v="238014"/>
    <x v="7"/>
    <s v="sem"/>
    <s v="sem"/>
    <m/>
    <m/>
    <n v="12589"/>
    <n v="11345"/>
    <n v="2349"/>
    <n v="2295"/>
    <n v="12927"/>
    <n v="11360"/>
    <n v="27865"/>
    <n v="928.83333333333337"/>
    <n v="25000"/>
    <n v="833.33333333333337"/>
    <n v="3684"/>
    <n v="3202"/>
    <n v="27865"/>
    <n v="25000"/>
    <m/>
    <m/>
    <m/>
    <m/>
    <m/>
    <m/>
    <m/>
    <m/>
    <n v="0"/>
    <n v="0"/>
    <n v="0"/>
    <n v="0"/>
    <m/>
    <m/>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8">
  <r>
    <x v="0"/>
    <s v="Auburn University"/>
    <m/>
    <n v="100858"/>
    <x v="0"/>
    <m/>
    <m/>
    <m/>
    <m/>
    <n v="325844"/>
    <n v="318769"/>
    <n v="65889"/>
    <n v="60588"/>
    <n v="347470"/>
    <n v="349218"/>
    <n v="739203"/>
    <n v="24640.1"/>
    <n v="728575"/>
    <n v="24285.833333333332"/>
    <n v="2390"/>
    <n v="3628"/>
    <n v="739203"/>
    <n v="728575"/>
    <m/>
    <m/>
    <m/>
    <m/>
    <m/>
    <m/>
    <m/>
    <m/>
    <n v="0"/>
    <n v="0"/>
    <n v="0"/>
    <n v="0"/>
    <m/>
    <m/>
    <n v="0"/>
    <n v="0"/>
    <m/>
    <m/>
    <n v="41647"/>
    <n v="54153"/>
    <n v="23689"/>
    <n v="26489"/>
    <n v="48026"/>
    <n v="60174"/>
    <n v="113362"/>
    <n v="4723.416666666667"/>
    <n v="140816"/>
    <n v="5867.333333333333"/>
    <n v="29363.516666666666"/>
    <n v="30153.166666666664"/>
  </r>
  <r>
    <x v="0"/>
    <s v="University of Alabama "/>
    <m/>
    <n v="100751"/>
    <x v="0"/>
    <m/>
    <m/>
    <m/>
    <m/>
    <n v="403673"/>
    <n v="381177"/>
    <n v="64637"/>
    <n v="50387"/>
    <n v="420300"/>
    <n v="420568"/>
    <n v="888610"/>
    <n v="29620.333333333332"/>
    <n v="852132"/>
    <n v="28404.400000000001"/>
    <n v="10710"/>
    <n v="9851"/>
    <n v="888610"/>
    <n v="852132"/>
    <m/>
    <m/>
    <m/>
    <m/>
    <m/>
    <m/>
    <m/>
    <m/>
    <n v="0"/>
    <n v="0"/>
    <n v="0"/>
    <n v="0"/>
    <m/>
    <m/>
    <n v="0"/>
    <n v="0"/>
    <m/>
    <m/>
    <n v="43912"/>
    <n v="51340"/>
    <n v="10634"/>
    <n v="12750"/>
    <n v="49937"/>
    <n v="50606"/>
    <n v="104483"/>
    <n v="4353.458333333333"/>
    <n v="114696"/>
    <n v="4779"/>
    <n v="33973.791666666664"/>
    <n v="33183.4"/>
  </r>
  <r>
    <x v="0"/>
    <s v="University of Alabama at Birmingham"/>
    <m/>
    <n v="100663"/>
    <x v="0"/>
    <m/>
    <m/>
    <m/>
    <m/>
    <n v="135897"/>
    <n v="134867"/>
    <n v="35410"/>
    <n v="32044"/>
    <n v="150286"/>
    <n v="146823"/>
    <n v="321593"/>
    <n v="10719.766666666666"/>
    <n v="313734"/>
    <n v="10457.799999999999"/>
    <n v="860"/>
    <n v="455"/>
    <n v="321593"/>
    <n v="313734"/>
    <m/>
    <m/>
    <n v="9060"/>
    <n v="8991"/>
    <n v="2361"/>
    <n v="2136"/>
    <n v="10019"/>
    <n v="9788"/>
    <n v="21440"/>
    <n v="23.822222222222223"/>
    <n v="20915"/>
    <n v="23.238888888888887"/>
    <n v="57"/>
    <n v="30"/>
    <n v="21440"/>
    <n v="20915"/>
    <m/>
    <m/>
    <n v="20306"/>
    <n v="22617"/>
    <n v="13336"/>
    <n v="14604"/>
    <n v="22282"/>
    <n v="23450"/>
    <n v="55924"/>
    <n v="2330.1666666666665"/>
    <n v="60671"/>
    <n v="2527.9583333333335"/>
    <n v="13073.755555555555"/>
    <n v="13008.997222222222"/>
  </r>
  <r>
    <x v="0"/>
    <s v="University of Alabama in Huntsville"/>
    <m/>
    <n v="100706"/>
    <x v="1"/>
    <m/>
    <m/>
    <m/>
    <m/>
    <n v="97398"/>
    <n v="97087"/>
    <n v="15771"/>
    <n v="15809"/>
    <n v="107385"/>
    <n v="99129"/>
    <n v="220554"/>
    <n v="7351.8"/>
    <n v="212025"/>
    <n v="7067.5"/>
    <n v="1580"/>
    <n v="1615"/>
    <n v="220554"/>
    <n v="212025"/>
    <m/>
    <m/>
    <m/>
    <m/>
    <m/>
    <m/>
    <m/>
    <m/>
    <n v="0"/>
    <n v="0"/>
    <n v="0"/>
    <n v="0"/>
    <m/>
    <m/>
    <n v="0"/>
    <n v="0"/>
    <m/>
    <m/>
    <n v="11634"/>
    <n v="12387"/>
    <n v="5767"/>
    <n v="5943"/>
    <n v="12755"/>
    <n v="13463"/>
    <n v="30156"/>
    <n v="1256.5"/>
    <n v="31793"/>
    <n v="1324.7083333333333"/>
    <n v="8608.2999999999993"/>
    <n v="8392.2083333333339"/>
  </r>
  <r>
    <x v="0"/>
    <s v="University of South Alabama"/>
    <m/>
    <n v="102094"/>
    <x v="1"/>
    <m/>
    <m/>
    <m/>
    <m/>
    <n v="102831"/>
    <n v="96119"/>
    <n v="20267"/>
    <n v="17207"/>
    <n v="108083"/>
    <n v="103621"/>
    <n v="231181"/>
    <n v="7706.0333333333338"/>
    <n v="216947"/>
    <n v="7231.5666666666666"/>
    <n v="192"/>
    <n v="895"/>
    <n v="231181"/>
    <n v="216947"/>
    <m/>
    <m/>
    <m/>
    <m/>
    <m/>
    <m/>
    <m/>
    <m/>
    <n v="0"/>
    <n v="0"/>
    <n v="0"/>
    <n v="0"/>
    <m/>
    <m/>
    <n v="0"/>
    <n v="0"/>
    <m/>
    <m/>
    <n v="7132"/>
    <n v="8063"/>
    <n v="4594"/>
    <n v="4576"/>
    <n v="8238"/>
    <n v="8296"/>
    <n v="19964"/>
    <n v="831.83333333333337"/>
    <n v="20935"/>
    <n v="872.29166666666663"/>
    <n v="8537.8666666666668"/>
    <n v="8103.8583333333336"/>
  </r>
  <r>
    <x v="0"/>
    <s v="Alabama Agricultural &amp; Mechanical University"/>
    <m/>
    <n v="100654"/>
    <x v="2"/>
    <m/>
    <m/>
    <m/>
    <m/>
    <n v="70410"/>
    <n v="57075"/>
    <n v="9207"/>
    <n v="11413"/>
    <n v="70545"/>
    <n v="64828"/>
    <n v="150162"/>
    <n v="5005.3999999999996"/>
    <n v="133316"/>
    <n v="4443.8666666666668"/>
    <n v="0"/>
    <n v="0"/>
    <n v="150162"/>
    <n v="133316"/>
    <m/>
    <m/>
    <m/>
    <m/>
    <m/>
    <m/>
    <m/>
    <m/>
    <n v="0"/>
    <n v="0"/>
    <n v="0"/>
    <n v="0"/>
    <m/>
    <m/>
    <n v="0"/>
    <n v="0"/>
    <m/>
    <m/>
    <n v="7355"/>
    <n v="6829"/>
    <n v="3298"/>
    <n v="3094"/>
    <n v="7273"/>
    <n v="6476"/>
    <n v="17926"/>
    <n v="746.91666666666663"/>
    <n v="16399"/>
    <n v="683.29166666666663"/>
    <n v="5752.3166666666666"/>
    <n v="5127.1583333333338"/>
  </r>
  <r>
    <x v="0"/>
    <s v="Jacksonville State University "/>
    <m/>
    <n v="101480"/>
    <x v="2"/>
    <m/>
    <m/>
    <m/>
    <m/>
    <n v="86049"/>
    <n v="85253"/>
    <n v="23153"/>
    <n v="22046"/>
    <n v="96075"/>
    <n v="98426"/>
    <n v="205277"/>
    <n v="6842.5666666666666"/>
    <n v="205725"/>
    <n v="6857.5"/>
    <n v="5773"/>
    <n v="6163"/>
    <n v="205277"/>
    <n v="205725"/>
    <m/>
    <m/>
    <m/>
    <m/>
    <m/>
    <m/>
    <m/>
    <m/>
    <n v="0"/>
    <n v="0"/>
    <n v="0"/>
    <n v="0"/>
    <m/>
    <m/>
    <n v="0"/>
    <n v="0"/>
    <m/>
    <m/>
    <n v="8101"/>
    <n v="9613"/>
    <n v="6573"/>
    <n v="6326"/>
    <n v="10195"/>
    <n v="9957"/>
    <n v="24869"/>
    <n v="1036.2083333333333"/>
    <n v="25896"/>
    <n v="1079"/>
    <n v="7878.7749999999996"/>
    <n v="7936.5"/>
  </r>
  <r>
    <x v="0"/>
    <s v="Troy University"/>
    <m/>
    <n v="102368"/>
    <x v="2"/>
    <m/>
    <m/>
    <m/>
    <m/>
    <n v="137450"/>
    <n v="126458"/>
    <n v="34074"/>
    <n v="28925"/>
    <n v="142473"/>
    <n v="128674"/>
    <n v="313997"/>
    <n v="10466.566666666668"/>
    <n v="284057"/>
    <n v="9468.5666666666675"/>
    <n v="3165"/>
    <n v="2913"/>
    <n v="313997"/>
    <n v="284057"/>
    <m/>
    <m/>
    <m/>
    <m/>
    <m/>
    <m/>
    <m/>
    <m/>
    <n v="0"/>
    <n v="0"/>
    <n v="0"/>
    <n v="0"/>
    <m/>
    <m/>
    <n v="0"/>
    <n v="0"/>
    <m/>
    <m/>
    <n v="21018"/>
    <n v="23108"/>
    <n v="9620"/>
    <n v="9413"/>
    <n v="22767"/>
    <n v="21595"/>
    <n v="53405"/>
    <n v="2225.2083333333335"/>
    <n v="54116"/>
    <n v="2254.8333333333335"/>
    <n v="12691.775000000001"/>
    <n v="11723.400000000001"/>
  </r>
  <r>
    <x v="0"/>
    <s v="University of North Alabama"/>
    <m/>
    <n v="101879"/>
    <x v="2"/>
    <m/>
    <m/>
    <m/>
    <m/>
    <n v="71063"/>
    <n v="67781"/>
    <n v="15048"/>
    <n v="13661"/>
    <n v="74693"/>
    <n v="73050"/>
    <n v="160804"/>
    <n v="5360.1333333333332"/>
    <n v="154492"/>
    <n v="5149.7333333333336"/>
    <n v="3173"/>
    <n v="4482"/>
    <n v="160804"/>
    <n v="154492"/>
    <m/>
    <m/>
    <m/>
    <m/>
    <m/>
    <m/>
    <m/>
    <m/>
    <n v="0"/>
    <n v="0"/>
    <n v="0"/>
    <n v="0"/>
    <m/>
    <m/>
    <n v="0"/>
    <n v="0"/>
    <m/>
    <m/>
    <n v="9996"/>
    <n v="14940"/>
    <n v="6260"/>
    <n v="7921"/>
    <n v="14088"/>
    <n v="16506"/>
    <n v="30344"/>
    <n v="1264.3333333333333"/>
    <n v="39367"/>
    <n v="1640.2916666666667"/>
    <n v="6624.4666666666662"/>
    <n v="6790.0250000000005"/>
  </r>
  <r>
    <x v="0"/>
    <s v="Alabama State University "/>
    <m/>
    <n v="100724"/>
    <x v="3"/>
    <m/>
    <m/>
    <m/>
    <m/>
    <n v="48938"/>
    <n v="45491"/>
    <n v="6893"/>
    <n v="6824"/>
    <n v="53655"/>
    <n v="40042"/>
    <n v="109486"/>
    <n v="3649.5333333333333"/>
    <n v="92357"/>
    <n v="3078.5666666666666"/>
    <n v="42"/>
    <n v="51"/>
    <n v="109486"/>
    <n v="92357"/>
    <m/>
    <m/>
    <m/>
    <m/>
    <m/>
    <m/>
    <m/>
    <m/>
    <n v="0"/>
    <n v="0"/>
    <n v="0"/>
    <n v="0"/>
    <m/>
    <m/>
    <n v="0"/>
    <n v="0"/>
    <m/>
    <m/>
    <n v="4687"/>
    <n v="5099"/>
    <n v="1923"/>
    <n v="2089"/>
    <n v="5474"/>
    <n v="6153"/>
    <n v="12084"/>
    <n v="503.5"/>
    <n v="13341"/>
    <n v="555.875"/>
    <n v="4153.0333333333328"/>
    <n v="3634.4416666666666"/>
  </r>
  <r>
    <x v="0"/>
    <s v="Auburn University at Montgomery"/>
    <m/>
    <n v="100830"/>
    <x v="2"/>
    <m/>
    <m/>
    <m/>
    <m/>
    <n v="48898"/>
    <n v="44576"/>
    <n v="13471"/>
    <n v="11470"/>
    <n v="52421"/>
    <n v="47722"/>
    <n v="114790"/>
    <n v="3826.3333333333335"/>
    <n v="103768"/>
    <n v="3458.9333333333334"/>
    <n v="481"/>
    <n v="656"/>
    <n v="114790"/>
    <n v="103768"/>
    <m/>
    <m/>
    <m/>
    <m/>
    <m/>
    <m/>
    <m/>
    <m/>
    <n v="0"/>
    <n v="0"/>
    <n v="0"/>
    <n v="0"/>
    <m/>
    <m/>
    <n v="0"/>
    <n v="0"/>
    <m/>
    <m/>
    <n v="4719"/>
    <n v="5646"/>
    <n v="2983"/>
    <n v="3070"/>
    <n v="5994"/>
    <n v="6954"/>
    <n v="13696"/>
    <n v="570.66666666666663"/>
    <n v="15670"/>
    <n v="652.91666666666663"/>
    <n v="4397"/>
    <n v="4111.8500000000004"/>
  </r>
  <r>
    <x v="0"/>
    <s v="University of Montevallo"/>
    <m/>
    <n v="101709"/>
    <x v="4"/>
    <m/>
    <m/>
    <m/>
    <m/>
    <n v="27689"/>
    <n v="27358"/>
    <n v="4145"/>
    <n v="4032"/>
    <n v="30424"/>
    <n v="29795"/>
    <n v="62258"/>
    <n v="2075.2666666666669"/>
    <n v="61185"/>
    <n v="2039.5"/>
    <n v="227"/>
    <n v="170"/>
    <n v="62258"/>
    <n v="61185"/>
    <m/>
    <m/>
    <m/>
    <m/>
    <m/>
    <m/>
    <m/>
    <m/>
    <n v="0"/>
    <n v="0"/>
    <n v="0"/>
    <n v="0"/>
    <m/>
    <m/>
    <n v="0"/>
    <n v="0"/>
    <m/>
    <m/>
    <n v="2230"/>
    <n v="2795"/>
    <n v="1704"/>
    <n v="1910"/>
    <n v="2725"/>
    <n v="2938"/>
    <n v="6659"/>
    <n v="277.45833333333331"/>
    <n v="7643"/>
    <n v="318.45833333333331"/>
    <n v="2352.7250000000004"/>
    <n v="2357.9583333333335"/>
  </r>
  <r>
    <x v="0"/>
    <s v="University of West Alabama"/>
    <m/>
    <n v="101587"/>
    <x v="3"/>
    <m/>
    <m/>
    <m/>
    <m/>
    <n v="27483"/>
    <n v="26633"/>
    <n v="7822"/>
    <n v="8770"/>
    <n v="28659"/>
    <n v="28282"/>
    <n v="63964"/>
    <n v="2132.1333333333332"/>
    <n v="63685"/>
    <n v="2122.8333333333335"/>
    <n v="210"/>
    <n v="349"/>
    <n v="63964"/>
    <n v="63685"/>
    <m/>
    <m/>
    <m/>
    <m/>
    <m/>
    <m/>
    <m/>
    <m/>
    <n v="0"/>
    <n v="0"/>
    <n v="0"/>
    <n v="0"/>
    <m/>
    <m/>
    <n v="0"/>
    <n v="0"/>
    <m/>
    <m/>
    <n v="22255"/>
    <n v="23250"/>
    <n v="23271"/>
    <n v="22532"/>
    <n v="22603"/>
    <n v="21378"/>
    <n v="68129"/>
    <n v="2838.7083333333335"/>
    <n v="67160"/>
    <n v="2798.3333333333335"/>
    <n v="4970.8416666666672"/>
    <n v="4921.166666666667"/>
  </r>
  <r>
    <x v="0"/>
    <s v="Athens State University"/>
    <s v="Reclassified: Met the criteria for Four-Year 5 in 2019-20 and 2020-21, and 2021-22"/>
    <n v="100812"/>
    <x v="4"/>
    <m/>
    <m/>
    <m/>
    <m/>
    <n v="25274"/>
    <n v="24495"/>
    <n v="13215"/>
    <n v="12227"/>
    <n v="26560"/>
    <n v="24894"/>
    <n v="65049"/>
    <n v="2168.3000000000002"/>
    <n v="61616"/>
    <n v="2053.8666666666668"/>
    <n v="0"/>
    <n v="0"/>
    <n v="65049"/>
    <n v="61616"/>
    <m/>
    <m/>
    <m/>
    <m/>
    <m/>
    <m/>
    <m/>
    <m/>
    <n v="0"/>
    <n v="0"/>
    <n v="0"/>
    <n v="0"/>
    <m/>
    <m/>
    <n v="0"/>
    <n v="0"/>
    <m/>
    <m/>
    <n v="1095"/>
    <n v="1284"/>
    <n v="693"/>
    <n v="978"/>
    <n v="1194"/>
    <n v="1467"/>
    <n v="2982"/>
    <n v="124.25"/>
    <n v="3729"/>
    <n v="155.375"/>
    <n v="2292.5500000000002"/>
    <n v="2209.2416666666668"/>
  </r>
  <r>
    <x v="0"/>
    <s v="Jefferson State Community College"/>
    <m/>
    <n v="101505"/>
    <x v="5"/>
    <m/>
    <m/>
    <m/>
    <m/>
    <n v="61389"/>
    <n v="61097"/>
    <n v="31490"/>
    <n v="31205"/>
    <n v="68416"/>
    <n v="66323"/>
    <n v="161295"/>
    <n v="5376.5"/>
    <n v="158625"/>
    <n v="5287.5"/>
    <n v="15806"/>
    <n v="16863"/>
    <n v="161295"/>
    <n v="158625"/>
    <m/>
    <m/>
    <m/>
    <m/>
    <m/>
    <m/>
    <m/>
    <m/>
    <n v="0"/>
    <n v="0"/>
    <n v="0"/>
    <n v="0"/>
    <m/>
    <m/>
    <n v="0"/>
    <n v="0"/>
    <m/>
    <m/>
    <m/>
    <m/>
    <m/>
    <m/>
    <m/>
    <m/>
    <n v="0"/>
    <n v="0"/>
    <n v="0"/>
    <n v="0"/>
    <n v="5376.5"/>
    <n v="5287.5"/>
  </r>
  <r>
    <x v="0"/>
    <s v="John C. Calhoun Community College "/>
    <m/>
    <n v="101514"/>
    <x v="5"/>
    <m/>
    <m/>
    <m/>
    <m/>
    <n v="74336"/>
    <n v="66331"/>
    <n v="32281"/>
    <n v="30531"/>
    <n v="70317"/>
    <n v="71340"/>
    <n v="176934"/>
    <n v="5897.8"/>
    <n v="168202"/>
    <n v="5606.7333333333336"/>
    <n v="13453"/>
    <n v="15623"/>
    <n v="176934"/>
    <n v="168202"/>
    <m/>
    <m/>
    <m/>
    <m/>
    <m/>
    <m/>
    <m/>
    <m/>
    <n v="0"/>
    <n v="0"/>
    <n v="0"/>
    <n v="0"/>
    <m/>
    <m/>
    <n v="0"/>
    <n v="0"/>
    <m/>
    <m/>
    <m/>
    <m/>
    <m/>
    <m/>
    <m/>
    <m/>
    <n v="0"/>
    <n v="0"/>
    <n v="0"/>
    <n v="0"/>
    <n v="5897.8"/>
    <n v="5606.7333333333336"/>
  </r>
  <r>
    <x v="0"/>
    <s v="Bevill State Community College"/>
    <s v="Met the criteria for Two-Year 3 in 2020-21, and 2021-22"/>
    <n v="102429"/>
    <x v="6"/>
    <m/>
    <m/>
    <m/>
    <m/>
    <n v="29956"/>
    <n v="24338"/>
    <n v="13763"/>
    <n v="13335"/>
    <n v="27028"/>
    <n v="28020"/>
    <n v="70747"/>
    <n v="2358.2333333333331"/>
    <n v="65693"/>
    <n v="2189.7666666666669"/>
    <n v="10490"/>
    <n v="10023"/>
    <n v="70747"/>
    <n v="65693"/>
    <m/>
    <m/>
    <m/>
    <m/>
    <m/>
    <m/>
    <m/>
    <m/>
    <n v="0"/>
    <n v="0"/>
    <n v="0"/>
    <n v="0"/>
    <m/>
    <m/>
    <n v="0"/>
    <n v="0"/>
    <m/>
    <m/>
    <m/>
    <m/>
    <m/>
    <m/>
    <m/>
    <m/>
    <n v="0"/>
    <n v="0"/>
    <n v="0"/>
    <n v="0"/>
    <n v="2358.2333333333331"/>
    <n v="2189.7666666666669"/>
  </r>
  <r>
    <x v="0"/>
    <s v="Bishop State Community College"/>
    <s v="Met the criteria for Two-Year 3 in 2020-21 and 2021,22"/>
    <n v="102030"/>
    <x v="6"/>
    <m/>
    <m/>
    <m/>
    <m/>
    <n v="25972"/>
    <n v="19259"/>
    <n v="10290"/>
    <n v="8334"/>
    <n v="18700"/>
    <n v="22005"/>
    <n v="54962"/>
    <n v="1832.0666666666666"/>
    <n v="49598"/>
    <n v="1653.2666666666667"/>
    <n v="4101"/>
    <n v="4021"/>
    <n v="54962"/>
    <n v="49598"/>
    <m/>
    <m/>
    <m/>
    <m/>
    <m/>
    <m/>
    <m/>
    <m/>
    <n v="0"/>
    <n v="0"/>
    <n v="0"/>
    <n v="0"/>
    <m/>
    <m/>
    <n v="0"/>
    <n v="0"/>
    <m/>
    <m/>
    <m/>
    <m/>
    <m/>
    <m/>
    <m/>
    <m/>
    <n v="0"/>
    <n v="0"/>
    <n v="0"/>
    <n v="0"/>
    <n v="1832.0666666666666"/>
    <n v="1653.2666666666667"/>
  </r>
  <r>
    <x v="0"/>
    <s v="Coastal Alabama Community College"/>
    <s v="Met the criteria for Two-Year 2 in 2021-22"/>
    <n v="101161"/>
    <x v="5"/>
    <m/>
    <m/>
    <m/>
    <m/>
    <n v="65377"/>
    <n v="56555"/>
    <n v="27248"/>
    <n v="25290"/>
    <n v="63082"/>
    <n v="66208"/>
    <n v="155707"/>
    <n v="5190.2333333333336"/>
    <n v="148053"/>
    <n v="4935.1000000000004"/>
    <n v="16860"/>
    <n v="14617"/>
    <n v="155707"/>
    <n v="148053"/>
    <m/>
    <m/>
    <m/>
    <m/>
    <m/>
    <m/>
    <m/>
    <m/>
    <n v="0"/>
    <n v="0"/>
    <n v="0"/>
    <n v="0"/>
    <m/>
    <m/>
    <n v="0"/>
    <n v="0"/>
    <m/>
    <m/>
    <m/>
    <m/>
    <m/>
    <m/>
    <m/>
    <m/>
    <n v="0"/>
    <n v="0"/>
    <n v="0"/>
    <n v="0"/>
    <n v="5190.2333333333336"/>
    <n v="4935.1000000000004"/>
  </r>
  <r>
    <x v="0"/>
    <s v="Gadsden State Community College"/>
    <m/>
    <n v="101240"/>
    <x v="6"/>
    <m/>
    <m/>
    <m/>
    <m/>
    <n v="39353"/>
    <n v="34962"/>
    <n v="18276"/>
    <n v="19692"/>
    <n v="39506"/>
    <n v="41096"/>
    <n v="97135"/>
    <n v="3237.8333333333335"/>
    <n v="95750"/>
    <n v="3191.6666666666665"/>
    <n v="4934"/>
    <n v="5966"/>
    <n v="97135"/>
    <n v="95750"/>
    <m/>
    <m/>
    <m/>
    <m/>
    <m/>
    <m/>
    <m/>
    <m/>
    <n v="0"/>
    <n v="0"/>
    <n v="0"/>
    <n v="0"/>
    <m/>
    <m/>
    <n v="0"/>
    <n v="0"/>
    <m/>
    <m/>
    <m/>
    <m/>
    <m/>
    <m/>
    <m/>
    <m/>
    <n v="0"/>
    <n v="0"/>
    <n v="0"/>
    <n v="0"/>
    <n v="3237.8333333333335"/>
    <n v="3191.6666666666665"/>
  </r>
  <r>
    <x v="0"/>
    <s v="George C. Wallace Community College-Dothan"/>
    <m/>
    <n v="101286"/>
    <x v="6"/>
    <m/>
    <m/>
    <m/>
    <m/>
    <n v="36713"/>
    <n v="30513"/>
    <n v="17248"/>
    <n v="15413"/>
    <n v="32178"/>
    <n v="33463"/>
    <n v="86139"/>
    <n v="2871.3"/>
    <n v="79389"/>
    <n v="2646.3"/>
    <n v="6515"/>
    <n v="5701"/>
    <n v="86139"/>
    <n v="79389"/>
    <m/>
    <m/>
    <m/>
    <m/>
    <m/>
    <m/>
    <m/>
    <m/>
    <n v="0"/>
    <n v="0"/>
    <n v="0"/>
    <n v="0"/>
    <m/>
    <m/>
    <n v="0"/>
    <n v="0"/>
    <m/>
    <m/>
    <m/>
    <m/>
    <m/>
    <m/>
    <m/>
    <m/>
    <n v="0"/>
    <n v="0"/>
    <n v="0"/>
    <n v="0"/>
    <n v="2871.3"/>
    <n v="2646.3"/>
  </r>
  <r>
    <x v="0"/>
    <s v="George C. Wallace State Community College-Hanceville"/>
    <m/>
    <n v="101295"/>
    <x v="6"/>
    <m/>
    <m/>
    <m/>
    <m/>
    <n v="48052"/>
    <n v="42439"/>
    <n v="21257"/>
    <n v="19366"/>
    <n v="49925"/>
    <n v="51196"/>
    <n v="119234"/>
    <n v="3974.4666666666667"/>
    <n v="113001"/>
    <n v="3766.7"/>
    <n v="8105"/>
    <n v="7901"/>
    <n v="119234"/>
    <n v="113001"/>
    <m/>
    <m/>
    <m/>
    <m/>
    <m/>
    <m/>
    <m/>
    <m/>
    <n v="0"/>
    <n v="0"/>
    <n v="0"/>
    <n v="0"/>
    <m/>
    <m/>
    <n v="0"/>
    <n v="0"/>
    <m/>
    <m/>
    <m/>
    <m/>
    <m/>
    <m/>
    <m/>
    <m/>
    <n v="0"/>
    <n v="0"/>
    <n v="0"/>
    <n v="0"/>
    <n v="3974.4666666666667"/>
    <n v="3766.7"/>
  </r>
  <r>
    <x v="0"/>
    <s v="Lawson State Community College "/>
    <m/>
    <n v="101569"/>
    <x v="6"/>
    <m/>
    <m/>
    <m/>
    <m/>
    <n v="29269"/>
    <n v="25334"/>
    <n v="11700"/>
    <n v="11874"/>
    <n v="27548"/>
    <n v="28878"/>
    <n v="68517"/>
    <n v="2283.9"/>
    <n v="66086"/>
    <n v="2202.8666666666668"/>
    <n v="1965"/>
    <n v="2084"/>
    <n v="68517"/>
    <n v="66086"/>
    <m/>
    <m/>
    <m/>
    <m/>
    <m/>
    <m/>
    <m/>
    <m/>
    <n v="0"/>
    <n v="0"/>
    <n v="0"/>
    <n v="0"/>
    <m/>
    <m/>
    <n v="0"/>
    <n v="0"/>
    <m/>
    <m/>
    <m/>
    <m/>
    <m/>
    <m/>
    <m/>
    <m/>
    <n v="0"/>
    <n v="0"/>
    <n v="0"/>
    <n v="0"/>
    <n v="2283.9"/>
    <n v="2202.8666666666668"/>
  </r>
  <r>
    <x v="0"/>
    <s v="Northwest-Shoals Community College"/>
    <s v="Met the criteria for Two-Year 3 in 2021-22"/>
    <n v="101736"/>
    <x v="6"/>
    <m/>
    <m/>
    <m/>
    <m/>
    <n v="25281"/>
    <n v="22828"/>
    <n v="9757"/>
    <n v="10206"/>
    <n v="27289"/>
    <n v="25964"/>
    <n v="62327"/>
    <n v="2077.5666666666666"/>
    <n v="58998"/>
    <n v="1966.6"/>
    <n v="8025"/>
    <n v="10424"/>
    <n v="62327"/>
    <n v="58998"/>
    <m/>
    <m/>
    <m/>
    <m/>
    <m/>
    <m/>
    <m/>
    <m/>
    <n v="0"/>
    <n v="0"/>
    <n v="0"/>
    <n v="0"/>
    <m/>
    <m/>
    <n v="0"/>
    <n v="0"/>
    <m/>
    <m/>
    <m/>
    <m/>
    <m/>
    <m/>
    <m/>
    <m/>
    <n v="0"/>
    <n v="0"/>
    <n v="0"/>
    <n v="0"/>
    <n v="2077.5666666666666"/>
    <n v="1966.6"/>
  </r>
  <r>
    <x v="0"/>
    <s v="Shelton State Community College"/>
    <m/>
    <n v="102067"/>
    <x v="6"/>
    <m/>
    <m/>
    <m/>
    <m/>
    <n v="37193"/>
    <n v="31567"/>
    <n v="18816"/>
    <n v="17380"/>
    <n v="35893"/>
    <n v="39894"/>
    <n v="91902"/>
    <n v="3063.4"/>
    <n v="88841"/>
    <n v="2961.3666666666668"/>
    <n v="3449"/>
    <n v="4482"/>
    <n v="91902"/>
    <n v="88841"/>
    <m/>
    <m/>
    <m/>
    <m/>
    <m/>
    <m/>
    <m/>
    <m/>
    <n v="0"/>
    <n v="0"/>
    <n v="0"/>
    <n v="0"/>
    <m/>
    <m/>
    <n v="0"/>
    <n v="0"/>
    <m/>
    <m/>
    <m/>
    <m/>
    <m/>
    <m/>
    <m/>
    <m/>
    <n v="0"/>
    <n v="0"/>
    <n v="0"/>
    <n v="0"/>
    <n v="3063.4"/>
    <n v="2961.3666666666668"/>
  </r>
  <r>
    <x v="0"/>
    <s v="Southern Union State Community College"/>
    <m/>
    <n v="251260"/>
    <x v="6"/>
    <m/>
    <m/>
    <m/>
    <m/>
    <n v="44046"/>
    <n v="37111"/>
    <n v="18475"/>
    <n v="16274"/>
    <n v="41544"/>
    <n v="42728"/>
    <n v="104065"/>
    <n v="3468.8333333333335"/>
    <n v="96113"/>
    <n v="3203.7666666666669"/>
    <n v="3706"/>
    <n v="3520"/>
    <n v="104065"/>
    <n v="96113"/>
    <m/>
    <m/>
    <m/>
    <m/>
    <m/>
    <m/>
    <m/>
    <m/>
    <n v="0"/>
    <n v="0"/>
    <n v="0"/>
    <n v="0"/>
    <m/>
    <m/>
    <n v="0"/>
    <n v="0"/>
    <m/>
    <m/>
    <m/>
    <m/>
    <m/>
    <m/>
    <m/>
    <m/>
    <n v="0"/>
    <n v="0"/>
    <n v="0"/>
    <n v="0"/>
    <n v="3468.8333333333335"/>
    <n v="3203.7666666666669"/>
  </r>
  <r>
    <x v="0"/>
    <s v="Central Alabama Community College"/>
    <m/>
    <n v="100760"/>
    <x v="7"/>
    <m/>
    <m/>
    <m/>
    <m/>
    <n v="13211"/>
    <n v="11224"/>
    <n v="5444"/>
    <n v="5203"/>
    <n v="13361"/>
    <n v="12770"/>
    <n v="32016"/>
    <n v="1067.2"/>
    <n v="29197"/>
    <n v="973.23333333333335"/>
    <n v="4544"/>
    <n v="4984"/>
    <n v="32016"/>
    <n v="29197"/>
    <m/>
    <m/>
    <m/>
    <m/>
    <m/>
    <m/>
    <m/>
    <m/>
    <n v="0"/>
    <n v="0"/>
    <n v="0"/>
    <n v="0"/>
    <m/>
    <m/>
    <n v="0"/>
    <n v="0"/>
    <m/>
    <m/>
    <m/>
    <m/>
    <m/>
    <m/>
    <m/>
    <m/>
    <n v="0"/>
    <n v="0"/>
    <n v="0"/>
    <n v="0"/>
    <n v="1067.2"/>
    <n v="973.23333333333335"/>
  </r>
  <r>
    <x v="0"/>
    <s v="Chattahoochee Valley Community College"/>
    <m/>
    <n v="101028"/>
    <x v="7"/>
    <m/>
    <m/>
    <m/>
    <m/>
    <n v="14450"/>
    <n v="11466"/>
    <n v="6811"/>
    <n v="5445"/>
    <n v="13396"/>
    <n v="12562"/>
    <n v="34657"/>
    <n v="1155.2333333333333"/>
    <n v="29473"/>
    <n v="982.43333333333328"/>
    <n v="2055"/>
    <n v="2578"/>
    <n v="34657"/>
    <n v="29473"/>
    <m/>
    <m/>
    <m/>
    <m/>
    <m/>
    <m/>
    <m/>
    <m/>
    <n v="0"/>
    <n v="0"/>
    <n v="0"/>
    <n v="0"/>
    <m/>
    <m/>
    <n v="0"/>
    <n v="0"/>
    <m/>
    <m/>
    <m/>
    <m/>
    <m/>
    <m/>
    <m/>
    <m/>
    <n v="0"/>
    <n v="0"/>
    <n v="0"/>
    <n v="0"/>
    <n v="1155.2333333333333"/>
    <n v="982.43333333333328"/>
  </r>
  <r>
    <x v="0"/>
    <s v="Enterprise State Community College"/>
    <m/>
    <n v="101143"/>
    <x v="7"/>
    <m/>
    <m/>
    <m/>
    <m/>
    <n v="17358"/>
    <n v="17261"/>
    <n v="5322"/>
    <n v="7148"/>
    <n v="18355"/>
    <n v="18540"/>
    <n v="41035"/>
    <n v="1367.8333333333333"/>
    <n v="42949"/>
    <n v="1431.6333333333334"/>
    <n v="5762"/>
    <n v="6210"/>
    <n v="41035"/>
    <n v="42949"/>
    <m/>
    <m/>
    <m/>
    <m/>
    <m/>
    <m/>
    <m/>
    <m/>
    <n v="0"/>
    <n v="0"/>
    <n v="0"/>
    <n v="0"/>
    <m/>
    <m/>
    <n v="0"/>
    <n v="0"/>
    <m/>
    <m/>
    <m/>
    <m/>
    <m/>
    <m/>
    <m/>
    <m/>
    <n v="0"/>
    <n v="0"/>
    <n v="0"/>
    <n v="0"/>
    <n v="1367.8333333333333"/>
    <n v="1431.6333333333334"/>
  </r>
  <r>
    <x v="0"/>
    <s v="George Corley Wallace State Community College - Selma"/>
    <m/>
    <n v="101301"/>
    <x v="7"/>
    <m/>
    <m/>
    <m/>
    <m/>
    <n v="11845"/>
    <n v="10957"/>
    <n v="8195"/>
    <n v="6631"/>
    <n v="11469"/>
    <n v="13371"/>
    <n v="31509"/>
    <n v="1050.3"/>
    <n v="30959"/>
    <n v="1031.9666666666667"/>
    <n v="5483"/>
    <n v="6309"/>
    <n v="31509"/>
    <n v="30959"/>
    <m/>
    <m/>
    <m/>
    <m/>
    <m/>
    <m/>
    <m/>
    <m/>
    <n v="0"/>
    <n v="0"/>
    <n v="0"/>
    <n v="0"/>
    <m/>
    <m/>
    <n v="0"/>
    <n v="0"/>
    <m/>
    <m/>
    <m/>
    <m/>
    <m/>
    <m/>
    <m/>
    <m/>
    <n v="0"/>
    <n v="0"/>
    <n v="0"/>
    <n v="0"/>
    <n v="1050.3"/>
    <n v="1031.9666666666667"/>
  </r>
  <r>
    <x v="0"/>
    <s v="Lurleen B. Wallace Community College "/>
    <m/>
    <n v="101602"/>
    <x v="7"/>
    <m/>
    <m/>
    <m/>
    <m/>
    <n v="14673"/>
    <n v="13991"/>
    <n v="7669"/>
    <n v="8101"/>
    <n v="15511"/>
    <n v="16518"/>
    <n v="37853"/>
    <n v="1261.7666666666667"/>
    <n v="38610"/>
    <n v="1287"/>
    <n v="5460"/>
    <n v="6479"/>
    <n v="37853"/>
    <n v="38610"/>
    <m/>
    <m/>
    <m/>
    <m/>
    <m/>
    <m/>
    <m/>
    <m/>
    <n v="0"/>
    <n v="0"/>
    <n v="0"/>
    <n v="0"/>
    <m/>
    <m/>
    <n v="0"/>
    <n v="0"/>
    <m/>
    <m/>
    <m/>
    <m/>
    <m/>
    <m/>
    <m/>
    <m/>
    <n v="0"/>
    <n v="0"/>
    <n v="0"/>
    <n v="0"/>
    <n v="1261.7666666666667"/>
    <n v="1287"/>
  </r>
  <r>
    <x v="0"/>
    <s v="Northeast Alabama Community College"/>
    <m/>
    <n v="101897"/>
    <x v="7"/>
    <m/>
    <m/>
    <m/>
    <m/>
    <n v="23104"/>
    <n v="18399"/>
    <n v="10798"/>
    <n v="9026"/>
    <n v="22589"/>
    <n v="21712"/>
    <n v="56491"/>
    <n v="1883.0333333333333"/>
    <n v="49137"/>
    <n v="1637.9"/>
    <n v="11087"/>
    <n v="11703"/>
    <n v="56491"/>
    <n v="49137"/>
    <m/>
    <m/>
    <m/>
    <m/>
    <m/>
    <m/>
    <m/>
    <m/>
    <n v="0"/>
    <n v="0"/>
    <n v="0"/>
    <n v="0"/>
    <m/>
    <m/>
    <n v="0"/>
    <n v="0"/>
    <m/>
    <m/>
    <m/>
    <m/>
    <m/>
    <m/>
    <m/>
    <m/>
    <n v="0"/>
    <n v="0"/>
    <n v="0"/>
    <n v="0"/>
    <n v="1883.0333333333333"/>
    <n v="1637.9"/>
  </r>
  <r>
    <x v="0"/>
    <s v="Snead State Community College "/>
    <m/>
    <n v="102076"/>
    <x v="7"/>
    <m/>
    <m/>
    <m/>
    <m/>
    <n v="22380"/>
    <n v="18656"/>
    <n v="13328"/>
    <n v="13182"/>
    <n v="20874"/>
    <n v="22221"/>
    <n v="56582"/>
    <n v="1886.0666666666666"/>
    <n v="54059"/>
    <n v="1801.9666666666667"/>
    <n v="2922"/>
    <n v="3815"/>
    <n v="56582"/>
    <n v="54059"/>
    <m/>
    <m/>
    <m/>
    <m/>
    <m/>
    <m/>
    <m/>
    <m/>
    <n v="0"/>
    <n v="0"/>
    <n v="0"/>
    <n v="0"/>
    <m/>
    <m/>
    <n v="0"/>
    <n v="0"/>
    <m/>
    <m/>
    <m/>
    <m/>
    <m/>
    <m/>
    <m/>
    <m/>
    <n v="0"/>
    <n v="0"/>
    <n v="0"/>
    <n v="0"/>
    <n v="1886.0666666666666"/>
    <n v="1801.9666666666667"/>
  </r>
  <r>
    <x v="0"/>
    <s v="H. Councill Trenholm State Community College"/>
    <m/>
    <n v="102313"/>
    <x v="8"/>
    <m/>
    <m/>
    <m/>
    <m/>
    <n v="18054"/>
    <n v="14356"/>
    <n v="8555"/>
    <n v="8761"/>
    <n v="14127"/>
    <n v="16581"/>
    <n v="40736"/>
    <n v="1357.8666666666666"/>
    <n v="39698"/>
    <n v="1323.2666666666667"/>
    <n v="1729"/>
    <n v="1720"/>
    <n v="40736"/>
    <n v="39698"/>
    <m/>
    <m/>
    <m/>
    <m/>
    <m/>
    <m/>
    <m/>
    <m/>
    <n v="0"/>
    <n v="0"/>
    <n v="0"/>
    <n v="0"/>
    <m/>
    <m/>
    <n v="0"/>
    <n v="0"/>
    <m/>
    <m/>
    <m/>
    <m/>
    <m/>
    <m/>
    <m/>
    <m/>
    <n v="0"/>
    <n v="0"/>
    <n v="0"/>
    <n v="0"/>
    <n v="1357.8666666666666"/>
    <n v="1323.2666666666667"/>
  </r>
  <r>
    <x v="0"/>
    <s v="J.F. Drake State Community and Technical College"/>
    <m/>
    <n v="101462"/>
    <x v="9"/>
    <m/>
    <m/>
    <m/>
    <m/>
    <n v="6859"/>
    <n v="5990"/>
    <n v="3123"/>
    <n v="3760"/>
    <n v="6501"/>
    <n v="7088"/>
    <n v="16483"/>
    <n v="549.43333333333328"/>
    <n v="16838"/>
    <n v="561.26666666666665"/>
    <n v="1602"/>
    <n v="1440"/>
    <n v="16483"/>
    <n v="16838"/>
    <m/>
    <m/>
    <m/>
    <m/>
    <m/>
    <m/>
    <m/>
    <m/>
    <n v="0"/>
    <n v="0"/>
    <n v="0"/>
    <n v="0"/>
    <m/>
    <m/>
    <n v="0"/>
    <n v="0"/>
    <m/>
    <m/>
    <m/>
    <m/>
    <m/>
    <m/>
    <m/>
    <m/>
    <n v="0"/>
    <n v="0"/>
    <n v="0"/>
    <n v="0"/>
    <n v="549.43333333333328"/>
    <n v="561.26666666666665"/>
  </r>
  <r>
    <x v="0"/>
    <s v="J.F. Ingram State Technical College "/>
    <m/>
    <n v="101471"/>
    <x v="9"/>
    <m/>
    <m/>
    <m/>
    <m/>
    <n v="6571"/>
    <n v="4788"/>
    <n v="0"/>
    <n v="3029"/>
    <n v="4727"/>
    <n v="4936"/>
    <n v="11298"/>
    <n v="376.6"/>
    <n v="12753"/>
    <n v="425.1"/>
    <n v="0"/>
    <n v="0"/>
    <n v="11298"/>
    <n v="12753"/>
    <m/>
    <m/>
    <m/>
    <m/>
    <m/>
    <m/>
    <m/>
    <m/>
    <n v="0"/>
    <n v="0"/>
    <n v="0"/>
    <n v="0"/>
    <m/>
    <m/>
    <n v="0"/>
    <n v="0"/>
    <m/>
    <m/>
    <m/>
    <m/>
    <m/>
    <m/>
    <m/>
    <m/>
    <n v="0"/>
    <n v="0"/>
    <n v="0"/>
    <n v="0"/>
    <n v="376.6"/>
    <n v="425.1"/>
  </r>
  <r>
    <x v="0"/>
    <s v="Reid State Technical College "/>
    <m/>
    <n v="101994"/>
    <x v="9"/>
    <m/>
    <m/>
    <m/>
    <m/>
    <n v="3895"/>
    <n v="2966"/>
    <n v="2751"/>
    <n v="2019"/>
    <n v="2751"/>
    <n v="3622"/>
    <n v="9397"/>
    <n v="313.23333333333335"/>
    <n v="8607"/>
    <n v="286.89999999999998"/>
    <n v="741"/>
    <n v="569"/>
    <n v="9397"/>
    <n v="8607"/>
    <m/>
    <m/>
    <m/>
    <m/>
    <m/>
    <m/>
    <m/>
    <m/>
    <n v="0"/>
    <n v="0"/>
    <n v="0"/>
    <n v="0"/>
    <m/>
    <m/>
    <n v="0"/>
    <n v="0"/>
    <m/>
    <m/>
    <m/>
    <m/>
    <m/>
    <m/>
    <m/>
    <m/>
    <n v="0"/>
    <n v="0"/>
    <n v="0"/>
    <n v="0"/>
    <n v="313.23333333333335"/>
    <n v="286.89999999999998"/>
  </r>
  <r>
    <x v="0"/>
    <s v="Marion Military Institute"/>
    <m/>
    <n v="101648"/>
    <x v="10"/>
    <m/>
    <m/>
    <m/>
    <m/>
    <n v="6231"/>
    <n v="5811"/>
    <n v="0"/>
    <n v="0"/>
    <n v="6477"/>
    <n v="5144"/>
    <n v="12708"/>
    <n v="423.6"/>
    <n v="10955"/>
    <n v="365.16666666666669"/>
    <n v="36"/>
    <n v="0"/>
    <n v="12708"/>
    <n v="10955"/>
    <m/>
    <m/>
    <m/>
    <m/>
    <m/>
    <m/>
    <m/>
    <m/>
    <n v="0"/>
    <n v="0"/>
    <n v="0"/>
    <n v="0"/>
    <m/>
    <m/>
    <n v="0"/>
    <n v="0"/>
    <m/>
    <m/>
    <m/>
    <m/>
    <m/>
    <m/>
    <m/>
    <m/>
    <n v="0"/>
    <n v="0"/>
    <n v="0"/>
    <n v="0"/>
    <n v="423.6"/>
    <n v="365.16666666666669"/>
  </r>
  <r>
    <x v="1"/>
    <s v="Arkansas State University"/>
    <m/>
    <n v="106458"/>
    <x v="2"/>
    <s v="sem"/>
    <s v="sem"/>
    <m/>
    <m/>
    <n v="108209"/>
    <n v="99646"/>
    <n v="18938"/>
    <n v="18567"/>
    <n v="112064"/>
    <n v="108704"/>
    <n v="239211"/>
    <n v="7973.7"/>
    <n v="226917"/>
    <n v="7563.9"/>
    <n v="7314"/>
    <n v="7048"/>
    <n v="239211"/>
    <n v="226917"/>
    <m/>
    <m/>
    <m/>
    <m/>
    <m/>
    <m/>
    <m/>
    <m/>
    <n v="0"/>
    <n v="0"/>
    <n v="0"/>
    <n v="0"/>
    <m/>
    <m/>
    <n v="0"/>
    <n v="0"/>
    <m/>
    <m/>
    <n v="37357"/>
    <n v="37785"/>
    <n v="34123"/>
    <n v="32982"/>
    <n v="37129"/>
    <n v="36696"/>
    <n v="108609"/>
    <n v="4525.375"/>
    <n v="107463"/>
    <n v="4477.625"/>
    <n v="12499.075000000001"/>
    <n v="12041.525"/>
  </r>
  <r>
    <x v="1"/>
    <s v="Arkansas Tech University"/>
    <m/>
    <n v="106467"/>
    <x v="2"/>
    <s v="sem"/>
    <s v="sem"/>
    <m/>
    <m/>
    <n v="107736"/>
    <n v="95105"/>
    <n v="12040"/>
    <n v="12325"/>
    <n v="113783"/>
    <n v="99548"/>
    <n v="233559"/>
    <n v="7785.3"/>
    <n v="206978"/>
    <n v="6899.2666666666664"/>
    <n v="24227"/>
    <n v="21528"/>
    <n v="233559"/>
    <n v="206978"/>
    <m/>
    <m/>
    <m/>
    <m/>
    <m/>
    <m/>
    <m/>
    <m/>
    <n v="0"/>
    <n v="0"/>
    <n v="0"/>
    <n v="0"/>
    <m/>
    <m/>
    <n v="0"/>
    <n v="0"/>
    <m/>
    <m/>
    <n v="4451"/>
    <n v="4306"/>
    <n v="2552"/>
    <n v="2530"/>
    <n v="4252"/>
    <n v="4496"/>
    <n v="11255"/>
    <n v="468.95833333333331"/>
    <n v="11332"/>
    <n v="472.16666666666669"/>
    <n v="8254.2583333333332"/>
    <n v="7371.4333333333334"/>
  </r>
  <r>
    <x v="1"/>
    <s v="Henderson State University"/>
    <m/>
    <n v="107071"/>
    <x v="3"/>
    <s v="sem"/>
    <s v="sem"/>
    <m/>
    <m/>
    <n v="40041"/>
    <n v="32278"/>
    <n v="5049"/>
    <n v="5212"/>
    <n v="37756"/>
    <n v="31971"/>
    <n v="82846"/>
    <n v="2761.5333333333333"/>
    <n v="69461"/>
    <n v="2315.3666666666668"/>
    <n v="2500"/>
    <n v="118"/>
    <n v="82846"/>
    <n v="69461"/>
    <m/>
    <m/>
    <m/>
    <m/>
    <m/>
    <m/>
    <m/>
    <m/>
    <n v="0"/>
    <n v="0"/>
    <n v="0"/>
    <n v="0"/>
    <m/>
    <m/>
    <n v="0"/>
    <n v="0"/>
    <m/>
    <m/>
    <n v="3610"/>
    <n v="3341"/>
    <n v="2190"/>
    <n v="2437"/>
    <n v="3564"/>
    <n v="4484"/>
    <n v="9364"/>
    <n v="390.16666666666669"/>
    <n v="10262"/>
    <n v="427.58333333333331"/>
    <n v="3151.7"/>
    <n v="2742.9500000000003"/>
  </r>
  <r>
    <x v="1"/>
    <s v="Southern Arkansas University"/>
    <m/>
    <n v="107983"/>
    <x v="3"/>
    <s v="sem"/>
    <s v="sem"/>
    <m/>
    <m/>
    <n v="44179"/>
    <n v="41047"/>
    <n v="4756"/>
    <n v="5028"/>
    <n v="49184"/>
    <n v="43740"/>
    <n v="98119"/>
    <n v="3270.6333333333332"/>
    <n v="89815"/>
    <n v="2993.8333333333335"/>
    <n v="2838"/>
    <n v="2836"/>
    <n v="98119"/>
    <n v="89815"/>
    <m/>
    <m/>
    <m/>
    <m/>
    <m/>
    <m/>
    <m/>
    <m/>
    <n v="0"/>
    <n v="0"/>
    <n v="0"/>
    <n v="0"/>
    <m/>
    <m/>
    <n v="0"/>
    <n v="0"/>
    <m/>
    <m/>
    <n v="5157"/>
    <n v="6159"/>
    <n v="5163"/>
    <n v="5420"/>
    <n v="5529"/>
    <n v="7452"/>
    <n v="15849"/>
    <n v="660.375"/>
    <n v="19031"/>
    <n v="792.95833333333337"/>
    <n v="3931.0083333333332"/>
    <n v="3786.791666666667"/>
  </r>
  <r>
    <x v="1"/>
    <s v="University of Arkansas, Fayetteville"/>
    <m/>
    <n v="106397"/>
    <x v="0"/>
    <s v="sem"/>
    <s v="sem"/>
    <m/>
    <m/>
    <n v="295335"/>
    <n v="292269"/>
    <n v="42213"/>
    <n v="40021"/>
    <n v="316631"/>
    <n v="333494"/>
    <n v="654179"/>
    <n v="21805.966666666667"/>
    <n v="665784"/>
    <n v="22192.799999999999"/>
    <n v="106"/>
    <n v="116"/>
    <n v="654179"/>
    <n v="665784"/>
    <m/>
    <m/>
    <m/>
    <m/>
    <m/>
    <m/>
    <m/>
    <m/>
    <n v="0"/>
    <n v="0"/>
    <n v="0"/>
    <n v="0"/>
    <m/>
    <m/>
    <n v="0"/>
    <n v="0"/>
    <m/>
    <m/>
    <n v="32805"/>
    <n v="35881"/>
    <n v="12599"/>
    <n v="13697"/>
    <n v="36732"/>
    <n v="37015"/>
    <n v="82136"/>
    <n v="3422.3333333333335"/>
    <n v="86593"/>
    <n v="3608.0416666666665"/>
    <n v="25228.3"/>
    <n v="25800.841666666667"/>
  </r>
  <r>
    <x v="1"/>
    <s v="University of Arkansas at Fort Smith"/>
    <m/>
    <n v="108092"/>
    <x v="11"/>
    <s v="sem"/>
    <s v="sem"/>
    <m/>
    <m/>
    <n v="66632"/>
    <n v="59178"/>
    <n v="6996"/>
    <n v="6728"/>
    <n v="70368"/>
    <n v="63922"/>
    <n v="143996"/>
    <n v="4799.8666666666668"/>
    <n v="129828"/>
    <n v="4327.6000000000004"/>
    <n v="15691"/>
    <n v="14650"/>
    <n v="143996"/>
    <n v="129828"/>
    <m/>
    <m/>
    <m/>
    <m/>
    <m/>
    <m/>
    <m/>
    <m/>
    <n v="0"/>
    <n v="0"/>
    <n v="0"/>
    <n v="0"/>
    <m/>
    <m/>
    <n v="0"/>
    <n v="0"/>
    <m/>
    <m/>
    <n v="228"/>
    <n v="333"/>
    <n v="147"/>
    <n v="147"/>
    <n v="372"/>
    <n v="279"/>
    <n v="747"/>
    <n v="31.125"/>
    <n v="759"/>
    <n v="31.625"/>
    <n v="4830.9916666666668"/>
    <n v="4359.2250000000004"/>
  </r>
  <r>
    <x v="1"/>
    <s v="University of Arkansas at Little Rock"/>
    <m/>
    <n v="106245"/>
    <x v="1"/>
    <s v="sem"/>
    <s v="sem"/>
    <m/>
    <m/>
    <n v="73382"/>
    <n v="66346"/>
    <n v="16609"/>
    <n v="14489"/>
    <n v="75663"/>
    <n v="66776"/>
    <n v="165654"/>
    <n v="5521.8"/>
    <n v="147611"/>
    <n v="4920.3666666666668"/>
    <n v="9952"/>
    <n v="9012"/>
    <n v="165654"/>
    <n v="147611"/>
    <m/>
    <m/>
    <m/>
    <m/>
    <m/>
    <m/>
    <m/>
    <m/>
    <n v="0"/>
    <n v="0"/>
    <n v="0"/>
    <n v="0"/>
    <m/>
    <m/>
    <n v="0"/>
    <n v="0"/>
    <m/>
    <m/>
    <n v="16395"/>
    <n v="16385"/>
    <n v="2892"/>
    <n v="3223"/>
    <n v="16999"/>
    <n v="17458"/>
    <n v="36286"/>
    <n v="1511.9166666666667"/>
    <n v="37066"/>
    <n v="1544.4166666666667"/>
    <n v="7033.7166666666672"/>
    <n v="6464.7833333333338"/>
  </r>
  <r>
    <x v="1"/>
    <s v="University of Arkansas at Monticello"/>
    <m/>
    <n v="106485"/>
    <x v="3"/>
    <s v="sem"/>
    <s v="sem"/>
    <m/>
    <m/>
    <n v="27736"/>
    <n v="26668"/>
    <n v="5540"/>
    <n v="5519"/>
    <n v="29979"/>
    <n v="27949"/>
    <n v="63255"/>
    <n v="2108.5"/>
    <n v="60136"/>
    <n v="2004.5333333333333"/>
    <n v="2768"/>
    <n v="2415"/>
    <n v="63255"/>
    <n v="60136"/>
    <m/>
    <m/>
    <m/>
    <m/>
    <m/>
    <m/>
    <m/>
    <m/>
    <n v="0"/>
    <n v="0"/>
    <n v="0"/>
    <n v="0"/>
    <m/>
    <m/>
    <n v="0"/>
    <n v="0"/>
    <m/>
    <m/>
    <n v="2204"/>
    <n v="2220"/>
    <n v="2555"/>
    <n v="2737"/>
    <n v="2148"/>
    <n v="2498"/>
    <n v="6907"/>
    <n v="287.79166666666669"/>
    <n v="7455"/>
    <n v="310.625"/>
    <n v="2396.2916666666665"/>
    <n v="2315.1583333333333"/>
  </r>
  <r>
    <x v="1"/>
    <s v="University of Arkansas at Pine Bluff"/>
    <s v="Met the criteria for Four-Year 4 in 2020-21 , and 2021-22"/>
    <n v="106412"/>
    <x v="11"/>
    <s v="sem"/>
    <s v="sem"/>
    <m/>
    <m/>
    <n v="29442"/>
    <n v="28548"/>
    <n v="3107"/>
    <n v="3839"/>
    <n v="34550"/>
    <n v="33590"/>
    <n v="67099"/>
    <n v="2236.6333333333332"/>
    <n v="65977"/>
    <n v="2199.2333333333331"/>
    <n v="266"/>
    <n v="76"/>
    <n v="67099"/>
    <n v="65977"/>
    <m/>
    <m/>
    <m/>
    <m/>
    <m/>
    <m/>
    <m/>
    <m/>
    <n v="0"/>
    <n v="0"/>
    <n v="0"/>
    <n v="0"/>
    <m/>
    <m/>
    <n v="0"/>
    <n v="0"/>
    <m/>
    <m/>
    <n v="803"/>
    <n v="1226"/>
    <n v="272"/>
    <n v="290"/>
    <n v="1185"/>
    <n v="1391"/>
    <n v="2260"/>
    <n v="94.166666666666671"/>
    <n v="2907"/>
    <n v="121.125"/>
    <n v="2330.7999999999997"/>
    <n v="2320.3583333333331"/>
  </r>
  <r>
    <x v="1"/>
    <s v="University of Central Arkansas "/>
    <m/>
    <n v="106704"/>
    <x v="2"/>
    <s v="sem"/>
    <s v="sem"/>
    <m/>
    <m/>
    <n v="110711"/>
    <n v="102686"/>
    <n v="17429"/>
    <n v="15733"/>
    <n v="119194"/>
    <n v="112359"/>
    <n v="247334"/>
    <n v="8244.4666666666672"/>
    <n v="230778"/>
    <n v="7692.6"/>
    <n v="2306"/>
    <n v="2908"/>
    <n v="247334"/>
    <n v="230778"/>
    <m/>
    <m/>
    <m/>
    <m/>
    <m/>
    <m/>
    <m/>
    <m/>
    <n v="0"/>
    <n v="0"/>
    <n v="0"/>
    <n v="0"/>
    <m/>
    <m/>
    <n v="0"/>
    <n v="0"/>
    <m/>
    <m/>
    <n v="13062"/>
    <n v="12735"/>
    <n v="9844"/>
    <n v="9649"/>
    <n v="14031"/>
    <n v="15171"/>
    <n v="36937"/>
    <n v="1539.0416666666667"/>
    <n v="37555"/>
    <n v="1564.7916666666667"/>
    <n v="9783.5083333333332"/>
    <n v="9257.3916666666664"/>
  </r>
  <r>
    <x v="1"/>
    <s v="Arkansas Northeastern College"/>
    <m/>
    <n v="107327"/>
    <x v="7"/>
    <s v="sem"/>
    <s v="sem"/>
    <m/>
    <m/>
    <n v="11593"/>
    <n v="10558"/>
    <n v="2171"/>
    <n v="2137"/>
    <n v="12107"/>
    <n v="11855"/>
    <n v="25871"/>
    <n v="862.36666666666667"/>
    <n v="24550"/>
    <n v="818.33333333333337"/>
    <n v="4697"/>
    <n v="5222"/>
    <n v="25871"/>
    <n v="24550"/>
    <m/>
    <m/>
    <m/>
    <m/>
    <m/>
    <m/>
    <m/>
    <m/>
    <n v="0"/>
    <n v="0"/>
    <n v="0"/>
    <n v="0"/>
    <m/>
    <m/>
    <n v="0"/>
    <n v="0"/>
    <m/>
    <m/>
    <m/>
    <m/>
    <m/>
    <m/>
    <m/>
    <m/>
    <n v="0"/>
    <n v="0"/>
    <n v="0"/>
    <n v="0"/>
    <n v="862.36666666666667"/>
    <n v="818.33333333333337"/>
  </r>
  <r>
    <x v="1"/>
    <s v="Arkansas State University-Beebe"/>
    <m/>
    <n v="106449"/>
    <x v="6"/>
    <s v="sem"/>
    <s v="sem"/>
    <m/>
    <m/>
    <n v="31302"/>
    <n v="26828"/>
    <n v="6253"/>
    <n v="5642"/>
    <n v="31537"/>
    <n v="28115"/>
    <n v="69092"/>
    <n v="2303.0666666666666"/>
    <n v="60585"/>
    <n v="2019.5"/>
    <n v="7748"/>
    <n v="8450"/>
    <n v="69092"/>
    <n v="60585"/>
    <m/>
    <m/>
    <m/>
    <m/>
    <m/>
    <m/>
    <m/>
    <m/>
    <n v="0"/>
    <n v="0"/>
    <n v="0"/>
    <n v="0"/>
    <m/>
    <m/>
    <n v="0"/>
    <n v="0"/>
    <m/>
    <m/>
    <m/>
    <m/>
    <m/>
    <m/>
    <m/>
    <m/>
    <n v="0"/>
    <n v="0"/>
    <n v="0"/>
    <n v="0"/>
    <n v="2303.0666666666666"/>
    <n v="2019.5"/>
  </r>
  <r>
    <x v="1"/>
    <s v="Arkansas State University Mountain Home"/>
    <m/>
    <n v="420538"/>
    <x v="7"/>
    <s v="sem"/>
    <s v="sem"/>
    <m/>
    <m/>
    <n v="11576"/>
    <n v="10629"/>
    <n v="2499"/>
    <n v="2158"/>
    <n v="12333"/>
    <n v="11999"/>
    <n v="26408"/>
    <n v="880.26666666666665"/>
    <n v="24786"/>
    <n v="826.2"/>
    <n v="3605"/>
    <n v="3570"/>
    <n v="26408"/>
    <n v="24786"/>
    <m/>
    <m/>
    <m/>
    <m/>
    <m/>
    <m/>
    <m/>
    <m/>
    <n v="0"/>
    <n v="0"/>
    <n v="0"/>
    <n v="0"/>
    <m/>
    <m/>
    <n v="0"/>
    <n v="0"/>
    <m/>
    <m/>
    <m/>
    <m/>
    <m/>
    <m/>
    <m/>
    <m/>
    <n v="0"/>
    <n v="0"/>
    <n v="0"/>
    <n v="0"/>
    <n v="880.26666666666665"/>
    <n v="826.2"/>
  </r>
  <r>
    <x v="1"/>
    <s v="Arkansas State University Mid-South"/>
    <m/>
    <n v="107318"/>
    <x v="7"/>
    <s v="sem"/>
    <s v="sem"/>
    <m/>
    <m/>
    <n v="9413"/>
    <n v="8843"/>
    <n v="2011"/>
    <n v="1887"/>
    <n v="10338"/>
    <n v="9514"/>
    <n v="21762"/>
    <n v="725.4"/>
    <n v="20244"/>
    <n v="674.8"/>
    <n v="6264"/>
    <n v="5194"/>
    <n v="21762"/>
    <n v="20244"/>
    <m/>
    <m/>
    <m/>
    <m/>
    <m/>
    <m/>
    <m/>
    <m/>
    <n v="0"/>
    <n v="0"/>
    <n v="0"/>
    <n v="0"/>
    <m/>
    <m/>
    <n v="0"/>
    <n v="0"/>
    <m/>
    <m/>
    <m/>
    <m/>
    <m/>
    <m/>
    <m/>
    <m/>
    <n v="0"/>
    <n v="0"/>
    <n v="0"/>
    <n v="0"/>
    <n v="725.4"/>
    <n v="674.8"/>
  </r>
  <r>
    <x v="1"/>
    <s v="Arkansas State University-Newport"/>
    <m/>
    <n v="440402"/>
    <x v="7"/>
    <s v="sem"/>
    <s v="sem"/>
    <m/>
    <m/>
    <n v="21163"/>
    <n v="18081"/>
    <n v="11369"/>
    <n v="11392"/>
    <n v="19174"/>
    <n v="19317"/>
    <n v="51706"/>
    <n v="1723.5333333333333"/>
    <n v="48790"/>
    <n v="1626.3333333333333"/>
    <n v="5547"/>
    <n v="5434"/>
    <n v="51706"/>
    <n v="48790"/>
    <m/>
    <m/>
    <m/>
    <m/>
    <m/>
    <m/>
    <m/>
    <m/>
    <n v="0"/>
    <n v="0"/>
    <n v="0"/>
    <n v="0"/>
    <m/>
    <m/>
    <n v="0"/>
    <n v="0"/>
    <m/>
    <m/>
    <m/>
    <m/>
    <m/>
    <m/>
    <m/>
    <m/>
    <n v="0"/>
    <n v="0"/>
    <n v="0"/>
    <n v="0"/>
    <n v="1723.5333333333333"/>
    <n v="1626.3333333333333"/>
  </r>
  <r>
    <x v="1"/>
    <s v="Arkansas State University Three Rivers"/>
    <m/>
    <n v="107521"/>
    <x v="7"/>
    <s v="sem"/>
    <s v="sem"/>
    <m/>
    <m/>
    <n v="8770"/>
    <n v="9520"/>
    <n v="2714"/>
    <n v="2435"/>
    <n v="8342"/>
    <n v="9841"/>
    <n v="19826"/>
    <n v="660.86666666666667"/>
    <n v="21796"/>
    <n v="726.5333333333333"/>
    <n v="5560"/>
    <n v="9565"/>
    <n v="19826"/>
    <n v="21796"/>
    <m/>
    <m/>
    <m/>
    <m/>
    <m/>
    <m/>
    <m/>
    <m/>
    <n v="0"/>
    <n v="0"/>
    <n v="0"/>
    <n v="0"/>
    <m/>
    <m/>
    <n v="0"/>
    <n v="0"/>
    <m/>
    <m/>
    <m/>
    <m/>
    <m/>
    <m/>
    <m/>
    <m/>
    <n v="0"/>
    <n v="0"/>
    <n v="0"/>
    <n v="0"/>
    <n v="660.86666666666667"/>
    <n v="726.5333333333333"/>
  </r>
  <r>
    <x v="1"/>
    <s v="Black River Technical College"/>
    <m/>
    <n v="106625"/>
    <x v="7"/>
    <s v="sem"/>
    <s v="sem"/>
    <m/>
    <m/>
    <n v="14405"/>
    <n v="13970"/>
    <n v="3079"/>
    <n v="3350"/>
    <n v="15434"/>
    <n v="15343"/>
    <n v="32918"/>
    <n v="1097.2666666666667"/>
    <n v="32663"/>
    <n v="1088.7666666666667"/>
    <n v="3392"/>
    <n v="3820"/>
    <n v="32918"/>
    <n v="32663"/>
    <m/>
    <m/>
    <m/>
    <m/>
    <m/>
    <m/>
    <m/>
    <m/>
    <n v="0"/>
    <n v="0"/>
    <n v="0"/>
    <n v="0"/>
    <m/>
    <m/>
    <n v="0"/>
    <n v="0"/>
    <m/>
    <m/>
    <m/>
    <m/>
    <m/>
    <m/>
    <m/>
    <m/>
    <n v="0"/>
    <n v="0"/>
    <n v="0"/>
    <n v="0"/>
    <n v="1097.2666666666667"/>
    <n v="1088.7666666666667"/>
  </r>
  <r>
    <x v="1"/>
    <s v="Cossatot Community College of the University of Arkansas"/>
    <m/>
    <n v="106795"/>
    <x v="7"/>
    <s v="sem"/>
    <s v="sem"/>
    <m/>
    <m/>
    <n v="12227"/>
    <n v="11479"/>
    <n v="2238"/>
    <n v="2178"/>
    <n v="13134"/>
    <n v="12271"/>
    <n v="27599"/>
    <n v="919.9666666666667"/>
    <n v="25928"/>
    <n v="864.26666666666665"/>
    <n v="6559"/>
    <n v="6173"/>
    <n v="27599"/>
    <n v="25928"/>
    <m/>
    <m/>
    <m/>
    <m/>
    <m/>
    <m/>
    <m/>
    <m/>
    <n v="0"/>
    <n v="0"/>
    <n v="0"/>
    <n v="0"/>
    <m/>
    <m/>
    <n v="0"/>
    <n v="0"/>
    <m/>
    <m/>
    <m/>
    <m/>
    <m/>
    <m/>
    <m/>
    <m/>
    <n v="0"/>
    <n v="0"/>
    <n v="0"/>
    <n v="0"/>
    <n v="919.9666666666667"/>
    <n v="864.26666666666665"/>
  </r>
  <r>
    <x v="1"/>
    <s v="East Arkansas Community College "/>
    <m/>
    <n v="106883"/>
    <x v="7"/>
    <s v="sem"/>
    <s v="sem"/>
    <m/>
    <m/>
    <n v="11061"/>
    <n v="8308"/>
    <n v="3226"/>
    <n v="3238"/>
    <n v="9355"/>
    <n v="9152"/>
    <n v="23642"/>
    <n v="788.06666666666672"/>
    <n v="20698"/>
    <n v="689.93333333333328"/>
    <n v="3075"/>
    <n v="2952"/>
    <n v="23642"/>
    <n v="20698"/>
    <m/>
    <m/>
    <m/>
    <m/>
    <m/>
    <m/>
    <m/>
    <m/>
    <n v="0"/>
    <n v="0"/>
    <n v="0"/>
    <n v="0"/>
    <m/>
    <m/>
    <n v="0"/>
    <n v="0"/>
    <m/>
    <m/>
    <m/>
    <m/>
    <m/>
    <m/>
    <m/>
    <m/>
    <n v="0"/>
    <n v="0"/>
    <n v="0"/>
    <n v="0"/>
    <n v="788.06666666666672"/>
    <n v="689.93333333333328"/>
  </r>
  <r>
    <x v="1"/>
    <s v="North Arkansas College"/>
    <m/>
    <n v="107460"/>
    <x v="7"/>
    <s v="sem"/>
    <s v="sem"/>
    <m/>
    <m/>
    <n v="15790"/>
    <n v="14481"/>
    <n v="2879"/>
    <n v="2843"/>
    <n v="17315"/>
    <n v="18073"/>
    <n v="35984"/>
    <n v="1199.4666666666667"/>
    <n v="35397"/>
    <n v="1179.9000000000001"/>
    <n v="3885"/>
    <n v="5792"/>
    <n v="35984"/>
    <n v="35397"/>
    <m/>
    <m/>
    <m/>
    <m/>
    <m/>
    <m/>
    <m/>
    <m/>
    <n v="0"/>
    <n v="0"/>
    <n v="0"/>
    <n v="0"/>
    <m/>
    <m/>
    <n v="0"/>
    <n v="0"/>
    <m/>
    <m/>
    <m/>
    <m/>
    <m/>
    <m/>
    <m/>
    <m/>
    <n v="0"/>
    <n v="0"/>
    <n v="0"/>
    <n v="0"/>
    <n v="1199.4666666666667"/>
    <n v="1179.9000000000001"/>
  </r>
  <r>
    <x v="1"/>
    <s v="National Park College"/>
    <m/>
    <n v="106980"/>
    <x v="7"/>
    <s v="sem"/>
    <s v="sem"/>
    <m/>
    <m/>
    <n v="23417"/>
    <n v="20882"/>
    <n v="4639"/>
    <n v="3356"/>
    <n v="24727"/>
    <n v="24401"/>
    <n v="52783"/>
    <n v="1759.4333333333334"/>
    <n v="48639"/>
    <n v="1621.3"/>
    <n v="4507"/>
    <n v="3618"/>
    <n v="52783"/>
    <n v="48639"/>
    <m/>
    <m/>
    <m/>
    <m/>
    <m/>
    <m/>
    <m/>
    <m/>
    <n v="0"/>
    <n v="0"/>
    <n v="0"/>
    <n v="0"/>
    <m/>
    <m/>
    <n v="0"/>
    <n v="0"/>
    <m/>
    <m/>
    <m/>
    <m/>
    <m/>
    <m/>
    <m/>
    <m/>
    <n v="0"/>
    <n v="0"/>
    <n v="0"/>
    <n v="0"/>
    <n v="1759.4333333333334"/>
    <n v="1621.3"/>
  </r>
  <r>
    <x v="1"/>
    <s v="Northwest Arkansas Community College "/>
    <s v="Met the criteria for Two-Year 2 in 2020-21 and 2021-22"/>
    <n v="367459"/>
    <x v="5"/>
    <s v="sem"/>
    <s v="sem"/>
    <m/>
    <m/>
    <n v="63624"/>
    <n v="54767"/>
    <n v="13384"/>
    <n v="12633"/>
    <n v="63953"/>
    <n v="59834"/>
    <n v="140961"/>
    <n v="4698.7"/>
    <n v="127234"/>
    <n v="4241.1333333333332"/>
    <n v="19113"/>
    <n v="19763"/>
    <n v="140961"/>
    <n v="127234"/>
    <m/>
    <m/>
    <m/>
    <m/>
    <m/>
    <m/>
    <m/>
    <m/>
    <n v="0"/>
    <n v="0"/>
    <n v="0"/>
    <n v="0"/>
    <m/>
    <m/>
    <n v="0"/>
    <n v="0"/>
    <m/>
    <m/>
    <m/>
    <m/>
    <m/>
    <m/>
    <m/>
    <m/>
    <n v="0"/>
    <n v="0"/>
    <n v="0"/>
    <n v="0"/>
    <n v="4698.7"/>
    <n v="4241.1333333333332"/>
  </r>
  <r>
    <x v="1"/>
    <s v="Ozarka College "/>
    <m/>
    <n v="107549"/>
    <x v="7"/>
    <s v="sem"/>
    <s v="sem"/>
    <m/>
    <m/>
    <n v="10189"/>
    <n v="9173"/>
    <n v="2583"/>
    <n v="2359"/>
    <n v="10168"/>
    <n v="9692"/>
    <n v="22940"/>
    <n v="764.66666666666663"/>
    <n v="21224"/>
    <n v="707.4666666666667"/>
    <n v="3478"/>
    <n v="3757"/>
    <n v="22940"/>
    <n v="21224"/>
    <m/>
    <m/>
    <m/>
    <m/>
    <m/>
    <m/>
    <m/>
    <m/>
    <n v="0"/>
    <n v="0"/>
    <n v="0"/>
    <n v="0"/>
    <m/>
    <m/>
    <n v="0"/>
    <n v="0"/>
    <m/>
    <m/>
    <m/>
    <m/>
    <m/>
    <m/>
    <m/>
    <m/>
    <n v="0"/>
    <n v="0"/>
    <n v="0"/>
    <n v="0"/>
    <n v="764.66666666666663"/>
    <n v="707.4666666666667"/>
  </r>
  <r>
    <x v="1"/>
    <s v="Phillips Community College of the Univ of Arkansas"/>
    <m/>
    <n v="107619"/>
    <x v="7"/>
    <s v="sem"/>
    <s v="sem"/>
    <m/>
    <m/>
    <n v="11064"/>
    <n v="8854"/>
    <n v="2802"/>
    <n v="2632"/>
    <n v="9863"/>
    <n v="11075"/>
    <n v="23729"/>
    <n v="790.9666666666667"/>
    <n v="22561"/>
    <n v="752.0333333333333"/>
    <n v="5159"/>
    <n v="4796"/>
    <n v="23729"/>
    <n v="22561"/>
    <m/>
    <m/>
    <m/>
    <m/>
    <m/>
    <m/>
    <m/>
    <m/>
    <n v="0"/>
    <n v="0"/>
    <n v="0"/>
    <n v="0"/>
    <m/>
    <m/>
    <n v="0"/>
    <n v="0"/>
    <m/>
    <m/>
    <m/>
    <m/>
    <m/>
    <m/>
    <m/>
    <m/>
    <n v="0"/>
    <n v="0"/>
    <n v="0"/>
    <n v="0"/>
    <n v="790.9666666666667"/>
    <n v="752.0333333333333"/>
  </r>
  <r>
    <x v="1"/>
    <s v="South Arkansas Community College"/>
    <m/>
    <n v="107974"/>
    <x v="7"/>
    <s v="sem"/>
    <s v="sem"/>
    <m/>
    <m/>
    <n v="12437"/>
    <n v="10553"/>
    <n v="4360"/>
    <n v="4133"/>
    <n v="11939"/>
    <n v="11352"/>
    <n v="28736"/>
    <n v="957.86666666666667"/>
    <n v="26038"/>
    <n v="867.93333333333328"/>
    <n v="2676"/>
    <n v="2744"/>
    <n v="28736"/>
    <n v="26038"/>
    <m/>
    <m/>
    <m/>
    <m/>
    <m/>
    <m/>
    <m/>
    <m/>
    <n v="0"/>
    <n v="0"/>
    <n v="0"/>
    <n v="0"/>
    <m/>
    <m/>
    <n v="0"/>
    <n v="0"/>
    <m/>
    <m/>
    <m/>
    <m/>
    <m/>
    <m/>
    <m/>
    <m/>
    <n v="0"/>
    <n v="0"/>
    <n v="0"/>
    <n v="0"/>
    <n v="957.86666666666667"/>
    <n v="867.93333333333328"/>
  </r>
  <r>
    <x v="1"/>
    <s v="Southern Arkansas University Tech"/>
    <m/>
    <n v="107992"/>
    <x v="7"/>
    <s v="sem"/>
    <s v="sem"/>
    <m/>
    <m/>
    <n v="11040"/>
    <n v="10849"/>
    <n v="2973"/>
    <n v="2626"/>
    <n v="10721"/>
    <n v="10680"/>
    <n v="24734"/>
    <n v="824.4666666666667"/>
    <n v="24155"/>
    <n v="805.16666666666663"/>
    <n v="2954"/>
    <n v="2304"/>
    <n v="24734"/>
    <n v="24155"/>
    <m/>
    <m/>
    <m/>
    <m/>
    <m/>
    <m/>
    <m/>
    <m/>
    <n v="0"/>
    <n v="0"/>
    <n v="0"/>
    <n v="0"/>
    <m/>
    <m/>
    <n v="0"/>
    <n v="0"/>
    <m/>
    <m/>
    <m/>
    <m/>
    <m/>
    <m/>
    <m/>
    <m/>
    <n v="0"/>
    <n v="0"/>
    <n v="0"/>
    <n v="0"/>
    <n v="824.4666666666667"/>
    <n v="805.16666666666663"/>
  </r>
  <r>
    <x v="1"/>
    <s v="Southeast Arkansas College"/>
    <m/>
    <n v="107637"/>
    <x v="7"/>
    <s v="sem"/>
    <s v="sem"/>
    <m/>
    <m/>
    <n v="10768"/>
    <n v="9394"/>
    <n v="3293"/>
    <n v="2845"/>
    <n v="10536"/>
    <n v="9691"/>
    <n v="24597"/>
    <n v="819.9"/>
    <n v="21930"/>
    <n v="731"/>
    <n v="1902"/>
    <n v="2152"/>
    <n v="24597"/>
    <n v="21930"/>
    <m/>
    <m/>
    <m/>
    <m/>
    <m/>
    <m/>
    <m/>
    <m/>
    <n v="0"/>
    <n v="0"/>
    <n v="0"/>
    <n v="0"/>
    <m/>
    <m/>
    <n v="0"/>
    <n v="0"/>
    <m/>
    <m/>
    <m/>
    <m/>
    <m/>
    <m/>
    <m/>
    <m/>
    <n v="0"/>
    <n v="0"/>
    <n v="0"/>
    <n v="0"/>
    <n v="819.9"/>
    <n v="731"/>
  </r>
  <r>
    <x v="1"/>
    <s v="University of Arkansas Community College at Batesville"/>
    <m/>
    <n v="106999"/>
    <x v="7"/>
    <s v="sem"/>
    <s v="sem"/>
    <m/>
    <m/>
    <n v="12151"/>
    <n v="9729"/>
    <n v="2609"/>
    <n v="2066"/>
    <n v="12753"/>
    <n v="10895"/>
    <n v="27513"/>
    <n v="917.1"/>
    <n v="22690"/>
    <n v="756.33333333333337"/>
    <n v="4405"/>
    <n v="3406"/>
    <n v="27513"/>
    <n v="22690"/>
    <m/>
    <m/>
    <m/>
    <m/>
    <m/>
    <m/>
    <m/>
    <m/>
    <n v="0"/>
    <n v="0"/>
    <n v="0"/>
    <n v="0"/>
    <m/>
    <m/>
    <n v="0"/>
    <n v="0"/>
    <m/>
    <m/>
    <m/>
    <m/>
    <m/>
    <m/>
    <m/>
    <m/>
    <n v="0"/>
    <n v="0"/>
    <n v="0"/>
    <n v="0"/>
    <n v="917.1"/>
    <n v="756.33333333333337"/>
  </r>
  <r>
    <x v="1"/>
    <s v="University of Arkansas Community College at Hope-Texarkana"/>
    <m/>
    <n v="107725"/>
    <x v="7"/>
    <s v="sem"/>
    <s v="sem"/>
    <m/>
    <m/>
    <n v="12157"/>
    <n v="10201"/>
    <n v="2415"/>
    <n v="2286"/>
    <n v="11563"/>
    <n v="11118"/>
    <n v="26135"/>
    <n v="871.16666666666663"/>
    <n v="23605"/>
    <n v="786.83333333333337"/>
    <n v="6521"/>
    <n v="5647"/>
    <n v="26135"/>
    <n v="23605"/>
    <m/>
    <m/>
    <m/>
    <m/>
    <m/>
    <m/>
    <m/>
    <m/>
    <n v="0"/>
    <n v="0"/>
    <n v="0"/>
    <n v="0"/>
    <m/>
    <m/>
    <n v="0"/>
    <n v="0"/>
    <m/>
    <m/>
    <m/>
    <m/>
    <m/>
    <m/>
    <m/>
    <m/>
    <n v="0"/>
    <n v="0"/>
    <n v="0"/>
    <n v="0"/>
    <n v="871.16666666666663"/>
    <n v="786.83333333333337"/>
  </r>
  <r>
    <x v="1"/>
    <s v="University of Arkansas Community College at Morrilton"/>
    <m/>
    <n v="107585"/>
    <x v="7"/>
    <s v="sem"/>
    <s v="sem"/>
    <m/>
    <m/>
    <n v="17756"/>
    <n v="17626"/>
    <n v="3011"/>
    <n v="3303"/>
    <n v="19832"/>
    <n v="19858"/>
    <n v="40599"/>
    <n v="1353.3"/>
    <n v="40787"/>
    <n v="1359.5666666666666"/>
    <n v="2347"/>
    <n v="2927"/>
    <n v="40599"/>
    <n v="40787"/>
    <m/>
    <m/>
    <m/>
    <m/>
    <m/>
    <m/>
    <m/>
    <m/>
    <n v="0"/>
    <n v="0"/>
    <n v="0"/>
    <n v="0"/>
    <m/>
    <m/>
    <n v="0"/>
    <n v="0"/>
    <m/>
    <m/>
    <m/>
    <m/>
    <m/>
    <m/>
    <m/>
    <m/>
    <n v="0"/>
    <n v="0"/>
    <n v="0"/>
    <n v="0"/>
    <n v="1353.3"/>
    <n v="1359.5666666666666"/>
  </r>
  <r>
    <x v="1"/>
    <s v="University of Arkansas Community College Rich Mountain"/>
    <m/>
    <n v="107743"/>
    <x v="7"/>
    <s v="sem"/>
    <s v="sem"/>
    <m/>
    <m/>
    <n v="7204"/>
    <n v="6973"/>
    <n v="1077"/>
    <n v="1346"/>
    <n v="8940"/>
    <n v="8208"/>
    <n v="17221"/>
    <n v="574.0333333333333"/>
    <n v="16527"/>
    <n v="550.9"/>
    <n v="2914"/>
    <n v="2313"/>
    <n v="17221"/>
    <n v="16527"/>
    <m/>
    <m/>
    <m/>
    <m/>
    <m/>
    <m/>
    <m/>
    <m/>
    <n v="0"/>
    <n v="0"/>
    <n v="0"/>
    <n v="0"/>
    <m/>
    <m/>
    <n v="0"/>
    <n v="0"/>
    <m/>
    <m/>
    <m/>
    <m/>
    <m/>
    <m/>
    <m/>
    <m/>
    <n v="0"/>
    <n v="0"/>
    <n v="0"/>
    <n v="0"/>
    <n v="574.0333333333333"/>
    <n v="550.9"/>
  </r>
  <r>
    <x v="1"/>
    <s v="University of Arkansas - Pulaski Technical College"/>
    <m/>
    <n v="107664"/>
    <x v="6"/>
    <s v="sem"/>
    <s v="sem"/>
    <m/>
    <m/>
    <n v="51561"/>
    <n v="43451"/>
    <n v="11753"/>
    <n v="13029"/>
    <n v="49410"/>
    <n v="46037"/>
    <n v="112724"/>
    <n v="3757.4666666666667"/>
    <n v="102517"/>
    <n v="3417.2333333333331"/>
    <n v="4036"/>
    <n v="1944"/>
    <n v="112724"/>
    <n v="102517"/>
    <m/>
    <m/>
    <m/>
    <m/>
    <m/>
    <m/>
    <m/>
    <m/>
    <n v="0"/>
    <n v="0"/>
    <n v="0"/>
    <n v="0"/>
    <m/>
    <m/>
    <n v="0"/>
    <n v="0"/>
    <m/>
    <m/>
    <m/>
    <m/>
    <m/>
    <m/>
    <m/>
    <m/>
    <n v="0"/>
    <n v="0"/>
    <n v="0"/>
    <n v="0"/>
    <n v="3757.4666666666667"/>
    <n v="3417.2333333333331"/>
  </r>
  <r>
    <x v="2"/>
    <s v="University of Delaware"/>
    <m/>
    <n v="130943"/>
    <x v="0"/>
    <m/>
    <m/>
    <n v="27294"/>
    <n v="37651"/>
    <n v="264814"/>
    <n v="260063"/>
    <n v="29207"/>
    <n v="19219"/>
    <n v="279297"/>
    <n v="278897"/>
    <n v="600612"/>
    <n v="20020.400000000001"/>
    <n v="595830"/>
    <n v="19861"/>
    <m/>
    <m/>
    <n v="0"/>
    <n v="0"/>
    <m/>
    <m/>
    <m/>
    <m/>
    <m/>
    <m/>
    <m/>
    <m/>
    <n v="0"/>
    <n v="0"/>
    <n v="0"/>
    <n v="0"/>
    <m/>
    <m/>
    <n v="0"/>
    <n v="0"/>
    <n v="2465"/>
    <n v="2682"/>
    <n v="30287"/>
    <n v="26149"/>
    <n v="8166"/>
    <n v="8015"/>
    <n v="33690"/>
    <n v="29122"/>
    <n v="74608"/>
    <n v="3108.6666666666665"/>
    <n v="65968"/>
    <n v="2748.6666666666665"/>
    <n v="23129.066666666669"/>
    <n v="22609.666666666668"/>
  </r>
  <r>
    <x v="2"/>
    <s v="Delaware State University"/>
    <m/>
    <n v="130934"/>
    <x v="2"/>
    <m/>
    <m/>
    <m/>
    <n v="984"/>
    <n v="58128"/>
    <n v="54485"/>
    <n v="10113"/>
    <n v="9456"/>
    <n v="63465"/>
    <n v="64061"/>
    <n v="131706"/>
    <n v="4390.2"/>
    <n v="128986"/>
    <n v="4299.5333333333338"/>
    <m/>
    <m/>
    <n v="0"/>
    <n v="0"/>
    <m/>
    <m/>
    <m/>
    <m/>
    <m/>
    <m/>
    <m/>
    <m/>
    <n v="0"/>
    <n v="0"/>
    <n v="0"/>
    <n v="0"/>
    <m/>
    <m/>
    <n v="0"/>
    <n v="0"/>
    <m/>
    <n v="117"/>
    <n v="3930"/>
    <n v="5036"/>
    <n v="1429"/>
    <n v="2756"/>
    <n v="3995"/>
    <n v="6789"/>
    <n v="9354"/>
    <n v="389.75"/>
    <n v="14698"/>
    <n v="612.41666666666663"/>
    <n v="4779.95"/>
    <n v="4911.9500000000007"/>
  </r>
  <r>
    <x v="2"/>
    <s v="Delaware Technical and Community College--Terry"/>
    <s v="Reclassifed Met the criteria for Two-Year with Bachelor's in 2019-20, 2020-21 and 2021-22"/>
    <n v="130907"/>
    <x v="12"/>
    <m/>
    <m/>
    <m/>
    <m/>
    <n v="100220"/>
    <n v="91972"/>
    <n v="32370"/>
    <n v="27976"/>
    <n v="116491"/>
    <n v="108157"/>
    <n v="249081"/>
    <n v="8302.7000000000007"/>
    <n v="228105"/>
    <n v="7603.5"/>
    <m/>
    <m/>
    <n v="0"/>
    <n v="0"/>
    <m/>
    <m/>
    <m/>
    <m/>
    <m/>
    <m/>
    <m/>
    <m/>
    <n v="0"/>
    <n v="0"/>
    <n v="0"/>
    <n v="0"/>
    <m/>
    <m/>
    <n v="0"/>
    <n v="0"/>
    <m/>
    <m/>
    <m/>
    <m/>
    <m/>
    <m/>
    <m/>
    <m/>
    <n v="0"/>
    <n v="0"/>
    <n v="0"/>
    <n v="0"/>
    <n v="8302.7000000000007"/>
    <n v="7603.5"/>
  </r>
  <r>
    <x v="3"/>
    <s v="Eastern Florida State College"/>
    <s v="Met the criteria for Two-Year 1 in 2020-21 and 2021-22"/>
    <n v="132693"/>
    <x v="12"/>
    <m/>
    <m/>
    <m/>
    <m/>
    <n v="127669"/>
    <n v="112417"/>
    <n v="53421"/>
    <n v="46592"/>
    <n v="124032"/>
    <n v="108520"/>
    <n v="305122"/>
    <n v="10170.733333333334"/>
    <n v="267529"/>
    <n v="8917.6333333333332"/>
    <n v="60572"/>
    <n v="54015"/>
    <n v="305122"/>
    <n v="267529"/>
    <m/>
    <m/>
    <n v="160119"/>
    <n v="138126"/>
    <n v="21876"/>
    <n v="30108"/>
    <n v="97947"/>
    <n v="164156"/>
    <n v="279942"/>
    <n v="311.04666666666668"/>
    <n v="332390"/>
    <n v="369.32222222222219"/>
    <n v="21860"/>
    <n v="21780"/>
    <n v="279942"/>
    <n v="332390"/>
    <m/>
    <m/>
    <m/>
    <m/>
    <m/>
    <m/>
    <m/>
    <m/>
    <n v="0"/>
    <n v="0"/>
    <n v="0"/>
    <n v="0"/>
    <n v="10481.780000000001"/>
    <n v="9286.9555555555562"/>
  </r>
  <r>
    <x v="3"/>
    <s v="Broward College "/>
    <s v="Met the criteria for Two-Year 21in 2020-21 and 2021-22"/>
    <n v="132709"/>
    <x v="12"/>
    <m/>
    <m/>
    <m/>
    <m/>
    <n v="306238"/>
    <n v="272902"/>
    <n v="153503"/>
    <n v="141434"/>
    <n v="301326"/>
    <n v="266980"/>
    <n v="761067"/>
    <n v="25368.9"/>
    <n v="681316"/>
    <n v="22710.533333333333"/>
    <n v="65528"/>
    <n v="58887"/>
    <n v="761067"/>
    <n v="681316"/>
    <m/>
    <m/>
    <n v="68290"/>
    <n v="52974"/>
    <n v="15576"/>
    <n v="43580"/>
    <n v="99592"/>
    <n v="72676"/>
    <n v="183458"/>
    <n v="203.84222222222223"/>
    <n v="169230"/>
    <n v="188.03333333333333"/>
    <n v="0"/>
    <n v="0"/>
    <n v="183458"/>
    <n v="169230"/>
    <m/>
    <m/>
    <m/>
    <m/>
    <m/>
    <m/>
    <m/>
    <m/>
    <n v="0"/>
    <n v="0"/>
    <n v="0"/>
    <n v="0"/>
    <n v="25572.742222222223"/>
    <n v="22898.566666666666"/>
  </r>
  <r>
    <x v="3"/>
    <s v="College of Central Florida"/>
    <s v="Met the criteria for Two-Year 2 in 2020-21 and 2021-22"/>
    <n v="132851"/>
    <x v="12"/>
    <m/>
    <m/>
    <m/>
    <m/>
    <n v="57789"/>
    <n v="50341"/>
    <n v="24432"/>
    <n v="21184"/>
    <n v="57082"/>
    <n v="49896"/>
    <n v="139303"/>
    <n v="4643.4333333333334"/>
    <n v="121421"/>
    <n v="4047.3666666666668"/>
    <n v="20511"/>
    <n v="19246"/>
    <n v="139303"/>
    <n v="121421"/>
    <m/>
    <m/>
    <n v="53333"/>
    <n v="44320"/>
    <n v="24476"/>
    <n v="30223"/>
    <n v="59275"/>
    <n v="41765"/>
    <n v="137084"/>
    <n v="152.31555555555556"/>
    <n v="116308"/>
    <n v="129.23111111111112"/>
    <n v="5910"/>
    <n v="8490"/>
    <n v="137084"/>
    <n v="116308"/>
    <m/>
    <m/>
    <m/>
    <m/>
    <m/>
    <m/>
    <m/>
    <m/>
    <n v="0"/>
    <n v="0"/>
    <n v="0"/>
    <n v="0"/>
    <n v="4795.7488888888893"/>
    <n v="4176.597777777778"/>
  </r>
  <r>
    <x v="3"/>
    <s v="Chipola College "/>
    <s v="Met the criteria for Two-Year 3 in 2020-21 and 2021-22"/>
    <n v="133021"/>
    <x v="12"/>
    <m/>
    <m/>
    <m/>
    <m/>
    <n v="15610"/>
    <n v="14263"/>
    <n v="5118"/>
    <n v="4983"/>
    <n v="16676"/>
    <n v="15224"/>
    <n v="37404"/>
    <n v="1246.8"/>
    <n v="34470"/>
    <n v="1149"/>
    <n v="7982"/>
    <n v="7051"/>
    <n v="37404"/>
    <n v="34470"/>
    <m/>
    <m/>
    <n v="46348"/>
    <n v="48564"/>
    <n v="27055"/>
    <n v="19328"/>
    <n v="60038"/>
    <n v="60543"/>
    <n v="133441"/>
    <n v="148.26777777777778"/>
    <n v="128435"/>
    <n v="142.70555555555555"/>
    <n v="3210"/>
    <n v="9390"/>
    <n v="133441"/>
    <n v="128435"/>
    <m/>
    <m/>
    <m/>
    <m/>
    <m/>
    <m/>
    <m/>
    <m/>
    <n v="0"/>
    <n v="0"/>
    <n v="0"/>
    <n v="0"/>
    <n v="1395.0677777777778"/>
    <n v="1291.7055555555555"/>
  </r>
  <r>
    <x v="3"/>
    <s v="Daytona State College "/>
    <s v="Met the criteria for Two-Year 1 in 2020-21 and 2021-22"/>
    <n v="133386"/>
    <x v="12"/>
    <m/>
    <m/>
    <m/>
    <m/>
    <n v="116276"/>
    <n v="106354"/>
    <n v="44333"/>
    <n v="41890"/>
    <n v="118104"/>
    <n v="103127"/>
    <n v="278713"/>
    <n v="9290.4333333333325"/>
    <n v="251371"/>
    <n v="8379.0333333333328"/>
    <n v="42905"/>
    <n v="38237"/>
    <n v="278713"/>
    <n v="251371"/>
    <m/>
    <m/>
    <n v="548380"/>
    <n v="474464"/>
    <n v="252868"/>
    <n v="295308"/>
    <n v="460628"/>
    <n v="472815"/>
    <n v="1261876"/>
    <n v="1402.0844444444444"/>
    <n v="1242587"/>
    <n v="1380.6522222222222"/>
    <n v="10820"/>
    <n v="10235"/>
    <n v="1261876"/>
    <n v="1242587"/>
    <m/>
    <m/>
    <m/>
    <m/>
    <m/>
    <m/>
    <m/>
    <m/>
    <n v="0"/>
    <n v="0"/>
    <n v="0"/>
    <n v="0"/>
    <n v="10692.517777777777"/>
    <n v="9759.6855555555558"/>
  </r>
  <r>
    <x v="3"/>
    <s v="Florida SouthWestern State College"/>
    <s v="Met the criteria for Two-Year 1 in 2020-21 and 2021-22"/>
    <n v="133508"/>
    <x v="12"/>
    <m/>
    <m/>
    <m/>
    <m/>
    <n v="131986"/>
    <n v="120018"/>
    <n v="41741"/>
    <n v="41102"/>
    <n v="136908"/>
    <n v="129002"/>
    <n v="310635"/>
    <n v="10354.5"/>
    <n v="290122"/>
    <n v="9670.7333333333336"/>
    <n v="45171"/>
    <n v="43503"/>
    <n v="310635"/>
    <n v="290122"/>
    <m/>
    <m/>
    <n v="4800"/>
    <n v="13920"/>
    <n v="12450"/>
    <n v="6840"/>
    <n v="6720"/>
    <n v="7800"/>
    <n v="23970"/>
    <n v="26.633333333333333"/>
    <n v="28560"/>
    <n v="31.733333333333334"/>
    <n v="0"/>
    <n v="0"/>
    <n v="23970"/>
    <n v="28560"/>
    <m/>
    <m/>
    <m/>
    <m/>
    <m/>
    <m/>
    <m/>
    <m/>
    <n v="0"/>
    <n v="0"/>
    <n v="0"/>
    <n v="0"/>
    <n v="10381.133333333333"/>
    <n v="9702.4666666666672"/>
  </r>
  <r>
    <x v="3"/>
    <s v="Florida State College at Jacksonville"/>
    <s v="Met the criteria for Two-Year 1 in 2020-21 and 2021-22"/>
    <n v="133702"/>
    <x v="12"/>
    <m/>
    <m/>
    <m/>
    <m/>
    <n v="184397"/>
    <n v="162072"/>
    <n v="97946"/>
    <n v="86379"/>
    <n v="178559"/>
    <n v="163391"/>
    <n v="460902"/>
    <n v="15363.4"/>
    <n v="411842"/>
    <n v="13728.066666666668"/>
    <n v="38431"/>
    <n v="34777"/>
    <n v="460902"/>
    <n v="411842"/>
    <m/>
    <m/>
    <n v="390805"/>
    <n v="304419"/>
    <n v="190314"/>
    <n v="230177"/>
    <n v="314158"/>
    <n v="303408"/>
    <n v="895277"/>
    <n v="994.75222222222226"/>
    <n v="838004"/>
    <n v="931.1155555555556"/>
    <n v="12148"/>
    <n v="3505"/>
    <n v="895277"/>
    <n v="838004"/>
    <m/>
    <m/>
    <m/>
    <m/>
    <m/>
    <m/>
    <m/>
    <m/>
    <n v="0"/>
    <n v="0"/>
    <n v="0"/>
    <n v="0"/>
    <n v="16358.152222222221"/>
    <n v="14659.182222222224"/>
  </r>
  <r>
    <x v="3"/>
    <s v="The College of the Florida Keys"/>
    <m/>
    <n v="133960"/>
    <x v="7"/>
    <m/>
    <m/>
    <m/>
    <m/>
    <n v="8606"/>
    <n v="8817"/>
    <n v="2812"/>
    <n v="2967"/>
    <n v="9392"/>
    <n v="9507"/>
    <n v="20810"/>
    <n v="693.66666666666663"/>
    <n v="21291"/>
    <n v="709.7"/>
    <n v="2226"/>
    <n v="2132"/>
    <n v="20810"/>
    <n v="21291"/>
    <m/>
    <m/>
    <n v="31580"/>
    <n v="31977"/>
    <n v="19302"/>
    <n v="32828"/>
    <n v="31261"/>
    <n v="38407"/>
    <n v="82143"/>
    <n v="91.27"/>
    <n v="103212"/>
    <n v="114.68"/>
    <n v="0"/>
    <n v="0"/>
    <n v="82143"/>
    <n v="103212"/>
    <m/>
    <m/>
    <m/>
    <m/>
    <m/>
    <m/>
    <m/>
    <m/>
    <n v="0"/>
    <n v="0"/>
    <n v="0"/>
    <n v="0"/>
    <n v="784.93666666666661"/>
    <n v="824.38000000000011"/>
  </r>
  <r>
    <x v="3"/>
    <s v="Gulf Coast State College "/>
    <s v="Met the criteria for Two-Year 2 in 2020-21 and 2021-22"/>
    <n v="134343"/>
    <x v="12"/>
    <m/>
    <m/>
    <m/>
    <m/>
    <n v="38945"/>
    <n v="34418"/>
    <n v="11191"/>
    <n v="10967"/>
    <n v="40033"/>
    <n v="39949"/>
    <n v="90169"/>
    <n v="3005.6333333333332"/>
    <n v="85334"/>
    <n v="2844.4666666666667"/>
    <n v="12056"/>
    <n v="12610"/>
    <n v="90169"/>
    <n v="85334"/>
    <m/>
    <m/>
    <n v="47862"/>
    <n v="59151"/>
    <n v="24107"/>
    <n v="31679"/>
    <n v="51646"/>
    <n v="41052"/>
    <n v="123615"/>
    <n v="137.35"/>
    <n v="131882"/>
    <n v="146.53555555555556"/>
    <n v="0"/>
    <n v="0"/>
    <n v="123615"/>
    <n v="131882"/>
    <m/>
    <m/>
    <m/>
    <m/>
    <m/>
    <m/>
    <m/>
    <m/>
    <n v="0"/>
    <n v="0"/>
    <n v="0"/>
    <n v="0"/>
    <n v="3142.9833333333331"/>
    <n v="2991.0022222222224"/>
  </r>
  <r>
    <x v="3"/>
    <s v="Hillsborough Community College "/>
    <m/>
    <n v="134495"/>
    <x v="5"/>
    <m/>
    <m/>
    <m/>
    <m/>
    <n v="237483"/>
    <n v="211166"/>
    <n v="96362"/>
    <n v="92894"/>
    <n v="232718"/>
    <n v="224142"/>
    <n v="566563"/>
    <n v="18885.433333333334"/>
    <n v="528202"/>
    <n v="17606.733333333334"/>
    <n v="71752"/>
    <n v="70328"/>
    <n v="566563"/>
    <n v="528202"/>
    <m/>
    <m/>
    <n v="875049"/>
    <n v="707791"/>
    <n v="64272"/>
    <n v="71792"/>
    <n v="846842"/>
    <n v="700223"/>
    <n v="1786163"/>
    <n v="1984.6255555555556"/>
    <n v="1479806"/>
    <n v="1644.2288888888888"/>
    <n v="0"/>
    <n v="0"/>
    <n v="1786163"/>
    <n v="1479806"/>
    <m/>
    <m/>
    <m/>
    <m/>
    <m/>
    <m/>
    <m/>
    <m/>
    <n v="0"/>
    <n v="0"/>
    <n v="0"/>
    <n v="0"/>
    <n v="20870.058888888889"/>
    <n v="19250.962222222224"/>
  </r>
  <r>
    <x v="3"/>
    <s v="Indian River State College "/>
    <s v="Met the criteria for Two-Year 1 in 2020-21 and 2021-22"/>
    <n v="134608"/>
    <x v="12"/>
    <m/>
    <m/>
    <m/>
    <m/>
    <n v="120054"/>
    <n v="109926"/>
    <n v="60010"/>
    <n v="54667"/>
    <n v="121224"/>
    <n v="111915"/>
    <n v="301288"/>
    <n v="10042.933333333332"/>
    <n v="276508"/>
    <n v="9216.9333333333325"/>
    <n v="63338"/>
    <n v="52678"/>
    <n v="301288"/>
    <n v="276508"/>
    <m/>
    <m/>
    <n v="626352"/>
    <n v="403009"/>
    <n v="275731"/>
    <n v="352656"/>
    <n v="376074"/>
    <n v="334555"/>
    <n v="1278157"/>
    <n v="1420.1744444444444"/>
    <n v="1090220"/>
    <n v="1211.3555555555556"/>
    <n v="1500"/>
    <n v="2065"/>
    <n v="1278157"/>
    <n v="1090220"/>
    <m/>
    <m/>
    <m/>
    <m/>
    <m/>
    <m/>
    <m/>
    <m/>
    <n v="0"/>
    <n v="0"/>
    <n v="0"/>
    <n v="0"/>
    <n v="11463.107777777777"/>
    <n v="10428.288888888888"/>
  </r>
  <r>
    <x v="3"/>
    <s v="Florida Gateway College"/>
    <s v="Met the criteria for Two-Year 2 in 2020-21 and 2021-22"/>
    <n v="135160"/>
    <x v="12"/>
    <m/>
    <m/>
    <m/>
    <m/>
    <n v="25259"/>
    <n v="21472"/>
    <n v="11539"/>
    <n v="10529"/>
    <n v="23619"/>
    <n v="22310"/>
    <n v="60417"/>
    <n v="2013.9"/>
    <n v="54311"/>
    <n v="1810.3666666666666"/>
    <n v="13299"/>
    <n v="11153"/>
    <n v="60417"/>
    <n v="54311"/>
    <m/>
    <m/>
    <n v="90149"/>
    <n v="122058"/>
    <n v="43816"/>
    <n v="34762"/>
    <n v="102831"/>
    <n v="83890"/>
    <n v="236796"/>
    <n v="263.10666666666668"/>
    <n v="240710"/>
    <n v="267.45555555555558"/>
    <n v="3000"/>
    <n v="5505"/>
    <n v="236796"/>
    <n v="240710"/>
    <m/>
    <m/>
    <m/>
    <m/>
    <m/>
    <m/>
    <m/>
    <m/>
    <n v="0"/>
    <n v="0"/>
    <n v="0"/>
    <n v="0"/>
    <n v="2277.0066666666667"/>
    <n v="2077.8222222222221"/>
  </r>
  <r>
    <x v="3"/>
    <s v="Lake-Sumter State College "/>
    <s v="Met the criteria for Two-Year 2 in 2020-21 and 2021-22"/>
    <n v="135188"/>
    <x v="12"/>
    <m/>
    <m/>
    <m/>
    <m/>
    <n v="39810"/>
    <n v="37785"/>
    <n v="15197"/>
    <n v="13199"/>
    <n v="42699"/>
    <n v="37742"/>
    <n v="97706"/>
    <n v="3256.8666666666668"/>
    <n v="88726"/>
    <n v="2957.5333333333333"/>
    <n v="24011"/>
    <n v="22105"/>
    <n v="97706"/>
    <n v="88726"/>
    <m/>
    <m/>
    <n v="114"/>
    <n v="194"/>
    <n v="0"/>
    <n v="0"/>
    <n v="392"/>
    <n v="0"/>
    <n v="506"/>
    <n v="0.56222222222222218"/>
    <n v="194"/>
    <n v="0.21555555555555556"/>
    <n v="0"/>
    <n v="0"/>
    <n v="506"/>
    <n v="194"/>
    <m/>
    <m/>
    <m/>
    <m/>
    <m/>
    <m/>
    <m/>
    <m/>
    <n v="0"/>
    <n v="0"/>
    <n v="0"/>
    <n v="0"/>
    <n v="3257.4288888888891"/>
    <n v="2957.7488888888888"/>
  </r>
  <r>
    <x v="3"/>
    <s v="State College of Florida, Manatee-Sarasota"/>
    <s v="Met the criteria for Two-Year 1 in 2020-21 and 2021-22"/>
    <n v="135391"/>
    <x v="12"/>
    <m/>
    <m/>
    <m/>
    <m/>
    <n v="81023"/>
    <n v="76565"/>
    <n v="30021"/>
    <n v="26952"/>
    <n v="86374"/>
    <n v="77599"/>
    <n v="197418"/>
    <n v="6580.6"/>
    <n v="181116"/>
    <n v="6037.2"/>
    <n v="16324"/>
    <n v="13980"/>
    <n v="197418"/>
    <n v="181116"/>
    <m/>
    <m/>
    <n v="0"/>
    <n v="0"/>
    <n v="0"/>
    <n v="0"/>
    <n v="0"/>
    <n v="0"/>
    <n v="0"/>
    <n v="0"/>
    <n v="0"/>
    <n v="0"/>
    <n v="0"/>
    <n v="0"/>
    <n v="0"/>
    <n v="0"/>
    <m/>
    <m/>
    <m/>
    <m/>
    <m/>
    <m/>
    <m/>
    <m/>
    <n v="0"/>
    <n v="0"/>
    <n v="0"/>
    <n v="0"/>
    <n v="6580.6"/>
    <n v="6037.2"/>
  </r>
  <r>
    <x v="3"/>
    <s v="Miami Dade College "/>
    <s v="Met the criteria for Two-Year 1 in 2020-21 and 2021-22"/>
    <n v="135717"/>
    <x v="12"/>
    <m/>
    <m/>
    <m/>
    <m/>
    <n v="499096"/>
    <n v="465813"/>
    <n v="256784"/>
    <n v="255674"/>
    <n v="482907"/>
    <n v="477060"/>
    <n v="1238787"/>
    <n v="41292.9"/>
    <n v="1198547"/>
    <n v="39951.566666666666"/>
    <n v="68977"/>
    <n v="66511"/>
    <n v="1238787"/>
    <n v="1198547"/>
    <m/>
    <m/>
    <n v="890680"/>
    <n v="494099"/>
    <n v="204286"/>
    <n v="364396"/>
    <n v="358370"/>
    <n v="555007"/>
    <n v="1453336"/>
    <n v="1614.8177777777778"/>
    <n v="1413502"/>
    <n v="1570.5577777777778"/>
    <n v="0"/>
    <n v="0"/>
    <n v="1453336"/>
    <n v="1413502"/>
    <m/>
    <m/>
    <m/>
    <m/>
    <m/>
    <m/>
    <m/>
    <m/>
    <n v="0"/>
    <n v="0"/>
    <n v="0"/>
    <n v="0"/>
    <n v="42907.717777777776"/>
    <n v="41522.124444444446"/>
  </r>
  <r>
    <x v="3"/>
    <s v="North Florida College "/>
    <m/>
    <n v="136145"/>
    <x v="7"/>
    <m/>
    <m/>
    <m/>
    <m/>
    <n v="9113"/>
    <n v="8827"/>
    <n v="3207"/>
    <n v="4129"/>
    <n v="9612"/>
    <n v="9483"/>
    <n v="21932"/>
    <n v="731.06666666666672"/>
    <n v="22439"/>
    <n v="747.9666666666667"/>
    <n v="5402"/>
    <n v="5641"/>
    <n v="21932"/>
    <n v="22439"/>
    <m/>
    <m/>
    <n v="33721"/>
    <n v="25443"/>
    <n v="6640"/>
    <n v="14091"/>
    <n v="19838"/>
    <n v="20121"/>
    <n v="60199"/>
    <n v="66.887777777777771"/>
    <n v="59655"/>
    <n v="66.283333333333331"/>
    <n v="3150"/>
    <n v="600"/>
    <n v="60199"/>
    <n v="59655"/>
    <m/>
    <m/>
    <m/>
    <m/>
    <m/>
    <m/>
    <m/>
    <m/>
    <n v="0"/>
    <n v="0"/>
    <n v="0"/>
    <n v="0"/>
    <n v="797.95444444444445"/>
    <n v="814.25"/>
  </r>
  <r>
    <x v="3"/>
    <s v="Northwest Florida State College"/>
    <s v="Met the criteria for Two-Year 2 in 2020-21 and 2021-22"/>
    <n v="136233"/>
    <x v="12"/>
    <m/>
    <m/>
    <m/>
    <m/>
    <n v="44214"/>
    <n v="38244"/>
    <n v="18349"/>
    <n v="14614"/>
    <n v="42943"/>
    <n v="39106"/>
    <n v="105506"/>
    <n v="3516.8666666666668"/>
    <n v="91964"/>
    <n v="3065.4666666666667"/>
    <n v="18485"/>
    <n v="17290"/>
    <n v="105506"/>
    <n v="91964"/>
    <m/>
    <m/>
    <n v="102523"/>
    <n v="87048"/>
    <n v="7424"/>
    <n v="19434"/>
    <n v="86153"/>
    <n v="62896"/>
    <n v="196100"/>
    <n v="217.88888888888889"/>
    <n v="169378"/>
    <n v="188.19777777777779"/>
    <n v="0"/>
    <n v="0"/>
    <n v="196100"/>
    <n v="169378"/>
    <m/>
    <m/>
    <m/>
    <m/>
    <m/>
    <m/>
    <m/>
    <m/>
    <n v="0"/>
    <n v="0"/>
    <n v="0"/>
    <n v="0"/>
    <n v="3734.7555555555555"/>
    <n v="3253.6644444444446"/>
  </r>
  <r>
    <x v="3"/>
    <s v="Palm Beach State College "/>
    <s v="Met the criteria for Two-Year 1 in 2020-21 and 2021-22"/>
    <n v="136358"/>
    <x v="12"/>
    <m/>
    <m/>
    <m/>
    <m/>
    <n v="220541"/>
    <n v="190047"/>
    <n v="120964"/>
    <n v="104976"/>
    <n v="218438"/>
    <n v="187939"/>
    <n v="559943"/>
    <n v="18664.766666666666"/>
    <n v="482962"/>
    <n v="16098.733333333334"/>
    <n v="39731"/>
    <n v="29128"/>
    <n v="559943"/>
    <n v="482962"/>
    <m/>
    <m/>
    <n v="517305"/>
    <n v="447415"/>
    <n v="271739"/>
    <n v="264681"/>
    <n v="442577"/>
    <n v="288980"/>
    <n v="1231621"/>
    <n v="1368.4677777777779"/>
    <n v="1001076"/>
    <n v="1112.3066666666666"/>
    <n v="1920"/>
    <n v="0"/>
    <n v="1231621"/>
    <n v="1001076"/>
    <m/>
    <m/>
    <m/>
    <m/>
    <m/>
    <m/>
    <m/>
    <m/>
    <n v="0"/>
    <n v="0"/>
    <n v="0"/>
    <n v="0"/>
    <n v="20033.234444444446"/>
    <n v="17211.04"/>
  </r>
  <r>
    <x v="3"/>
    <s v="Pasco-Hernando State College "/>
    <s v="Met the criteria for Two-Year 1 in 2020-21 and 2021-22"/>
    <n v="136400"/>
    <x v="12"/>
    <m/>
    <m/>
    <m/>
    <m/>
    <n v="92543"/>
    <n v="82291"/>
    <n v="29752"/>
    <n v="26296"/>
    <n v="90133"/>
    <n v="78008"/>
    <n v="212428"/>
    <n v="7080.9333333333334"/>
    <n v="186595"/>
    <n v="6219.833333333333"/>
    <n v="37152"/>
    <n v="35354"/>
    <n v="212428"/>
    <n v="186595"/>
    <m/>
    <m/>
    <n v="114435"/>
    <n v="97351"/>
    <n v="12446"/>
    <n v="52552"/>
    <n v="59344"/>
    <n v="104080"/>
    <n v="186225"/>
    <n v="206.91666666666666"/>
    <n v="253983"/>
    <n v="282.20333333333332"/>
    <n v="2100"/>
    <n v="4650"/>
    <n v="186225"/>
    <n v="253983"/>
    <m/>
    <m/>
    <m/>
    <m/>
    <m/>
    <m/>
    <m/>
    <m/>
    <n v="0"/>
    <n v="0"/>
    <n v="0"/>
    <n v="0"/>
    <n v="7287.85"/>
    <n v="6502.036666666666"/>
  </r>
  <r>
    <x v="3"/>
    <s v="Pensacola State College "/>
    <s v="Met the criteria for Two-Year 1 in 2020-21 and 2021-22"/>
    <n v="136473"/>
    <x v="12"/>
    <m/>
    <m/>
    <m/>
    <m/>
    <n v="77997"/>
    <n v="69489"/>
    <n v="30648"/>
    <n v="28449"/>
    <n v="78284"/>
    <n v="73022"/>
    <n v="186929"/>
    <n v="6230.9666666666662"/>
    <n v="170960"/>
    <n v="5698.666666666667"/>
    <n v="26065"/>
    <n v="22988"/>
    <n v="186929"/>
    <n v="170960"/>
    <m/>
    <m/>
    <n v="173412"/>
    <n v="130486"/>
    <n v="64278"/>
    <n v="66019"/>
    <n v="133087"/>
    <n v="147858"/>
    <n v="370777"/>
    <n v="411.97444444444443"/>
    <n v="344363"/>
    <n v="382.62555555555554"/>
    <n v="2700"/>
    <n v="375"/>
    <n v="370777"/>
    <n v="344363"/>
    <m/>
    <m/>
    <m/>
    <m/>
    <m/>
    <m/>
    <m/>
    <m/>
    <n v="0"/>
    <n v="0"/>
    <n v="0"/>
    <n v="0"/>
    <n v="6642.9411111111103"/>
    <n v="6081.2922222222223"/>
  </r>
  <r>
    <x v="3"/>
    <s v="Polk State College "/>
    <s v="Met the criteria for Two-Year 1 in 2020-21 and 2021-22"/>
    <n v="136516"/>
    <x v="12"/>
    <m/>
    <m/>
    <m/>
    <m/>
    <n v="79005"/>
    <n v="69011"/>
    <n v="31004"/>
    <n v="25395"/>
    <n v="80269"/>
    <n v="71739"/>
    <n v="190278"/>
    <n v="6342.6"/>
    <n v="166145"/>
    <n v="5538.166666666667"/>
    <n v="21372"/>
    <n v="17314"/>
    <n v="190278"/>
    <n v="166145"/>
    <m/>
    <m/>
    <n v="29514"/>
    <n v="21374"/>
    <n v="14739"/>
    <n v="24685"/>
    <n v="36752"/>
    <n v="41100"/>
    <n v="81005"/>
    <n v="90.00555555555556"/>
    <n v="87159"/>
    <n v="96.843333333333334"/>
    <n v="0"/>
    <n v="0"/>
    <n v="81005"/>
    <n v="87159"/>
    <m/>
    <m/>
    <m/>
    <m/>
    <m/>
    <m/>
    <m/>
    <m/>
    <n v="0"/>
    <n v="0"/>
    <n v="0"/>
    <n v="0"/>
    <n v="6432.6055555555558"/>
    <n v="5635.01"/>
  </r>
  <r>
    <x v="3"/>
    <s v="St. Johns River State College "/>
    <s v="Met the criteria for Two-Year 2 in 2020-21 and 2021-22"/>
    <n v="137281"/>
    <x v="12"/>
    <m/>
    <m/>
    <m/>
    <m/>
    <n v="53848"/>
    <n v="49330"/>
    <n v="22640"/>
    <n v="18979"/>
    <n v="56936"/>
    <n v="52192"/>
    <n v="133424"/>
    <n v="4447.4666666666662"/>
    <n v="120501"/>
    <n v="4016.7"/>
    <n v="36232"/>
    <n v="34913"/>
    <n v="133424"/>
    <n v="120501"/>
    <m/>
    <m/>
    <n v="45624"/>
    <n v="47400"/>
    <n v="20984"/>
    <n v="17310"/>
    <n v="26343"/>
    <n v="47008"/>
    <n v="92951"/>
    <n v="103.27888888888889"/>
    <n v="111718"/>
    <n v="124.13111111111111"/>
    <n v="1320"/>
    <n v="1920"/>
    <n v="92951"/>
    <n v="111718"/>
    <m/>
    <m/>
    <m/>
    <m/>
    <m/>
    <m/>
    <m/>
    <m/>
    <n v="0"/>
    <n v="0"/>
    <n v="0"/>
    <n v="0"/>
    <n v="4550.7455555555553"/>
    <n v="4140.8311111111107"/>
  </r>
  <r>
    <x v="3"/>
    <s v="St. Petersburg College "/>
    <s v="Met the criteria for Two-Year 1 in 2020-21 and 2021-22"/>
    <n v="137078"/>
    <x v="12"/>
    <m/>
    <m/>
    <m/>
    <m/>
    <n v="224398"/>
    <n v="201353"/>
    <n v="82899"/>
    <n v="72901"/>
    <n v="215624"/>
    <n v="195771"/>
    <n v="522921"/>
    <n v="17430.7"/>
    <n v="470025"/>
    <n v="15667.5"/>
    <n v="45611"/>
    <n v="43118"/>
    <n v="522921"/>
    <n v="470025"/>
    <m/>
    <m/>
    <n v="68153"/>
    <n v="103622"/>
    <n v="37279"/>
    <n v="46427"/>
    <n v="79586"/>
    <n v="92243"/>
    <n v="185018"/>
    <n v="205.57555555555555"/>
    <n v="242292"/>
    <n v="269.21333333333331"/>
    <n v="0"/>
    <n v="0"/>
    <n v="185018"/>
    <n v="242292"/>
    <m/>
    <m/>
    <m/>
    <m/>
    <m/>
    <m/>
    <m/>
    <m/>
    <n v="0"/>
    <n v="0"/>
    <n v="0"/>
    <n v="0"/>
    <n v="17636.275555555556"/>
    <n v="15936.713333333333"/>
  </r>
  <r>
    <x v="3"/>
    <s v="Santa Fe College "/>
    <s v="Met the criteria for Two-Year 1 in 2020-21 and 2021-22"/>
    <n v="137096"/>
    <x v="12"/>
    <m/>
    <m/>
    <m/>
    <m/>
    <n v="118747"/>
    <n v="104901"/>
    <n v="48120"/>
    <n v="44030"/>
    <n v="122669"/>
    <n v="116327"/>
    <n v="289536"/>
    <n v="9651.2000000000007"/>
    <n v="265258"/>
    <n v="8841.9333333333325"/>
    <n v="18539"/>
    <n v="13615"/>
    <n v="289536"/>
    <n v="265258"/>
    <m/>
    <m/>
    <n v="288901"/>
    <n v="238989"/>
    <n v="154479"/>
    <n v="190649"/>
    <n v="243304"/>
    <n v="267884"/>
    <n v="686684"/>
    <n v="762.98222222222228"/>
    <n v="697522"/>
    <n v="775.0244444444445"/>
    <n v="2118"/>
    <n v="0"/>
    <n v="686684"/>
    <n v="697522"/>
    <m/>
    <m/>
    <m/>
    <m/>
    <m/>
    <m/>
    <m/>
    <m/>
    <n v="0"/>
    <n v="0"/>
    <n v="0"/>
    <n v="0"/>
    <n v="10414.182222222224"/>
    <n v="9616.9577777777777"/>
  </r>
  <r>
    <x v="3"/>
    <s v="Seminole State College of Florida"/>
    <s v="Met the criteria for Two-Year 1 in 2020-21 and 2021-22"/>
    <n v="137209"/>
    <x v="12"/>
    <m/>
    <m/>
    <m/>
    <m/>
    <n v="132321"/>
    <n v="118518"/>
    <n v="67365"/>
    <n v="60728"/>
    <n v="132878"/>
    <n v="124703"/>
    <n v="332564"/>
    <n v="11085.466666666667"/>
    <n v="303949"/>
    <n v="10131.633333333333"/>
    <n v="19486"/>
    <n v="21380"/>
    <n v="332564"/>
    <n v="303949"/>
    <m/>
    <m/>
    <n v="596078"/>
    <n v="468116"/>
    <n v="413902"/>
    <n v="347676"/>
    <n v="464010"/>
    <n v="280296"/>
    <n v="1473990"/>
    <n v="1637.7666666666667"/>
    <n v="1096088"/>
    <n v="1217.8755555555556"/>
    <n v="0"/>
    <n v="0"/>
    <n v="1473990"/>
    <n v="1096088"/>
    <m/>
    <m/>
    <m/>
    <m/>
    <m/>
    <m/>
    <m/>
    <m/>
    <n v="0"/>
    <n v="0"/>
    <n v="0"/>
    <n v="0"/>
    <n v="12723.233333333334"/>
    <n v="11349.508888888889"/>
  </r>
  <r>
    <x v="3"/>
    <s v="South Florida State College "/>
    <s v="Met the criteria for Two-Year 2 in 2020-21 and 2021-22"/>
    <n v="137315"/>
    <x v="12"/>
    <m/>
    <m/>
    <m/>
    <m/>
    <n v="19465"/>
    <n v="20308"/>
    <n v="6124"/>
    <n v="6670"/>
    <n v="22581"/>
    <n v="22036"/>
    <n v="48170"/>
    <n v="1605.6666666666667"/>
    <n v="49014"/>
    <n v="1633.8"/>
    <n v="9093"/>
    <n v="10353"/>
    <n v="48170"/>
    <n v="49014"/>
    <m/>
    <m/>
    <n v="283005"/>
    <n v="243547"/>
    <n v="92292"/>
    <n v="106762"/>
    <n v="286330"/>
    <n v="263225"/>
    <n v="661627"/>
    <n v="735.14111111111106"/>
    <n v="613534"/>
    <n v="681.70444444444445"/>
    <n v="66660"/>
    <n v="61310"/>
    <n v="661627"/>
    <n v="613534"/>
    <m/>
    <m/>
    <m/>
    <m/>
    <m/>
    <m/>
    <m/>
    <m/>
    <n v="0"/>
    <n v="0"/>
    <n v="0"/>
    <n v="0"/>
    <n v="2340.807777777778"/>
    <n v="2315.5044444444443"/>
  </r>
  <r>
    <x v="3"/>
    <s v="Tallahassee Community College "/>
    <m/>
    <n v="137759"/>
    <x v="5"/>
    <m/>
    <m/>
    <m/>
    <m/>
    <n v="99273"/>
    <n v="97334"/>
    <n v="42609"/>
    <n v="42465"/>
    <n v="110866"/>
    <n v="120423"/>
    <n v="252748"/>
    <n v="8424.9333333333325"/>
    <n v="260222"/>
    <n v="8674.0666666666675"/>
    <n v="10903"/>
    <n v="12286"/>
    <n v="252748"/>
    <n v="260222"/>
    <m/>
    <m/>
    <n v="135526"/>
    <n v="81776"/>
    <n v="5170"/>
    <n v="56539"/>
    <n v="127392"/>
    <n v="150527"/>
    <n v="268088"/>
    <n v="297.87555555555554"/>
    <n v="288842"/>
    <n v="320.93555555555554"/>
    <n v="0"/>
    <n v="0"/>
    <n v="268088"/>
    <n v="288842"/>
    <m/>
    <m/>
    <m/>
    <m/>
    <m/>
    <m/>
    <m/>
    <m/>
    <n v="0"/>
    <n v="0"/>
    <n v="0"/>
    <n v="0"/>
    <n v="8722.8088888888888"/>
    <n v="8995.0022222222233"/>
  </r>
  <r>
    <x v="3"/>
    <s v="Valencia College "/>
    <s v="Met the criteria for Two-Year 1 in 2020-21 and 2021-22"/>
    <n v="138187"/>
    <x v="12"/>
    <m/>
    <m/>
    <m/>
    <m/>
    <n v="389871"/>
    <n v="382987"/>
    <n v="207915"/>
    <n v="177945"/>
    <n v="429906"/>
    <n v="385193"/>
    <n v="1027692"/>
    <n v="34256.400000000001"/>
    <n v="946125"/>
    <n v="31537.5"/>
    <n v="111499"/>
    <n v="100095"/>
    <n v="1027692"/>
    <n v="946125"/>
    <m/>
    <m/>
    <n v="102098"/>
    <n v="120786"/>
    <n v="63163"/>
    <n v="58265"/>
    <n v="70970"/>
    <n v="59948"/>
    <n v="236231"/>
    <n v="262.47888888888889"/>
    <n v="238999"/>
    <n v="265.55444444444447"/>
    <n v="0"/>
    <n v="0"/>
    <n v="236231"/>
    <n v="238999"/>
    <m/>
    <m/>
    <m/>
    <m/>
    <m/>
    <m/>
    <m/>
    <m/>
    <n v="0"/>
    <n v="0"/>
    <n v="0"/>
    <n v="0"/>
    <n v="34518.878888888888"/>
    <n v="31803.054444444446"/>
  </r>
  <r>
    <x v="4"/>
    <s v="Georgia State University "/>
    <m/>
    <n v="139940"/>
    <x v="0"/>
    <m/>
    <m/>
    <m/>
    <m/>
    <n v="489543.5"/>
    <n v="458038"/>
    <n v="154606"/>
    <n v="131012"/>
    <n v="522155.5"/>
    <n v="492262"/>
    <n v="1166305"/>
    <n v="38876.833333333336"/>
    <n v="1081312"/>
    <n v="36043.73333333333"/>
    <n v="29104.5"/>
    <n v="28667.5"/>
    <n v="1166305"/>
    <n v="1081312"/>
    <m/>
    <m/>
    <m/>
    <m/>
    <m/>
    <m/>
    <m/>
    <m/>
    <n v="0"/>
    <n v="0"/>
    <n v="0"/>
    <n v="0"/>
    <m/>
    <m/>
    <n v="0"/>
    <n v="0"/>
    <m/>
    <m/>
    <n v="86346.5"/>
    <n v="84262"/>
    <n v="47864"/>
    <n v="40968"/>
    <n v="87426.5"/>
    <n v="87538"/>
    <n v="221637"/>
    <n v="9234.875"/>
    <n v="212768"/>
    <n v="8865.3333333333339"/>
    <n v="48111.708333333336"/>
    <n v="44909.066666666666"/>
  </r>
  <r>
    <x v="4"/>
    <s v="University of Georgia"/>
    <m/>
    <n v="139959"/>
    <x v="0"/>
    <m/>
    <m/>
    <m/>
    <m/>
    <n v="387828.5"/>
    <n v="388604"/>
    <n v="78267"/>
    <n v="66909"/>
    <n v="403765"/>
    <n v="406427.5"/>
    <n v="869860.5"/>
    <n v="28995.35"/>
    <n v="861940.5"/>
    <n v="28731.35"/>
    <n v="819"/>
    <n v="741"/>
    <n v="869860.5"/>
    <n v="861940.5"/>
    <m/>
    <m/>
    <m/>
    <m/>
    <m/>
    <m/>
    <m/>
    <m/>
    <n v="0"/>
    <n v="0"/>
    <n v="0"/>
    <n v="0"/>
    <m/>
    <m/>
    <n v="0"/>
    <n v="0"/>
    <m/>
    <m/>
    <n v="115495.8"/>
    <n v="122028.8"/>
    <n v="52548.1"/>
    <n v="55237.51"/>
    <n v="120898"/>
    <n v="127330.4"/>
    <n v="288941.90000000002"/>
    <n v="12039.245833333334"/>
    <n v="304596.70999999996"/>
    <n v="12691.529583333331"/>
    <n v="41034.595833333333"/>
    <n v="41422.879583333328"/>
  </r>
  <r>
    <x v="4"/>
    <s v="Georgia Institute of Technology"/>
    <m/>
    <n v="139755"/>
    <x v="1"/>
    <m/>
    <m/>
    <m/>
    <m/>
    <n v="200200.97"/>
    <n v="205016"/>
    <n v="57738"/>
    <n v="46467"/>
    <n v="224031"/>
    <n v="227819"/>
    <n v="481969.97"/>
    <n v="16065.665666666666"/>
    <n v="479302"/>
    <n v="15976.733333333334"/>
    <n v="4804"/>
    <n v="5539"/>
    <n v="481969.97"/>
    <n v="479302"/>
    <m/>
    <m/>
    <m/>
    <m/>
    <m/>
    <m/>
    <m/>
    <m/>
    <n v="0"/>
    <n v="0"/>
    <n v="0"/>
    <n v="0"/>
    <m/>
    <m/>
    <n v="0"/>
    <n v="0"/>
    <m/>
    <m/>
    <n v="154035.5"/>
    <n v="168966"/>
    <n v="78380.5"/>
    <n v="84279"/>
    <n v="170322.5"/>
    <n v="188470"/>
    <n v="402738.5"/>
    <n v="16780.770833333332"/>
    <n v="441715"/>
    <n v="18404.791666666668"/>
    <n v="32846.436499999996"/>
    <n v="34381.525000000001"/>
  </r>
  <r>
    <x v="4"/>
    <s v="Georgia Southern University"/>
    <m/>
    <n v="139931"/>
    <x v="2"/>
    <m/>
    <m/>
    <m/>
    <m/>
    <n v="267704"/>
    <n v="267427"/>
    <n v="75748"/>
    <n v="75602"/>
    <n v="304969"/>
    <n v="304930"/>
    <n v="648421"/>
    <n v="21614.033333333333"/>
    <n v="647959"/>
    <n v="21598.633333333335"/>
    <n v="12455"/>
    <n v="12275"/>
    <n v="648421"/>
    <n v="647959"/>
    <m/>
    <m/>
    <m/>
    <m/>
    <m/>
    <m/>
    <m/>
    <m/>
    <n v="0"/>
    <n v="0"/>
    <n v="0"/>
    <n v="0"/>
    <m/>
    <m/>
    <n v="0"/>
    <n v="0"/>
    <m/>
    <m/>
    <n v="22641"/>
    <n v="23926"/>
    <n v="17245"/>
    <n v="17778"/>
    <n v="25127"/>
    <n v="25597"/>
    <n v="65013"/>
    <n v="2708.875"/>
    <n v="67301"/>
    <n v="2804.2083333333335"/>
    <n v="24322.908333333333"/>
    <n v="24402.841666666667"/>
  </r>
  <r>
    <x v="4"/>
    <s v="Kennesaw State University"/>
    <m/>
    <n v="486840"/>
    <x v="2"/>
    <m/>
    <m/>
    <m/>
    <m/>
    <n v="393334"/>
    <n v="416737"/>
    <n v="117730"/>
    <n v="113002"/>
    <n v="456454"/>
    <n v="471733"/>
    <n v="967518"/>
    <n v="32250.6"/>
    <n v="1001472"/>
    <n v="33382.400000000001"/>
    <n v="16415"/>
    <n v="16129"/>
    <n v="967518"/>
    <n v="1001472"/>
    <m/>
    <m/>
    <m/>
    <m/>
    <m/>
    <m/>
    <m/>
    <m/>
    <n v="0"/>
    <n v="0"/>
    <n v="0"/>
    <n v="0"/>
    <m/>
    <m/>
    <n v="0"/>
    <n v="0"/>
    <m/>
    <m/>
    <n v="21164"/>
    <n v="26091"/>
    <n v="14408"/>
    <n v="15590"/>
    <n v="26283"/>
    <n v="28609"/>
    <n v="61855"/>
    <n v="2577.2916666666665"/>
    <n v="70290"/>
    <n v="2928.75"/>
    <n v="34827.891666666663"/>
    <n v="36311.15"/>
  </r>
  <r>
    <x v="4"/>
    <s v="University of West Georgia"/>
    <m/>
    <n v="141334"/>
    <x v="2"/>
    <m/>
    <m/>
    <m/>
    <m/>
    <n v="119289"/>
    <n v="111774"/>
    <n v="34423"/>
    <n v="32163"/>
    <n v="126581"/>
    <n v="114102"/>
    <n v="280293"/>
    <n v="9343.1"/>
    <n v="258039"/>
    <n v="8601.2999999999993"/>
    <n v="9494"/>
    <n v="10200"/>
    <n v="280293"/>
    <n v="258039"/>
    <m/>
    <m/>
    <m/>
    <m/>
    <m/>
    <m/>
    <m/>
    <m/>
    <n v="0"/>
    <n v="0"/>
    <n v="0"/>
    <n v="0"/>
    <m/>
    <m/>
    <n v="0"/>
    <n v="0"/>
    <m/>
    <m/>
    <n v="16982"/>
    <n v="18659"/>
    <n v="16008"/>
    <n v="17032"/>
    <n v="19599"/>
    <n v="19492"/>
    <n v="52589"/>
    <n v="2191.2083333333335"/>
    <n v="55183"/>
    <n v="2299.2916666666665"/>
    <n v="11534.308333333334"/>
    <n v="10900.591666666665"/>
  </r>
  <r>
    <x v="4"/>
    <s v="Valdosta State University "/>
    <m/>
    <n v="141264"/>
    <x v="2"/>
    <m/>
    <m/>
    <m/>
    <m/>
    <n v="97569"/>
    <n v="104163"/>
    <n v="26198"/>
    <n v="27259"/>
    <n v="118153"/>
    <n v="108744"/>
    <n v="241920"/>
    <n v="8064"/>
    <n v="240166"/>
    <n v="8005.5333333333338"/>
    <n v="2715"/>
    <n v="3165"/>
    <n v="241920"/>
    <n v="240166"/>
    <m/>
    <m/>
    <m/>
    <m/>
    <m/>
    <m/>
    <m/>
    <m/>
    <n v="0"/>
    <n v="0"/>
    <n v="0"/>
    <n v="0"/>
    <m/>
    <m/>
    <n v="0"/>
    <n v="0"/>
    <m/>
    <m/>
    <n v="16822"/>
    <n v="17522"/>
    <n v="13479"/>
    <n v="13904"/>
    <n v="18156"/>
    <n v="18317"/>
    <n v="48457"/>
    <n v="2019.0416666666667"/>
    <n v="49743"/>
    <n v="2072.625"/>
    <n v="10083.041666666666"/>
    <n v="10078.158333333333"/>
  </r>
  <r>
    <x v="4"/>
    <s v="Albany State University "/>
    <m/>
    <n v="138716"/>
    <x v="3"/>
    <m/>
    <m/>
    <m/>
    <m/>
    <n v="65480"/>
    <n v="61362"/>
    <n v="17594"/>
    <n v="17945"/>
    <n v="71883"/>
    <n v="67032"/>
    <n v="154957"/>
    <n v="5165.2333333333336"/>
    <n v="146339"/>
    <n v="4877.9666666666662"/>
    <n v="5732"/>
    <n v="4074"/>
    <n v="154957"/>
    <n v="146339"/>
    <m/>
    <m/>
    <m/>
    <m/>
    <m/>
    <m/>
    <m/>
    <m/>
    <n v="0"/>
    <n v="0"/>
    <n v="0"/>
    <n v="0"/>
    <m/>
    <m/>
    <n v="0"/>
    <n v="0"/>
    <m/>
    <m/>
    <n v="2348"/>
    <n v="3159"/>
    <n v="1549"/>
    <n v="1699"/>
    <n v="3136"/>
    <n v="3799"/>
    <n v="7033"/>
    <n v="293.04166666666669"/>
    <n v="8657"/>
    <n v="360.70833333333331"/>
    <n v="5458.2750000000005"/>
    <n v="5238.6749999999993"/>
  </r>
  <r>
    <x v="4"/>
    <s v="Augusta University"/>
    <m/>
    <n v="482149"/>
    <x v="3"/>
    <m/>
    <m/>
    <m/>
    <m/>
    <n v="66566"/>
    <n v="65031"/>
    <n v="14260"/>
    <n v="12938"/>
    <n v="73883"/>
    <n v="70945"/>
    <n v="154709"/>
    <n v="5156.9666666666662"/>
    <n v="148914"/>
    <n v="4963.8"/>
    <n v="3219"/>
    <n v="3048"/>
    <n v="154709"/>
    <n v="148914"/>
    <m/>
    <m/>
    <m/>
    <m/>
    <m/>
    <m/>
    <m/>
    <m/>
    <n v="0"/>
    <n v="0"/>
    <n v="0"/>
    <n v="0"/>
    <m/>
    <m/>
    <n v="0"/>
    <n v="0"/>
    <m/>
    <m/>
    <n v="16660"/>
    <n v="18163"/>
    <n v="14267"/>
    <n v="15133"/>
    <n v="21162"/>
    <n v="22729"/>
    <n v="52089"/>
    <n v="2170.375"/>
    <n v="56025"/>
    <n v="2334.375"/>
    <n v="7327.3416666666662"/>
    <n v="7298.1750000000002"/>
  </r>
  <r>
    <x v="4"/>
    <s v="Clayton State University"/>
    <m/>
    <n v="139311"/>
    <x v="3"/>
    <m/>
    <m/>
    <m/>
    <m/>
    <n v="65891"/>
    <n v="61079"/>
    <n v="21965"/>
    <n v="20557"/>
    <n v="68382"/>
    <n v="64149"/>
    <n v="156238"/>
    <n v="5207.9333333333334"/>
    <n v="145785"/>
    <n v="4859.5"/>
    <n v="15116"/>
    <n v="11701"/>
    <n v="156238"/>
    <n v="145785"/>
    <m/>
    <m/>
    <m/>
    <m/>
    <m/>
    <m/>
    <m/>
    <m/>
    <n v="0"/>
    <n v="0"/>
    <n v="0"/>
    <n v="0"/>
    <m/>
    <m/>
    <n v="0"/>
    <n v="0"/>
    <m/>
    <m/>
    <n v="4081"/>
    <n v="5543"/>
    <n v="1884"/>
    <n v="2309"/>
    <n v="5431"/>
    <n v="5049"/>
    <n v="11396"/>
    <n v="474.83333333333331"/>
    <n v="12901"/>
    <n v="537.54166666666663"/>
    <n v="5682.7666666666664"/>
    <n v="5397.041666666667"/>
  </r>
  <r>
    <x v="4"/>
    <s v="Columbus State University"/>
    <s v="Meet the Criteria for Four-Year 3 in 2021-22"/>
    <n v="139366"/>
    <x v="3"/>
    <m/>
    <m/>
    <m/>
    <m/>
    <n v="72906"/>
    <n v="73618"/>
    <n v="19205"/>
    <n v="17053"/>
    <n v="82191"/>
    <n v="75467"/>
    <n v="174302"/>
    <n v="5810.0666666666666"/>
    <n v="166138"/>
    <n v="5537.9333333333334"/>
    <n v="5391"/>
    <n v="5386"/>
    <n v="174302"/>
    <n v="166138"/>
    <m/>
    <m/>
    <m/>
    <m/>
    <m/>
    <m/>
    <m/>
    <m/>
    <n v="0"/>
    <n v="0"/>
    <n v="0"/>
    <n v="0"/>
    <m/>
    <m/>
    <n v="0"/>
    <n v="0"/>
    <m/>
    <m/>
    <n v="8917"/>
    <n v="9952"/>
    <n v="5784"/>
    <n v="5530"/>
    <n v="9925"/>
    <n v="9840"/>
    <n v="24626"/>
    <n v="1026.0833333333333"/>
    <n v="25322"/>
    <n v="1055.0833333333333"/>
    <n v="6836.15"/>
    <n v="6593.0166666666664"/>
  </r>
  <r>
    <x v="4"/>
    <s v="Fort Valley State University"/>
    <m/>
    <n v="139719"/>
    <x v="4"/>
    <m/>
    <m/>
    <m/>
    <m/>
    <n v="29115"/>
    <n v="31005"/>
    <n v="6608"/>
    <n v="6144"/>
    <n v="34115"/>
    <n v="32937"/>
    <n v="69838"/>
    <n v="2327.9333333333334"/>
    <n v="70086"/>
    <n v="2336.1999999999998"/>
    <n v="506"/>
    <n v="364"/>
    <n v="69838"/>
    <n v="70086"/>
    <m/>
    <m/>
    <m/>
    <m/>
    <m/>
    <m/>
    <m/>
    <m/>
    <n v="0"/>
    <n v="0"/>
    <n v="0"/>
    <n v="0"/>
    <m/>
    <m/>
    <n v="0"/>
    <n v="0"/>
    <m/>
    <m/>
    <n v="2231"/>
    <n v="1695"/>
    <n v="1056"/>
    <n v="1155"/>
    <n v="1896"/>
    <n v="1858"/>
    <n v="5183"/>
    <n v="215.95833333333334"/>
    <n v="4708"/>
    <n v="196.16666666666666"/>
    <n v="2543.8916666666669"/>
    <n v="2532.3666666666663"/>
  </r>
  <r>
    <x v="4"/>
    <s v="Georgia College and State University"/>
    <m/>
    <n v="139861"/>
    <x v="3"/>
    <m/>
    <m/>
    <m/>
    <m/>
    <n v="74524"/>
    <n v="69187"/>
    <n v="17617"/>
    <n v="16574"/>
    <n v="77021"/>
    <n v="75771.5"/>
    <n v="169162"/>
    <n v="5638.7333333333336"/>
    <n v="161532.5"/>
    <n v="5384.416666666667"/>
    <n v="594"/>
    <n v="629"/>
    <n v="169162"/>
    <n v="161532.5"/>
    <m/>
    <m/>
    <m/>
    <m/>
    <m/>
    <m/>
    <m/>
    <m/>
    <n v="0"/>
    <n v="0"/>
    <n v="0"/>
    <n v="0"/>
    <m/>
    <m/>
    <n v="0"/>
    <n v="0"/>
    <m/>
    <m/>
    <n v="8338"/>
    <n v="8851"/>
    <n v="8364"/>
    <n v="8477"/>
    <n v="9005"/>
    <n v="8200"/>
    <n v="25707"/>
    <n v="1071.125"/>
    <n v="25528"/>
    <n v="1063.6666666666667"/>
    <n v="6709.8583333333336"/>
    <n v="6448.0833333333339"/>
  </r>
  <r>
    <x v="4"/>
    <s v="Georgia Southwestern State University"/>
    <m/>
    <n v="139764"/>
    <x v="3"/>
    <m/>
    <m/>
    <m/>
    <m/>
    <n v="26236"/>
    <n v="26076"/>
    <n v="7961"/>
    <n v="7904"/>
    <n v="29121"/>
    <n v="26656"/>
    <n v="63318"/>
    <n v="2110.6"/>
    <n v="60636"/>
    <n v="2021.2"/>
    <n v="3066"/>
    <n v="3048"/>
    <n v="63318"/>
    <n v="60636"/>
    <m/>
    <m/>
    <m/>
    <m/>
    <m/>
    <m/>
    <m/>
    <m/>
    <n v="0"/>
    <n v="0"/>
    <n v="0"/>
    <n v="0"/>
    <m/>
    <m/>
    <n v="0"/>
    <n v="0"/>
    <m/>
    <m/>
    <n v="3137"/>
    <n v="3826"/>
    <n v="4486"/>
    <n v="5672"/>
    <n v="3890"/>
    <n v="5246"/>
    <n v="11513"/>
    <n v="479.70833333333331"/>
    <n v="14744"/>
    <n v="614.33333333333337"/>
    <n v="2590.3083333333334"/>
    <n v="2635.5333333333333"/>
  </r>
  <r>
    <x v="4"/>
    <s v="University of North Georgia"/>
    <m/>
    <n v="482680"/>
    <x v="3"/>
    <m/>
    <m/>
    <m/>
    <m/>
    <n v="198841"/>
    <n v="188274"/>
    <n v="48643"/>
    <n v="45281"/>
    <n v="219432"/>
    <n v="206296"/>
    <n v="466916"/>
    <n v="15563.866666666667"/>
    <n v="439851"/>
    <n v="14661.7"/>
    <n v="21184"/>
    <n v="19020"/>
    <n v="466916"/>
    <n v="439851"/>
    <m/>
    <m/>
    <m/>
    <m/>
    <m/>
    <m/>
    <m/>
    <m/>
    <n v="0"/>
    <n v="0"/>
    <n v="0"/>
    <n v="0"/>
    <m/>
    <m/>
    <n v="0"/>
    <n v="0"/>
    <m/>
    <m/>
    <n v="5434"/>
    <n v="5846"/>
    <n v="4498"/>
    <n v="4783"/>
    <n v="6014"/>
    <n v="6312"/>
    <n v="15946"/>
    <n v="664.41666666666663"/>
    <n v="16941"/>
    <n v="705.875"/>
    <n v="16228.283333333333"/>
    <n v="15367.575000000001"/>
  </r>
  <r>
    <x v="4"/>
    <s v="Savannah State University"/>
    <m/>
    <n v="140960"/>
    <x v="4"/>
    <m/>
    <m/>
    <m/>
    <m/>
    <n v="41787"/>
    <n v="36044"/>
    <n v="9058"/>
    <n v="6913"/>
    <n v="42382"/>
    <n v="40530"/>
    <n v="93227"/>
    <n v="3107.5666666666666"/>
    <n v="83487"/>
    <n v="2782.9"/>
    <n v="1709"/>
    <n v="1490"/>
    <n v="93227"/>
    <n v="83487"/>
    <m/>
    <m/>
    <m/>
    <m/>
    <m/>
    <m/>
    <m/>
    <m/>
    <n v="0"/>
    <n v="0"/>
    <n v="0"/>
    <n v="0"/>
    <m/>
    <m/>
    <n v="0"/>
    <n v="0"/>
    <m/>
    <m/>
    <n v="1689"/>
    <n v="2101"/>
    <n v="607"/>
    <n v="612"/>
    <n v="2244"/>
    <n v="2102"/>
    <n v="4540"/>
    <n v="189.16666666666666"/>
    <n v="4815"/>
    <n v="200.625"/>
    <n v="3296.7333333333331"/>
    <n v="2983.5250000000001"/>
  </r>
  <r>
    <x v="4"/>
    <s v="Abraham Baldwin Agricultural College "/>
    <m/>
    <n v="138558"/>
    <x v="11"/>
    <m/>
    <m/>
    <m/>
    <m/>
    <n v="39190"/>
    <n v="39266"/>
    <n v="8370"/>
    <n v="9208"/>
    <n v="45710"/>
    <n v="43545"/>
    <n v="93270"/>
    <n v="3109"/>
    <n v="92019"/>
    <n v="3067.3"/>
    <n v="5926"/>
    <n v="5015"/>
    <n v="93270"/>
    <n v="92019"/>
    <m/>
    <m/>
    <m/>
    <m/>
    <m/>
    <m/>
    <m/>
    <m/>
    <n v="0"/>
    <n v="0"/>
    <n v="0"/>
    <n v="0"/>
    <m/>
    <m/>
    <n v="0"/>
    <n v="0"/>
    <m/>
    <m/>
    <m/>
    <m/>
    <m/>
    <m/>
    <m/>
    <m/>
    <n v="0"/>
    <n v="0"/>
    <n v="0"/>
    <n v="0"/>
    <n v="3109"/>
    <n v="3067.3"/>
  </r>
  <r>
    <x v="4"/>
    <s v="College of Coastal Georgia "/>
    <m/>
    <n v="139250"/>
    <x v="11"/>
    <m/>
    <m/>
    <m/>
    <m/>
    <n v="35488"/>
    <n v="32284"/>
    <n v="9214"/>
    <n v="8420"/>
    <n v="36862"/>
    <n v="34040"/>
    <n v="81564"/>
    <n v="2718.8"/>
    <n v="74744"/>
    <n v="2491.4666666666667"/>
    <n v="6624"/>
    <n v="5938"/>
    <n v="81564"/>
    <n v="74744"/>
    <m/>
    <m/>
    <m/>
    <m/>
    <m/>
    <m/>
    <m/>
    <m/>
    <n v="0"/>
    <n v="0"/>
    <n v="0"/>
    <n v="0"/>
    <m/>
    <m/>
    <n v="0"/>
    <n v="0"/>
    <m/>
    <m/>
    <m/>
    <m/>
    <m/>
    <m/>
    <m/>
    <m/>
    <n v="0"/>
    <n v="0"/>
    <n v="0"/>
    <n v="0"/>
    <n v="2718.8"/>
    <n v="2491.4666666666667"/>
  </r>
  <r>
    <x v="4"/>
    <s v="Dalton State College "/>
    <m/>
    <n v="139463"/>
    <x v="11"/>
    <m/>
    <m/>
    <m/>
    <m/>
    <n v="49176"/>
    <n v="45881"/>
    <n v="11492"/>
    <n v="10710"/>
    <n v="53945"/>
    <n v="50797"/>
    <n v="114613"/>
    <n v="3820.4333333333334"/>
    <n v="107388"/>
    <n v="3579.6"/>
    <n v="5497"/>
    <n v="4688"/>
    <n v="114613"/>
    <n v="107388"/>
    <m/>
    <m/>
    <m/>
    <m/>
    <m/>
    <m/>
    <m/>
    <m/>
    <n v="0"/>
    <n v="0"/>
    <n v="0"/>
    <n v="0"/>
    <m/>
    <m/>
    <n v="0"/>
    <n v="0"/>
    <m/>
    <m/>
    <m/>
    <m/>
    <m/>
    <m/>
    <m/>
    <m/>
    <n v="0"/>
    <n v="0"/>
    <n v="0"/>
    <n v="0"/>
    <n v="3820.4333333333334"/>
    <n v="3579.6"/>
  </r>
  <r>
    <x v="4"/>
    <s v="Georgia Gwinnett College"/>
    <m/>
    <n v="447689"/>
    <x v="11"/>
    <m/>
    <m/>
    <m/>
    <m/>
    <n v="135738"/>
    <n v="123097"/>
    <n v="32797"/>
    <n v="27563"/>
    <n v="136317"/>
    <n v="125561"/>
    <n v="304852"/>
    <n v="10161.733333333334"/>
    <n v="276221"/>
    <n v="9207.3666666666668"/>
    <n v="9397"/>
    <n v="6401"/>
    <n v="304852"/>
    <n v="276221"/>
    <m/>
    <m/>
    <m/>
    <m/>
    <m/>
    <m/>
    <m/>
    <m/>
    <n v="0"/>
    <n v="0"/>
    <n v="0"/>
    <n v="0"/>
    <m/>
    <m/>
    <n v="0"/>
    <n v="0"/>
    <m/>
    <m/>
    <m/>
    <m/>
    <m/>
    <m/>
    <m/>
    <m/>
    <n v="0"/>
    <n v="0"/>
    <n v="0"/>
    <n v="0"/>
    <n v="10161.733333333334"/>
    <n v="9207.3666666666668"/>
  </r>
  <r>
    <x v="4"/>
    <s v="Gordon State College "/>
    <m/>
    <n v="139968"/>
    <x v="11"/>
    <m/>
    <m/>
    <m/>
    <m/>
    <n v="35631"/>
    <n v="30238"/>
    <n v="6452"/>
    <n v="6701"/>
    <n v="35552"/>
    <n v="32605"/>
    <n v="77635"/>
    <n v="2587.8333333333335"/>
    <n v="69544"/>
    <n v="2318.1333333333332"/>
    <n v="6863"/>
    <n v="5777"/>
    <n v="77635"/>
    <n v="69544"/>
    <m/>
    <m/>
    <m/>
    <m/>
    <m/>
    <m/>
    <m/>
    <m/>
    <n v="0"/>
    <n v="0"/>
    <n v="0"/>
    <n v="0"/>
    <m/>
    <m/>
    <n v="0"/>
    <n v="0"/>
    <m/>
    <m/>
    <m/>
    <m/>
    <m/>
    <m/>
    <m/>
    <m/>
    <n v="0"/>
    <n v="0"/>
    <n v="0"/>
    <n v="0"/>
    <n v="2587.8333333333335"/>
    <n v="2318.1333333333332"/>
  </r>
  <r>
    <x v="4"/>
    <s v="Middle Georgia State College"/>
    <m/>
    <n v="482158"/>
    <x v="4"/>
    <m/>
    <m/>
    <m/>
    <m/>
    <n v="80927"/>
    <n v="79182"/>
    <n v="25127"/>
    <n v="24969"/>
    <n v="89079"/>
    <n v="80947"/>
    <n v="195133"/>
    <n v="6504.4333333333334"/>
    <n v="185098"/>
    <n v="6169.9333333333334"/>
    <n v="7546"/>
    <n v="6292"/>
    <n v="195133"/>
    <n v="185098"/>
    <m/>
    <m/>
    <m/>
    <m/>
    <m/>
    <m/>
    <m/>
    <m/>
    <n v="0"/>
    <n v="0"/>
    <n v="0"/>
    <n v="0"/>
    <m/>
    <m/>
    <n v="0"/>
    <n v="0"/>
    <m/>
    <m/>
    <n v="2194"/>
    <n v="2996"/>
    <n v="1227"/>
    <n v="1551"/>
    <n v="3019"/>
    <n v="3002"/>
    <n v="6440"/>
    <n v="268.33333333333331"/>
    <n v="7549"/>
    <n v="314.54166666666669"/>
    <n v="6772.7666666666664"/>
    <n v="6484.4750000000004"/>
  </r>
  <r>
    <x v="4"/>
    <s v="Atlanta Metropolitan State College"/>
    <m/>
    <n v="138901"/>
    <x v="12"/>
    <m/>
    <m/>
    <m/>
    <m/>
    <n v="16128"/>
    <n v="14388"/>
    <n v="5644"/>
    <n v="6529"/>
    <n v="16441"/>
    <n v="15226"/>
    <n v="38213"/>
    <n v="1273.7666666666667"/>
    <n v="36143"/>
    <n v="1204.7666666666667"/>
    <n v="2030"/>
    <n v="1380"/>
    <n v="38213"/>
    <n v="36143"/>
    <m/>
    <m/>
    <m/>
    <m/>
    <m/>
    <m/>
    <m/>
    <m/>
    <n v="0"/>
    <n v="0"/>
    <n v="0"/>
    <n v="0"/>
    <m/>
    <m/>
    <n v="0"/>
    <n v="0"/>
    <m/>
    <m/>
    <m/>
    <m/>
    <m/>
    <m/>
    <m/>
    <m/>
    <n v="0"/>
    <n v="0"/>
    <n v="0"/>
    <n v="0"/>
    <n v="1273.7666666666667"/>
    <n v="1204.7666666666667"/>
  </r>
  <r>
    <x v="4"/>
    <s v="East Georgia State College"/>
    <m/>
    <n v="139621"/>
    <x v="12"/>
    <m/>
    <m/>
    <m/>
    <m/>
    <n v="26122"/>
    <n v="19100"/>
    <n v="5769"/>
    <n v="4377"/>
    <n v="25811"/>
    <n v="22581"/>
    <n v="57702"/>
    <n v="1923.4"/>
    <n v="46058"/>
    <n v="1535.2666666666667"/>
    <n v="3855"/>
    <n v="3287"/>
    <n v="57702"/>
    <n v="46058"/>
    <m/>
    <m/>
    <m/>
    <m/>
    <m/>
    <m/>
    <m/>
    <m/>
    <n v="0"/>
    <n v="0"/>
    <n v="0"/>
    <n v="0"/>
    <m/>
    <m/>
    <n v="0"/>
    <n v="0"/>
    <m/>
    <m/>
    <m/>
    <m/>
    <m/>
    <m/>
    <m/>
    <m/>
    <n v="0"/>
    <n v="0"/>
    <n v="0"/>
    <n v="0"/>
    <n v="1923.4"/>
    <n v="1535.2666666666667"/>
  </r>
  <r>
    <x v="4"/>
    <s v="Georgia Highlands College"/>
    <m/>
    <n v="139700"/>
    <x v="12"/>
    <m/>
    <m/>
    <m/>
    <m/>
    <n v="55957"/>
    <n v="48412"/>
    <n v="16355"/>
    <n v="13960"/>
    <n v="54578"/>
    <n v="49449"/>
    <n v="126890"/>
    <n v="4229.666666666667"/>
    <n v="111821"/>
    <n v="3727.3666666666668"/>
    <n v="6101"/>
    <n v="5747"/>
    <n v="126890"/>
    <n v="111821"/>
    <m/>
    <m/>
    <m/>
    <m/>
    <m/>
    <m/>
    <m/>
    <m/>
    <n v="0"/>
    <n v="0"/>
    <n v="0"/>
    <n v="0"/>
    <m/>
    <m/>
    <n v="0"/>
    <n v="0"/>
    <m/>
    <m/>
    <m/>
    <m/>
    <m/>
    <m/>
    <m/>
    <m/>
    <n v="0"/>
    <n v="0"/>
    <n v="0"/>
    <n v="0"/>
    <n v="4229.666666666667"/>
    <n v="3727.3666666666668"/>
  </r>
  <r>
    <x v="4"/>
    <s v="South Georgia State College"/>
    <m/>
    <n v="482699"/>
    <x v="12"/>
    <m/>
    <m/>
    <m/>
    <m/>
    <n v="24417"/>
    <n v="18711"/>
    <n v="7813"/>
    <n v="5857"/>
    <n v="21898"/>
    <n v="19138"/>
    <n v="54128"/>
    <n v="1804.2666666666667"/>
    <n v="43706"/>
    <n v="1456.8666666666666"/>
    <n v="5742"/>
    <n v="4177"/>
    <n v="54128"/>
    <n v="43706"/>
    <m/>
    <m/>
    <m/>
    <m/>
    <m/>
    <m/>
    <m/>
    <m/>
    <n v="0"/>
    <n v="0"/>
    <n v="0"/>
    <n v="0"/>
    <m/>
    <m/>
    <n v="0"/>
    <n v="0"/>
    <m/>
    <m/>
    <m/>
    <m/>
    <m/>
    <m/>
    <m/>
    <m/>
    <n v="0"/>
    <n v="0"/>
    <n v="0"/>
    <n v="0"/>
    <n v="1804.2666666666667"/>
    <n v="1456.8666666666666"/>
  </r>
  <r>
    <x v="4"/>
    <s v="Albany Technical College"/>
    <m/>
    <n v="138682"/>
    <x v="8"/>
    <s v="sem"/>
    <s v="sem"/>
    <m/>
    <m/>
    <n v="29119"/>
    <n v="25662"/>
    <n v="13007"/>
    <n v="13863"/>
    <n v="28638"/>
    <n v="22157"/>
    <n v="70764"/>
    <n v="2358.8000000000002"/>
    <n v="61682"/>
    <n v="2056.0666666666666"/>
    <n v="10674"/>
    <n v="6833"/>
    <n v="70764"/>
    <n v="61682"/>
    <m/>
    <m/>
    <m/>
    <m/>
    <m/>
    <m/>
    <m/>
    <m/>
    <n v="0"/>
    <n v="0"/>
    <n v="0"/>
    <n v="0"/>
    <m/>
    <m/>
    <n v="0"/>
    <n v="0"/>
    <m/>
    <m/>
    <m/>
    <m/>
    <m/>
    <m/>
    <m/>
    <m/>
    <n v="0"/>
    <n v="0"/>
    <n v="0"/>
    <n v="0"/>
    <n v="2358.8000000000002"/>
    <n v="2056.0666666666666"/>
  </r>
  <r>
    <x v="4"/>
    <s v="Athens Technical College"/>
    <m/>
    <n v="246813"/>
    <x v="8"/>
    <s v="sem"/>
    <s v="sem"/>
    <m/>
    <m/>
    <n v="32973"/>
    <n v="28014"/>
    <n v="13092"/>
    <n v="11240"/>
    <n v="33018"/>
    <n v="30020"/>
    <n v="79083"/>
    <n v="2636.1"/>
    <n v="69274"/>
    <n v="2309.1333333333332"/>
    <n v="11217"/>
    <n v="8351"/>
    <n v="79083"/>
    <n v="69274"/>
    <m/>
    <m/>
    <m/>
    <m/>
    <m/>
    <m/>
    <m/>
    <m/>
    <n v="0"/>
    <n v="0"/>
    <n v="0"/>
    <n v="0"/>
    <m/>
    <m/>
    <n v="0"/>
    <n v="0"/>
    <m/>
    <m/>
    <m/>
    <m/>
    <m/>
    <m/>
    <m/>
    <m/>
    <n v="0"/>
    <n v="0"/>
    <n v="0"/>
    <n v="0"/>
    <n v="2636.1"/>
    <n v="2309.1333333333332"/>
  </r>
  <r>
    <x v="4"/>
    <s v="Atlanta Technical College"/>
    <m/>
    <n v="138840"/>
    <x v="8"/>
    <s v="sem"/>
    <s v="sem"/>
    <m/>
    <m/>
    <n v="35461"/>
    <n v="28041"/>
    <n v="17655"/>
    <n v="17006"/>
    <n v="26787"/>
    <n v="30483"/>
    <n v="79903"/>
    <n v="2663.4333333333334"/>
    <n v="75530"/>
    <n v="2517.6666666666665"/>
    <n v="3673"/>
    <n v="2308"/>
    <n v="79903"/>
    <n v="75530"/>
    <m/>
    <m/>
    <m/>
    <m/>
    <m/>
    <m/>
    <m/>
    <m/>
    <n v="0"/>
    <n v="0"/>
    <n v="0"/>
    <n v="0"/>
    <m/>
    <m/>
    <n v="0"/>
    <n v="0"/>
    <m/>
    <m/>
    <m/>
    <m/>
    <m/>
    <m/>
    <m/>
    <m/>
    <n v="0"/>
    <n v="0"/>
    <n v="0"/>
    <n v="0"/>
    <n v="2663.4333333333334"/>
    <n v="2517.6666666666665"/>
  </r>
  <r>
    <x v="4"/>
    <s v="Augusta Technical College"/>
    <m/>
    <n v="138956"/>
    <x v="8"/>
    <s v="sem"/>
    <s v="sem"/>
    <m/>
    <m/>
    <n v="36493"/>
    <n v="31019"/>
    <n v="16661"/>
    <n v="14174"/>
    <n v="35152"/>
    <n v="32667"/>
    <n v="88306"/>
    <n v="2943.5333333333333"/>
    <n v="77860"/>
    <n v="2595.3333333333335"/>
    <n v="7116"/>
    <n v="4484"/>
    <n v="88306"/>
    <n v="77860"/>
    <m/>
    <m/>
    <m/>
    <m/>
    <m/>
    <m/>
    <m/>
    <m/>
    <n v="0"/>
    <n v="0"/>
    <n v="0"/>
    <n v="0"/>
    <m/>
    <m/>
    <n v="0"/>
    <n v="0"/>
    <m/>
    <m/>
    <m/>
    <m/>
    <m/>
    <m/>
    <m/>
    <m/>
    <n v="0"/>
    <n v="0"/>
    <n v="0"/>
    <n v="0"/>
    <n v="2943.5333333333333"/>
    <n v="2595.3333333333335"/>
  </r>
  <r>
    <x v="4"/>
    <s v="Central Georgia Technical College"/>
    <m/>
    <n v="483045"/>
    <x v="8"/>
    <s v="sem"/>
    <s v="sem"/>
    <m/>
    <m/>
    <n v="63217"/>
    <n v="58122"/>
    <n v="26185"/>
    <n v="28798"/>
    <n v="64637"/>
    <n v="68505"/>
    <n v="154039"/>
    <n v="5134.6333333333332"/>
    <n v="155425"/>
    <n v="5180.833333333333"/>
    <n v="27107"/>
    <n v="30261"/>
    <n v="154039"/>
    <n v="155425"/>
    <m/>
    <m/>
    <m/>
    <m/>
    <m/>
    <m/>
    <m/>
    <m/>
    <n v="0"/>
    <n v="0"/>
    <n v="0"/>
    <n v="0"/>
    <m/>
    <m/>
    <n v="0"/>
    <n v="0"/>
    <m/>
    <m/>
    <m/>
    <m/>
    <m/>
    <m/>
    <m/>
    <m/>
    <n v="0"/>
    <n v="0"/>
    <n v="0"/>
    <n v="0"/>
    <n v="5134.6333333333332"/>
    <n v="5180.833333333333"/>
  </r>
  <r>
    <x v="4"/>
    <s v="Chattahoochee Technical College"/>
    <m/>
    <n v="140331"/>
    <x v="8"/>
    <s v="sem"/>
    <s v="sem"/>
    <m/>
    <m/>
    <n v="82462"/>
    <n v="72094"/>
    <n v="29925"/>
    <n v="26113"/>
    <n v="78587"/>
    <n v="74983"/>
    <n v="190974"/>
    <n v="6365.8"/>
    <n v="173190"/>
    <n v="5773"/>
    <n v="25147"/>
    <n v="18141.099999999999"/>
    <n v="190974"/>
    <n v="173190"/>
    <m/>
    <m/>
    <m/>
    <m/>
    <m/>
    <m/>
    <m/>
    <m/>
    <n v="0"/>
    <n v="0"/>
    <n v="0"/>
    <n v="0"/>
    <m/>
    <m/>
    <n v="0"/>
    <n v="0"/>
    <m/>
    <m/>
    <m/>
    <m/>
    <m/>
    <m/>
    <m/>
    <m/>
    <n v="0"/>
    <n v="0"/>
    <n v="0"/>
    <n v="0"/>
    <n v="6365.8"/>
    <n v="5773"/>
  </r>
  <r>
    <x v="4"/>
    <s v="Coastal Pines Technical College"/>
    <m/>
    <n v="485458"/>
    <x v="8"/>
    <s v="sem"/>
    <s v="sem"/>
    <m/>
    <m/>
    <n v="31363"/>
    <n v="27133"/>
    <n v="10768"/>
    <n v="10830"/>
    <n v="26551"/>
    <n v="30015"/>
    <n v="68682"/>
    <n v="2289.4"/>
    <n v="67978"/>
    <n v="2265.9333333333334"/>
    <n v="27850"/>
    <n v="25896"/>
    <n v="68682"/>
    <n v="67978"/>
    <m/>
    <m/>
    <m/>
    <m/>
    <m/>
    <m/>
    <m/>
    <m/>
    <n v="0"/>
    <n v="0"/>
    <n v="0"/>
    <n v="0"/>
    <m/>
    <m/>
    <n v="0"/>
    <n v="0"/>
    <m/>
    <m/>
    <m/>
    <m/>
    <m/>
    <m/>
    <m/>
    <m/>
    <n v="0"/>
    <n v="0"/>
    <n v="0"/>
    <n v="0"/>
    <n v="2289.4"/>
    <n v="2265.9333333333334"/>
  </r>
  <r>
    <x v="4"/>
    <s v="Columbus Technical College"/>
    <m/>
    <n v="139357"/>
    <x v="8"/>
    <s v="sem"/>
    <s v="sem"/>
    <m/>
    <m/>
    <n v="29210"/>
    <n v="25032"/>
    <n v="13111"/>
    <n v="13381"/>
    <n v="26172"/>
    <n v="24663"/>
    <n v="68493"/>
    <n v="2283.1"/>
    <n v="63076"/>
    <n v="2102.5333333333333"/>
    <n v="7619"/>
    <n v="4342"/>
    <n v="68493"/>
    <n v="63076"/>
    <m/>
    <m/>
    <m/>
    <m/>
    <m/>
    <m/>
    <m/>
    <m/>
    <n v="0"/>
    <n v="0"/>
    <n v="0"/>
    <n v="0"/>
    <m/>
    <m/>
    <n v="0"/>
    <n v="0"/>
    <m/>
    <m/>
    <m/>
    <m/>
    <m/>
    <m/>
    <m/>
    <m/>
    <n v="0"/>
    <n v="0"/>
    <n v="0"/>
    <n v="0"/>
    <n v="2283.1"/>
    <n v="2102.5333333333333"/>
  </r>
  <r>
    <x v="4"/>
    <s v="Georgia Northwestern Technical College"/>
    <m/>
    <n v="139384"/>
    <x v="8"/>
    <s v="sem"/>
    <s v="sem"/>
    <m/>
    <m/>
    <n v="51946"/>
    <n v="49035"/>
    <n v="20070"/>
    <n v="20086"/>
    <n v="55324"/>
    <n v="50969"/>
    <n v="127340"/>
    <n v="4244.666666666667"/>
    <n v="120090"/>
    <n v="4003"/>
    <n v="26412"/>
    <n v="22005"/>
    <n v="127340"/>
    <n v="120090"/>
    <m/>
    <m/>
    <m/>
    <m/>
    <m/>
    <m/>
    <m/>
    <m/>
    <n v="0"/>
    <n v="0"/>
    <n v="0"/>
    <n v="0"/>
    <m/>
    <m/>
    <n v="0"/>
    <n v="0"/>
    <m/>
    <m/>
    <m/>
    <m/>
    <m/>
    <m/>
    <m/>
    <m/>
    <n v="0"/>
    <n v="0"/>
    <n v="0"/>
    <n v="0"/>
    <n v="4244.666666666667"/>
    <n v="4003"/>
  </r>
  <r>
    <x v="4"/>
    <s v="Georgia Piedmont Technical College"/>
    <m/>
    <n v="244446"/>
    <x v="8"/>
    <s v="sem"/>
    <s v="sem"/>
    <m/>
    <m/>
    <n v="27791.5"/>
    <n v="18844"/>
    <n v="12043"/>
    <n v="10315"/>
    <n v="21083"/>
    <n v="20527.5"/>
    <n v="60917.5"/>
    <n v="2030.5833333333333"/>
    <n v="49686.5"/>
    <n v="1656.2166666666667"/>
    <n v="11902.5"/>
    <n v="7058.5"/>
    <n v="60917.5"/>
    <n v="49686.5"/>
    <m/>
    <m/>
    <m/>
    <m/>
    <m/>
    <m/>
    <m/>
    <m/>
    <n v="0"/>
    <n v="0"/>
    <n v="0"/>
    <n v="0"/>
    <m/>
    <m/>
    <n v="0"/>
    <n v="0"/>
    <m/>
    <m/>
    <m/>
    <m/>
    <m/>
    <m/>
    <m/>
    <m/>
    <n v="0"/>
    <n v="0"/>
    <n v="0"/>
    <n v="0"/>
    <n v="2030.5833333333333"/>
    <n v="1656.2166666666667"/>
  </r>
  <r>
    <x v="4"/>
    <s v="Gwinnett Technical College"/>
    <m/>
    <n v="140012"/>
    <x v="8"/>
    <s v="sem"/>
    <s v="sem"/>
    <m/>
    <m/>
    <n v="75208"/>
    <n v="66063"/>
    <n v="23404"/>
    <n v="20654"/>
    <n v="68037"/>
    <n v="64071"/>
    <n v="166649"/>
    <n v="5554.9666666666662"/>
    <n v="150788"/>
    <n v="5026.2666666666664"/>
    <n v="24675"/>
    <n v="17448"/>
    <n v="166649"/>
    <n v="150788"/>
    <m/>
    <m/>
    <m/>
    <m/>
    <m/>
    <m/>
    <m/>
    <m/>
    <n v="0"/>
    <n v="0"/>
    <n v="0"/>
    <n v="0"/>
    <m/>
    <m/>
    <n v="0"/>
    <n v="0"/>
    <m/>
    <m/>
    <m/>
    <m/>
    <m/>
    <m/>
    <m/>
    <m/>
    <n v="0"/>
    <n v="0"/>
    <n v="0"/>
    <n v="0"/>
    <n v="5554.9666666666662"/>
    <n v="5026.2666666666664"/>
  </r>
  <r>
    <x v="4"/>
    <s v="Lanier Technical College"/>
    <m/>
    <n v="140243"/>
    <x v="8"/>
    <s v="sem"/>
    <s v="sem"/>
    <m/>
    <m/>
    <n v="37624"/>
    <n v="37330"/>
    <n v="14745"/>
    <n v="14415"/>
    <n v="40793"/>
    <n v="41488"/>
    <n v="93162"/>
    <n v="3105.4"/>
    <n v="93233"/>
    <n v="3107.7666666666669"/>
    <n v="16131"/>
    <n v="15003"/>
    <n v="93162"/>
    <n v="93233"/>
    <m/>
    <m/>
    <m/>
    <m/>
    <m/>
    <m/>
    <m/>
    <m/>
    <n v="0"/>
    <n v="0"/>
    <n v="0"/>
    <n v="0"/>
    <m/>
    <m/>
    <n v="0"/>
    <n v="0"/>
    <m/>
    <m/>
    <m/>
    <m/>
    <m/>
    <m/>
    <m/>
    <m/>
    <n v="0"/>
    <n v="0"/>
    <n v="0"/>
    <n v="0"/>
    <n v="3105.4"/>
    <n v="3107.7666666666669"/>
  </r>
  <r>
    <x v="4"/>
    <s v="North Georgia Technical College"/>
    <m/>
    <n v="140678"/>
    <x v="8"/>
    <s v="sem"/>
    <s v="sem"/>
    <m/>
    <m/>
    <n v="23018"/>
    <n v="19690"/>
    <n v="9754"/>
    <n v="9414"/>
    <n v="22209"/>
    <n v="22339"/>
    <n v="54981"/>
    <n v="1832.7"/>
    <n v="51443"/>
    <n v="1714.7666666666667"/>
    <n v="6448"/>
    <n v="5882"/>
    <n v="54981"/>
    <n v="51443"/>
    <m/>
    <m/>
    <m/>
    <m/>
    <m/>
    <m/>
    <m/>
    <m/>
    <n v="0"/>
    <n v="0"/>
    <n v="0"/>
    <n v="0"/>
    <m/>
    <m/>
    <n v="0"/>
    <n v="0"/>
    <m/>
    <m/>
    <m/>
    <m/>
    <m/>
    <m/>
    <m/>
    <m/>
    <n v="0"/>
    <n v="0"/>
    <n v="0"/>
    <n v="0"/>
    <n v="1832.7"/>
    <n v="1714.7666666666667"/>
  </r>
  <r>
    <x v="4"/>
    <s v="Oconee Fall Line Technical College"/>
    <m/>
    <n v="420431"/>
    <x v="8"/>
    <s v="sem"/>
    <s v="sem"/>
    <m/>
    <m/>
    <n v="14403"/>
    <n v="12429"/>
    <n v="7254"/>
    <n v="6967"/>
    <n v="14203"/>
    <n v="12940"/>
    <n v="35860"/>
    <n v="1195.3333333333333"/>
    <n v="32336"/>
    <n v="1077.8666666666666"/>
    <n v="3697"/>
    <n v="3242"/>
    <n v="35860"/>
    <n v="32336"/>
    <m/>
    <m/>
    <m/>
    <m/>
    <m/>
    <m/>
    <m/>
    <m/>
    <n v="0"/>
    <n v="0"/>
    <n v="0"/>
    <n v="0"/>
    <m/>
    <m/>
    <n v="0"/>
    <n v="0"/>
    <m/>
    <m/>
    <m/>
    <m/>
    <m/>
    <m/>
    <m/>
    <m/>
    <n v="0"/>
    <n v="0"/>
    <n v="0"/>
    <n v="0"/>
    <n v="1195.3333333333333"/>
    <n v="1077.8666666666666"/>
  </r>
  <r>
    <x v="4"/>
    <s v="Ogeechee Technical College"/>
    <m/>
    <n v="366465"/>
    <x v="8"/>
    <s v="sem"/>
    <s v="sem"/>
    <m/>
    <m/>
    <n v="19373"/>
    <n v="18728"/>
    <n v="9918"/>
    <n v="10093"/>
    <n v="20188"/>
    <n v="20057"/>
    <n v="49479"/>
    <n v="1649.3"/>
    <n v="48878"/>
    <n v="1629.2666666666667"/>
    <n v="4768"/>
    <n v="4143"/>
    <n v="49479"/>
    <n v="48878"/>
    <m/>
    <m/>
    <m/>
    <m/>
    <m/>
    <m/>
    <m/>
    <m/>
    <n v="0"/>
    <n v="0"/>
    <n v="0"/>
    <n v="0"/>
    <m/>
    <m/>
    <n v="0"/>
    <n v="0"/>
    <m/>
    <m/>
    <m/>
    <m/>
    <m/>
    <m/>
    <m/>
    <m/>
    <n v="0"/>
    <n v="0"/>
    <n v="0"/>
    <n v="0"/>
    <n v="1649.3"/>
    <n v="1629.2666666666667"/>
  </r>
  <r>
    <x v="4"/>
    <s v="Savannah Technical College"/>
    <m/>
    <n v="140942"/>
    <x v="8"/>
    <s v="sem"/>
    <s v="sem"/>
    <m/>
    <m/>
    <n v="37047"/>
    <n v="32973"/>
    <n v="14136"/>
    <n v="13994"/>
    <n v="33744"/>
    <n v="32197"/>
    <n v="84927"/>
    <n v="2830.9"/>
    <n v="79164"/>
    <n v="2638.8"/>
    <n v="7575"/>
    <n v="5786"/>
    <n v="84927"/>
    <n v="79164"/>
    <m/>
    <m/>
    <m/>
    <m/>
    <m/>
    <m/>
    <m/>
    <m/>
    <n v="0"/>
    <n v="0"/>
    <n v="0"/>
    <n v="0"/>
    <m/>
    <m/>
    <n v="0"/>
    <n v="0"/>
    <m/>
    <m/>
    <m/>
    <m/>
    <m/>
    <m/>
    <m/>
    <m/>
    <n v="0"/>
    <n v="0"/>
    <n v="0"/>
    <n v="0"/>
    <n v="2830.9"/>
    <n v="2638.8"/>
  </r>
  <r>
    <x v="4"/>
    <s v="South Georgia Technical College"/>
    <m/>
    <n v="141006"/>
    <x v="8"/>
    <s v="sem"/>
    <s v="sem"/>
    <m/>
    <m/>
    <n v="19745"/>
    <n v="16243"/>
    <n v="8383"/>
    <n v="7730"/>
    <n v="17816"/>
    <n v="15740"/>
    <n v="45944"/>
    <n v="1531.4666666666667"/>
    <n v="39713"/>
    <n v="1323.7666666666667"/>
    <n v="5471"/>
    <n v="3682"/>
    <n v="45944"/>
    <n v="39713"/>
    <m/>
    <m/>
    <m/>
    <m/>
    <m/>
    <m/>
    <m/>
    <m/>
    <n v="0"/>
    <n v="0"/>
    <n v="0"/>
    <n v="0"/>
    <m/>
    <m/>
    <n v="0"/>
    <n v="0"/>
    <m/>
    <m/>
    <m/>
    <m/>
    <m/>
    <m/>
    <m/>
    <m/>
    <n v="0"/>
    <n v="0"/>
    <n v="0"/>
    <n v="0"/>
    <n v="1531.4666666666667"/>
    <n v="1323.7666666666667"/>
  </r>
  <r>
    <x v="4"/>
    <s v="Southeastern Technical College"/>
    <s v="Met the crtiera for Technical College 2 in 2021-22"/>
    <n v="368911"/>
    <x v="8"/>
    <s v="sem"/>
    <s v="sem"/>
    <m/>
    <m/>
    <n v="13711"/>
    <n v="11665"/>
    <n v="4956"/>
    <n v="5423"/>
    <n v="13708"/>
    <n v="12633"/>
    <n v="32375"/>
    <n v="1079.1666666666667"/>
    <n v="29721"/>
    <n v="990.7"/>
    <n v="7721"/>
    <n v="7166"/>
    <n v="32375"/>
    <n v="29721"/>
    <m/>
    <m/>
    <m/>
    <m/>
    <m/>
    <m/>
    <m/>
    <m/>
    <n v="0"/>
    <n v="0"/>
    <n v="0"/>
    <n v="0"/>
    <m/>
    <m/>
    <n v="0"/>
    <n v="0"/>
    <m/>
    <m/>
    <m/>
    <m/>
    <m/>
    <m/>
    <m/>
    <m/>
    <n v="0"/>
    <n v="0"/>
    <n v="0"/>
    <n v="0"/>
    <n v="1079.1666666666667"/>
    <n v="990.7"/>
  </r>
  <r>
    <x v="4"/>
    <s v="Southern Crescent Technical College"/>
    <m/>
    <n v="139986"/>
    <x v="8"/>
    <s v="sem"/>
    <s v="sem"/>
    <m/>
    <m/>
    <n v="43936"/>
    <n v="41812"/>
    <n v="19785"/>
    <n v="19183"/>
    <n v="43996"/>
    <n v="41340"/>
    <n v="107717"/>
    <n v="3590.5666666666666"/>
    <n v="102335"/>
    <n v="3411.1666666666665"/>
    <n v="16442"/>
    <n v="13002"/>
    <n v="107717"/>
    <n v="102335"/>
    <m/>
    <m/>
    <m/>
    <m/>
    <m/>
    <m/>
    <m/>
    <m/>
    <n v="0"/>
    <n v="0"/>
    <n v="0"/>
    <n v="0"/>
    <m/>
    <m/>
    <n v="0"/>
    <n v="0"/>
    <m/>
    <m/>
    <m/>
    <m/>
    <m/>
    <m/>
    <m/>
    <m/>
    <n v="0"/>
    <n v="0"/>
    <n v="0"/>
    <n v="0"/>
    <n v="3590.5666666666666"/>
    <n v="3411.1666666666665"/>
  </r>
  <r>
    <x v="4"/>
    <s v="Southern Regional Technical College"/>
    <m/>
    <n v="487162"/>
    <x v="8"/>
    <s v="sem"/>
    <s v="sem"/>
    <m/>
    <m/>
    <n v="41784"/>
    <n v="32753"/>
    <n v="16868"/>
    <n v="17577"/>
    <n v="35632"/>
    <n v="35762"/>
    <n v="94284"/>
    <n v="3142.8"/>
    <n v="86092"/>
    <n v="2869.7333333333331"/>
    <n v="22666"/>
    <n v="16528"/>
    <n v="94284"/>
    <n v="86092"/>
    <m/>
    <m/>
    <m/>
    <m/>
    <m/>
    <m/>
    <m/>
    <m/>
    <n v="0"/>
    <n v="0"/>
    <n v="0"/>
    <n v="0"/>
    <m/>
    <m/>
    <n v="0"/>
    <n v="0"/>
    <m/>
    <m/>
    <m/>
    <m/>
    <m/>
    <m/>
    <m/>
    <m/>
    <n v="0"/>
    <n v="0"/>
    <n v="0"/>
    <n v="0"/>
    <n v="3142.8"/>
    <n v="2869.7333333333331"/>
  </r>
  <r>
    <x v="4"/>
    <s v="West Georgia Technical College"/>
    <m/>
    <n v="139278"/>
    <x v="8"/>
    <s v="sem"/>
    <s v="sem"/>
    <m/>
    <m/>
    <n v="54321"/>
    <n v="46013"/>
    <n v="19948"/>
    <n v="18833"/>
    <n v="53630"/>
    <n v="52410"/>
    <n v="127899"/>
    <n v="4263.3"/>
    <n v="117256"/>
    <n v="3908.5333333333333"/>
    <n v="23893"/>
    <n v="18414"/>
    <n v="127899"/>
    <n v="117256"/>
    <m/>
    <m/>
    <m/>
    <m/>
    <m/>
    <m/>
    <m/>
    <m/>
    <n v="0"/>
    <n v="0"/>
    <n v="0"/>
    <n v="0"/>
    <m/>
    <m/>
    <n v="0"/>
    <n v="0"/>
    <m/>
    <m/>
    <m/>
    <m/>
    <m/>
    <m/>
    <m/>
    <m/>
    <n v="0"/>
    <n v="0"/>
    <n v="0"/>
    <n v="0"/>
    <n v="4263.3"/>
    <n v="3908.5333333333333"/>
  </r>
  <r>
    <x v="4"/>
    <s v="Wiregrass Georgia Technical College"/>
    <m/>
    <n v="141255"/>
    <x v="8"/>
    <s v="sem"/>
    <s v="sem"/>
    <m/>
    <m/>
    <n v="33759"/>
    <n v="26173"/>
    <n v="12252"/>
    <n v="12806"/>
    <n v="28581"/>
    <n v="27824"/>
    <n v="74592"/>
    <n v="2486.4"/>
    <n v="66803"/>
    <n v="2226.7666666666669"/>
    <n v="21147"/>
    <n v="14231"/>
    <n v="74592"/>
    <n v="66803"/>
    <m/>
    <m/>
    <m/>
    <m/>
    <m/>
    <m/>
    <m/>
    <m/>
    <n v="0"/>
    <n v="0"/>
    <n v="0"/>
    <n v="0"/>
    <m/>
    <m/>
    <n v="0"/>
    <n v="0"/>
    <m/>
    <m/>
    <m/>
    <m/>
    <m/>
    <m/>
    <m/>
    <m/>
    <n v="0"/>
    <n v="0"/>
    <n v="0"/>
    <n v="0"/>
    <n v="2486.4"/>
    <n v="2226.7666666666669"/>
  </r>
  <r>
    <x v="5"/>
    <s v="University of Kentucky"/>
    <m/>
    <n v="157085"/>
    <x v="0"/>
    <m/>
    <m/>
    <m/>
    <m/>
    <n v="275771"/>
    <n v="280217"/>
    <n v="30247"/>
    <n v="22738"/>
    <n v="299390"/>
    <n v="290515"/>
    <n v="605408"/>
    <n v="20180.266666666666"/>
    <n v="593470"/>
    <n v="19782.333333333332"/>
    <n v="1620"/>
    <n v="2462"/>
    <n v="605408"/>
    <n v="593470"/>
    <m/>
    <m/>
    <m/>
    <m/>
    <m/>
    <m/>
    <m/>
    <m/>
    <n v="0"/>
    <n v="0"/>
    <n v="0"/>
    <n v="0"/>
    <m/>
    <m/>
    <n v="0"/>
    <n v="0"/>
    <m/>
    <m/>
    <n v="37086"/>
    <n v="43306"/>
    <n v="7637"/>
    <n v="9936"/>
    <n v="42473"/>
    <n v="49880"/>
    <n v="87196"/>
    <n v="3633.1666666666665"/>
    <n v="103122"/>
    <n v="4296.75"/>
    <n v="23813.433333333334"/>
    <n v="24079.083333333332"/>
  </r>
  <r>
    <x v="5"/>
    <s v="University of Louisville"/>
    <m/>
    <n v="157289"/>
    <x v="0"/>
    <m/>
    <m/>
    <m/>
    <m/>
    <n v="166769"/>
    <n v="166686"/>
    <n v="36751"/>
    <n v="31431"/>
    <n v="183918"/>
    <n v="178438"/>
    <n v="387438"/>
    <n v="12914.6"/>
    <n v="376555"/>
    <n v="12551.833333333334"/>
    <n v="6797"/>
    <n v="7309"/>
    <n v="387438"/>
    <n v="376555"/>
    <m/>
    <m/>
    <m/>
    <m/>
    <m/>
    <m/>
    <m/>
    <m/>
    <n v="0"/>
    <n v="0"/>
    <n v="0"/>
    <n v="0"/>
    <m/>
    <m/>
    <n v="0"/>
    <n v="0"/>
    <m/>
    <m/>
    <n v="32691"/>
    <n v="38896"/>
    <n v="14539"/>
    <n v="16856"/>
    <n v="37705"/>
    <n v="39155"/>
    <n v="84935"/>
    <n v="3538.9583333333335"/>
    <n v="94907"/>
    <n v="3954.4583333333335"/>
    <n v="16453.558333333334"/>
    <n v="16506.291666666668"/>
  </r>
  <r>
    <x v="5"/>
    <s v="Eastern Kentucky University "/>
    <m/>
    <n v="156620"/>
    <x v="2"/>
    <m/>
    <m/>
    <m/>
    <m/>
    <n v="141295"/>
    <n v="135599"/>
    <n v="16651"/>
    <n v="16520"/>
    <n v="152426"/>
    <n v="146737"/>
    <n v="310372"/>
    <n v="10345.733333333334"/>
    <n v="298856"/>
    <n v="9961.8666666666668"/>
    <n v="7642"/>
    <n v="5698"/>
    <n v="310372"/>
    <n v="298856"/>
    <m/>
    <m/>
    <m/>
    <m/>
    <m/>
    <m/>
    <m/>
    <m/>
    <n v="0"/>
    <n v="0"/>
    <n v="0"/>
    <n v="0"/>
    <m/>
    <m/>
    <n v="0"/>
    <n v="0"/>
    <m/>
    <m/>
    <n v="15295"/>
    <n v="17063"/>
    <n v="9177"/>
    <n v="8527"/>
    <n v="15926"/>
    <n v="15310"/>
    <n v="40398"/>
    <n v="1683.25"/>
    <n v="40900"/>
    <n v="1704.1666666666667"/>
    <n v="12028.983333333334"/>
    <n v="11666.033333333333"/>
  </r>
  <r>
    <x v="5"/>
    <s v="Morehead State University "/>
    <m/>
    <n v="157386"/>
    <x v="2"/>
    <m/>
    <m/>
    <m/>
    <m/>
    <n v="87269"/>
    <n v="82989"/>
    <n v="5859"/>
    <n v="5475"/>
    <n v="93643"/>
    <n v="86048"/>
    <n v="186771"/>
    <n v="6225.7"/>
    <n v="174512"/>
    <n v="5817.0666666666666"/>
    <n v="25179"/>
    <n v="24778"/>
    <n v="186771"/>
    <n v="174512"/>
    <m/>
    <m/>
    <m/>
    <m/>
    <m/>
    <m/>
    <m/>
    <m/>
    <n v="0"/>
    <n v="0"/>
    <n v="0"/>
    <n v="0"/>
    <m/>
    <m/>
    <n v="0"/>
    <n v="0"/>
    <m/>
    <m/>
    <n v="4201"/>
    <n v="4714"/>
    <n v="2422"/>
    <n v="2146"/>
    <n v="4395"/>
    <n v="4369"/>
    <n v="11018"/>
    <n v="459.08333333333331"/>
    <n v="11229"/>
    <n v="467.875"/>
    <n v="6684.7833333333328"/>
    <n v="6284.9416666666666"/>
  </r>
  <r>
    <x v="5"/>
    <s v="Murray State University "/>
    <m/>
    <n v="157401"/>
    <x v="2"/>
    <m/>
    <m/>
    <m/>
    <m/>
    <n v="90962"/>
    <n v="87619"/>
    <n v="9957"/>
    <n v="10868"/>
    <n v="98947"/>
    <n v="95625"/>
    <n v="199866"/>
    <n v="6662.2"/>
    <n v="194112"/>
    <n v="6470.4"/>
    <n v="7946"/>
    <n v="6825"/>
    <n v="199866"/>
    <n v="194112"/>
    <m/>
    <m/>
    <m/>
    <m/>
    <m/>
    <m/>
    <m/>
    <m/>
    <n v="0"/>
    <n v="0"/>
    <n v="0"/>
    <n v="0"/>
    <m/>
    <m/>
    <n v="0"/>
    <n v="0"/>
    <m/>
    <m/>
    <n v="8760"/>
    <n v="9685"/>
    <n v="4821"/>
    <n v="5164"/>
    <n v="9499"/>
    <n v="10236"/>
    <n v="23080"/>
    <n v="961.66666666666663"/>
    <n v="25085"/>
    <n v="1045.2083333333333"/>
    <n v="7623.8666666666668"/>
    <n v="7515.6083333333327"/>
  </r>
  <r>
    <x v="5"/>
    <s v="Northern Kentucky University "/>
    <m/>
    <n v="157447"/>
    <x v="2"/>
    <m/>
    <m/>
    <m/>
    <m/>
    <n v="130198"/>
    <n v="121557"/>
    <n v="13441"/>
    <n v="13068"/>
    <n v="138589"/>
    <n v="129854"/>
    <n v="282228"/>
    <n v="9407.6"/>
    <n v="264479"/>
    <n v="8815.9666666666672"/>
    <n v="15782"/>
    <n v="14607"/>
    <n v="282228"/>
    <n v="264479"/>
    <m/>
    <m/>
    <m/>
    <m/>
    <m/>
    <m/>
    <m/>
    <m/>
    <n v="0"/>
    <n v="0"/>
    <n v="0"/>
    <n v="0"/>
    <m/>
    <m/>
    <n v="0"/>
    <n v="0"/>
    <m/>
    <m/>
    <n v="26985"/>
    <n v="30056"/>
    <n v="17449"/>
    <n v="20389"/>
    <n v="29069"/>
    <n v="31503"/>
    <n v="73503"/>
    <n v="3062.625"/>
    <n v="81948"/>
    <n v="3414.5"/>
    <n v="12470.225"/>
    <n v="12230.466666666667"/>
  </r>
  <r>
    <x v="5"/>
    <s v="Western Kentucky University "/>
    <m/>
    <n v="157951"/>
    <x v="2"/>
    <m/>
    <m/>
    <m/>
    <m/>
    <n v="173682"/>
    <n v="173066"/>
    <n v="16979"/>
    <n v="17836"/>
    <n v="190497"/>
    <n v="182956"/>
    <n v="381158"/>
    <n v="12705.266666666666"/>
    <n v="373858"/>
    <n v="12461.933333333332"/>
    <n v="20757"/>
    <n v="18605"/>
    <n v="381158"/>
    <n v="373858"/>
    <m/>
    <m/>
    <m/>
    <m/>
    <m/>
    <m/>
    <m/>
    <m/>
    <n v="0"/>
    <n v="0"/>
    <n v="0"/>
    <n v="0"/>
    <m/>
    <m/>
    <n v="0"/>
    <n v="0"/>
    <m/>
    <m/>
    <n v="14136"/>
    <n v="14531"/>
    <n v="6726"/>
    <n v="6196"/>
    <n v="13723"/>
    <n v="12549"/>
    <n v="34585"/>
    <n v="1441.0416666666667"/>
    <n v="33276"/>
    <n v="1386.5"/>
    <n v="14146.308333333332"/>
    <n v="13848.433333333332"/>
  </r>
  <r>
    <x v="5"/>
    <s v="Kentucky State University "/>
    <s v="Met the criteria for Four-Year 6 in 2020-21 and 2021-22"/>
    <n v="157058"/>
    <x v="3"/>
    <m/>
    <m/>
    <m/>
    <m/>
    <n v="21887"/>
    <n v="24125"/>
    <n v="2277"/>
    <n v="2296"/>
    <n v="25449"/>
    <n v="23972"/>
    <n v="49613"/>
    <n v="1653.7666666666667"/>
    <n v="50393"/>
    <n v="1679.7666666666667"/>
    <n v="6607"/>
    <n v="5530"/>
    <n v="49613"/>
    <n v="50393"/>
    <m/>
    <m/>
    <m/>
    <m/>
    <m/>
    <m/>
    <m/>
    <m/>
    <n v="0"/>
    <n v="0"/>
    <n v="0"/>
    <n v="0"/>
    <m/>
    <m/>
    <n v="0"/>
    <n v="0"/>
    <m/>
    <m/>
    <n v="857"/>
    <n v="861"/>
    <n v="126"/>
    <n v="194"/>
    <n v="931"/>
    <n v="919"/>
    <n v="1914"/>
    <n v="79.75"/>
    <n v="1974"/>
    <n v="82.25"/>
    <n v="1733.5166666666667"/>
    <n v="1762.0166666666667"/>
  </r>
  <r>
    <x v="5"/>
    <s v="Bluegrass Community and Technical College"/>
    <m/>
    <n v="156392"/>
    <x v="5"/>
    <m/>
    <m/>
    <m/>
    <m/>
    <n v="88616"/>
    <n v="81590"/>
    <n v="18071"/>
    <n v="16141"/>
    <n v="95310"/>
    <n v="88301"/>
    <n v="201997"/>
    <n v="6733.2333333333336"/>
    <n v="186032"/>
    <n v="6201.0666666666666"/>
    <n v="14713"/>
    <n v="15480"/>
    <n v="201997"/>
    <n v="186032"/>
    <m/>
    <m/>
    <m/>
    <m/>
    <m/>
    <m/>
    <m/>
    <m/>
    <n v="0"/>
    <n v="0"/>
    <n v="0"/>
    <n v="0"/>
    <m/>
    <m/>
    <n v="0"/>
    <n v="0"/>
    <m/>
    <m/>
    <m/>
    <m/>
    <m/>
    <m/>
    <m/>
    <m/>
    <n v="0"/>
    <n v="0"/>
    <n v="0"/>
    <n v="0"/>
    <n v="6733.2333333333336"/>
    <n v="6201.0666666666666"/>
  </r>
  <r>
    <x v="5"/>
    <s v="Jefferson Community and Technical College "/>
    <m/>
    <n v="156921"/>
    <x v="5"/>
    <m/>
    <m/>
    <m/>
    <m/>
    <n v="85730"/>
    <n v="76036"/>
    <n v="11348"/>
    <n v="10325"/>
    <n v="91709"/>
    <n v="86778"/>
    <n v="188787"/>
    <n v="6292.9"/>
    <n v="173139"/>
    <n v="5771.3"/>
    <n v="32851"/>
    <n v="34419"/>
    <n v="188787"/>
    <n v="173139"/>
    <m/>
    <m/>
    <m/>
    <m/>
    <m/>
    <m/>
    <m/>
    <m/>
    <n v="0"/>
    <n v="0"/>
    <n v="0"/>
    <n v="0"/>
    <m/>
    <m/>
    <n v="0"/>
    <n v="0"/>
    <m/>
    <m/>
    <m/>
    <m/>
    <m/>
    <m/>
    <m/>
    <m/>
    <n v="0"/>
    <n v="0"/>
    <n v="0"/>
    <n v="0"/>
    <n v="6292.9"/>
    <n v="5771.3"/>
  </r>
  <r>
    <x v="5"/>
    <s v="Big Sandy Community and Technical College "/>
    <s v="Reclassifed Met the criteria for Two-Year 3 in 2019-20 and 2020-21, and 2022"/>
    <n v="157553"/>
    <x v="7"/>
    <m/>
    <m/>
    <m/>
    <m/>
    <n v="24953"/>
    <n v="21881"/>
    <n v="2908"/>
    <n v="2461"/>
    <n v="25611"/>
    <n v="23110"/>
    <n v="53472"/>
    <n v="1782.4"/>
    <n v="47452"/>
    <n v="1581.7333333333333"/>
    <n v="3929"/>
    <n v="3784"/>
    <n v="53472"/>
    <n v="47452"/>
    <m/>
    <m/>
    <m/>
    <m/>
    <m/>
    <m/>
    <m/>
    <m/>
    <n v="0"/>
    <n v="0"/>
    <n v="0"/>
    <n v="0"/>
    <m/>
    <m/>
    <n v="0"/>
    <n v="0"/>
    <m/>
    <m/>
    <m/>
    <m/>
    <m/>
    <m/>
    <m/>
    <m/>
    <n v="0"/>
    <n v="0"/>
    <n v="0"/>
    <n v="0"/>
    <n v="1782.4"/>
    <n v="1581.7333333333333"/>
  </r>
  <r>
    <x v="5"/>
    <s v="Elizabethtown Community and Technical College "/>
    <m/>
    <n v="156648"/>
    <x v="6"/>
    <m/>
    <m/>
    <m/>
    <m/>
    <n v="44961"/>
    <n v="40513"/>
    <n v="7595"/>
    <n v="7379"/>
    <n v="48880"/>
    <n v="48292"/>
    <n v="101436"/>
    <n v="3381.2"/>
    <n v="96184"/>
    <n v="3206.1333333333332"/>
    <n v="16064"/>
    <n v="18091"/>
    <n v="101436"/>
    <n v="96184"/>
    <m/>
    <m/>
    <m/>
    <m/>
    <m/>
    <m/>
    <m/>
    <m/>
    <n v="0"/>
    <n v="0"/>
    <n v="0"/>
    <n v="0"/>
    <m/>
    <m/>
    <n v="0"/>
    <n v="0"/>
    <m/>
    <m/>
    <m/>
    <m/>
    <m/>
    <m/>
    <m/>
    <m/>
    <n v="0"/>
    <n v="0"/>
    <n v="0"/>
    <n v="0"/>
    <n v="3381.2"/>
    <n v="3206.1333333333332"/>
  </r>
  <r>
    <x v="5"/>
    <s v="Maysville Community and Technical College "/>
    <s v="Met the criteria for Two-Year 3 in  2021-22"/>
    <n v="157331"/>
    <x v="6"/>
    <m/>
    <m/>
    <m/>
    <m/>
    <n v="26671"/>
    <n v="22588"/>
    <n v="4445"/>
    <n v="3650"/>
    <n v="30874"/>
    <n v="28765"/>
    <n v="61990"/>
    <n v="2066.3333333333335"/>
    <n v="55003"/>
    <n v="1833.4333333333334"/>
    <n v="9903"/>
    <n v="10739"/>
    <n v="61990"/>
    <n v="55003"/>
    <m/>
    <m/>
    <m/>
    <m/>
    <m/>
    <m/>
    <m/>
    <m/>
    <n v="0"/>
    <n v="0"/>
    <n v="0"/>
    <n v="0"/>
    <m/>
    <m/>
    <n v="0"/>
    <n v="0"/>
    <m/>
    <m/>
    <m/>
    <m/>
    <m/>
    <m/>
    <m/>
    <m/>
    <n v="0"/>
    <n v="0"/>
    <n v="0"/>
    <n v="0"/>
    <n v="2066.3333333333335"/>
    <n v="1833.4333333333334"/>
  </r>
  <r>
    <x v="5"/>
    <s v="Owensboro Community and Technical College "/>
    <m/>
    <n v="247940"/>
    <x v="6"/>
    <m/>
    <m/>
    <m/>
    <m/>
    <n v="32509"/>
    <n v="26877"/>
    <n v="4580"/>
    <n v="4866"/>
    <n v="32713"/>
    <n v="34652"/>
    <n v="69802"/>
    <n v="2326.7333333333331"/>
    <n v="66395"/>
    <n v="2213.1666666666665"/>
    <n v="17253"/>
    <n v="17049"/>
    <n v="69802"/>
    <n v="66395"/>
    <m/>
    <m/>
    <m/>
    <m/>
    <m/>
    <m/>
    <m/>
    <m/>
    <n v="0"/>
    <n v="0"/>
    <n v="0"/>
    <n v="0"/>
    <m/>
    <m/>
    <n v="0"/>
    <n v="0"/>
    <m/>
    <m/>
    <m/>
    <m/>
    <m/>
    <m/>
    <m/>
    <m/>
    <n v="0"/>
    <n v="0"/>
    <n v="0"/>
    <n v="0"/>
    <n v="2326.7333333333331"/>
    <n v="2213.1666666666665"/>
  </r>
  <r>
    <x v="5"/>
    <s v="Somerset Community and Technical College "/>
    <m/>
    <n v="157711"/>
    <x v="6"/>
    <m/>
    <m/>
    <m/>
    <m/>
    <n v="41716"/>
    <n v="38040"/>
    <n v="6989"/>
    <n v="6019"/>
    <n v="44642"/>
    <n v="44439"/>
    <n v="93347"/>
    <n v="3111.5666666666666"/>
    <n v="88498"/>
    <n v="2949.9333333333334"/>
    <n v="9267"/>
    <n v="11311"/>
    <n v="93347"/>
    <n v="88498"/>
    <m/>
    <m/>
    <m/>
    <m/>
    <m/>
    <m/>
    <m/>
    <m/>
    <n v="0"/>
    <n v="0"/>
    <n v="0"/>
    <n v="0"/>
    <m/>
    <m/>
    <n v="0"/>
    <n v="0"/>
    <m/>
    <m/>
    <m/>
    <m/>
    <m/>
    <m/>
    <m/>
    <m/>
    <n v="0"/>
    <n v="0"/>
    <n v="0"/>
    <n v="0"/>
    <n v="3111.5666666666666"/>
    <n v="2949.9333333333334"/>
  </r>
  <r>
    <x v="5"/>
    <s v="West Kentucky Community and Technical College"/>
    <m/>
    <n v="157483"/>
    <x v="6"/>
    <m/>
    <m/>
    <m/>
    <m/>
    <n v="39758"/>
    <n v="33103"/>
    <n v="5990"/>
    <n v="5194"/>
    <n v="40072"/>
    <n v="36813"/>
    <n v="85820"/>
    <n v="2860.6666666666665"/>
    <n v="75110"/>
    <n v="2503.6666666666665"/>
    <n v="7738"/>
    <n v="7366"/>
    <n v="85820"/>
    <n v="75110"/>
    <m/>
    <m/>
    <m/>
    <m/>
    <m/>
    <m/>
    <m/>
    <m/>
    <n v="0"/>
    <n v="0"/>
    <n v="0"/>
    <n v="0"/>
    <m/>
    <m/>
    <n v="0"/>
    <n v="0"/>
    <m/>
    <m/>
    <m/>
    <m/>
    <m/>
    <m/>
    <m/>
    <m/>
    <n v="0"/>
    <n v="0"/>
    <n v="0"/>
    <n v="0"/>
    <n v="2860.6666666666665"/>
    <n v="2503.6666666666665"/>
  </r>
  <r>
    <x v="5"/>
    <s v="Ashland Community and Technical College"/>
    <m/>
    <n v="156231"/>
    <x v="7"/>
    <m/>
    <m/>
    <m/>
    <m/>
    <n v="24315"/>
    <n v="21257"/>
    <n v="4606"/>
    <n v="4475"/>
    <n v="24256"/>
    <n v="24198"/>
    <n v="53177"/>
    <n v="1772.5666666666666"/>
    <n v="49930"/>
    <n v="1664.3333333333333"/>
    <n v="4137"/>
    <n v="4854"/>
    <n v="53177"/>
    <n v="49930"/>
    <m/>
    <m/>
    <m/>
    <m/>
    <m/>
    <m/>
    <m/>
    <m/>
    <n v="0"/>
    <n v="0"/>
    <n v="0"/>
    <n v="0"/>
    <m/>
    <m/>
    <n v="0"/>
    <n v="0"/>
    <m/>
    <m/>
    <m/>
    <m/>
    <m/>
    <m/>
    <m/>
    <m/>
    <n v="0"/>
    <n v="0"/>
    <n v="0"/>
    <n v="0"/>
    <n v="1772.5666666666666"/>
    <n v="1664.3333333333333"/>
  </r>
  <r>
    <x v="5"/>
    <s v="Hazard Community and Technical College"/>
    <m/>
    <n v="156790"/>
    <x v="7"/>
    <m/>
    <m/>
    <m/>
    <m/>
    <n v="23361"/>
    <n v="19440"/>
    <n v="4702"/>
    <n v="4670"/>
    <n v="23406"/>
    <n v="23896"/>
    <n v="51469"/>
    <n v="1715.6333333333334"/>
    <n v="48006"/>
    <n v="1600.2"/>
    <n v="7608"/>
    <n v="8444"/>
    <n v="51469"/>
    <n v="48006"/>
    <m/>
    <m/>
    <m/>
    <m/>
    <m/>
    <m/>
    <m/>
    <m/>
    <n v="0"/>
    <n v="0"/>
    <n v="0"/>
    <n v="0"/>
    <m/>
    <m/>
    <n v="0"/>
    <n v="0"/>
    <m/>
    <m/>
    <m/>
    <m/>
    <m/>
    <m/>
    <m/>
    <m/>
    <n v="0"/>
    <n v="0"/>
    <n v="0"/>
    <n v="0"/>
    <n v="1715.6333333333334"/>
    <n v="1600.2"/>
  </r>
  <r>
    <x v="5"/>
    <s v="Henderson Community College "/>
    <m/>
    <n v="156851"/>
    <x v="7"/>
    <m/>
    <m/>
    <m/>
    <m/>
    <n v="10242"/>
    <n v="8722"/>
    <n v="1610"/>
    <n v="1497"/>
    <n v="11426"/>
    <n v="10936"/>
    <n v="23278"/>
    <n v="775.93333333333328"/>
    <n v="21155"/>
    <n v="705.16666666666663"/>
    <n v="3700"/>
    <n v="3744"/>
    <n v="23278"/>
    <n v="21155"/>
    <m/>
    <m/>
    <m/>
    <m/>
    <m/>
    <m/>
    <m/>
    <m/>
    <n v="0"/>
    <n v="0"/>
    <n v="0"/>
    <n v="0"/>
    <m/>
    <m/>
    <n v="0"/>
    <n v="0"/>
    <m/>
    <m/>
    <m/>
    <m/>
    <m/>
    <m/>
    <m/>
    <m/>
    <n v="0"/>
    <n v="0"/>
    <n v="0"/>
    <n v="0"/>
    <n v="775.93333333333328"/>
    <n v="705.16666666666663"/>
  </r>
  <r>
    <x v="5"/>
    <s v="Hopkinsville Community College "/>
    <m/>
    <n v="156860"/>
    <x v="7"/>
    <m/>
    <m/>
    <m/>
    <m/>
    <n v="19380"/>
    <n v="15192"/>
    <n v="3800"/>
    <n v="3131"/>
    <n v="17929"/>
    <n v="16815"/>
    <n v="41109"/>
    <n v="1370.3"/>
    <n v="35138"/>
    <n v="1171.2666666666667"/>
    <n v="4213"/>
    <n v="4815"/>
    <n v="41109"/>
    <n v="35138"/>
    <m/>
    <m/>
    <m/>
    <m/>
    <m/>
    <m/>
    <m/>
    <m/>
    <n v="0"/>
    <n v="0"/>
    <n v="0"/>
    <n v="0"/>
    <m/>
    <m/>
    <n v="0"/>
    <n v="0"/>
    <m/>
    <m/>
    <m/>
    <m/>
    <m/>
    <m/>
    <m/>
    <m/>
    <n v="0"/>
    <n v="0"/>
    <n v="0"/>
    <n v="0"/>
    <n v="1370.3"/>
    <n v="1171.2666666666667"/>
  </r>
  <r>
    <x v="5"/>
    <s v="Madisonville Community College"/>
    <m/>
    <n v="157304"/>
    <x v="7"/>
    <m/>
    <m/>
    <m/>
    <m/>
    <n v="21936"/>
    <n v="20966"/>
    <n v="3202"/>
    <n v="3516"/>
    <n v="27602"/>
    <n v="25779"/>
    <n v="52740"/>
    <n v="1758"/>
    <n v="50261"/>
    <n v="1675.3666666666666"/>
    <n v="11235"/>
    <n v="9773"/>
    <n v="52740"/>
    <n v="50261"/>
    <m/>
    <m/>
    <m/>
    <m/>
    <m/>
    <m/>
    <m/>
    <m/>
    <n v="0"/>
    <n v="0"/>
    <n v="0"/>
    <n v="0"/>
    <m/>
    <m/>
    <n v="0"/>
    <n v="0"/>
    <m/>
    <m/>
    <m/>
    <m/>
    <m/>
    <m/>
    <m/>
    <m/>
    <n v="0"/>
    <n v="0"/>
    <n v="0"/>
    <n v="0"/>
    <n v="1758"/>
    <n v="1675.3666666666666"/>
  </r>
  <r>
    <x v="5"/>
    <s v="Southeast Kentucky Community and Technical College"/>
    <m/>
    <n v="157739"/>
    <x v="7"/>
    <m/>
    <m/>
    <m/>
    <m/>
    <n v="21919"/>
    <n v="18224"/>
    <n v="3797"/>
    <n v="3615"/>
    <n v="22190"/>
    <n v="22508"/>
    <n v="47906"/>
    <n v="1596.8666666666666"/>
    <n v="44347"/>
    <n v="1478.2333333333333"/>
    <n v="6372"/>
    <n v="8849"/>
    <n v="47906"/>
    <n v="44347"/>
    <m/>
    <m/>
    <m/>
    <m/>
    <m/>
    <m/>
    <m/>
    <m/>
    <n v="0"/>
    <n v="0"/>
    <n v="0"/>
    <n v="0"/>
    <m/>
    <m/>
    <n v="0"/>
    <n v="0"/>
    <m/>
    <m/>
    <m/>
    <m/>
    <m/>
    <m/>
    <m/>
    <m/>
    <n v="0"/>
    <n v="0"/>
    <n v="0"/>
    <n v="0"/>
    <n v="1596.8666666666666"/>
    <n v="1478.2333333333333"/>
  </r>
  <r>
    <x v="5"/>
    <s v="Gateway Community and Technical College"/>
    <m/>
    <n v="157438"/>
    <x v="8"/>
    <m/>
    <m/>
    <m/>
    <m/>
    <n v="32838"/>
    <n v="31315"/>
    <n v="5869"/>
    <n v="5999"/>
    <n v="35605"/>
    <n v="34132"/>
    <n v="74312"/>
    <n v="2477.0666666666666"/>
    <n v="71446"/>
    <n v="2381.5333333333333"/>
    <n v="16192"/>
    <n v="18603"/>
    <n v="74312"/>
    <n v="71446"/>
    <m/>
    <m/>
    <m/>
    <m/>
    <m/>
    <m/>
    <m/>
    <m/>
    <n v="0"/>
    <n v="0"/>
    <n v="0"/>
    <n v="0"/>
    <m/>
    <m/>
    <n v="0"/>
    <n v="0"/>
    <m/>
    <m/>
    <m/>
    <m/>
    <m/>
    <m/>
    <m/>
    <m/>
    <n v="0"/>
    <n v="0"/>
    <n v="0"/>
    <n v="0"/>
    <n v="2477.0666666666666"/>
    <n v="2381.5333333333333"/>
  </r>
  <r>
    <x v="5"/>
    <s v="Southcentral Kentucky Community and Technical College"/>
    <m/>
    <n v="156338"/>
    <x v="8"/>
    <m/>
    <m/>
    <m/>
    <m/>
    <n v="35020"/>
    <n v="33015"/>
    <n v="5423"/>
    <n v="5907"/>
    <n v="36466"/>
    <n v="37491"/>
    <n v="76909"/>
    <n v="2563.6333333333332"/>
    <n v="76413"/>
    <n v="2547.1"/>
    <n v="8568"/>
    <n v="11207"/>
    <n v="76909"/>
    <n v="76413"/>
    <m/>
    <m/>
    <m/>
    <m/>
    <m/>
    <m/>
    <m/>
    <m/>
    <n v="0"/>
    <n v="0"/>
    <n v="0"/>
    <n v="0"/>
    <m/>
    <m/>
    <n v="0"/>
    <n v="0"/>
    <m/>
    <m/>
    <m/>
    <m/>
    <m/>
    <m/>
    <m/>
    <m/>
    <n v="0"/>
    <n v="0"/>
    <n v="0"/>
    <n v="0"/>
    <n v="2563.6333333333332"/>
    <n v="2547.1"/>
  </r>
  <r>
    <x v="6"/>
    <s v="Louisiana State University and A&amp;M College"/>
    <m/>
    <n v="159391"/>
    <x v="0"/>
    <m/>
    <m/>
    <m/>
    <m/>
    <n v="326452"/>
    <n v="351739"/>
    <n v="35899"/>
    <n v="37232"/>
    <n v="383012"/>
    <n v="401265"/>
    <n v="745363"/>
    <n v="24845.433333333334"/>
    <n v="790236"/>
    <n v="26341.200000000001"/>
    <n v="18051"/>
    <n v="18813"/>
    <n v="745363"/>
    <n v="790236"/>
    <m/>
    <m/>
    <m/>
    <m/>
    <m/>
    <m/>
    <m/>
    <m/>
    <n v="0"/>
    <n v="0"/>
    <n v="0"/>
    <n v="0"/>
    <m/>
    <m/>
    <n v="0"/>
    <n v="0"/>
    <m/>
    <m/>
    <n v="61894"/>
    <n v="68829.5"/>
    <n v="15907"/>
    <n v="23723.5"/>
    <n v="72436"/>
    <n v="69419.5"/>
    <n v="150237"/>
    <n v="6259.875"/>
    <n v="161972.5"/>
    <n v="6748.854166666667"/>
    <n v="31105.308333333334"/>
    <n v="33090.054166666669"/>
  </r>
  <r>
    <x v="6"/>
    <s v="Louisiana Tech University "/>
    <m/>
    <n v="159647"/>
    <x v="1"/>
    <m/>
    <m/>
    <n v="78275"/>
    <n v="75548"/>
    <n v="79379"/>
    <n v="78520"/>
    <n v="16240"/>
    <n v="15047"/>
    <n v="88743"/>
    <n v="87364"/>
    <n v="262637"/>
    <n v="8754.5666666666675"/>
    <n v="256479"/>
    <n v="8549.2999999999993"/>
    <n v="18263"/>
    <n v="20208"/>
    <n v="262637"/>
    <n v="256479"/>
    <m/>
    <m/>
    <m/>
    <m/>
    <m/>
    <m/>
    <m/>
    <m/>
    <n v="0"/>
    <n v="0"/>
    <n v="0"/>
    <n v="0"/>
    <m/>
    <m/>
    <n v="0"/>
    <n v="0"/>
    <n v="5933"/>
    <n v="5957"/>
    <n v="5693"/>
    <n v="5631"/>
    <n v="4402"/>
    <n v="3568"/>
    <n v="6060"/>
    <n v="5347"/>
    <n v="22088"/>
    <n v="920.33333333333337"/>
    <n v="20503"/>
    <n v="854.29166666666663"/>
    <n v="9674.9000000000015"/>
    <n v="9403.5916666666653"/>
  </r>
  <r>
    <x v="6"/>
    <s v="University of Louisiana at Lafayette"/>
    <m/>
    <n v="160658"/>
    <x v="1"/>
    <m/>
    <m/>
    <m/>
    <m/>
    <n v="170777"/>
    <n v="159574"/>
    <n v="17674"/>
    <n v="16463"/>
    <n v="179915"/>
    <n v="173391"/>
    <n v="368366"/>
    <n v="12278.866666666667"/>
    <n v="349428"/>
    <n v="11647.6"/>
    <n v="5666"/>
    <n v="6147"/>
    <n v="368366"/>
    <n v="349428"/>
    <m/>
    <m/>
    <m/>
    <m/>
    <m/>
    <m/>
    <m/>
    <m/>
    <n v="0"/>
    <n v="0"/>
    <n v="0"/>
    <n v="0"/>
    <m/>
    <m/>
    <n v="0"/>
    <n v="0"/>
    <m/>
    <m/>
    <n v="17250"/>
    <n v="18316"/>
    <n v="5566"/>
    <n v="5487"/>
    <n v="18139"/>
    <n v="18686"/>
    <n v="40955"/>
    <n v="1706.4583333333333"/>
    <n v="42489"/>
    <n v="1770.375"/>
    <n v="13985.325000000001"/>
    <n v="13417.975"/>
  </r>
  <r>
    <x v="6"/>
    <s v="University of New Orleans"/>
    <m/>
    <n v="159939"/>
    <x v="1"/>
    <m/>
    <m/>
    <m/>
    <m/>
    <n v="70359"/>
    <n v="70272"/>
    <n v="12645"/>
    <n v="10229"/>
    <n v="81430"/>
    <n v="75996"/>
    <n v="164434"/>
    <n v="5481.1333333333332"/>
    <n v="156497"/>
    <n v="5216.5666666666666"/>
    <n v="5721"/>
    <n v="6138"/>
    <n v="164434"/>
    <n v="156497"/>
    <m/>
    <m/>
    <m/>
    <m/>
    <m/>
    <m/>
    <m/>
    <m/>
    <n v="0"/>
    <n v="0"/>
    <n v="0"/>
    <n v="0"/>
    <m/>
    <m/>
    <n v="0"/>
    <n v="0"/>
    <m/>
    <m/>
    <n v="9733"/>
    <n v="9370"/>
    <n v="2462"/>
    <n v="2178"/>
    <n v="10909"/>
    <n v="10212"/>
    <n v="23104"/>
    <n v="962.66666666666663"/>
    <n v="21760"/>
    <n v="906.66666666666663"/>
    <n v="6443.8"/>
    <n v="6123.2333333333336"/>
  </r>
  <r>
    <x v="6"/>
    <s v="McNeese State University"/>
    <m/>
    <n v="159717"/>
    <x v="2"/>
    <m/>
    <m/>
    <m/>
    <m/>
    <n v="80099"/>
    <n v="76611"/>
    <n v="9788"/>
    <n v="7324"/>
    <n v="88621"/>
    <n v="77722"/>
    <n v="178508"/>
    <n v="5950.2666666666664"/>
    <n v="161657"/>
    <n v="5388.5666666666666"/>
    <n v="10383"/>
    <n v="8622"/>
    <n v="178508"/>
    <n v="161657"/>
    <m/>
    <m/>
    <m/>
    <m/>
    <m/>
    <m/>
    <m/>
    <m/>
    <n v="0"/>
    <n v="0"/>
    <n v="0"/>
    <n v="0"/>
    <m/>
    <m/>
    <n v="0"/>
    <n v="0"/>
    <m/>
    <m/>
    <n v="4822"/>
    <n v="4367"/>
    <n v="1128"/>
    <n v="938"/>
    <n v="4844"/>
    <n v="4386"/>
    <n v="10794"/>
    <n v="449.75"/>
    <n v="9691"/>
    <n v="403.79166666666669"/>
    <n v="6400.0166666666664"/>
    <n v="5792.3583333333336"/>
  </r>
  <r>
    <x v="6"/>
    <s v="Southeastern Louisiana University "/>
    <m/>
    <n v="160612"/>
    <x v="2"/>
    <m/>
    <m/>
    <m/>
    <m/>
    <n v="148193"/>
    <n v="142510"/>
    <n v="20271"/>
    <n v="18483"/>
    <n v="159852"/>
    <n v="144960"/>
    <n v="328316"/>
    <n v="10943.866666666667"/>
    <n v="305953"/>
    <n v="10198.433333333332"/>
    <n v="21118"/>
    <n v="21882"/>
    <n v="328316"/>
    <n v="305953"/>
    <m/>
    <m/>
    <m/>
    <m/>
    <m/>
    <m/>
    <m/>
    <m/>
    <n v="0"/>
    <n v="0"/>
    <n v="0"/>
    <n v="0"/>
    <m/>
    <m/>
    <n v="0"/>
    <n v="0"/>
    <m/>
    <m/>
    <n v="6429"/>
    <n v="6822"/>
    <n v="3257"/>
    <n v="3378"/>
    <n v="6864"/>
    <n v="6992"/>
    <n v="16550"/>
    <n v="689.58333333333337"/>
    <n v="17192"/>
    <n v="716.33333333333337"/>
    <n v="11633.45"/>
    <n v="10914.766666666666"/>
  </r>
  <r>
    <x v="6"/>
    <s v="Southern University and A&amp;M College at Baton Rouge "/>
    <m/>
    <n v="160621"/>
    <x v="2"/>
    <m/>
    <m/>
    <m/>
    <m/>
    <n v="71066"/>
    <n v="69262"/>
    <n v="9929"/>
    <n v="9837"/>
    <n v="75953"/>
    <n v="82485"/>
    <n v="156948"/>
    <n v="5231.6000000000004"/>
    <n v="161584"/>
    <n v="5386.1333333333332"/>
    <n v="4646"/>
    <n v="4276"/>
    <n v="156948"/>
    <n v="161584"/>
    <m/>
    <m/>
    <m/>
    <m/>
    <m/>
    <m/>
    <m/>
    <m/>
    <n v="0"/>
    <n v="0"/>
    <n v="0"/>
    <n v="0"/>
    <m/>
    <m/>
    <n v="0"/>
    <n v="0"/>
    <m/>
    <m/>
    <n v="6492"/>
    <n v="6420"/>
    <n v="1942"/>
    <n v="2060"/>
    <n v="6389"/>
    <n v="19475"/>
    <n v="14823"/>
    <n v="617.625"/>
    <n v="27955"/>
    <n v="1164.7916666666667"/>
    <n v="5849.2250000000004"/>
    <n v="6550.9250000000002"/>
  </r>
  <r>
    <x v="6"/>
    <s v="University of Louisiana at Monroe"/>
    <m/>
    <n v="159993"/>
    <x v="2"/>
    <m/>
    <m/>
    <m/>
    <m/>
    <n v="81683"/>
    <n v="78182"/>
    <n v="8060"/>
    <n v="7870"/>
    <n v="86241"/>
    <n v="80890"/>
    <n v="175984"/>
    <n v="5866.1333333333332"/>
    <n v="166942"/>
    <n v="5564.7333333333336"/>
    <n v="12536"/>
    <n v="13238"/>
    <n v="175984"/>
    <n v="166942"/>
    <m/>
    <m/>
    <m/>
    <m/>
    <m/>
    <m/>
    <m/>
    <m/>
    <n v="0"/>
    <n v="0"/>
    <n v="0"/>
    <n v="0"/>
    <m/>
    <m/>
    <n v="0"/>
    <n v="0"/>
    <m/>
    <m/>
    <n v="16651"/>
    <n v="17788"/>
    <n v="6409"/>
    <n v="6982"/>
    <n v="19271"/>
    <n v="19465"/>
    <n v="42331"/>
    <n v="1763.7916666666667"/>
    <n v="44235"/>
    <n v="1843.125"/>
    <n v="7629.9250000000002"/>
    <n v="7407.8583333333336"/>
  </r>
  <r>
    <x v="6"/>
    <s v="Grambling State University"/>
    <m/>
    <n v="159009"/>
    <x v="3"/>
    <m/>
    <m/>
    <m/>
    <m/>
    <n v="53059"/>
    <n v="57129"/>
    <n v="10394"/>
    <n v="12963"/>
    <n v="62849"/>
    <n v="60006"/>
    <n v="126302"/>
    <n v="4210.0666666666666"/>
    <n v="130098"/>
    <n v="4336.6000000000004"/>
    <n v="318"/>
    <n v="321"/>
    <n v="126302"/>
    <n v="130098"/>
    <m/>
    <m/>
    <m/>
    <m/>
    <m/>
    <m/>
    <m/>
    <m/>
    <n v="0"/>
    <n v="0"/>
    <n v="0"/>
    <n v="0"/>
    <m/>
    <m/>
    <n v="0"/>
    <n v="0"/>
    <m/>
    <m/>
    <n v="6996"/>
    <n v="6275"/>
    <n v="2957"/>
    <n v="2477"/>
    <n v="6393"/>
    <n v="5908"/>
    <n v="16346"/>
    <n v="681.08333333333337"/>
    <n v="14660"/>
    <n v="610.83333333333337"/>
    <n v="4891.1499999999996"/>
    <n v="4947.4333333333334"/>
  </r>
  <r>
    <x v="6"/>
    <s v="Louisiana State University in Shreveport"/>
    <s v="Met the criteria for Two-Year 3 in  2021-22"/>
    <n v="159416"/>
    <x v="3"/>
    <m/>
    <m/>
    <m/>
    <m/>
    <n v="26451"/>
    <n v="26168"/>
    <n v="5165"/>
    <n v="4753"/>
    <n v="29050"/>
    <n v="27895"/>
    <n v="60666"/>
    <n v="2022.2"/>
    <n v="58816"/>
    <n v="1960.5333333333333"/>
    <n v="2320"/>
    <n v="2342"/>
    <n v="60666"/>
    <n v="58816"/>
    <m/>
    <m/>
    <m/>
    <m/>
    <m/>
    <m/>
    <m/>
    <m/>
    <n v="0"/>
    <n v="0"/>
    <n v="0"/>
    <n v="0"/>
    <m/>
    <m/>
    <n v="0"/>
    <n v="0"/>
    <m/>
    <m/>
    <n v="39491"/>
    <n v="47347"/>
    <n v="37946"/>
    <n v="38093"/>
    <n v="47065"/>
    <n v="39325"/>
    <n v="124502"/>
    <n v="5187.583333333333"/>
    <n v="124765"/>
    <n v="5198.541666666667"/>
    <n v="7209.7833333333328"/>
    <n v="7159.0750000000007"/>
  </r>
  <r>
    <x v="6"/>
    <s v="Nicholls State University "/>
    <m/>
    <n v="159966"/>
    <x v="3"/>
    <m/>
    <m/>
    <m/>
    <m/>
    <n v="72441"/>
    <n v="71820"/>
    <n v="8204"/>
    <n v="7903"/>
    <n v="80548"/>
    <n v="73325"/>
    <n v="161193"/>
    <n v="5373.1"/>
    <n v="153048"/>
    <n v="5101.6000000000004"/>
    <n v="2797"/>
    <n v="3047"/>
    <n v="161193"/>
    <n v="153048"/>
    <m/>
    <m/>
    <m/>
    <m/>
    <m/>
    <m/>
    <m/>
    <m/>
    <n v="0"/>
    <n v="0"/>
    <n v="0"/>
    <n v="0"/>
    <m/>
    <m/>
    <n v="0"/>
    <n v="0"/>
    <m/>
    <m/>
    <n v="4521"/>
    <n v="4814"/>
    <n v="2182"/>
    <n v="1839"/>
    <n v="4810"/>
    <n v="4733"/>
    <n v="11513"/>
    <n v="479.70833333333331"/>
    <n v="11386"/>
    <n v="474.41666666666669"/>
    <n v="5852.8083333333334"/>
    <n v="5576.0166666666673"/>
  </r>
  <r>
    <x v="6"/>
    <s v="Northwestern State University"/>
    <m/>
    <n v="160038"/>
    <x v="3"/>
    <m/>
    <m/>
    <m/>
    <m/>
    <n v="106047"/>
    <n v="100696"/>
    <n v="16739"/>
    <n v="17238"/>
    <n v="116028"/>
    <n v="108496"/>
    <n v="238814"/>
    <n v="7960.4666666666662"/>
    <n v="226430"/>
    <n v="7547.666666666667"/>
    <n v="21156"/>
    <n v="23276"/>
    <n v="238814"/>
    <n v="226430"/>
    <m/>
    <m/>
    <m/>
    <m/>
    <m/>
    <m/>
    <m/>
    <m/>
    <n v="0"/>
    <n v="0"/>
    <n v="0"/>
    <n v="0"/>
    <m/>
    <m/>
    <n v="0"/>
    <n v="0"/>
    <m/>
    <m/>
    <n v="5694"/>
    <n v="6202"/>
    <n v="3447"/>
    <n v="3403"/>
    <n v="6450"/>
    <n v="6301"/>
    <n v="15591"/>
    <n v="649.625"/>
    <n v="15906"/>
    <n v="662.75"/>
    <n v="8610.0916666666672"/>
    <n v="8210.4166666666679"/>
  </r>
  <r>
    <x v="6"/>
    <s v="Southern University at New Orleans"/>
    <m/>
    <n v="160630"/>
    <x v="4"/>
    <m/>
    <m/>
    <m/>
    <m/>
    <n v="20509"/>
    <n v="16531"/>
    <n v="1737"/>
    <n v="2362"/>
    <n v="19350"/>
    <n v="17187"/>
    <n v="41596"/>
    <n v="1386.5333333333333"/>
    <n v="36080"/>
    <n v="1202.6666666666667"/>
    <n v="2642"/>
    <n v="2742"/>
    <n v="41596"/>
    <n v="36080"/>
    <m/>
    <m/>
    <m/>
    <m/>
    <m/>
    <m/>
    <m/>
    <m/>
    <n v="0"/>
    <n v="0"/>
    <n v="0"/>
    <n v="0"/>
    <m/>
    <m/>
    <n v="0"/>
    <n v="0"/>
    <m/>
    <m/>
    <n v="3594"/>
    <n v="2928"/>
    <n v="561"/>
    <n v="537"/>
    <n v="2884"/>
    <n v="2634"/>
    <n v="7039"/>
    <n v="293.29166666666669"/>
    <n v="6099"/>
    <n v="254.125"/>
    <n v="1679.825"/>
    <n v="1456.7916666666667"/>
  </r>
  <r>
    <x v="6"/>
    <s v="Louisiana State University at Alexandria"/>
    <m/>
    <n v="159382"/>
    <x v="11"/>
    <m/>
    <m/>
    <m/>
    <m/>
    <n v="32413"/>
    <n v="36006"/>
    <n v="10183"/>
    <n v="13176"/>
    <n v="37904"/>
    <n v="39285"/>
    <n v="80500"/>
    <n v="2683.3333333333335"/>
    <n v="88467"/>
    <n v="2948.9"/>
    <n v="5643"/>
    <n v="6788"/>
    <n v="80500"/>
    <n v="88467"/>
    <m/>
    <m/>
    <m/>
    <m/>
    <m/>
    <m/>
    <m/>
    <m/>
    <n v="0"/>
    <n v="0"/>
    <n v="0"/>
    <n v="0"/>
    <m/>
    <m/>
    <n v="0"/>
    <n v="0"/>
    <m/>
    <m/>
    <n v="0"/>
    <n v="0"/>
    <n v="0"/>
    <n v="0"/>
    <n v="0"/>
    <n v="0"/>
    <n v="0"/>
    <n v="0"/>
    <n v="0"/>
    <n v="0"/>
    <n v="2683.3333333333335"/>
    <n v="2948.9"/>
  </r>
  <r>
    <x v="6"/>
    <s v="Baton Rouge Community College"/>
    <m/>
    <n v="437103"/>
    <x v="5"/>
    <m/>
    <m/>
    <m/>
    <m/>
    <n v="67303"/>
    <n v="64410"/>
    <n v="15972"/>
    <n v="18791"/>
    <n v="71622"/>
    <n v="72088"/>
    <n v="154897"/>
    <n v="5163.2333333333336"/>
    <n v="155289"/>
    <n v="5176.3"/>
    <n v="3860"/>
    <n v="4634"/>
    <n v="154897"/>
    <n v="155289"/>
    <m/>
    <m/>
    <m/>
    <m/>
    <m/>
    <m/>
    <m/>
    <m/>
    <n v="0"/>
    <n v="0"/>
    <n v="0"/>
    <n v="0"/>
    <m/>
    <m/>
    <n v="0"/>
    <n v="0"/>
    <m/>
    <m/>
    <n v="0"/>
    <n v="0"/>
    <n v="0"/>
    <n v="0"/>
    <n v="0"/>
    <n v="0"/>
    <n v="0"/>
    <n v="0"/>
    <n v="0"/>
    <n v="0"/>
    <n v="5163.2333333333336"/>
    <n v="5176.3"/>
  </r>
  <r>
    <x v="6"/>
    <s v="Delgado Community College "/>
    <m/>
    <n v="158662"/>
    <x v="5"/>
    <m/>
    <m/>
    <m/>
    <m/>
    <n v="122980"/>
    <n v="113421"/>
    <n v="29222"/>
    <n v="23612"/>
    <n v="123416"/>
    <n v="111941"/>
    <n v="275618"/>
    <n v="9187.2666666666664"/>
    <n v="248974"/>
    <n v="8299.1333333333332"/>
    <n v="4595"/>
    <n v="5153"/>
    <n v="275618"/>
    <n v="248974"/>
    <m/>
    <m/>
    <m/>
    <m/>
    <m/>
    <m/>
    <m/>
    <m/>
    <n v="0"/>
    <n v="0"/>
    <n v="0"/>
    <n v="0"/>
    <m/>
    <m/>
    <n v="0"/>
    <n v="0"/>
    <m/>
    <m/>
    <n v="0"/>
    <n v="0"/>
    <n v="0"/>
    <n v="0"/>
    <n v="0"/>
    <n v="0"/>
    <n v="0"/>
    <n v="0"/>
    <n v="0"/>
    <n v="0"/>
    <n v="9187.2666666666664"/>
    <n v="8299.1333333333332"/>
  </r>
  <r>
    <x v="6"/>
    <s v="Bossier Parish Community College"/>
    <m/>
    <n v="158431"/>
    <x v="6"/>
    <m/>
    <m/>
    <n v="1474"/>
    <m/>
    <n v="57052"/>
    <n v="49519.5"/>
    <n v="12045"/>
    <n v="11915"/>
    <n v="59479"/>
    <n v="53952"/>
    <n v="130050"/>
    <n v="4335"/>
    <n v="115386.5"/>
    <n v="3846.2166666666667"/>
    <n v="5015"/>
    <n v="5583"/>
    <n v="130050"/>
    <n v="115386.5"/>
    <m/>
    <m/>
    <m/>
    <m/>
    <m/>
    <m/>
    <m/>
    <m/>
    <n v="0"/>
    <n v="0"/>
    <n v="0"/>
    <n v="0"/>
    <m/>
    <m/>
    <n v="0"/>
    <n v="0"/>
    <m/>
    <m/>
    <n v="0"/>
    <n v="0"/>
    <n v="0"/>
    <n v="0"/>
    <n v="0"/>
    <n v="0"/>
    <n v="0"/>
    <n v="0"/>
    <n v="0"/>
    <n v="0"/>
    <n v="4335"/>
    <n v="3846.2166666666667"/>
  </r>
  <r>
    <x v="6"/>
    <s v="Louisiana Delta Community College"/>
    <m/>
    <n v="483212"/>
    <x v="6"/>
    <m/>
    <m/>
    <m/>
    <m/>
    <n v="37559.5"/>
    <n v="33774"/>
    <n v="9550.5"/>
    <n v="10776"/>
    <n v="37352"/>
    <n v="35639.5"/>
    <n v="84462"/>
    <n v="2815.4"/>
    <n v="80189.5"/>
    <n v="2672.9833333333331"/>
    <n v="5211"/>
    <n v="5235"/>
    <n v="84462"/>
    <n v="80189.5"/>
    <m/>
    <m/>
    <m/>
    <m/>
    <m/>
    <m/>
    <m/>
    <m/>
    <n v="0"/>
    <n v="0"/>
    <n v="0"/>
    <n v="0"/>
    <m/>
    <m/>
    <n v="0"/>
    <n v="0"/>
    <m/>
    <m/>
    <n v="0"/>
    <n v="0"/>
    <n v="0"/>
    <n v="0"/>
    <n v="0"/>
    <n v="0"/>
    <n v="0"/>
    <n v="0"/>
    <n v="0"/>
    <n v="0"/>
    <n v="2815.4"/>
    <n v="2672.9833333333331"/>
  </r>
  <r>
    <x v="6"/>
    <s v="South Louisiana Community College"/>
    <m/>
    <n v="434061"/>
    <x v="6"/>
    <m/>
    <m/>
    <m/>
    <m/>
    <n v="60089"/>
    <n v="52053"/>
    <n v="15748"/>
    <n v="16093"/>
    <n v="63628"/>
    <n v="60482"/>
    <n v="139465"/>
    <n v="4648.833333333333"/>
    <n v="128628"/>
    <n v="4287.6000000000004"/>
    <n v="10223"/>
    <n v="11482"/>
    <n v="139465"/>
    <n v="128628"/>
    <m/>
    <m/>
    <m/>
    <m/>
    <m/>
    <m/>
    <m/>
    <m/>
    <n v="0"/>
    <n v="0"/>
    <n v="0"/>
    <n v="0"/>
    <m/>
    <m/>
    <n v="0"/>
    <n v="0"/>
    <m/>
    <m/>
    <n v="0"/>
    <n v="0"/>
    <n v="0"/>
    <n v="0"/>
    <n v="0"/>
    <n v="0"/>
    <n v="0"/>
    <n v="0"/>
    <n v="0"/>
    <n v="0"/>
    <n v="4648.833333333333"/>
    <n v="4287.6000000000004"/>
  </r>
  <r>
    <x v="6"/>
    <s v="Southern University in Shreveport"/>
    <m/>
    <n v="160649"/>
    <x v="6"/>
    <m/>
    <m/>
    <m/>
    <m/>
    <n v="27043"/>
    <n v="22285"/>
    <n v="6980"/>
    <n v="7157"/>
    <n v="24230"/>
    <n v="24704"/>
    <n v="58253"/>
    <n v="1941.7666666666667"/>
    <n v="54146"/>
    <n v="1804.8666666666666"/>
    <n v="4186"/>
    <n v="6734"/>
    <n v="58253"/>
    <n v="54146"/>
    <m/>
    <m/>
    <m/>
    <m/>
    <m/>
    <m/>
    <m/>
    <m/>
    <n v="0"/>
    <n v="0"/>
    <n v="0"/>
    <n v="0"/>
    <m/>
    <m/>
    <n v="0"/>
    <n v="0"/>
    <m/>
    <m/>
    <n v="0"/>
    <n v="0"/>
    <n v="0"/>
    <n v="0"/>
    <n v="0"/>
    <n v="0"/>
    <n v="0"/>
    <n v="0"/>
    <n v="0"/>
    <n v="0"/>
    <n v="1941.7666666666667"/>
    <n v="1804.8666666666666"/>
  </r>
  <r>
    <x v="6"/>
    <s v="Louisiana State University at Eunice"/>
    <m/>
    <n v="159407"/>
    <x v="6"/>
    <m/>
    <m/>
    <m/>
    <m/>
    <n v="25546"/>
    <n v="26646"/>
    <n v="3610"/>
    <n v="3778"/>
    <n v="31649"/>
    <n v="30697"/>
    <n v="60805"/>
    <n v="2026.8333333333333"/>
    <n v="61121"/>
    <n v="2037.3666666666666"/>
    <n v="5658"/>
    <n v="6363"/>
    <n v="60805"/>
    <n v="61121"/>
    <m/>
    <m/>
    <m/>
    <m/>
    <m/>
    <m/>
    <m/>
    <m/>
    <n v="0"/>
    <n v="0"/>
    <n v="0"/>
    <n v="0"/>
    <m/>
    <m/>
    <n v="0"/>
    <n v="0"/>
    <m/>
    <m/>
    <n v="0"/>
    <n v="0"/>
    <n v="0"/>
    <n v="0"/>
    <n v="0"/>
    <n v="0"/>
    <n v="0"/>
    <n v="0"/>
    <n v="0"/>
    <n v="0"/>
    <n v="2026.8333333333333"/>
    <n v="2037.3666666666666"/>
  </r>
  <r>
    <x v="6"/>
    <s v="Nunez Community College"/>
    <m/>
    <n v="158884"/>
    <x v="7"/>
    <m/>
    <m/>
    <n v="327"/>
    <m/>
    <n v="19595"/>
    <n v="18870"/>
    <n v="4819"/>
    <n v="3939"/>
    <n v="19862"/>
    <n v="18186"/>
    <n v="44603"/>
    <n v="1486.7666666666667"/>
    <n v="40995"/>
    <n v="1366.5"/>
    <n v="4151"/>
    <n v="5196"/>
    <n v="44603"/>
    <n v="40995"/>
    <m/>
    <m/>
    <m/>
    <m/>
    <m/>
    <m/>
    <m/>
    <m/>
    <n v="0"/>
    <n v="0"/>
    <n v="0"/>
    <n v="0"/>
    <m/>
    <m/>
    <n v="0"/>
    <n v="0"/>
    <m/>
    <m/>
    <n v="0"/>
    <n v="0"/>
    <n v="0"/>
    <n v="0"/>
    <n v="0"/>
    <n v="0"/>
    <n v="0"/>
    <n v="0"/>
    <n v="0"/>
    <n v="0"/>
    <n v="1486.7666666666667"/>
    <n v="1366.5"/>
  </r>
  <r>
    <x v="6"/>
    <s v="River Parishes Community College"/>
    <m/>
    <n v="436304"/>
    <x v="7"/>
    <m/>
    <m/>
    <m/>
    <m/>
    <n v="27753"/>
    <n v="21746"/>
    <n v="4507"/>
    <n v="3591"/>
    <n v="26308"/>
    <n v="22950"/>
    <n v="58568"/>
    <n v="1952.2666666666667"/>
    <n v="48287"/>
    <n v="1609.5666666666666"/>
    <n v="9102"/>
    <n v="8148"/>
    <n v="58568"/>
    <n v="48287"/>
    <m/>
    <m/>
    <m/>
    <m/>
    <m/>
    <m/>
    <m/>
    <m/>
    <n v="0"/>
    <n v="0"/>
    <n v="0"/>
    <n v="0"/>
    <m/>
    <m/>
    <n v="0"/>
    <n v="0"/>
    <m/>
    <m/>
    <n v="0"/>
    <n v="0"/>
    <n v="0"/>
    <n v="0"/>
    <n v="0"/>
    <n v="0"/>
    <n v="0"/>
    <n v="0"/>
    <n v="0"/>
    <n v="0"/>
    <n v="1952.2666666666667"/>
    <n v="1609.5666666666666"/>
  </r>
  <r>
    <x v="6"/>
    <s v="Central LA Technical Community College"/>
    <m/>
    <n v="158088"/>
    <x v="8"/>
    <m/>
    <m/>
    <m/>
    <m/>
    <n v="20470"/>
    <n v="16012"/>
    <n v="3164"/>
    <n v="3557"/>
    <n v="19407"/>
    <n v="19325"/>
    <n v="43041"/>
    <n v="1434.7"/>
    <n v="38894"/>
    <n v="1296.4666666666667"/>
    <n v="7220"/>
    <n v="6091"/>
    <n v="43041"/>
    <n v="38894"/>
    <m/>
    <m/>
    <m/>
    <m/>
    <m/>
    <m/>
    <m/>
    <m/>
    <n v="0"/>
    <n v="0"/>
    <n v="0"/>
    <n v="0"/>
    <m/>
    <m/>
    <n v="0"/>
    <n v="0"/>
    <m/>
    <m/>
    <n v="0"/>
    <n v="0"/>
    <n v="0"/>
    <n v="0"/>
    <n v="0"/>
    <n v="0"/>
    <n v="0"/>
    <n v="0"/>
    <n v="0"/>
    <n v="0"/>
    <n v="1434.7"/>
    <n v="1296.4666666666667"/>
  </r>
  <r>
    <x v="6"/>
    <s v="L.E. Fletcher Technical Community College"/>
    <m/>
    <n v="160481"/>
    <x v="8"/>
    <m/>
    <m/>
    <m/>
    <m/>
    <n v="21994"/>
    <n v="18687"/>
    <n v="3024"/>
    <n v="3412"/>
    <n v="21844"/>
    <n v="17342"/>
    <n v="46862"/>
    <n v="1562.0666666666666"/>
    <n v="39441"/>
    <n v="1314.7"/>
    <n v="2096"/>
    <n v="2504"/>
    <n v="46862"/>
    <n v="39441"/>
    <m/>
    <m/>
    <m/>
    <m/>
    <m/>
    <m/>
    <m/>
    <m/>
    <n v="0"/>
    <n v="0"/>
    <n v="0"/>
    <n v="0"/>
    <m/>
    <m/>
    <n v="0"/>
    <n v="0"/>
    <m/>
    <m/>
    <n v="0"/>
    <n v="0"/>
    <n v="0"/>
    <n v="0"/>
    <n v="0"/>
    <n v="0"/>
    <n v="0"/>
    <n v="0"/>
    <n v="0"/>
    <n v="0"/>
    <n v="1562.0666666666666"/>
    <n v="1314.7"/>
  </r>
  <r>
    <x v="6"/>
    <s v="Northshore Technical College"/>
    <m/>
    <n v="160667"/>
    <x v="8"/>
    <m/>
    <m/>
    <m/>
    <m/>
    <n v="30265"/>
    <n v="25948"/>
    <n v="4747"/>
    <n v="5430"/>
    <n v="28770"/>
    <n v="31394.5"/>
    <n v="63782"/>
    <n v="2126.0666666666666"/>
    <n v="62772.5"/>
    <n v="2092.4166666666665"/>
    <n v="5489"/>
    <n v="9167"/>
    <n v="63782"/>
    <n v="62772.5"/>
    <m/>
    <m/>
    <m/>
    <m/>
    <m/>
    <m/>
    <m/>
    <m/>
    <n v="0"/>
    <n v="0"/>
    <n v="0"/>
    <n v="0"/>
    <m/>
    <m/>
    <n v="0"/>
    <n v="0"/>
    <m/>
    <m/>
    <n v="0"/>
    <n v="0"/>
    <n v="0"/>
    <n v="0"/>
    <n v="0"/>
    <n v="0"/>
    <n v="0"/>
    <n v="0"/>
    <n v="0"/>
    <n v="0"/>
    <n v="2126.0666666666666"/>
    <n v="2092.4166666666665"/>
  </r>
  <r>
    <x v="6"/>
    <s v="Sowela Technical Community College"/>
    <m/>
    <n v="160579"/>
    <x v="8"/>
    <m/>
    <m/>
    <m/>
    <m/>
    <n v="33539.5"/>
    <n v="28002"/>
    <n v="5671"/>
    <n v="5422"/>
    <n v="29649.5"/>
    <n v="30346.5"/>
    <n v="68860"/>
    <n v="2295.3333333333335"/>
    <n v="63770.5"/>
    <n v="2125.6833333333334"/>
    <n v="3937"/>
    <n v="3499"/>
    <n v="68860"/>
    <n v="63770.5"/>
    <m/>
    <m/>
    <m/>
    <m/>
    <m/>
    <m/>
    <m/>
    <m/>
    <n v="0"/>
    <n v="0"/>
    <n v="0"/>
    <n v="0"/>
    <m/>
    <m/>
    <n v="0"/>
    <n v="0"/>
    <m/>
    <m/>
    <n v="0"/>
    <n v="0"/>
    <n v="0"/>
    <n v="0"/>
    <n v="0"/>
    <n v="0"/>
    <n v="0"/>
    <n v="0"/>
    <n v="0"/>
    <n v="0"/>
    <n v="2295.3333333333335"/>
    <n v="2125.6833333333334"/>
  </r>
  <r>
    <x v="6"/>
    <s v="Northwest LA Technical College"/>
    <m/>
    <n v="160010"/>
    <x v="9"/>
    <m/>
    <m/>
    <m/>
    <m/>
    <n v="10324"/>
    <n v="8084"/>
    <n v="2720"/>
    <n v="3111"/>
    <n v="9779"/>
    <n v="9341"/>
    <n v="22823"/>
    <n v="760.76666666666665"/>
    <n v="20536"/>
    <n v="684.5333333333333"/>
    <n v="1348"/>
    <n v="2125"/>
    <n v="22823"/>
    <n v="20536"/>
    <m/>
    <m/>
    <m/>
    <m/>
    <m/>
    <m/>
    <m/>
    <m/>
    <n v="0"/>
    <n v="0"/>
    <n v="0"/>
    <n v="0"/>
    <m/>
    <m/>
    <n v="0"/>
    <n v="0"/>
    <m/>
    <m/>
    <n v="0"/>
    <n v="0"/>
    <n v="0"/>
    <n v="0"/>
    <n v="0"/>
    <n v="0"/>
    <n v="0"/>
    <n v="0"/>
    <n v="0"/>
    <n v="0"/>
    <n v="760.76666666666665"/>
    <n v="684.5333333333333"/>
  </r>
  <r>
    <x v="6"/>
    <s v="Southern University Law Center"/>
    <m/>
    <n v="440916"/>
    <x v="10"/>
    <m/>
    <m/>
    <m/>
    <m/>
    <n v="0"/>
    <n v="0"/>
    <n v="0"/>
    <n v="0"/>
    <n v="0"/>
    <n v="0"/>
    <n v="0"/>
    <n v="0"/>
    <n v="0"/>
    <n v="0"/>
    <m/>
    <m/>
    <n v="0"/>
    <n v="0"/>
    <m/>
    <m/>
    <m/>
    <m/>
    <m/>
    <m/>
    <m/>
    <m/>
    <n v="0"/>
    <n v="0"/>
    <n v="0"/>
    <n v="0"/>
    <m/>
    <m/>
    <n v="0"/>
    <n v="0"/>
    <m/>
    <m/>
    <n v="8126"/>
    <n v="10571"/>
    <n v="1856"/>
    <n v="2119"/>
    <n v="11238"/>
    <n v="0"/>
    <n v="21220"/>
    <n v="884.16666666666663"/>
    <n v="12690"/>
    <n v="528.75"/>
    <n v="884.16666666666663"/>
    <n v="528.75"/>
  </r>
  <r>
    <x v="7"/>
    <s v="Allegany College of Maryland"/>
    <m/>
    <n v="161688"/>
    <x v="7"/>
    <s v="sem"/>
    <s v="sem"/>
    <n v="0"/>
    <n v="0"/>
    <n v="21157"/>
    <n v="19128"/>
    <n v="3558"/>
    <n v="3122"/>
    <n v="22222"/>
    <n v="20579"/>
    <n v="46937"/>
    <n v="1564.5666666666666"/>
    <n v="42829"/>
    <n v="1427.6333333333334"/>
    <m/>
    <m/>
    <n v="0"/>
    <n v="0"/>
    <m/>
    <m/>
    <m/>
    <m/>
    <m/>
    <m/>
    <m/>
    <m/>
    <n v="0"/>
    <n v="0"/>
    <n v="0"/>
    <n v="0"/>
    <m/>
    <m/>
    <n v="0"/>
    <n v="0"/>
    <n v="0"/>
    <n v="0"/>
    <n v="0"/>
    <m/>
    <n v="0"/>
    <m/>
    <n v="0"/>
    <m/>
    <n v="0"/>
    <n v="0"/>
    <n v="0"/>
    <n v="0"/>
    <n v="1564.5666666666666"/>
    <n v="1427.6333333333334"/>
  </r>
  <r>
    <x v="7"/>
    <s v="Anne Arundel Community College "/>
    <m/>
    <n v="161767"/>
    <x v="5"/>
    <s v="sem"/>
    <s v="sem"/>
    <n v="5210"/>
    <n v="4682"/>
    <n v="89281"/>
    <n v="81003"/>
    <n v="28777"/>
    <n v="22975"/>
    <n v="98900"/>
    <n v="86525"/>
    <n v="222168"/>
    <n v="7405.6"/>
    <n v="195185"/>
    <n v="6506.166666666667"/>
    <m/>
    <m/>
    <n v="0"/>
    <n v="0"/>
    <m/>
    <m/>
    <m/>
    <m/>
    <m/>
    <m/>
    <m/>
    <m/>
    <n v="0"/>
    <n v="0"/>
    <n v="0"/>
    <n v="0"/>
    <m/>
    <m/>
    <n v="0"/>
    <n v="0"/>
    <n v="0"/>
    <n v="0"/>
    <n v="0"/>
    <m/>
    <n v="0"/>
    <m/>
    <n v="0"/>
    <m/>
    <n v="0"/>
    <n v="0"/>
    <n v="0"/>
    <n v="0"/>
    <n v="7405.6"/>
    <n v="6506.166666666667"/>
  </r>
  <r>
    <x v="7"/>
    <s v="Baltimore City Community College"/>
    <m/>
    <n v="161864"/>
    <x v="6"/>
    <s v="sem"/>
    <s v="sem"/>
    <n v="68"/>
    <n v="886"/>
    <n v="36965"/>
    <n v="28744"/>
    <n v="11036"/>
    <n v="10199"/>
    <n v="33933"/>
    <n v="29480"/>
    <n v="82002"/>
    <n v="2733.4"/>
    <n v="69309"/>
    <n v="2310.3000000000002"/>
    <m/>
    <m/>
    <n v="0"/>
    <n v="0"/>
    <m/>
    <m/>
    <m/>
    <m/>
    <m/>
    <m/>
    <m/>
    <m/>
    <n v="0"/>
    <n v="0"/>
    <n v="0"/>
    <n v="0"/>
    <m/>
    <m/>
    <n v="0"/>
    <n v="0"/>
    <n v="0"/>
    <n v="0"/>
    <n v="0"/>
    <m/>
    <n v="0"/>
    <m/>
    <n v="0"/>
    <m/>
    <n v="0"/>
    <n v="0"/>
    <n v="0"/>
    <n v="0"/>
    <n v="2733.4"/>
    <n v="2310.3000000000002"/>
  </r>
  <r>
    <x v="7"/>
    <s v="Carroll Community College"/>
    <m/>
    <n v="405872"/>
    <x v="6"/>
    <s v="sem"/>
    <s v="sem"/>
    <n v="1914"/>
    <n v="1835"/>
    <n v="22153.5"/>
    <n v="20308"/>
    <n v="4729"/>
    <n v="3907"/>
    <n v="24396.5"/>
    <n v="21536"/>
    <n v="53193"/>
    <n v="1773.1"/>
    <n v="47586"/>
    <n v="1586.2"/>
    <m/>
    <m/>
    <n v="0"/>
    <n v="0"/>
    <m/>
    <m/>
    <m/>
    <m/>
    <m/>
    <m/>
    <m/>
    <m/>
    <n v="0"/>
    <n v="0"/>
    <n v="0"/>
    <n v="0"/>
    <m/>
    <m/>
    <n v="0"/>
    <n v="0"/>
    <n v="0"/>
    <n v="0"/>
    <n v="0"/>
    <m/>
    <n v="0"/>
    <m/>
    <n v="0"/>
    <m/>
    <n v="0"/>
    <n v="0"/>
    <n v="0"/>
    <n v="0"/>
    <n v="1773.1"/>
    <n v="1586.2"/>
  </r>
  <r>
    <x v="7"/>
    <s v="Cecil Community College "/>
    <m/>
    <n v="162104"/>
    <x v="7"/>
    <s v="sem"/>
    <s v="sem"/>
    <n v="0"/>
    <n v="0"/>
    <n v="17396"/>
    <n v="13253"/>
    <n v="2853"/>
    <n v="2436"/>
    <n v="17487"/>
    <n v="14507"/>
    <n v="37736"/>
    <n v="1257.8666666666666"/>
    <n v="30196"/>
    <n v="1006.5333333333333"/>
    <m/>
    <m/>
    <n v="0"/>
    <n v="0"/>
    <m/>
    <m/>
    <m/>
    <m/>
    <m/>
    <m/>
    <m/>
    <m/>
    <n v="0"/>
    <n v="0"/>
    <n v="0"/>
    <n v="0"/>
    <m/>
    <m/>
    <n v="0"/>
    <n v="0"/>
    <n v="0"/>
    <n v="0"/>
    <n v="0"/>
    <m/>
    <n v="0"/>
    <m/>
    <n v="0"/>
    <m/>
    <n v="0"/>
    <n v="0"/>
    <n v="0"/>
    <n v="0"/>
    <n v="1257.8666666666666"/>
    <n v="1006.5333333333333"/>
  </r>
  <r>
    <x v="7"/>
    <s v="Chesapeake College "/>
    <m/>
    <n v="162168"/>
    <x v="7"/>
    <s v="sem"/>
    <s v="sem"/>
    <n v="436"/>
    <n v="494"/>
    <n v="14898"/>
    <n v="12986"/>
    <n v="2476"/>
    <n v="2064"/>
    <n v="15505"/>
    <n v="14034"/>
    <n v="33315"/>
    <n v="1110.5"/>
    <n v="29578"/>
    <n v="985.93333333333328"/>
    <m/>
    <m/>
    <n v="0"/>
    <n v="0"/>
    <m/>
    <m/>
    <m/>
    <m/>
    <m/>
    <m/>
    <m/>
    <m/>
    <n v="0"/>
    <n v="0"/>
    <n v="0"/>
    <n v="0"/>
    <m/>
    <m/>
    <n v="0"/>
    <n v="0"/>
    <n v="0"/>
    <n v="0"/>
    <n v="0"/>
    <m/>
    <n v="0"/>
    <m/>
    <n v="0"/>
    <m/>
    <n v="0"/>
    <n v="0"/>
    <n v="0"/>
    <n v="0"/>
    <n v="1110.5"/>
    <n v="985.93333333333328"/>
  </r>
  <r>
    <x v="7"/>
    <s v="College of Southern Maryland"/>
    <m/>
    <n v="162122"/>
    <x v="6"/>
    <s v="sem"/>
    <s v="sem"/>
    <n v="1478"/>
    <n v="1779"/>
    <n v="53974"/>
    <n v="66127"/>
    <n v="14091"/>
    <n v="14304"/>
    <n v="55302"/>
    <n v="61960"/>
    <n v="124845"/>
    <n v="4161.5"/>
    <n v="144170"/>
    <n v="4805.666666666667"/>
    <m/>
    <m/>
    <n v="0"/>
    <n v="0"/>
    <m/>
    <m/>
    <m/>
    <m/>
    <m/>
    <m/>
    <m/>
    <m/>
    <n v="0"/>
    <n v="0"/>
    <n v="0"/>
    <n v="0"/>
    <m/>
    <m/>
    <n v="0"/>
    <n v="0"/>
    <n v="0"/>
    <n v="0"/>
    <n v="0"/>
    <m/>
    <n v="0"/>
    <m/>
    <n v="0"/>
    <m/>
    <n v="0"/>
    <n v="0"/>
    <n v="0"/>
    <n v="0"/>
    <n v="4161.5"/>
    <n v="4805.666666666667"/>
  </r>
  <r>
    <x v="7"/>
    <s v="Community College of Baltimore County (all campuses)"/>
    <m/>
    <n v="434672"/>
    <x v="5"/>
    <s v="sem"/>
    <s v="sem"/>
    <n v="9969"/>
    <n v="10141"/>
    <n v="126252.5"/>
    <n v="122394"/>
    <n v="31410"/>
    <n v="29876"/>
    <n v="145713"/>
    <n v="130320"/>
    <n v="313344.5"/>
    <n v="10444.816666666668"/>
    <n v="292731"/>
    <n v="9757.7000000000007"/>
    <m/>
    <m/>
    <n v="0"/>
    <n v="0"/>
    <m/>
    <m/>
    <m/>
    <m/>
    <m/>
    <m/>
    <m/>
    <m/>
    <n v="0"/>
    <n v="0"/>
    <n v="0"/>
    <n v="0"/>
    <m/>
    <m/>
    <n v="0"/>
    <n v="0"/>
    <n v="0"/>
    <n v="0"/>
    <n v="0"/>
    <m/>
    <n v="0"/>
    <m/>
    <n v="0"/>
    <m/>
    <n v="0"/>
    <n v="0"/>
    <n v="0"/>
    <n v="0"/>
    <n v="10444.816666666668"/>
    <n v="9757.7000000000007"/>
  </r>
  <r>
    <x v="7"/>
    <s v="Frederick Community College "/>
    <m/>
    <n v="162557"/>
    <x v="6"/>
    <s v="sem"/>
    <s v="sem"/>
    <n v="0"/>
    <n v="0"/>
    <n v="47021"/>
    <n v="41747"/>
    <n v="9113"/>
    <n v="7932"/>
    <n v="46640"/>
    <n v="44187"/>
    <n v="102774"/>
    <n v="3425.8"/>
    <n v="93866"/>
    <n v="3128.8666666666668"/>
    <m/>
    <m/>
    <n v="0"/>
    <n v="0"/>
    <m/>
    <m/>
    <m/>
    <m/>
    <m/>
    <m/>
    <m/>
    <m/>
    <n v="0"/>
    <n v="0"/>
    <n v="0"/>
    <n v="0"/>
    <m/>
    <m/>
    <n v="0"/>
    <n v="0"/>
    <n v="0"/>
    <n v="0"/>
    <n v="0"/>
    <m/>
    <n v="0"/>
    <m/>
    <n v="0"/>
    <m/>
    <n v="0"/>
    <n v="0"/>
    <n v="0"/>
    <n v="0"/>
    <n v="3425.8"/>
    <n v="3128.8666666666668"/>
  </r>
  <r>
    <x v="7"/>
    <s v="Garrett College "/>
    <m/>
    <n v="162609"/>
    <x v="7"/>
    <s v="sem"/>
    <s v="sem"/>
    <n v="362"/>
    <n v="262"/>
    <n v="6181"/>
    <n v="4982"/>
    <n v="539"/>
    <n v="575"/>
    <n v="6422.25"/>
    <n v="5705"/>
    <n v="13504.25"/>
    <n v="450.14166666666665"/>
    <n v="11524"/>
    <n v="384.13333333333333"/>
    <m/>
    <m/>
    <n v="0"/>
    <n v="0"/>
    <m/>
    <m/>
    <m/>
    <m/>
    <m/>
    <m/>
    <m/>
    <m/>
    <n v="0"/>
    <n v="0"/>
    <n v="0"/>
    <n v="0"/>
    <m/>
    <m/>
    <n v="0"/>
    <n v="0"/>
    <n v="0"/>
    <n v="0"/>
    <n v="0"/>
    <m/>
    <n v="0"/>
    <m/>
    <n v="0"/>
    <m/>
    <n v="0"/>
    <n v="0"/>
    <n v="0"/>
    <n v="0"/>
    <n v="450.14166666666665"/>
    <n v="384.13333333333333"/>
  </r>
  <r>
    <x v="7"/>
    <s v="Hagerstown Community College "/>
    <m/>
    <n v="162690"/>
    <x v="6"/>
    <s v="sem"/>
    <s v="sem"/>
    <n v="0"/>
    <n v="0"/>
    <n v="37471"/>
    <n v="27118"/>
    <n v="9865"/>
    <n v="8639"/>
    <n v="35234"/>
    <n v="31023"/>
    <n v="82570"/>
    <n v="2752.3333333333335"/>
    <n v="66780"/>
    <n v="2226"/>
    <m/>
    <m/>
    <n v="0"/>
    <n v="0"/>
    <m/>
    <m/>
    <m/>
    <m/>
    <m/>
    <m/>
    <m/>
    <m/>
    <n v="0"/>
    <n v="0"/>
    <n v="0"/>
    <n v="0"/>
    <m/>
    <m/>
    <n v="0"/>
    <n v="0"/>
    <n v="0"/>
    <n v="0"/>
    <n v="0"/>
    <m/>
    <n v="0"/>
    <m/>
    <n v="0"/>
    <m/>
    <n v="0"/>
    <n v="0"/>
    <n v="0"/>
    <n v="0"/>
    <n v="2752.3333333333335"/>
    <n v="2226"/>
  </r>
  <r>
    <x v="7"/>
    <s v="Harford Community College "/>
    <m/>
    <n v="162706"/>
    <x v="6"/>
    <s v="sem"/>
    <s v="sem"/>
    <n v="3020"/>
    <n v="2951"/>
    <n v="42627.5"/>
    <n v="36197"/>
    <n v="9017"/>
    <n v="7762"/>
    <n v="44853"/>
    <n v="38635"/>
    <n v="99517.5"/>
    <n v="3317.25"/>
    <n v="85545"/>
    <n v="2851.5"/>
    <m/>
    <m/>
    <n v="0"/>
    <n v="0"/>
    <m/>
    <m/>
    <m/>
    <m/>
    <m/>
    <m/>
    <m/>
    <m/>
    <n v="0"/>
    <n v="0"/>
    <n v="0"/>
    <n v="0"/>
    <m/>
    <m/>
    <n v="0"/>
    <n v="0"/>
    <n v="0"/>
    <n v="0"/>
    <n v="0"/>
    <m/>
    <n v="0"/>
    <m/>
    <n v="0"/>
    <m/>
    <n v="0"/>
    <n v="0"/>
    <n v="0"/>
    <n v="0"/>
    <n v="3317.25"/>
    <n v="2851.5"/>
  </r>
  <r>
    <x v="7"/>
    <s v="Howard Community College "/>
    <m/>
    <n v="162779"/>
    <x v="5"/>
    <s v="sem"/>
    <s v="sem"/>
    <n v="5823"/>
    <n v="4224"/>
    <n v="63876"/>
    <n v="85170"/>
    <n v="19706"/>
    <n v="21311"/>
    <n v="86451"/>
    <n v="80268"/>
    <n v="175856"/>
    <n v="5861.8666666666668"/>
    <n v="190973"/>
    <n v="6365.7666666666664"/>
    <m/>
    <m/>
    <n v="0"/>
    <n v="0"/>
    <m/>
    <m/>
    <m/>
    <m/>
    <m/>
    <m/>
    <m/>
    <m/>
    <n v="0"/>
    <n v="0"/>
    <n v="0"/>
    <n v="0"/>
    <m/>
    <m/>
    <n v="0"/>
    <n v="0"/>
    <n v="0"/>
    <n v="0"/>
    <n v="0"/>
    <m/>
    <n v="0"/>
    <m/>
    <n v="0"/>
    <m/>
    <n v="0"/>
    <n v="0"/>
    <n v="0"/>
    <n v="0"/>
    <n v="5861.8666666666668"/>
    <n v="6365.7666666666664"/>
  </r>
  <r>
    <x v="7"/>
    <s v="Montgomery College (all campuses)"/>
    <m/>
    <n v="163426"/>
    <x v="5"/>
    <s v="sem"/>
    <s v="sem"/>
    <n v="6244"/>
    <n v="8550"/>
    <n v="267782"/>
    <n v="233149"/>
    <n v="125015"/>
    <n v="142301"/>
    <n v="242579"/>
    <n v="224069"/>
    <n v="641620"/>
    <n v="21387.333333333332"/>
    <n v="608069"/>
    <n v="20268.966666666667"/>
    <m/>
    <m/>
    <n v="0"/>
    <n v="0"/>
    <m/>
    <m/>
    <m/>
    <m/>
    <m/>
    <m/>
    <m/>
    <m/>
    <n v="0"/>
    <n v="0"/>
    <n v="0"/>
    <n v="0"/>
    <m/>
    <m/>
    <n v="0"/>
    <n v="0"/>
    <n v="0"/>
    <n v="0"/>
    <n v="0"/>
    <m/>
    <n v="0"/>
    <m/>
    <n v="0"/>
    <m/>
    <n v="0"/>
    <n v="0"/>
    <n v="0"/>
    <n v="0"/>
    <n v="21387.333333333332"/>
    <n v="20268.966666666667"/>
  </r>
  <r>
    <x v="7"/>
    <s v="Prince George's Community College "/>
    <m/>
    <n v="163657"/>
    <x v="5"/>
    <s v="sem"/>
    <s v="sem"/>
    <n v="2500"/>
    <n v="2500"/>
    <n v="137434"/>
    <n v="117739"/>
    <n v="35633"/>
    <n v="43082"/>
    <n v="228704"/>
    <n v="131856"/>
    <n v="404271"/>
    <n v="13475.7"/>
    <n v="295177"/>
    <n v="9839.2333333333336"/>
    <m/>
    <m/>
    <n v="0"/>
    <n v="0"/>
    <m/>
    <m/>
    <m/>
    <m/>
    <m/>
    <m/>
    <m/>
    <m/>
    <n v="0"/>
    <n v="0"/>
    <n v="0"/>
    <n v="0"/>
    <m/>
    <m/>
    <n v="0"/>
    <n v="0"/>
    <n v="0"/>
    <n v="0"/>
    <n v="0"/>
    <m/>
    <n v="0"/>
    <m/>
    <n v="0"/>
    <m/>
    <n v="0"/>
    <n v="0"/>
    <n v="0"/>
    <n v="0"/>
    <n v="13475.7"/>
    <n v="9839.2333333333336"/>
  </r>
  <r>
    <x v="7"/>
    <s v="Wor-Wic Community College "/>
    <m/>
    <n v="164313"/>
    <x v="7"/>
    <s v="sem"/>
    <s v="sem"/>
    <n v="0"/>
    <n v="0"/>
    <n v="19773.5"/>
    <n v="18651"/>
    <n v="5354"/>
    <n v="4718"/>
    <n v="22199.5"/>
    <n v="19490"/>
    <n v="47327"/>
    <n v="1577.5666666666666"/>
    <n v="42859"/>
    <n v="1428.6333333333334"/>
    <m/>
    <m/>
    <n v="0"/>
    <n v="0"/>
    <m/>
    <m/>
    <m/>
    <m/>
    <m/>
    <m/>
    <m/>
    <m/>
    <n v="0"/>
    <n v="0"/>
    <n v="0"/>
    <n v="0"/>
    <m/>
    <m/>
    <n v="0"/>
    <n v="0"/>
    <n v="0"/>
    <n v="0"/>
    <n v="0"/>
    <m/>
    <n v="0"/>
    <m/>
    <n v="0"/>
    <m/>
    <n v="0"/>
    <n v="0"/>
    <n v="0"/>
    <n v="0"/>
    <n v="1577.5666666666666"/>
    <n v="1428.6333333333334"/>
  </r>
  <r>
    <x v="7"/>
    <s v="Bowie State University "/>
    <m/>
    <n v="162007"/>
    <x v="3"/>
    <s v="sem"/>
    <s v="sem"/>
    <n v="1664"/>
    <n v="2800"/>
    <n v="63747"/>
    <n v="60975"/>
    <n v="8716"/>
    <n v="8874"/>
    <n v="71883"/>
    <n v="70197"/>
    <n v="146010"/>
    <n v="4867"/>
    <n v="142846"/>
    <n v="4761.5333333333338"/>
    <m/>
    <m/>
    <n v="0"/>
    <n v="0"/>
    <m/>
    <m/>
    <m/>
    <m/>
    <m/>
    <m/>
    <m/>
    <m/>
    <n v="0"/>
    <n v="0"/>
    <n v="0"/>
    <n v="0"/>
    <m/>
    <m/>
    <n v="0"/>
    <n v="0"/>
    <n v="150"/>
    <n v="342"/>
    <n v="6517"/>
    <n v="6390"/>
    <n v="1848"/>
    <n v="1283"/>
    <n v="6613"/>
    <n v="6850"/>
    <n v="15128"/>
    <n v="630.33333333333337"/>
    <n v="14865"/>
    <n v="619.375"/>
    <n v="5497.333333333333"/>
    <n v="5380.9083333333338"/>
  </r>
  <r>
    <x v="7"/>
    <s v="Coppin State University"/>
    <m/>
    <n v="162283"/>
    <x v="4"/>
    <s v="sem"/>
    <s v="sem"/>
    <n v="342"/>
    <n v="39"/>
    <n v="27154"/>
    <n v="22473"/>
    <n v="1260"/>
    <n v="810"/>
    <n v="27425"/>
    <n v="23235"/>
    <n v="56181"/>
    <n v="1872.7"/>
    <n v="46557"/>
    <n v="1551.9"/>
    <m/>
    <m/>
    <n v="0"/>
    <n v="0"/>
    <m/>
    <m/>
    <m/>
    <m/>
    <m/>
    <m/>
    <m/>
    <m/>
    <n v="0"/>
    <n v="0"/>
    <n v="0"/>
    <n v="0"/>
    <m/>
    <m/>
    <n v="0"/>
    <n v="0"/>
    <n v="17"/>
    <n v="6"/>
    <n v="2134"/>
    <n v="1579"/>
    <n v="178"/>
    <n v="111"/>
    <n v="1447"/>
    <n v="1440"/>
    <n v="3776"/>
    <n v="157.33333333333334"/>
    <n v="3136"/>
    <n v="130.66666666666666"/>
    <n v="2030.0333333333333"/>
    <n v="1682.5666666666668"/>
  </r>
  <r>
    <x v="7"/>
    <s v="Frostburg State University "/>
    <m/>
    <n v="162584"/>
    <x v="3"/>
    <s v="sem"/>
    <s v="sem"/>
    <n v="1822"/>
    <n v="2008"/>
    <n v="49571"/>
    <n v="44098"/>
    <n v="7658"/>
    <n v="7939"/>
    <n v="52964"/>
    <n v="46967"/>
    <n v="112015"/>
    <n v="3733.8333333333335"/>
    <n v="101012"/>
    <n v="3367.0666666666666"/>
    <m/>
    <m/>
    <n v="0"/>
    <n v="0"/>
    <m/>
    <m/>
    <m/>
    <m/>
    <m/>
    <m/>
    <m/>
    <m/>
    <n v="0"/>
    <n v="0"/>
    <n v="0"/>
    <n v="0"/>
    <m/>
    <m/>
    <n v="0"/>
    <n v="0"/>
    <n v="401"/>
    <n v="617"/>
    <n v="4667"/>
    <n v="5142"/>
    <n v="3165"/>
    <n v="3216"/>
    <n v="5285"/>
    <n v="5658"/>
    <n v="13518"/>
    <n v="563.25"/>
    <n v="14633"/>
    <n v="609.70833333333337"/>
    <n v="4297.0833333333339"/>
    <n v="3976.7750000000001"/>
  </r>
  <r>
    <x v="7"/>
    <s v="Salisbury University "/>
    <m/>
    <n v="163851"/>
    <x v="3"/>
    <s v="sem"/>
    <s v="sem"/>
    <n v="4863"/>
    <n v="4716"/>
    <n v="103583"/>
    <n v="95082"/>
    <n v="7416"/>
    <n v="7222"/>
    <n v="103324"/>
    <n v="94860"/>
    <n v="219186"/>
    <n v="7306.2"/>
    <n v="201880"/>
    <n v="6729.333333333333"/>
    <m/>
    <m/>
    <n v="0"/>
    <n v="0"/>
    <m/>
    <m/>
    <m/>
    <m/>
    <m/>
    <m/>
    <m/>
    <m/>
    <n v="0"/>
    <n v="0"/>
    <n v="0"/>
    <n v="0"/>
    <m/>
    <m/>
    <n v="0"/>
    <n v="0"/>
    <n v="333"/>
    <n v="352"/>
    <n v="6706"/>
    <n v="6790"/>
    <n v="2169"/>
    <n v="2008"/>
    <n v="7353"/>
    <n v="6701"/>
    <n v="16561"/>
    <n v="690.04166666666663"/>
    <n v="15851"/>
    <n v="660.45833333333337"/>
    <n v="7996.2416666666668"/>
    <n v="7389.7916666666661"/>
  </r>
  <r>
    <x v="7"/>
    <s v="Towson University "/>
    <m/>
    <n v="164076"/>
    <x v="2"/>
    <s v="sem"/>
    <s v="sem"/>
    <n v="6713"/>
    <n v="7216"/>
    <n v="247985.5"/>
    <n v="231189"/>
    <n v="29132"/>
    <n v="25659"/>
    <n v="255484.5"/>
    <n v="240731"/>
    <n v="539315"/>
    <n v="17977.166666666668"/>
    <n v="504795"/>
    <n v="16826.5"/>
    <m/>
    <m/>
    <n v="0"/>
    <n v="0"/>
    <m/>
    <m/>
    <m/>
    <m/>
    <m/>
    <m/>
    <m/>
    <m/>
    <n v="0"/>
    <n v="0"/>
    <n v="0"/>
    <n v="0"/>
    <m/>
    <m/>
    <n v="0"/>
    <n v="0"/>
    <n v="445"/>
    <n v="557"/>
    <n v="18295.5"/>
    <n v="19478"/>
    <n v="6511"/>
    <n v="6598"/>
    <n v="19690.5"/>
    <n v="18845"/>
    <n v="44942"/>
    <n v="1872.5833333333333"/>
    <n v="45478"/>
    <n v="1894.9166666666667"/>
    <n v="19849.75"/>
    <n v="18721.416666666668"/>
  </r>
  <r>
    <x v="7"/>
    <s v="University of Baltimore"/>
    <m/>
    <n v="161873"/>
    <x v="2"/>
    <s v="sem"/>
    <s v="sem"/>
    <n v="122"/>
    <n v="48"/>
    <n v="19317"/>
    <n v="17273"/>
    <n v="2306"/>
    <n v="1977"/>
    <n v="19435"/>
    <n v="16374"/>
    <n v="41180"/>
    <n v="1372.6666666666667"/>
    <n v="35672"/>
    <n v="1189.0666666666666"/>
    <m/>
    <m/>
    <n v="0"/>
    <n v="0"/>
    <m/>
    <m/>
    <m/>
    <m/>
    <m/>
    <m/>
    <m/>
    <m/>
    <n v="0"/>
    <n v="0"/>
    <n v="0"/>
    <n v="0"/>
    <m/>
    <m/>
    <n v="0"/>
    <n v="0"/>
    <n v="117"/>
    <n v="100"/>
    <n v="17829.5"/>
    <n v="17346"/>
    <n v="2501"/>
    <n v="2198"/>
    <n v="18972"/>
    <n v="17957"/>
    <n v="39419.5"/>
    <n v="1642.4791666666667"/>
    <n v="37601"/>
    <n v="1566.7083333333333"/>
    <n v="3015.1458333333335"/>
    <n v="2755.7749999999996"/>
  </r>
  <r>
    <x v="7"/>
    <s v="University of Maryland, Baltimore County"/>
    <m/>
    <n v="163268"/>
    <x v="1"/>
    <s v="sem"/>
    <s v="sem"/>
    <n v="5485"/>
    <n v="6213"/>
    <n v="138392"/>
    <n v="133342"/>
    <n v="22354"/>
    <n v="19992"/>
    <n v="147993.5"/>
    <n v="144157"/>
    <n v="314224.5"/>
    <n v="10474.15"/>
    <n v="303704"/>
    <n v="10123.466666666667"/>
    <m/>
    <m/>
    <n v="0"/>
    <n v="0"/>
    <m/>
    <m/>
    <m/>
    <m/>
    <m/>
    <m/>
    <m/>
    <m/>
    <n v="0"/>
    <n v="0"/>
    <n v="0"/>
    <n v="0"/>
    <m/>
    <m/>
    <n v="0"/>
    <n v="0"/>
    <n v="82"/>
    <n v="32"/>
    <n v="16203"/>
    <n v="16432"/>
    <n v="2916"/>
    <n v="3083"/>
    <n v="17726"/>
    <n v="18863"/>
    <n v="36927"/>
    <n v="1538.625"/>
    <n v="38410"/>
    <n v="1600.4166666666667"/>
    <n v="12012.775"/>
    <n v="11723.883333333333"/>
  </r>
  <r>
    <x v="7"/>
    <s v="University of Maryland College Park"/>
    <m/>
    <n v="163286"/>
    <x v="0"/>
    <s v="sem"/>
    <s v="sem"/>
    <n v="12267"/>
    <n v="13374"/>
    <n v="404774"/>
    <n v="412956"/>
    <n v="43674"/>
    <n v="39900"/>
    <n v="422331"/>
    <n v="416380"/>
    <n v="883046"/>
    <n v="29434.866666666665"/>
    <n v="882610"/>
    <n v="29420.333333333332"/>
    <m/>
    <m/>
    <n v="0"/>
    <n v="0"/>
    <m/>
    <m/>
    <m/>
    <m/>
    <m/>
    <m/>
    <m/>
    <m/>
    <n v="0"/>
    <n v="0"/>
    <n v="0"/>
    <n v="0"/>
    <m/>
    <m/>
    <n v="0"/>
    <n v="0"/>
    <n v="2897"/>
    <n v="3508"/>
    <n v="64672"/>
    <n v="64037"/>
    <n v="11822"/>
    <n v="12886"/>
    <n v="70620"/>
    <n v="75738"/>
    <n v="150011"/>
    <n v="6250.458333333333"/>
    <n v="156169"/>
    <n v="6507.041666666667"/>
    <n v="35685.324999999997"/>
    <n v="35927.375"/>
  </r>
  <r>
    <x v="7"/>
    <s v="University of Maryland Eastern Shore "/>
    <m/>
    <n v="163338"/>
    <x v="3"/>
    <s v="sem"/>
    <s v="sem"/>
    <n v="573.5"/>
    <n v="700"/>
    <n v="28664.5"/>
    <n v="24086"/>
    <n v="2580"/>
    <n v="2055"/>
    <n v="29848"/>
    <n v="26618"/>
    <n v="61666"/>
    <n v="2055.5333333333333"/>
    <n v="53459"/>
    <n v="1781.9666666666667"/>
    <m/>
    <m/>
    <n v="0"/>
    <n v="0"/>
    <m/>
    <m/>
    <m/>
    <m/>
    <m/>
    <m/>
    <m/>
    <m/>
    <n v="0"/>
    <n v="0"/>
    <n v="0"/>
    <n v="0"/>
    <m/>
    <m/>
    <n v="0"/>
    <n v="0"/>
    <n v="390"/>
    <n v="335"/>
    <n v="6485"/>
    <n v="7016"/>
    <n v="1293"/>
    <n v="1698"/>
    <n v="7361.5"/>
    <n v="7449"/>
    <n v="15529.5"/>
    <n v="647.0625"/>
    <n v="16498"/>
    <n v="687.41666666666663"/>
    <n v="2702.5958333333333"/>
    <n v="2469.3833333333332"/>
  </r>
  <r>
    <x v="7"/>
    <s v="Morgan State University"/>
    <m/>
    <n v="163453"/>
    <x v="1"/>
    <s v="sem"/>
    <s v="sem"/>
    <n v="2195"/>
    <n v="1680"/>
    <n v="81111"/>
    <n v="76115"/>
    <n v="9596"/>
    <n v="6080"/>
    <n v="89187"/>
    <n v="99305"/>
    <n v="182089"/>
    <n v="6069.6333333333332"/>
    <n v="183180"/>
    <n v="6106"/>
    <m/>
    <m/>
    <n v="0"/>
    <n v="0"/>
    <m/>
    <m/>
    <m/>
    <m/>
    <m/>
    <m/>
    <m/>
    <m/>
    <n v="0"/>
    <n v="0"/>
    <n v="0"/>
    <n v="0"/>
    <m/>
    <m/>
    <n v="0"/>
    <n v="0"/>
    <n v="31"/>
    <n v="19"/>
    <n v="11697"/>
    <n v="11761"/>
    <n v="906"/>
    <n v="951"/>
    <n v="12617"/>
    <n v="13547"/>
    <n v="25251"/>
    <n v="1052.125"/>
    <n v="26278"/>
    <n v="1094.9166666666667"/>
    <n v="7121.7583333333332"/>
    <n v="7200.916666666667"/>
  </r>
  <r>
    <x v="7"/>
    <s v="Saint Mary's College of Maryland"/>
    <m/>
    <n v="163912"/>
    <x v="11"/>
    <s v="sem"/>
    <s v="sem"/>
    <n v="0"/>
    <n v="1036"/>
    <n v="21516.5"/>
    <n v="21495"/>
    <n v="1644"/>
    <n v="1488"/>
    <n v="23251"/>
    <n v="23766"/>
    <n v="46411.5"/>
    <n v="1547.05"/>
    <n v="47785"/>
    <n v="1592.8333333333333"/>
    <m/>
    <m/>
    <n v="0"/>
    <n v="0"/>
    <m/>
    <m/>
    <m/>
    <m/>
    <m/>
    <m/>
    <m/>
    <m/>
    <n v="0"/>
    <n v="0"/>
    <n v="0"/>
    <n v="0"/>
    <m/>
    <m/>
    <n v="0"/>
    <n v="0"/>
    <n v="0"/>
    <n v="0"/>
    <n v="292"/>
    <n v="350"/>
    <n v="327"/>
    <n v="333"/>
    <n v="270"/>
    <n v="302"/>
    <n v="889"/>
    <n v="37.041666666666664"/>
    <n v="985"/>
    <n v="41.041666666666664"/>
    <n v="1584.0916666666667"/>
    <n v="1633.875"/>
  </r>
  <r>
    <x v="8"/>
    <s v="Mississippi State University"/>
    <m/>
    <n v="176080"/>
    <x v="0"/>
    <m/>
    <m/>
    <m/>
    <m/>
    <n v="244205"/>
    <n v="244342"/>
    <n v="39336"/>
    <n v="29018"/>
    <n v="265672"/>
    <n v="259647"/>
    <n v="549213"/>
    <n v="18307.099999999999"/>
    <n v="533007"/>
    <n v="17766.900000000001"/>
    <m/>
    <m/>
    <n v="0"/>
    <n v="0"/>
    <m/>
    <m/>
    <m/>
    <m/>
    <m/>
    <m/>
    <m/>
    <m/>
    <n v="0"/>
    <n v="0"/>
    <n v="0"/>
    <n v="0"/>
    <m/>
    <m/>
    <n v="0"/>
    <n v="0"/>
    <m/>
    <m/>
    <n v="21219"/>
    <n v="28068"/>
    <n v="14142"/>
    <n v="15433"/>
    <n v="26329"/>
    <n v="27798"/>
    <n v="61690"/>
    <n v="2570.4166666666665"/>
    <n v="71299"/>
    <n v="2970.7916666666665"/>
    <n v="20877.516666666666"/>
    <n v="20737.691666666669"/>
  </r>
  <r>
    <x v="8"/>
    <s v="University of Mississippi"/>
    <m/>
    <n v="176017"/>
    <x v="0"/>
    <m/>
    <m/>
    <m/>
    <m/>
    <n v="234713"/>
    <n v="220645"/>
    <n v="35636"/>
    <n v="30440"/>
    <n v="231075"/>
    <n v="230030"/>
    <n v="501424"/>
    <n v="16714.133333333335"/>
    <n v="481115"/>
    <n v="16037.166666666666"/>
    <m/>
    <m/>
    <n v="0"/>
    <n v="0"/>
    <m/>
    <m/>
    <m/>
    <m/>
    <m/>
    <m/>
    <m/>
    <m/>
    <n v="0"/>
    <n v="0"/>
    <n v="0"/>
    <n v="0"/>
    <m/>
    <m/>
    <n v="0"/>
    <n v="0"/>
    <m/>
    <m/>
    <n v="29440"/>
    <n v="32369"/>
    <n v="11160"/>
    <n v="11557"/>
    <n v="32359"/>
    <n v="33789"/>
    <n v="72959"/>
    <n v="3039.9583333333335"/>
    <n v="77715"/>
    <n v="3238.125"/>
    <n v="19754.091666666667"/>
    <n v="19275.291666666664"/>
  </r>
  <r>
    <x v="8"/>
    <s v="University of Southern Mississippi"/>
    <m/>
    <n v="176372"/>
    <x v="0"/>
    <m/>
    <m/>
    <m/>
    <m/>
    <n v="147483"/>
    <n v="143084"/>
    <n v="20645"/>
    <n v="20429"/>
    <n v="162817"/>
    <n v="150490"/>
    <n v="330945"/>
    <n v="11031.5"/>
    <n v="314003"/>
    <n v="10466.766666666666"/>
    <m/>
    <m/>
    <n v="0"/>
    <n v="0"/>
    <m/>
    <m/>
    <m/>
    <m/>
    <m/>
    <m/>
    <m/>
    <m/>
    <n v="0"/>
    <n v="0"/>
    <n v="0"/>
    <n v="0"/>
    <m/>
    <m/>
    <n v="0"/>
    <n v="0"/>
    <m/>
    <m/>
    <n v="19267"/>
    <n v="24391"/>
    <n v="9784"/>
    <n v="12467"/>
    <n v="24636"/>
    <n v="26578"/>
    <n v="53687"/>
    <n v="2236.9583333333335"/>
    <n v="63436"/>
    <n v="2643.1666666666665"/>
    <n v="13268.458333333334"/>
    <n v="13109.933333333332"/>
  </r>
  <r>
    <x v="8"/>
    <s v="Jackson State University "/>
    <m/>
    <n v="175856"/>
    <x v="1"/>
    <m/>
    <m/>
    <m/>
    <m/>
    <n v="63475"/>
    <n v="59931"/>
    <n v="6606"/>
    <n v="11762"/>
    <n v="62207.5"/>
    <n v="64697.5"/>
    <n v="132288.5"/>
    <n v="4409.6166666666668"/>
    <n v="136390.5"/>
    <n v="4546.3500000000004"/>
    <m/>
    <m/>
    <n v="0"/>
    <n v="0"/>
    <m/>
    <m/>
    <m/>
    <m/>
    <m/>
    <m/>
    <m/>
    <m/>
    <n v="0"/>
    <n v="0"/>
    <n v="0"/>
    <n v="0"/>
    <m/>
    <m/>
    <n v="0"/>
    <n v="0"/>
    <m/>
    <m/>
    <n v="12798.5"/>
    <n v="15738"/>
    <n v="5455"/>
    <n v="6839.5"/>
    <n v="16197.5"/>
    <n v="16001.5"/>
    <n v="34451"/>
    <n v="1435.4583333333333"/>
    <n v="38579"/>
    <n v="1607.4583333333333"/>
    <n v="5845.0749999999998"/>
    <n v="6153.8083333333334"/>
  </r>
  <r>
    <x v="8"/>
    <s v="Alcorn State University"/>
    <m/>
    <n v="175342"/>
    <x v="3"/>
    <m/>
    <m/>
    <m/>
    <m/>
    <n v="39137"/>
    <n v="34337"/>
    <n v="7479"/>
    <n v="6957"/>
    <n v="36422"/>
    <n v="34372"/>
    <n v="83038"/>
    <n v="2767.9333333333334"/>
    <n v="75666"/>
    <n v="2522.1999999999998"/>
    <m/>
    <m/>
    <n v="0"/>
    <n v="0"/>
    <m/>
    <m/>
    <m/>
    <m/>
    <m/>
    <m/>
    <m/>
    <m/>
    <n v="0"/>
    <n v="0"/>
    <n v="0"/>
    <n v="0"/>
    <m/>
    <m/>
    <n v="0"/>
    <n v="0"/>
    <m/>
    <m/>
    <n v="2823"/>
    <n v="3524"/>
    <n v="1533"/>
    <n v="1631"/>
    <n v="3346"/>
    <n v="3748"/>
    <n v="7702"/>
    <n v="320.91666666666669"/>
    <n v="8903"/>
    <n v="370.95833333333331"/>
    <n v="3088.85"/>
    <n v="2893.1583333333333"/>
  </r>
  <r>
    <x v="8"/>
    <s v="Delta State University"/>
    <m/>
    <n v="175616"/>
    <x v="3"/>
    <m/>
    <m/>
    <m/>
    <m/>
    <n v="31323"/>
    <n v="24876.5"/>
    <n v="3582"/>
    <n v="2749"/>
    <n v="29214"/>
    <n v="25164"/>
    <n v="64119"/>
    <n v="2137.3000000000002"/>
    <n v="52789.5"/>
    <n v="1759.65"/>
    <m/>
    <m/>
    <n v="0"/>
    <n v="0"/>
    <m/>
    <m/>
    <m/>
    <m/>
    <m/>
    <m/>
    <m/>
    <m/>
    <n v="0"/>
    <n v="0"/>
    <n v="0"/>
    <n v="0"/>
    <m/>
    <m/>
    <n v="0"/>
    <n v="0"/>
    <m/>
    <m/>
    <n v="4830"/>
    <n v="5487"/>
    <n v="6836"/>
    <n v="5563"/>
    <n v="5115"/>
    <n v="5227"/>
    <n v="16781"/>
    <n v="699.20833333333337"/>
    <n v="16277"/>
    <n v="678.20833333333337"/>
    <n v="2836.5083333333337"/>
    <n v="2437.8583333333336"/>
  </r>
  <r>
    <x v="8"/>
    <s v="Mississippi University for Women"/>
    <m/>
    <n v="176035"/>
    <x v="3"/>
    <m/>
    <m/>
    <m/>
    <m/>
    <n v="31188"/>
    <n v="29078"/>
    <n v="9289"/>
    <n v="8578"/>
    <n v="31398"/>
    <n v="27132"/>
    <n v="71875"/>
    <n v="2395.8333333333335"/>
    <n v="64788"/>
    <n v="2159.6"/>
    <m/>
    <m/>
    <n v="0"/>
    <n v="0"/>
    <m/>
    <m/>
    <m/>
    <m/>
    <m/>
    <m/>
    <m/>
    <m/>
    <n v="0"/>
    <n v="0"/>
    <n v="0"/>
    <n v="0"/>
    <m/>
    <m/>
    <n v="0"/>
    <n v="0"/>
    <m/>
    <m/>
    <n v="1896"/>
    <n v="2364"/>
    <n v="1262"/>
    <n v="1600"/>
    <n v="2389"/>
    <n v="2520"/>
    <n v="5547"/>
    <n v="231.125"/>
    <n v="6484"/>
    <n v="270.16666666666669"/>
    <n v="2626.9583333333335"/>
    <n v="2429.7666666666664"/>
  </r>
  <r>
    <x v="8"/>
    <s v="Mississippi Valley State University"/>
    <m/>
    <n v="176044"/>
    <x v="3"/>
    <m/>
    <m/>
    <m/>
    <m/>
    <n v="20834"/>
    <n v="16722"/>
    <n v="2813"/>
    <n v="4094"/>
    <n v="20397"/>
    <n v="18862"/>
    <n v="44044"/>
    <n v="1468.1333333333334"/>
    <n v="39678"/>
    <n v="1322.6"/>
    <m/>
    <m/>
    <n v="0"/>
    <n v="0"/>
    <m/>
    <m/>
    <m/>
    <m/>
    <m/>
    <m/>
    <m/>
    <m/>
    <n v="0"/>
    <n v="0"/>
    <n v="0"/>
    <n v="0"/>
    <m/>
    <m/>
    <n v="0"/>
    <n v="0"/>
    <m/>
    <m/>
    <n v="2061"/>
    <n v="2523"/>
    <n v="774"/>
    <n v="933"/>
    <n v="2312"/>
    <n v="2346"/>
    <n v="5147"/>
    <n v="214.45833333333334"/>
    <n v="5802"/>
    <n v="241.75"/>
    <n v="1682.5916666666667"/>
    <n v="1564.35"/>
  </r>
  <r>
    <x v="8"/>
    <s v="Hinds Community College "/>
    <m/>
    <n v="175786"/>
    <x v="5"/>
    <m/>
    <m/>
    <m/>
    <m/>
    <n v="122284"/>
    <n v="101228"/>
    <n v="19556"/>
    <n v="43658"/>
    <n v="119516"/>
    <n v="112137"/>
    <n v="261356"/>
    <n v="8711.8666666666668"/>
    <n v="257023"/>
    <n v="8567.4333333333325"/>
    <n v="32212"/>
    <n v="30209"/>
    <n v="261356"/>
    <n v="257023"/>
    <m/>
    <m/>
    <m/>
    <m/>
    <m/>
    <m/>
    <m/>
    <m/>
    <n v="0"/>
    <n v="0"/>
    <n v="0"/>
    <n v="0"/>
    <m/>
    <m/>
    <n v="0"/>
    <n v="0"/>
    <m/>
    <m/>
    <m/>
    <m/>
    <m/>
    <m/>
    <m/>
    <m/>
    <n v="0"/>
    <n v="0"/>
    <n v="0"/>
    <n v="0"/>
    <n v="8711.8666666666668"/>
    <n v="8567.4333333333325"/>
  </r>
  <r>
    <x v="8"/>
    <s v="Holmes Community College "/>
    <m/>
    <n v="175810"/>
    <x v="5"/>
    <m/>
    <m/>
    <m/>
    <m/>
    <n v="64692"/>
    <n v="58471"/>
    <n v="18893"/>
    <n v="15256"/>
    <n v="70874"/>
    <n v="64383"/>
    <n v="154459"/>
    <n v="5148.6333333333332"/>
    <n v="138110"/>
    <n v="4603.666666666667"/>
    <n v="9215"/>
    <n v="8851"/>
    <n v="154459"/>
    <n v="138110"/>
    <m/>
    <m/>
    <m/>
    <m/>
    <m/>
    <m/>
    <m/>
    <m/>
    <n v="0"/>
    <n v="0"/>
    <n v="0"/>
    <n v="0"/>
    <m/>
    <m/>
    <n v="0"/>
    <n v="0"/>
    <m/>
    <m/>
    <m/>
    <m/>
    <m/>
    <m/>
    <m/>
    <m/>
    <n v="0"/>
    <n v="0"/>
    <n v="0"/>
    <n v="0"/>
    <n v="5148.6333333333332"/>
    <n v="4603.666666666667"/>
  </r>
  <r>
    <x v="8"/>
    <s v="Mississippi Gulf Coast Community College "/>
    <m/>
    <n v="176071"/>
    <x v="5"/>
    <m/>
    <m/>
    <m/>
    <m/>
    <n v="57772"/>
    <n v="53882"/>
    <n v="7416"/>
    <n v="6182"/>
    <n v="65140"/>
    <n v="58360"/>
    <n v="130328"/>
    <n v="4344.2666666666664"/>
    <n v="118424"/>
    <n v="3947.4666666666667"/>
    <n v="7315"/>
    <n v="7495"/>
    <n v="130328"/>
    <n v="118424"/>
    <m/>
    <m/>
    <m/>
    <m/>
    <m/>
    <m/>
    <m/>
    <m/>
    <n v="0"/>
    <n v="0"/>
    <n v="0"/>
    <n v="0"/>
    <m/>
    <m/>
    <n v="0"/>
    <n v="0"/>
    <m/>
    <m/>
    <m/>
    <m/>
    <m/>
    <m/>
    <m/>
    <m/>
    <n v="0"/>
    <n v="0"/>
    <n v="0"/>
    <n v="0"/>
    <n v="4344.2666666666664"/>
    <n v="3947.4666666666667"/>
  </r>
  <r>
    <x v="8"/>
    <s v="Northwest Mississippi Community College "/>
    <m/>
    <n v="176178"/>
    <x v="5"/>
    <m/>
    <m/>
    <m/>
    <m/>
    <n v="96955"/>
    <n v="88128"/>
    <n v="28595"/>
    <n v="23328"/>
    <n v="100842"/>
    <n v="93714"/>
    <n v="226392"/>
    <n v="7546.4"/>
    <n v="205170"/>
    <n v="6839"/>
    <n v="17344"/>
    <n v="18807"/>
    <n v="226392"/>
    <n v="205170"/>
    <m/>
    <m/>
    <m/>
    <m/>
    <m/>
    <m/>
    <m/>
    <m/>
    <n v="0"/>
    <n v="0"/>
    <n v="0"/>
    <n v="0"/>
    <m/>
    <m/>
    <n v="0"/>
    <n v="0"/>
    <m/>
    <m/>
    <m/>
    <m/>
    <m/>
    <m/>
    <m/>
    <m/>
    <n v="0"/>
    <n v="0"/>
    <n v="0"/>
    <n v="0"/>
    <n v="7546.4"/>
    <n v="6839"/>
  </r>
  <r>
    <x v="8"/>
    <s v="Copiah-Lincoln Community College "/>
    <m/>
    <n v="175573"/>
    <x v="6"/>
    <m/>
    <m/>
    <m/>
    <m/>
    <n v="79435"/>
    <n v="70995"/>
    <n v="12744"/>
    <n v="10827"/>
    <n v="83374"/>
    <n v="78569"/>
    <n v="175553"/>
    <n v="5851.7666666666664"/>
    <n v="160391"/>
    <n v="5346.3666666666668"/>
    <n v="15950"/>
    <n v="15106"/>
    <n v="175553"/>
    <n v="160391"/>
    <m/>
    <m/>
    <m/>
    <m/>
    <m/>
    <m/>
    <m/>
    <m/>
    <n v="0"/>
    <n v="0"/>
    <n v="0"/>
    <n v="0"/>
    <m/>
    <m/>
    <n v="0"/>
    <n v="0"/>
    <m/>
    <m/>
    <m/>
    <m/>
    <m/>
    <m/>
    <m/>
    <m/>
    <n v="0"/>
    <n v="0"/>
    <n v="0"/>
    <n v="0"/>
    <n v="5851.7666666666664"/>
    <n v="5346.3666666666668"/>
  </r>
  <r>
    <x v="8"/>
    <s v="East Central Community College "/>
    <m/>
    <n v="175643"/>
    <x v="6"/>
    <m/>
    <m/>
    <m/>
    <m/>
    <n v="32348"/>
    <n v="30035"/>
    <n v="6534"/>
    <n v="6870"/>
    <n v="37340"/>
    <n v="36003"/>
    <n v="76222"/>
    <n v="2540.7333333333331"/>
    <n v="72908"/>
    <n v="2430.2666666666669"/>
    <n v="8089"/>
    <n v="8369"/>
    <n v="76222"/>
    <n v="72908"/>
    <m/>
    <m/>
    <m/>
    <m/>
    <m/>
    <m/>
    <m/>
    <m/>
    <n v="0"/>
    <n v="0"/>
    <n v="0"/>
    <n v="0"/>
    <m/>
    <m/>
    <n v="0"/>
    <n v="0"/>
    <m/>
    <m/>
    <m/>
    <m/>
    <m/>
    <m/>
    <m/>
    <m/>
    <n v="0"/>
    <n v="0"/>
    <n v="0"/>
    <n v="0"/>
    <n v="2540.7333333333331"/>
    <n v="2430.2666666666669"/>
  </r>
  <r>
    <x v="8"/>
    <s v="East Mississippi Community College "/>
    <m/>
    <n v="175652"/>
    <x v="6"/>
    <m/>
    <m/>
    <m/>
    <m/>
    <n v="28097"/>
    <n v="25813"/>
    <n v="4735"/>
    <n v="3505"/>
    <n v="31834"/>
    <n v="29654"/>
    <n v="64666"/>
    <n v="2155.5333333333333"/>
    <n v="58972"/>
    <n v="1965.7333333333333"/>
    <n v="6215"/>
    <n v="6112"/>
    <n v="64666"/>
    <n v="58972"/>
    <m/>
    <m/>
    <m/>
    <m/>
    <m/>
    <m/>
    <m/>
    <m/>
    <n v="0"/>
    <n v="0"/>
    <n v="0"/>
    <n v="0"/>
    <m/>
    <m/>
    <n v="0"/>
    <n v="0"/>
    <m/>
    <m/>
    <m/>
    <m/>
    <m/>
    <m/>
    <m/>
    <m/>
    <n v="0"/>
    <n v="0"/>
    <n v="0"/>
    <n v="0"/>
    <n v="2155.5333333333333"/>
    <n v="1965.7333333333333"/>
  </r>
  <r>
    <x v="8"/>
    <s v="Itawamba Community College "/>
    <m/>
    <n v="175829"/>
    <x v="6"/>
    <m/>
    <m/>
    <m/>
    <m/>
    <n v="38526"/>
    <n v="33114"/>
    <n v="8449"/>
    <n v="19172"/>
    <n v="40505"/>
    <n v="40811"/>
    <n v="87480"/>
    <n v="2916"/>
    <n v="93097"/>
    <n v="3103.2333333333331"/>
    <n v="8432"/>
    <n v="9449"/>
    <n v="87480"/>
    <n v="93097"/>
    <m/>
    <m/>
    <m/>
    <m/>
    <m/>
    <m/>
    <m/>
    <m/>
    <n v="0"/>
    <n v="0"/>
    <n v="0"/>
    <n v="0"/>
    <m/>
    <m/>
    <n v="0"/>
    <n v="0"/>
    <m/>
    <m/>
    <m/>
    <m/>
    <m/>
    <m/>
    <m/>
    <m/>
    <n v="0"/>
    <n v="0"/>
    <n v="0"/>
    <n v="0"/>
    <n v="2916"/>
    <n v="3103.2333333333331"/>
  </r>
  <r>
    <x v="8"/>
    <s v="Jones College"/>
    <m/>
    <n v="175883"/>
    <x v="6"/>
    <m/>
    <m/>
    <m/>
    <m/>
    <n v="51162"/>
    <n v="43636"/>
    <n v="11031"/>
    <n v="9511"/>
    <n v="57131"/>
    <n v="53765"/>
    <n v="119324"/>
    <n v="3977.4666666666667"/>
    <n v="106912"/>
    <n v="3563.7333333333331"/>
    <n v="8106"/>
    <n v="8650"/>
    <n v="119324"/>
    <n v="106912"/>
    <m/>
    <m/>
    <m/>
    <m/>
    <m/>
    <m/>
    <m/>
    <m/>
    <n v="0"/>
    <n v="0"/>
    <n v="0"/>
    <n v="0"/>
    <m/>
    <m/>
    <n v="0"/>
    <n v="0"/>
    <m/>
    <m/>
    <m/>
    <m/>
    <m/>
    <m/>
    <m/>
    <m/>
    <n v="0"/>
    <n v="0"/>
    <n v="0"/>
    <n v="0"/>
    <n v="3977.4666666666667"/>
    <n v="3563.7333333333331"/>
  </r>
  <r>
    <x v="8"/>
    <s v="Meridian Community College "/>
    <m/>
    <n v="175935"/>
    <x v="6"/>
    <m/>
    <m/>
    <m/>
    <m/>
    <n v="34059.5"/>
    <n v="30472"/>
    <n v="9833"/>
    <n v="7490"/>
    <n v="35753"/>
    <n v="33931"/>
    <n v="79645.5"/>
    <n v="2654.85"/>
    <n v="71893"/>
    <n v="2396.4333333333334"/>
    <n v="3473"/>
    <n v="3170"/>
    <n v="79645.5"/>
    <n v="71893"/>
    <m/>
    <m/>
    <m/>
    <m/>
    <m/>
    <m/>
    <m/>
    <m/>
    <n v="0"/>
    <n v="0"/>
    <n v="0"/>
    <n v="0"/>
    <m/>
    <m/>
    <n v="0"/>
    <n v="0"/>
    <m/>
    <m/>
    <m/>
    <m/>
    <m/>
    <m/>
    <m/>
    <m/>
    <n v="0"/>
    <n v="0"/>
    <n v="0"/>
    <n v="0"/>
    <n v="2654.85"/>
    <n v="2396.4333333333334"/>
  </r>
  <r>
    <x v="8"/>
    <s v="Mississippi Delta Community College "/>
    <m/>
    <n v="176008"/>
    <x v="6"/>
    <m/>
    <m/>
    <m/>
    <m/>
    <n v="25534"/>
    <n v="20200"/>
    <n v="6560"/>
    <n v="5888"/>
    <n v="26377"/>
    <n v="24460"/>
    <n v="58471"/>
    <n v="1949.0333333333333"/>
    <n v="50548"/>
    <n v="1684.9333333333334"/>
    <n v="3257"/>
    <n v="3236"/>
    <n v="58471"/>
    <n v="50548"/>
    <m/>
    <m/>
    <m/>
    <m/>
    <m/>
    <m/>
    <m/>
    <m/>
    <n v="0"/>
    <n v="0"/>
    <n v="0"/>
    <n v="0"/>
    <m/>
    <m/>
    <n v="0"/>
    <n v="0"/>
    <m/>
    <m/>
    <m/>
    <m/>
    <m/>
    <m/>
    <m/>
    <m/>
    <n v="0"/>
    <n v="0"/>
    <n v="0"/>
    <n v="0"/>
    <n v="1949.0333333333333"/>
    <n v="1684.9333333333334"/>
  </r>
  <r>
    <x v="8"/>
    <s v="Northeast Mississippi Community College "/>
    <m/>
    <n v="176169"/>
    <x v="6"/>
    <m/>
    <m/>
    <m/>
    <m/>
    <n v="40466"/>
    <n v="35136"/>
    <n v="4497"/>
    <n v="24917"/>
    <n v="42009"/>
    <n v="41510"/>
    <n v="86972"/>
    <n v="2899.0666666666666"/>
    <n v="101563"/>
    <n v="3385.4333333333334"/>
    <n v="3601"/>
    <n v="6238"/>
    <n v="86972"/>
    <n v="101563"/>
    <m/>
    <m/>
    <m/>
    <m/>
    <m/>
    <m/>
    <m/>
    <m/>
    <n v="0"/>
    <n v="0"/>
    <n v="0"/>
    <n v="0"/>
    <m/>
    <m/>
    <n v="0"/>
    <n v="0"/>
    <m/>
    <m/>
    <m/>
    <m/>
    <m/>
    <m/>
    <m/>
    <m/>
    <n v="0"/>
    <n v="0"/>
    <n v="0"/>
    <n v="0"/>
    <n v="2899.0666666666666"/>
    <n v="3385.4333333333334"/>
  </r>
  <r>
    <x v="8"/>
    <s v="Pearl River Community College "/>
    <m/>
    <n v="176239"/>
    <x v="6"/>
    <m/>
    <m/>
    <m/>
    <m/>
    <n v="60443"/>
    <n v="58836"/>
    <n v="10243"/>
    <n v="11886"/>
    <n v="70293"/>
    <n v="68114"/>
    <n v="140979"/>
    <n v="4699.3"/>
    <n v="138836"/>
    <n v="4627.8666666666668"/>
    <n v="7652"/>
    <n v="8343"/>
    <n v="140979"/>
    <n v="138836"/>
    <m/>
    <m/>
    <m/>
    <m/>
    <m/>
    <m/>
    <m/>
    <m/>
    <n v="0"/>
    <n v="0"/>
    <n v="0"/>
    <n v="0"/>
    <m/>
    <m/>
    <n v="0"/>
    <n v="0"/>
    <m/>
    <m/>
    <m/>
    <m/>
    <m/>
    <m/>
    <m/>
    <m/>
    <n v="0"/>
    <n v="0"/>
    <n v="0"/>
    <n v="0"/>
    <n v="4699.3"/>
    <n v="4627.8666666666668"/>
  </r>
  <r>
    <x v="8"/>
    <s v="Coahoma Community College "/>
    <m/>
    <n v="175519"/>
    <x v="7"/>
    <m/>
    <m/>
    <m/>
    <m/>
    <n v="19573"/>
    <n v="17144"/>
    <n v="4735"/>
    <n v="8619"/>
    <n v="22257"/>
    <n v="20349"/>
    <n v="46565"/>
    <n v="1552.1666666666667"/>
    <n v="46112"/>
    <n v="1537.0666666666666"/>
    <n v="3654"/>
    <n v="2372"/>
    <n v="46565"/>
    <n v="46112"/>
    <m/>
    <m/>
    <m/>
    <m/>
    <m/>
    <m/>
    <m/>
    <m/>
    <n v="0"/>
    <n v="0"/>
    <n v="0"/>
    <n v="0"/>
    <m/>
    <m/>
    <n v="0"/>
    <n v="0"/>
    <m/>
    <m/>
    <m/>
    <m/>
    <m/>
    <m/>
    <m/>
    <m/>
    <n v="0"/>
    <n v="0"/>
    <n v="0"/>
    <n v="0"/>
    <n v="1552.1666666666667"/>
    <n v="1537.0666666666666"/>
  </r>
  <r>
    <x v="8"/>
    <s v="Southwest Mississippi Community College"/>
    <m/>
    <n v="176354"/>
    <x v="7"/>
    <m/>
    <m/>
    <m/>
    <m/>
    <n v="26104"/>
    <n v="22924"/>
    <n v="3560"/>
    <n v="4029"/>
    <n v="27633"/>
    <n v="23118"/>
    <n v="57297"/>
    <n v="1909.9"/>
    <n v="50071"/>
    <n v="1669.0333333333333"/>
    <n v="2699"/>
    <n v="2197"/>
    <n v="57297"/>
    <n v="50071"/>
    <m/>
    <m/>
    <m/>
    <m/>
    <m/>
    <m/>
    <m/>
    <m/>
    <n v="0"/>
    <n v="0"/>
    <n v="0"/>
    <n v="0"/>
    <m/>
    <m/>
    <n v="0"/>
    <n v="0"/>
    <m/>
    <m/>
    <m/>
    <m/>
    <m/>
    <m/>
    <m/>
    <m/>
    <n v="0"/>
    <n v="0"/>
    <n v="0"/>
    <n v="0"/>
    <n v="1909.9"/>
    <n v="1669.0333333333333"/>
  </r>
  <r>
    <x v="9"/>
    <s v="North Carolina State University "/>
    <m/>
    <n v="199193"/>
    <x v="0"/>
    <m/>
    <m/>
    <m/>
    <m/>
    <n v="330667"/>
    <n v="332870"/>
    <n v="61576"/>
    <n v="49429"/>
    <n v="356095"/>
    <n v="359884"/>
    <n v="748338"/>
    <n v="24944.6"/>
    <n v="742183"/>
    <n v="24739.433333333334"/>
    <n v="2076"/>
    <n v="1769"/>
    <n v="748338"/>
    <n v="742183"/>
    <m/>
    <m/>
    <m/>
    <m/>
    <m/>
    <m/>
    <m/>
    <m/>
    <n v="0"/>
    <n v="0"/>
    <n v="0"/>
    <n v="0"/>
    <m/>
    <m/>
    <n v="0"/>
    <n v="0"/>
    <m/>
    <m/>
    <n v="75997"/>
    <n v="72866"/>
    <n v="11946.5"/>
    <n v="12372"/>
    <n v="81406.5"/>
    <n v="83487.5"/>
    <n v="169350"/>
    <n v="7056.25"/>
    <n v="168725.5"/>
    <n v="7030.229166666667"/>
    <n v="32000.85"/>
    <n v="31769.662500000002"/>
  </r>
  <r>
    <x v="9"/>
    <s v="University of North Carolina at Chapel Hill "/>
    <m/>
    <n v="199120"/>
    <x v="0"/>
    <m/>
    <m/>
    <m/>
    <m/>
    <n v="245762"/>
    <n v="248392"/>
    <n v="49262.5"/>
    <n v="36754"/>
    <n v="269367.5"/>
    <n v="274076.5"/>
    <n v="564392"/>
    <n v="18813.066666666666"/>
    <n v="559222.5"/>
    <n v="18640.75"/>
    <n v="0"/>
    <n v="0"/>
    <n v="564392"/>
    <n v="559222.5"/>
    <m/>
    <m/>
    <m/>
    <m/>
    <m/>
    <m/>
    <m/>
    <m/>
    <n v="0"/>
    <n v="0"/>
    <n v="0"/>
    <n v="0"/>
    <m/>
    <m/>
    <n v="0"/>
    <n v="0"/>
    <m/>
    <m/>
    <n v="88367.5"/>
    <n v="90017.25"/>
    <n v="13142"/>
    <n v="16450"/>
    <n v="86959.75"/>
    <n v="106429.75"/>
    <n v="188469.25"/>
    <n v="7852.885416666667"/>
    <n v="212897"/>
    <n v="8870.7083333333339"/>
    <n v="26665.952083333334"/>
    <n v="27511.458333333336"/>
  </r>
  <r>
    <x v="9"/>
    <s v="University of North Carolina at Charlotte"/>
    <m/>
    <n v="199139"/>
    <x v="0"/>
    <m/>
    <m/>
    <m/>
    <m/>
    <n v="296870"/>
    <n v="296964"/>
    <n v="67105"/>
    <n v="63569"/>
    <n v="326619"/>
    <n v="317988"/>
    <n v="690594"/>
    <n v="23019.8"/>
    <n v="678521"/>
    <n v="22617.366666666665"/>
    <n v="4905"/>
    <n v="5155"/>
    <n v="690594"/>
    <n v="678521"/>
    <m/>
    <m/>
    <m/>
    <m/>
    <m/>
    <m/>
    <m/>
    <m/>
    <n v="0"/>
    <n v="0"/>
    <n v="0"/>
    <n v="0"/>
    <m/>
    <m/>
    <n v="0"/>
    <n v="0"/>
    <m/>
    <m/>
    <n v="38014"/>
    <n v="41037"/>
    <n v="12625"/>
    <n v="14113"/>
    <n v="43283"/>
    <n v="45223"/>
    <n v="93922"/>
    <n v="3913.4166666666665"/>
    <n v="100373"/>
    <n v="4182.208333333333"/>
    <n v="26933.216666666667"/>
    <n v="26799.574999999997"/>
  </r>
  <r>
    <x v="9"/>
    <s v="University of North Carolina at Greensboro"/>
    <m/>
    <n v="199148"/>
    <x v="0"/>
    <m/>
    <m/>
    <m/>
    <m/>
    <n v="202606"/>
    <n v="192963"/>
    <n v="35659"/>
    <n v="31084"/>
    <n v="213016"/>
    <n v="201170"/>
    <n v="451281"/>
    <n v="15042.7"/>
    <n v="425217"/>
    <n v="14173.9"/>
    <n v="1940"/>
    <n v="2052"/>
    <n v="451281"/>
    <n v="425217"/>
    <m/>
    <m/>
    <m/>
    <m/>
    <m/>
    <m/>
    <m/>
    <m/>
    <n v="0"/>
    <n v="0"/>
    <n v="0"/>
    <n v="0"/>
    <m/>
    <m/>
    <n v="0"/>
    <n v="0"/>
    <m/>
    <m/>
    <n v="25588.5"/>
    <n v="27267"/>
    <n v="7213.5"/>
    <n v="8237"/>
    <n v="28521.5"/>
    <n v="28355"/>
    <n v="61323.5"/>
    <n v="2555.1458333333335"/>
    <n v="63859"/>
    <n v="2660.7916666666665"/>
    <n v="17597.845833333333"/>
    <n v="16834.691666666666"/>
  </r>
  <r>
    <x v="9"/>
    <s v="East Carolina University "/>
    <m/>
    <n v="198464"/>
    <x v="1"/>
    <m/>
    <m/>
    <m/>
    <m/>
    <n v="277548"/>
    <n v="274928"/>
    <n v="50567"/>
    <n v="49295"/>
    <n v="305077"/>
    <n v="289462"/>
    <n v="633192"/>
    <n v="21106.400000000001"/>
    <n v="613685"/>
    <n v="20456.166666666668"/>
    <n v="762"/>
    <n v="1218"/>
    <n v="633192"/>
    <n v="613685"/>
    <m/>
    <m/>
    <m/>
    <m/>
    <m/>
    <m/>
    <m/>
    <m/>
    <n v="0"/>
    <n v="0"/>
    <n v="0"/>
    <n v="0"/>
    <m/>
    <m/>
    <n v="0"/>
    <n v="0"/>
    <m/>
    <m/>
    <n v="34328"/>
    <n v="35614"/>
    <n v="17082"/>
    <n v="17386"/>
    <n v="38053"/>
    <n v="37058"/>
    <n v="89463"/>
    <n v="3727.625"/>
    <n v="90058"/>
    <n v="3752.4166666666665"/>
    <n v="24834.025000000001"/>
    <n v="24208.583333333336"/>
  </r>
  <r>
    <x v="9"/>
    <s v="Appalachian State University "/>
    <m/>
    <n v="197869"/>
    <x v="2"/>
    <m/>
    <m/>
    <m/>
    <m/>
    <n v="235254"/>
    <n v="238929"/>
    <n v="44610"/>
    <n v="41765"/>
    <n v="258583"/>
    <n v="263919"/>
    <n v="538447"/>
    <n v="17948.233333333334"/>
    <n v="544613"/>
    <n v="18153.766666666666"/>
    <n v="0"/>
    <n v="0"/>
    <n v="538447"/>
    <n v="544613"/>
    <m/>
    <m/>
    <m/>
    <m/>
    <m/>
    <m/>
    <m/>
    <m/>
    <n v="0"/>
    <n v="0"/>
    <n v="0"/>
    <n v="0"/>
    <m/>
    <m/>
    <n v="0"/>
    <n v="0"/>
    <m/>
    <m/>
    <n v="13147"/>
    <n v="14764"/>
    <n v="7383"/>
    <n v="7958"/>
    <n v="15373"/>
    <n v="16134"/>
    <n v="35903"/>
    <n v="1495.9583333333333"/>
    <n v="38856"/>
    <n v="1619"/>
    <n v="19444.191666666666"/>
    <n v="19772.766666666666"/>
  </r>
  <r>
    <x v="9"/>
    <s v="North Carolina A&amp;T State University"/>
    <s v="Reclassifed: Met the criteria for Four-Year 2 in 2019-20 and 2020-21, and 2021-22"/>
    <n v="199102"/>
    <x v="1"/>
    <m/>
    <m/>
    <m/>
    <m/>
    <n v="141285"/>
    <n v="143233"/>
    <n v="22703"/>
    <n v="29092"/>
    <n v="154813"/>
    <n v="158471"/>
    <n v="318801"/>
    <n v="10626.7"/>
    <n v="330796"/>
    <n v="11026.533333333333"/>
    <n v="2823"/>
    <n v="3340"/>
    <n v="318801"/>
    <n v="330796"/>
    <m/>
    <m/>
    <m/>
    <m/>
    <m/>
    <m/>
    <m/>
    <m/>
    <n v="0"/>
    <n v="0"/>
    <n v="0"/>
    <n v="0"/>
    <m/>
    <m/>
    <n v="0"/>
    <n v="0"/>
    <m/>
    <m/>
    <n v="10943"/>
    <n v="12033"/>
    <n v="2430"/>
    <n v="3016"/>
    <n v="12705"/>
    <n v="12996"/>
    <n v="26078"/>
    <n v="1086.5833333333333"/>
    <n v="28045"/>
    <n v="1168.5416666666667"/>
    <n v="11713.283333333335"/>
    <n v="12195.074999999999"/>
  </r>
  <r>
    <x v="9"/>
    <s v="North Carolina Central University "/>
    <m/>
    <n v="199157"/>
    <x v="2"/>
    <m/>
    <m/>
    <m/>
    <m/>
    <n v="69458.5"/>
    <n v="66561.5"/>
    <n v="19653"/>
    <n v="19969"/>
    <n v="78102.5"/>
    <n v="74815.5"/>
    <n v="167214"/>
    <n v="5573.8"/>
    <n v="161346"/>
    <n v="5378.2"/>
    <n v="6024"/>
    <n v="6158"/>
    <n v="167214"/>
    <n v="161346"/>
    <m/>
    <m/>
    <m/>
    <m/>
    <m/>
    <m/>
    <m/>
    <m/>
    <n v="0"/>
    <n v="0"/>
    <n v="0"/>
    <n v="0"/>
    <m/>
    <m/>
    <n v="0"/>
    <n v="0"/>
    <m/>
    <m/>
    <n v="16762.5"/>
    <n v="17393.5"/>
    <n v="5049.5"/>
    <n v="5753.5"/>
    <n v="18480.5"/>
    <n v="19303"/>
    <n v="40292.5"/>
    <n v="1678.8541666666667"/>
    <n v="42450"/>
    <n v="1768.75"/>
    <n v="7252.6541666666672"/>
    <n v="7146.95"/>
  </r>
  <r>
    <x v="9"/>
    <s v="University of North Carolina at Wilmington"/>
    <m/>
    <n v="199218"/>
    <x v="2"/>
    <m/>
    <m/>
    <m/>
    <m/>
    <n v="183171.5"/>
    <n v="174949"/>
    <n v="46093.5"/>
    <n v="40448"/>
    <n v="190767"/>
    <n v="187895.5"/>
    <n v="420032"/>
    <n v="14001.066666666668"/>
    <n v="403292.5"/>
    <n v="13443.083333333334"/>
    <n v="2905"/>
    <n v="2774"/>
    <n v="420032"/>
    <n v="403292.5"/>
    <m/>
    <m/>
    <m/>
    <m/>
    <m/>
    <m/>
    <m/>
    <m/>
    <n v="0"/>
    <n v="0"/>
    <n v="0"/>
    <n v="0"/>
    <m/>
    <m/>
    <n v="0"/>
    <n v="0"/>
    <m/>
    <m/>
    <n v="19209"/>
    <n v="23129"/>
    <n v="10344"/>
    <n v="12893"/>
    <n v="23629.5"/>
    <n v="25168.5"/>
    <n v="53182.5"/>
    <n v="2215.9375"/>
    <n v="61190.5"/>
    <n v="2549.6041666666665"/>
    <n v="16217.004166666668"/>
    <n v="15992.6875"/>
  </r>
  <r>
    <x v="9"/>
    <s v="Western Carolina University "/>
    <m/>
    <n v="200004"/>
    <x v="2"/>
    <m/>
    <m/>
    <m/>
    <m/>
    <n v="131442"/>
    <n v="126528"/>
    <n v="17731"/>
    <n v="19459"/>
    <n v="139881"/>
    <n v="131803"/>
    <n v="289054"/>
    <n v="9635.1333333333332"/>
    <n v="277790"/>
    <n v="9259.6666666666661"/>
    <n v="0"/>
    <n v="0"/>
    <n v="289054"/>
    <n v="277790"/>
    <m/>
    <m/>
    <m/>
    <m/>
    <m/>
    <m/>
    <m/>
    <m/>
    <n v="0"/>
    <n v="0"/>
    <n v="0"/>
    <n v="0"/>
    <m/>
    <m/>
    <n v="0"/>
    <n v="0"/>
    <m/>
    <m/>
    <n v="13332"/>
    <n v="14096"/>
    <n v="5982"/>
    <n v="6358"/>
    <n v="14525"/>
    <n v="14568"/>
    <n v="33839"/>
    <n v="1409.9583333333333"/>
    <n v="35022"/>
    <n v="1459.25"/>
    <n v="11045.091666666667"/>
    <n v="10718.916666666666"/>
  </r>
  <r>
    <x v="9"/>
    <s v="Fayetteville State University "/>
    <m/>
    <n v="198543"/>
    <x v="3"/>
    <m/>
    <m/>
    <m/>
    <m/>
    <n v="64766"/>
    <n v="61368"/>
    <n v="18429"/>
    <n v="19114"/>
    <n v="66878"/>
    <n v="63942"/>
    <n v="150073"/>
    <n v="5002.4333333333334"/>
    <n v="144424"/>
    <n v="4814.1333333333332"/>
    <n v="7856"/>
    <n v="7668"/>
    <n v="150073"/>
    <n v="144424"/>
    <m/>
    <m/>
    <m/>
    <m/>
    <m/>
    <m/>
    <m/>
    <m/>
    <n v="0"/>
    <n v="0"/>
    <n v="0"/>
    <n v="0"/>
    <m/>
    <m/>
    <n v="0"/>
    <n v="0"/>
    <m/>
    <m/>
    <n v="6006"/>
    <n v="7536"/>
    <n v="3783"/>
    <n v="3149"/>
    <n v="7796"/>
    <n v="8574"/>
    <n v="17585"/>
    <n v="732.70833333333337"/>
    <n v="19259"/>
    <n v="802.45833333333337"/>
    <n v="5735.1416666666664"/>
    <n v="5616.5916666666662"/>
  </r>
  <r>
    <x v="9"/>
    <s v="University of North Carolina at Pembroke"/>
    <m/>
    <n v="199281"/>
    <x v="4"/>
    <m/>
    <m/>
    <m/>
    <m/>
    <n v="74554"/>
    <n v="73887"/>
    <n v="18624"/>
    <n v="17147"/>
    <n v="80137"/>
    <n v="78528"/>
    <n v="173315"/>
    <n v="5777.166666666667"/>
    <n v="169562"/>
    <n v="5652.0666666666666"/>
    <n v="0"/>
    <n v="0"/>
    <n v="173315"/>
    <n v="169562"/>
    <m/>
    <m/>
    <m/>
    <m/>
    <m/>
    <m/>
    <m/>
    <m/>
    <n v="0"/>
    <n v="0"/>
    <n v="0"/>
    <n v="0"/>
    <m/>
    <m/>
    <n v="0"/>
    <n v="0"/>
    <m/>
    <m/>
    <n v="9041"/>
    <n v="13074"/>
    <n v="7839"/>
    <n v="10031"/>
    <n v="12880"/>
    <n v="13790"/>
    <n v="29760"/>
    <n v="1240"/>
    <n v="36895"/>
    <n v="1537.2916666666667"/>
    <n v="7017.166666666667"/>
    <n v="7189.3583333333336"/>
  </r>
  <r>
    <x v="9"/>
    <s v="Winston-Salem State University "/>
    <m/>
    <n v="199999"/>
    <x v="4"/>
    <m/>
    <m/>
    <m/>
    <m/>
    <n v="59980"/>
    <n v="59824"/>
    <n v="10241"/>
    <n v="11379.5"/>
    <n v="64300"/>
    <n v="63945"/>
    <n v="134521"/>
    <n v="4484.0333333333338"/>
    <n v="135148.5"/>
    <n v="4504.95"/>
    <n v="0"/>
    <n v="0"/>
    <n v="134521"/>
    <n v="135148.5"/>
    <m/>
    <m/>
    <m/>
    <m/>
    <m/>
    <m/>
    <m/>
    <m/>
    <n v="0"/>
    <n v="0"/>
    <n v="0"/>
    <n v="0"/>
    <m/>
    <m/>
    <n v="0"/>
    <n v="0"/>
    <m/>
    <m/>
    <n v="4174"/>
    <n v="4415"/>
    <n v="2113"/>
    <n v="2467"/>
    <n v="4593"/>
    <n v="4904"/>
    <n v="10880"/>
    <n v="453.33333333333331"/>
    <n v="11786"/>
    <n v="491.08333333333331"/>
    <n v="4937.3666666666668"/>
    <n v="4996.0333333333328"/>
  </r>
  <r>
    <x v="9"/>
    <s v="Elizabeth City State University "/>
    <m/>
    <n v="198507"/>
    <x v="11"/>
    <m/>
    <m/>
    <m/>
    <m/>
    <n v="21962"/>
    <n v="23699"/>
    <n v="3072"/>
    <n v="4955"/>
    <n v="25637"/>
    <n v="25694"/>
    <n v="50671"/>
    <n v="1689.0333333333333"/>
    <n v="54348"/>
    <n v="1811.6"/>
    <n v="9"/>
    <n v="434"/>
    <n v="50671"/>
    <n v="54348"/>
    <m/>
    <m/>
    <m/>
    <m/>
    <m/>
    <m/>
    <m/>
    <m/>
    <n v="0"/>
    <n v="0"/>
    <n v="0"/>
    <n v="0"/>
    <m/>
    <m/>
    <n v="0"/>
    <n v="0"/>
    <m/>
    <m/>
    <n v="612"/>
    <n v="629"/>
    <n v="330"/>
    <n v="315"/>
    <n v="636"/>
    <n v="710"/>
    <n v="1578"/>
    <n v="65.75"/>
    <n v="1654"/>
    <n v="68.916666666666671"/>
    <n v="1754.7833333333333"/>
    <n v="1880.5166666666667"/>
  </r>
  <r>
    <x v="9"/>
    <s v="University of North Carolina at Asheville"/>
    <m/>
    <n v="199111"/>
    <x v="11"/>
    <m/>
    <m/>
    <m/>
    <m/>
    <n v="44259"/>
    <n v="41851"/>
    <n v="6609"/>
    <n v="5639"/>
    <n v="45271"/>
    <n v="43472"/>
    <n v="96139"/>
    <n v="3204.6333333333332"/>
    <n v="90962"/>
    <n v="3032.0666666666666"/>
    <n v="0"/>
    <n v="0"/>
    <n v="96139"/>
    <n v="90962"/>
    <m/>
    <m/>
    <m/>
    <m/>
    <m/>
    <m/>
    <m/>
    <m/>
    <n v="0"/>
    <n v="0"/>
    <n v="0"/>
    <n v="0"/>
    <m/>
    <m/>
    <n v="0"/>
    <n v="0"/>
    <m/>
    <m/>
    <n v="51"/>
    <n v="3"/>
    <n v="12"/>
    <n v="0"/>
    <n v="18"/>
    <n v="0"/>
    <n v="81"/>
    <n v="3.375"/>
    <n v="3"/>
    <n v="0.125"/>
    <n v="3208.0083333333332"/>
    <n v="3032.1916666666666"/>
  </r>
  <r>
    <x v="9"/>
    <s v="University of North Carolina School of the Arts"/>
    <m/>
    <n v="199184"/>
    <x v="10"/>
    <m/>
    <m/>
    <m/>
    <m/>
    <n v="13093"/>
    <n v="12762"/>
    <n v="294"/>
    <n v="222"/>
    <n v="13331"/>
    <n v="13662"/>
    <n v="26718"/>
    <n v="890.6"/>
    <n v="26646"/>
    <n v="888.2"/>
    <n v="0"/>
    <n v="0"/>
    <n v="26718"/>
    <n v="26646"/>
    <m/>
    <m/>
    <m/>
    <m/>
    <m/>
    <m/>
    <m/>
    <m/>
    <n v="0"/>
    <n v="0"/>
    <n v="0"/>
    <n v="0"/>
    <m/>
    <m/>
    <n v="0"/>
    <n v="0"/>
    <m/>
    <m/>
    <n v="1853"/>
    <n v="1825"/>
    <n v="3"/>
    <n v="3"/>
    <n v="1816"/>
    <n v="2192"/>
    <n v="3672"/>
    <n v="153"/>
    <n v="4020"/>
    <n v="167.5"/>
    <n v="1043.5999999999999"/>
    <n v="1055.7"/>
  </r>
  <r>
    <x v="9"/>
    <s v="Asheville-Buncombe Technical Community College"/>
    <s v="Met the criteria for Two-Year 2 in  2021-22"/>
    <n v="197887"/>
    <x v="5"/>
    <m/>
    <m/>
    <m/>
    <m/>
    <n v="52971"/>
    <n v="50441"/>
    <n v="16404"/>
    <n v="13900"/>
    <n v="56401"/>
    <n v="51588"/>
    <n v="125776"/>
    <n v="4192.5333333333338"/>
    <n v="115929"/>
    <n v="3864.3"/>
    <n v="24412"/>
    <n v="23742"/>
    <n v="125776"/>
    <n v="115929"/>
    <m/>
    <m/>
    <n v="197987"/>
    <n v="169006"/>
    <n v="62087"/>
    <n v="124915"/>
    <n v="135143"/>
    <n v="203662"/>
    <n v="395217"/>
    <n v="439.13"/>
    <n v="497583"/>
    <n v="552.87"/>
    <m/>
    <m/>
    <n v="0"/>
    <n v="0"/>
    <m/>
    <m/>
    <m/>
    <m/>
    <m/>
    <m/>
    <m/>
    <m/>
    <n v="0"/>
    <n v="0"/>
    <n v="0"/>
    <n v="0"/>
    <n v="4631.6633333333339"/>
    <n v="4417.17"/>
  </r>
  <r>
    <x v="9"/>
    <s v="Cape Fear Community College"/>
    <m/>
    <n v="198154"/>
    <x v="5"/>
    <m/>
    <m/>
    <m/>
    <m/>
    <n v="78980"/>
    <n v="76351.5"/>
    <n v="25264.5"/>
    <n v="25140"/>
    <n v="84916"/>
    <n v="85195"/>
    <n v="189160.5"/>
    <n v="6305.35"/>
    <n v="186686.5"/>
    <n v="6222.8833333333332"/>
    <n v="27599"/>
    <n v="26167"/>
    <n v="189160.5"/>
    <n v="186686.5"/>
    <m/>
    <m/>
    <n v="231137"/>
    <n v="223738"/>
    <n v="74560"/>
    <n v="164509"/>
    <n v="248246"/>
    <n v="313873"/>
    <n v="553943"/>
    <n v="615.49222222222227"/>
    <n v="702120"/>
    <n v="780.13333333333333"/>
    <m/>
    <m/>
    <n v="0"/>
    <n v="0"/>
    <m/>
    <m/>
    <m/>
    <m/>
    <m/>
    <m/>
    <m/>
    <m/>
    <n v="0"/>
    <n v="0"/>
    <n v="0"/>
    <n v="0"/>
    <n v="6920.8422222222225"/>
    <n v="7003.0166666666664"/>
  </r>
  <r>
    <x v="9"/>
    <s v="Central Piedmont Community College "/>
    <m/>
    <n v="198260"/>
    <x v="5"/>
    <m/>
    <m/>
    <m/>
    <m/>
    <n v="166754"/>
    <n v="157593"/>
    <n v="51271.5"/>
    <n v="45907.5"/>
    <n v="165091"/>
    <n v="164625"/>
    <n v="383116.5"/>
    <n v="12770.55"/>
    <n v="368125.5"/>
    <n v="12270.85"/>
    <n v="45420"/>
    <n v="45812.5"/>
    <n v="383116.5"/>
    <n v="368125.5"/>
    <m/>
    <m/>
    <n v="356816"/>
    <n v="380747"/>
    <n v="179451"/>
    <n v="235004"/>
    <n v="360847"/>
    <n v="495440"/>
    <n v="897114"/>
    <n v="996.79333333333329"/>
    <n v="1111191"/>
    <n v="1234.6566666666668"/>
    <m/>
    <m/>
    <n v="0"/>
    <n v="0"/>
    <m/>
    <m/>
    <m/>
    <m/>
    <m/>
    <m/>
    <m/>
    <m/>
    <n v="0"/>
    <n v="0"/>
    <n v="0"/>
    <n v="0"/>
    <n v="13767.343333333332"/>
    <n v="13505.506666666668"/>
  </r>
  <r>
    <x v="9"/>
    <s v="Fayetteville Technical Community College"/>
    <m/>
    <n v="198534"/>
    <x v="5"/>
    <m/>
    <m/>
    <m/>
    <m/>
    <n v="104333"/>
    <n v="90022"/>
    <n v="33835"/>
    <n v="30346"/>
    <n v="101114"/>
    <n v="92978"/>
    <n v="239282"/>
    <n v="7976.0666666666666"/>
    <n v="213346"/>
    <n v="7111.5333333333338"/>
    <n v="21290"/>
    <n v="17551"/>
    <n v="239282"/>
    <n v="213346"/>
    <m/>
    <m/>
    <n v="750212"/>
    <n v="695287"/>
    <n v="439923"/>
    <n v="499682"/>
    <n v="752533"/>
    <n v="938231"/>
    <n v="1942668"/>
    <n v="2158.52"/>
    <n v="2133200"/>
    <n v="2370.2222222222222"/>
    <m/>
    <m/>
    <n v="0"/>
    <n v="0"/>
    <m/>
    <m/>
    <m/>
    <m/>
    <m/>
    <m/>
    <m/>
    <m/>
    <n v="0"/>
    <n v="0"/>
    <n v="0"/>
    <n v="0"/>
    <n v="10134.586666666666"/>
    <n v="9481.7555555555555"/>
  </r>
  <r>
    <x v="9"/>
    <s v="Forsyth Technical Community College"/>
    <m/>
    <n v="198552"/>
    <x v="5"/>
    <m/>
    <m/>
    <m/>
    <m/>
    <n v="66978"/>
    <n v="62251"/>
    <n v="26268"/>
    <n v="22485"/>
    <n v="70109"/>
    <n v="71026"/>
    <n v="163355"/>
    <n v="5445.166666666667"/>
    <n v="155762"/>
    <n v="5192.0666666666666"/>
    <n v="16202"/>
    <n v="15537"/>
    <n v="163355"/>
    <n v="155762"/>
    <m/>
    <m/>
    <n v="161162"/>
    <n v="155598"/>
    <n v="110897"/>
    <n v="109648"/>
    <n v="156381"/>
    <n v="193851"/>
    <n v="428440"/>
    <n v="476.04444444444442"/>
    <n v="459097"/>
    <n v="510.10777777777776"/>
    <m/>
    <m/>
    <n v="0"/>
    <n v="0"/>
    <m/>
    <m/>
    <m/>
    <m/>
    <m/>
    <m/>
    <m/>
    <m/>
    <n v="0"/>
    <n v="0"/>
    <n v="0"/>
    <n v="0"/>
    <n v="5921.2111111111117"/>
    <n v="5702.1744444444448"/>
  </r>
  <r>
    <x v="9"/>
    <s v="Guilford Technical Community College"/>
    <m/>
    <n v="198622"/>
    <x v="5"/>
    <m/>
    <m/>
    <m/>
    <m/>
    <n v="95481.5"/>
    <n v="86322.5"/>
    <n v="29489"/>
    <n v="26463.5"/>
    <n v="102535"/>
    <n v="93806.5"/>
    <n v="227505.5"/>
    <n v="7583.5166666666664"/>
    <n v="206592.5"/>
    <n v="6886.416666666667"/>
    <n v="22322"/>
    <n v="21590"/>
    <n v="227505.5"/>
    <n v="206592.5"/>
    <m/>
    <m/>
    <n v="289216"/>
    <n v="275873"/>
    <n v="135860"/>
    <n v="213623"/>
    <n v="254166"/>
    <n v="382435"/>
    <n v="679242"/>
    <n v="754.71333333333337"/>
    <n v="871931"/>
    <n v="968.8122222222222"/>
    <m/>
    <m/>
    <n v="0"/>
    <n v="0"/>
    <m/>
    <m/>
    <m/>
    <m/>
    <m/>
    <m/>
    <m/>
    <m/>
    <n v="0"/>
    <n v="0"/>
    <n v="0"/>
    <n v="0"/>
    <n v="8338.23"/>
    <n v="7855.2288888888888"/>
  </r>
  <r>
    <x v="9"/>
    <s v="Pitt Community College"/>
    <m/>
    <n v="199333"/>
    <x v="5"/>
    <m/>
    <m/>
    <m/>
    <m/>
    <n v="75221"/>
    <n v="61969"/>
    <n v="25297"/>
    <n v="21766"/>
    <n v="70867"/>
    <n v="66836"/>
    <n v="171385"/>
    <n v="5712.833333333333"/>
    <n v="150571"/>
    <n v="5019.0333333333338"/>
    <n v="20192"/>
    <n v="18501"/>
    <n v="171385"/>
    <n v="150571"/>
    <m/>
    <m/>
    <n v="142069"/>
    <n v="160921"/>
    <n v="110182"/>
    <n v="114409"/>
    <n v="166730"/>
    <n v="169421"/>
    <n v="418981"/>
    <n v="465.53444444444443"/>
    <n v="444751"/>
    <n v="494.16777777777776"/>
    <m/>
    <m/>
    <n v="0"/>
    <n v="0"/>
    <m/>
    <m/>
    <m/>
    <m/>
    <m/>
    <m/>
    <m/>
    <m/>
    <n v="0"/>
    <n v="0"/>
    <n v="0"/>
    <n v="0"/>
    <n v="6178.3677777777775"/>
    <n v="5513.2011111111115"/>
  </r>
  <r>
    <x v="9"/>
    <s v="Rowan-Cabarrus Community College"/>
    <s v="Met the criteria for Two-Year 2 in  2021-22"/>
    <n v="199494"/>
    <x v="5"/>
    <m/>
    <m/>
    <m/>
    <m/>
    <n v="55755"/>
    <n v="50638"/>
    <n v="14869"/>
    <n v="14750.6"/>
    <n v="59579"/>
    <n v="56780.4"/>
    <n v="130203"/>
    <n v="4340.1000000000004"/>
    <n v="122169"/>
    <n v="4072.3"/>
    <n v="34082"/>
    <n v="30611"/>
    <n v="130203"/>
    <n v="122169"/>
    <m/>
    <m/>
    <n v="242445"/>
    <n v="260745"/>
    <n v="133843"/>
    <n v="204490"/>
    <n v="319390"/>
    <n v="334400"/>
    <n v="695678"/>
    <n v="772.9755555555555"/>
    <n v="799635"/>
    <n v="888.48333333333335"/>
    <m/>
    <m/>
    <n v="0"/>
    <n v="0"/>
    <m/>
    <m/>
    <m/>
    <m/>
    <m/>
    <m/>
    <m/>
    <m/>
    <n v="0"/>
    <n v="0"/>
    <n v="0"/>
    <n v="0"/>
    <n v="5113.0755555555561"/>
    <n v="4960.7833333333338"/>
  </r>
  <r>
    <x v="9"/>
    <s v="Wake Technical Community College"/>
    <m/>
    <n v="199856"/>
    <x v="5"/>
    <m/>
    <m/>
    <m/>
    <m/>
    <n v="193599"/>
    <n v="188022"/>
    <n v="60890"/>
    <n v="59859"/>
    <n v="206440"/>
    <n v="196924"/>
    <n v="460929"/>
    <n v="15364.3"/>
    <n v="444805"/>
    <n v="14826.833333333334"/>
    <n v="28340"/>
    <n v="31725"/>
    <n v="460929"/>
    <n v="444805"/>
    <m/>
    <m/>
    <n v="645532"/>
    <n v="637952"/>
    <n v="301381"/>
    <n v="444714"/>
    <n v="603078"/>
    <n v="847247"/>
    <n v="1549991"/>
    <n v="1722.2122222222222"/>
    <n v="1929913"/>
    <n v="2144.347777777778"/>
    <m/>
    <m/>
    <n v="0"/>
    <n v="0"/>
    <m/>
    <m/>
    <m/>
    <m/>
    <m/>
    <m/>
    <m/>
    <m/>
    <n v="0"/>
    <n v="0"/>
    <n v="0"/>
    <n v="0"/>
    <n v="17086.51222222222"/>
    <n v="16971.181111111113"/>
  </r>
  <r>
    <x v="9"/>
    <s v="Alamance Community College"/>
    <m/>
    <n v="199786"/>
    <x v="6"/>
    <m/>
    <m/>
    <m/>
    <m/>
    <n v="38193"/>
    <n v="34214"/>
    <n v="10803"/>
    <n v="10415"/>
    <n v="37427.5"/>
    <n v="35989"/>
    <n v="86423.5"/>
    <n v="2880.7833333333333"/>
    <n v="80618"/>
    <n v="2687.2666666666669"/>
    <n v="18997"/>
    <n v="17591"/>
    <n v="86423.5"/>
    <n v="80618"/>
    <m/>
    <m/>
    <n v="160922"/>
    <n v="163338"/>
    <n v="90661"/>
    <n v="130900"/>
    <n v="199375"/>
    <n v="199431"/>
    <n v="450958"/>
    <n v="501.06444444444446"/>
    <n v="493669"/>
    <n v="548.52111111111117"/>
    <m/>
    <m/>
    <n v="0"/>
    <n v="0"/>
    <m/>
    <m/>
    <m/>
    <m/>
    <m/>
    <m/>
    <m/>
    <m/>
    <n v="0"/>
    <n v="0"/>
    <n v="0"/>
    <n v="0"/>
    <n v="3381.847777777778"/>
    <n v="3235.787777777778"/>
  </r>
  <r>
    <x v="9"/>
    <s v="Caldwell Community College &amp; Technical Institute"/>
    <m/>
    <n v="198118"/>
    <x v="6"/>
    <m/>
    <m/>
    <m/>
    <m/>
    <n v="32473"/>
    <n v="32020"/>
    <n v="8103"/>
    <n v="7967"/>
    <n v="36768"/>
    <n v="32012"/>
    <n v="77344"/>
    <n v="2578.1333333333332"/>
    <n v="71999"/>
    <n v="2399.9666666666667"/>
    <n v="20991"/>
    <n v="19753"/>
    <n v="77344"/>
    <n v="71999"/>
    <m/>
    <m/>
    <n v="144511"/>
    <n v="127516"/>
    <n v="78020"/>
    <n v="135331"/>
    <n v="193208"/>
    <n v="221105"/>
    <n v="415739"/>
    <n v="461.93222222222221"/>
    <n v="483952"/>
    <n v="537.72444444444443"/>
    <m/>
    <m/>
    <n v="0"/>
    <n v="0"/>
    <m/>
    <m/>
    <m/>
    <m/>
    <m/>
    <m/>
    <m/>
    <m/>
    <n v="0"/>
    <n v="0"/>
    <n v="0"/>
    <n v="0"/>
    <n v="3040.0655555555554"/>
    <n v="2937.6911111111112"/>
  </r>
  <r>
    <x v="9"/>
    <s v="Catawba Valley Community College"/>
    <m/>
    <n v="198233"/>
    <x v="6"/>
    <m/>
    <m/>
    <m/>
    <m/>
    <n v="42501"/>
    <n v="37750"/>
    <n v="9680"/>
    <n v="8869"/>
    <n v="42449"/>
    <n v="41529"/>
    <n v="94630"/>
    <n v="3154.3333333333335"/>
    <n v="88148"/>
    <n v="2938.2666666666669"/>
    <n v="23155"/>
    <n v="20832"/>
    <n v="94630"/>
    <n v="88148"/>
    <m/>
    <m/>
    <n v="147723"/>
    <n v="146951"/>
    <n v="90901"/>
    <n v="130250"/>
    <n v="123661"/>
    <n v="208730"/>
    <n v="362285"/>
    <n v="402.53888888888889"/>
    <n v="485931"/>
    <n v="539.92333333333329"/>
    <m/>
    <m/>
    <n v="0"/>
    <n v="0"/>
    <m/>
    <m/>
    <m/>
    <m/>
    <m/>
    <m/>
    <m/>
    <m/>
    <n v="0"/>
    <n v="0"/>
    <n v="0"/>
    <n v="0"/>
    <n v="3556.8722222222223"/>
    <n v="3478.19"/>
  </r>
  <r>
    <x v="9"/>
    <s v="Central Carolina Commuity College"/>
    <m/>
    <n v="198251"/>
    <x v="6"/>
    <m/>
    <m/>
    <m/>
    <m/>
    <n v="49765"/>
    <n v="44145"/>
    <n v="9641"/>
    <n v="9265"/>
    <n v="50383"/>
    <n v="46003"/>
    <n v="109789"/>
    <n v="3659.6333333333332"/>
    <n v="99413"/>
    <n v="3313.7666666666669"/>
    <n v="30626"/>
    <n v="26587"/>
    <n v="109789"/>
    <n v="99413"/>
    <m/>
    <m/>
    <n v="206879"/>
    <n v="175981"/>
    <n v="55568"/>
    <n v="123677"/>
    <n v="148443"/>
    <n v="241809"/>
    <n v="410890"/>
    <n v="456.54444444444442"/>
    <n v="541467"/>
    <n v="601.63"/>
    <m/>
    <m/>
    <n v="0"/>
    <n v="0"/>
    <m/>
    <m/>
    <m/>
    <m/>
    <m/>
    <m/>
    <m/>
    <m/>
    <n v="0"/>
    <n v="0"/>
    <n v="0"/>
    <n v="0"/>
    <n v="4116.1777777777779"/>
    <n v="3915.396666666667"/>
  </r>
  <r>
    <x v="9"/>
    <s v="Cleveland Community College"/>
    <m/>
    <n v="198321"/>
    <x v="6"/>
    <m/>
    <m/>
    <m/>
    <m/>
    <n v="23419"/>
    <n v="20049"/>
    <n v="6681"/>
    <n v="5931"/>
    <n v="23486"/>
    <n v="25517"/>
    <n v="53586"/>
    <n v="1786.2"/>
    <n v="51497"/>
    <n v="1716.5666666666666"/>
    <n v="8925"/>
    <n v="10191"/>
    <n v="53586"/>
    <n v="51497"/>
    <m/>
    <m/>
    <n v="135304"/>
    <n v="130043"/>
    <n v="84510"/>
    <n v="94265"/>
    <n v="158802"/>
    <n v="166437"/>
    <n v="378616"/>
    <n v="420.68444444444447"/>
    <n v="390745"/>
    <n v="434.1611111111111"/>
    <m/>
    <m/>
    <n v="0"/>
    <n v="0"/>
    <m/>
    <m/>
    <m/>
    <m/>
    <m/>
    <m/>
    <m/>
    <m/>
    <n v="0"/>
    <n v="0"/>
    <n v="0"/>
    <n v="0"/>
    <n v="2206.8844444444444"/>
    <n v="2150.7277777777776"/>
  </r>
  <r>
    <x v="9"/>
    <s v="Coastal Carolina Community College "/>
    <m/>
    <n v="198330"/>
    <x v="6"/>
    <m/>
    <m/>
    <m/>
    <m/>
    <n v="37420"/>
    <n v="34401"/>
    <n v="14020"/>
    <n v="13436"/>
    <n v="36383"/>
    <n v="35805"/>
    <n v="87823"/>
    <n v="2927.4333333333334"/>
    <n v="83642"/>
    <n v="2788.0666666666666"/>
    <n v="6965"/>
    <n v="8619"/>
    <n v="87823"/>
    <n v="83642"/>
    <m/>
    <m/>
    <n v="127907"/>
    <n v="133942"/>
    <n v="105324"/>
    <n v="123630"/>
    <n v="160242"/>
    <n v="169757"/>
    <n v="393473"/>
    <n v="437.1922222222222"/>
    <n v="427329"/>
    <n v="474.81"/>
    <m/>
    <m/>
    <n v="0"/>
    <n v="0"/>
    <m/>
    <m/>
    <m/>
    <m/>
    <m/>
    <m/>
    <m/>
    <m/>
    <n v="0"/>
    <n v="0"/>
    <n v="0"/>
    <n v="0"/>
    <n v="3364.6255555555554"/>
    <n v="3262.8766666666666"/>
  </r>
  <r>
    <x v="9"/>
    <s v="Craven Community College "/>
    <m/>
    <n v="198367"/>
    <x v="6"/>
    <m/>
    <m/>
    <m/>
    <m/>
    <n v="25928"/>
    <n v="22775"/>
    <n v="7329"/>
    <n v="6745"/>
    <n v="25101"/>
    <n v="23915"/>
    <n v="58358"/>
    <n v="1945.2666666666667"/>
    <n v="53435"/>
    <n v="1781.1666666666667"/>
    <n v="12139"/>
    <n v="11415"/>
    <n v="58358"/>
    <n v="53435"/>
    <m/>
    <m/>
    <n v="116163"/>
    <n v="104567"/>
    <n v="97566"/>
    <n v="93940"/>
    <n v="131897"/>
    <n v="149852"/>
    <n v="345626"/>
    <n v="384.0288888888889"/>
    <n v="348359"/>
    <n v="387.06555555555553"/>
    <m/>
    <m/>
    <n v="0"/>
    <n v="0"/>
    <m/>
    <m/>
    <m/>
    <m/>
    <m/>
    <m/>
    <m/>
    <m/>
    <n v="0"/>
    <n v="0"/>
    <n v="0"/>
    <n v="0"/>
    <n v="2329.2955555555554"/>
    <n v="2168.2322222222224"/>
  </r>
  <r>
    <x v="9"/>
    <s v="Davidson-Davie Community College"/>
    <s v="Met the criteria for Two-Year 1 in  2021-22"/>
    <n v="198376"/>
    <x v="6"/>
    <m/>
    <m/>
    <m/>
    <m/>
    <n v="32227"/>
    <n v="64818"/>
    <n v="7864"/>
    <n v="15054"/>
    <n v="36661"/>
    <n v="70040"/>
    <n v="76752"/>
    <n v="2558.4"/>
    <n v="149912"/>
    <n v="4997.0666666666666"/>
    <n v="18473"/>
    <n v="34830"/>
    <n v="76752"/>
    <n v="149912"/>
    <m/>
    <m/>
    <n v="108232"/>
    <n v="300786"/>
    <n v="61383"/>
    <n v="164942"/>
    <n v="146469"/>
    <n v="322998"/>
    <n v="316084"/>
    <n v="351.20444444444445"/>
    <n v="788726"/>
    <n v="876.36222222222227"/>
    <m/>
    <m/>
    <n v="0"/>
    <n v="0"/>
    <m/>
    <m/>
    <m/>
    <m/>
    <m/>
    <m/>
    <m/>
    <m/>
    <n v="0"/>
    <n v="0"/>
    <n v="0"/>
    <n v="0"/>
    <n v="2909.6044444444447"/>
    <n v="5873.4288888888887"/>
  </r>
  <r>
    <x v="9"/>
    <s v="Durham Technical Community College"/>
    <m/>
    <n v="198455"/>
    <x v="6"/>
    <m/>
    <m/>
    <m/>
    <m/>
    <n v="46492"/>
    <n v="42257"/>
    <n v="14368"/>
    <n v="14303"/>
    <n v="45250"/>
    <n v="39635"/>
    <n v="106110"/>
    <n v="3537"/>
    <n v="96195"/>
    <n v="3206.5"/>
    <n v="13275"/>
    <n v="11992"/>
    <n v="106110"/>
    <n v="96195"/>
    <m/>
    <m/>
    <n v="162693"/>
    <n v="158219"/>
    <n v="69115"/>
    <n v="136594"/>
    <n v="174799"/>
    <n v="226329"/>
    <n v="406607"/>
    <n v="451.78555555555556"/>
    <n v="521142"/>
    <n v="579.04666666666662"/>
    <m/>
    <m/>
    <n v="0"/>
    <n v="0"/>
    <m/>
    <m/>
    <m/>
    <m/>
    <m/>
    <m/>
    <m/>
    <m/>
    <n v="0"/>
    <n v="0"/>
    <n v="0"/>
    <n v="0"/>
    <n v="3988.7855555555557"/>
    <n v="3785.5466666666666"/>
  </r>
  <r>
    <x v="9"/>
    <s v="Gaston College "/>
    <m/>
    <n v="198570"/>
    <x v="6"/>
    <m/>
    <m/>
    <m/>
    <m/>
    <n v="44501"/>
    <n v="41511"/>
    <n v="16117"/>
    <n v="15147"/>
    <n v="45980"/>
    <n v="44038"/>
    <n v="106598"/>
    <n v="3553.2666666666669"/>
    <n v="100696"/>
    <n v="3356.5333333333333"/>
    <n v="22994"/>
    <n v="25533"/>
    <n v="106598"/>
    <n v="100696"/>
    <m/>
    <m/>
    <n v="104423"/>
    <n v="87156"/>
    <n v="60308"/>
    <n v="92033"/>
    <n v="105440"/>
    <n v="134689"/>
    <n v="270171"/>
    <n v="300.19"/>
    <n v="313878"/>
    <n v="348.75333333333333"/>
    <m/>
    <m/>
    <n v="0"/>
    <n v="0"/>
    <m/>
    <m/>
    <m/>
    <m/>
    <m/>
    <m/>
    <m/>
    <m/>
    <n v="0"/>
    <n v="0"/>
    <n v="0"/>
    <n v="0"/>
    <n v="3853.4566666666669"/>
    <n v="3705.2866666666669"/>
  </r>
  <r>
    <x v="9"/>
    <s v="Johnston Community College"/>
    <m/>
    <n v="198774"/>
    <x v="6"/>
    <m/>
    <m/>
    <m/>
    <m/>
    <n v="36885"/>
    <n v="35590"/>
    <n v="9470"/>
    <n v="9000"/>
    <n v="39730"/>
    <n v="36127"/>
    <n v="86085"/>
    <n v="2869.5"/>
    <n v="80717"/>
    <n v="2690.5666666666666"/>
    <n v="19723"/>
    <n v="19314"/>
    <n v="86085"/>
    <n v="80717"/>
    <m/>
    <m/>
    <n v="97894"/>
    <n v="142211"/>
    <n v="112156"/>
    <n v="86072"/>
    <n v="142881"/>
    <n v="157901"/>
    <n v="352931"/>
    <n v="392.14555555555557"/>
    <n v="386184"/>
    <n v="429.09333333333331"/>
    <m/>
    <m/>
    <n v="0"/>
    <n v="0"/>
    <m/>
    <m/>
    <m/>
    <m/>
    <m/>
    <m/>
    <m/>
    <m/>
    <n v="0"/>
    <n v="0"/>
    <n v="0"/>
    <n v="0"/>
    <n v="3261.6455555555558"/>
    <n v="3119.66"/>
  </r>
  <r>
    <x v="9"/>
    <s v="Lenoir Community College "/>
    <m/>
    <n v="198817"/>
    <x v="6"/>
    <m/>
    <m/>
    <m/>
    <m/>
    <n v="21263"/>
    <n v="19500"/>
    <n v="6856"/>
    <n v="6193"/>
    <n v="23172"/>
    <n v="22935"/>
    <n v="51291"/>
    <n v="1709.7"/>
    <n v="48628"/>
    <n v="1620.9333333333334"/>
    <n v="13474"/>
    <n v="12238"/>
    <n v="51291"/>
    <n v="48628"/>
    <m/>
    <m/>
    <n v="469211"/>
    <n v="383729"/>
    <n v="199905"/>
    <n v="223366"/>
    <n v="383076"/>
    <n v="425898"/>
    <n v="1052192"/>
    <n v="1169.1022222222223"/>
    <n v="1032993"/>
    <n v="1147.77"/>
    <m/>
    <m/>
    <n v="0"/>
    <n v="0"/>
    <m/>
    <m/>
    <m/>
    <m/>
    <m/>
    <m/>
    <m/>
    <m/>
    <n v="0"/>
    <n v="0"/>
    <n v="0"/>
    <n v="0"/>
    <n v="2878.8022222222226"/>
    <n v="2768.7033333333334"/>
  </r>
  <r>
    <x v="9"/>
    <s v="Mitchell Community College "/>
    <m/>
    <n v="198987"/>
    <x v="6"/>
    <m/>
    <m/>
    <m/>
    <m/>
    <n v="25868"/>
    <n v="24617.200000000001"/>
    <n v="6864"/>
    <n v="6027"/>
    <n v="27460.799999999999"/>
    <n v="27090"/>
    <n v="60192.800000000003"/>
    <n v="2006.4266666666667"/>
    <n v="57734.2"/>
    <n v="1924.4733333333331"/>
    <n v="15931"/>
    <n v="16736"/>
    <n v="60192.800000000003"/>
    <n v="57734.2"/>
    <m/>
    <m/>
    <n v="45508"/>
    <n v="77924"/>
    <n v="61352"/>
    <n v="77569"/>
    <n v="116334"/>
    <n v="130299"/>
    <n v="223194"/>
    <n v="247.99333333333334"/>
    <n v="285792"/>
    <n v="317.54666666666668"/>
    <m/>
    <m/>
    <n v="0"/>
    <n v="0"/>
    <m/>
    <m/>
    <m/>
    <m/>
    <m/>
    <m/>
    <m/>
    <m/>
    <n v="0"/>
    <n v="0"/>
    <n v="0"/>
    <n v="0"/>
    <n v="2254.42"/>
    <n v="2242.02"/>
  </r>
  <r>
    <x v="9"/>
    <s v="Nash Community College"/>
    <m/>
    <n v="199087"/>
    <x v="6"/>
    <m/>
    <m/>
    <m/>
    <m/>
    <n v="26628"/>
    <n v="22204"/>
    <n v="5772"/>
    <n v="6039"/>
    <n v="23633"/>
    <n v="23953"/>
    <n v="56033"/>
    <n v="1867.7666666666667"/>
    <n v="52196"/>
    <n v="1739.8666666666666"/>
    <n v="12109"/>
    <n v="12404"/>
    <n v="56033"/>
    <n v="52196"/>
    <m/>
    <m/>
    <n v="88034"/>
    <n v="95755"/>
    <n v="68974"/>
    <n v="66395"/>
    <n v="94224"/>
    <n v="112444"/>
    <n v="251232"/>
    <n v="279.14666666666665"/>
    <n v="274594"/>
    <n v="305.10444444444443"/>
    <m/>
    <m/>
    <n v="0"/>
    <n v="0"/>
    <m/>
    <m/>
    <m/>
    <m/>
    <m/>
    <m/>
    <m/>
    <m/>
    <n v="0"/>
    <n v="0"/>
    <n v="0"/>
    <n v="0"/>
    <n v="2146.9133333333334"/>
    <n v="2044.971111111111"/>
  </r>
  <r>
    <x v="9"/>
    <s v="Randolph Community College"/>
    <s v="Met the criteria for Two-Year 3 in  2021-22"/>
    <n v="199421"/>
    <x v="6"/>
    <m/>
    <m/>
    <m/>
    <m/>
    <n v="24067"/>
    <n v="21408"/>
    <n v="5759"/>
    <n v="5250.6"/>
    <n v="23317"/>
    <n v="21088.1"/>
    <n v="53143"/>
    <n v="1771.4333333333334"/>
    <n v="47746.7"/>
    <n v="1591.5566666666666"/>
    <n v="15007"/>
    <n v="12892.1"/>
    <n v="53143"/>
    <n v="47746.7"/>
    <m/>
    <m/>
    <n v="119407"/>
    <n v="126282"/>
    <n v="67788"/>
    <n v="63310"/>
    <n v="135564"/>
    <n v="141600"/>
    <n v="322759"/>
    <n v="358.62111111111113"/>
    <n v="331192"/>
    <n v="367.99111111111114"/>
    <m/>
    <m/>
    <n v="0"/>
    <n v="0"/>
    <m/>
    <m/>
    <m/>
    <m/>
    <m/>
    <m/>
    <m/>
    <m/>
    <n v="0"/>
    <n v="0"/>
    <n v="0"/>
    <n v="0"/>
    <n v="2130.0544444444445"/>
    <n v="1959.5477777777778"/>
  </r>
  <r>
    <x v="9"/>
    <s v="Richmond Community College"/>
    <s v="Met the criteria for Two-Year 3 in  2021-22"/>
    <n v="199449"/>
    <x v="6"/>
    <m/>
    <m/>
    <m/>
    <m/>
    <n v="21215.5"/>
    <n v="19976"/>
    <n v="5658"/>
    <n v="5453"/>
    <n v="21125"/>
    <n v="20030"/>
    <n v="47998.5"/>
    <n v="1599.95"/>
    <n v="45459"/>
    <n v="1515.3"/>
    <n v="14377.5"/>
    <n v="13813"/>
    <n v="47998.5"/>
    <n v="45459"/>
    <m/>
    <m/>
    <n v="149337"/>
    <n v="87573"/>
    <n v="73004"/>
    <n v="144062"/>
    <n v="156330"/>
    <n v="157661"/>
    <n v="378671"/>
    <n v="420.74555555555554"/>
    <n v="389296"/>
    <n v="432.55111111111108"/>
    <m/>
    <m/>
    <n v="0"/>
    <n v="0"/>
    <m/>
    <m/>
    <m/>
    <m/>
    <m/>
    <m/>
    <m/>
    <m/>
    <n v="0"/>
    <n v="0"/>
    <n v="0"/>
    <n v="0"/>
    <n v="2020.6955555555555"/>
    <n v="1947.8511111111111"/>
  </r>
  <r>
    <x v="9"/>
    <s v="Sandhills Community College "/>
    <m/>
    <n v="199634"/>
    <x v="6"/>
    <m/>
    <m/>
    <m/>
    <m/>
    <n v="36297"/>
    <n v="33035"/>
    <n v="11379"/>
    <n v="10293"/>
    <n v="35549"/>
    <n v="34655"/>
    <n v="83225"/>
    <n v="2774.1666666666665"/>
    <n v="77983"/>
    <n v="2599.4333333333334"/>
    <n v="17868"/>
    <n v="16260"/>
    <n v="83225"/>
    <n v="77983"/>
    <m/>
    <m/>
    <n v="124591"/>
    <n v="112824"/>
    <n v="75037"/>
    <n v="92242"/>
    <n v="122591"/>
    <n v="143854"/>
    <n v="322219"/>
    <n v="358.02111111111111"/>
    <n v="348920"/>
    <n v="387.68888888888887"/>
    <m/>
    <m/>
    <n v="0"/>
    <n v="0"/>
    <m/>
    <m/>
    <m/>
    <m/>
    <m/>
    <m/>
    <m/>
    <m/>
    <n v="0"/>
    <n v="0"/>
    <n v="0"/>
    <n v="0"/>
    <n v="3132.1877777777777"/>
    <n v="2987.1222222222223"/>
  </r>
  <r>
    <x v="9"/>
    <s v="South Piedmont Community College"/>
    <m/>
    <n v="197850"/>
    <x v="6"/>
    <m/>
    <m/>
    <m/>
    <m/>
    <n v="22449"/>
    <n v="22011"/>
    <n v="5482"/>
    <n v="5682"/>
    <n v="23675"/>
    <n v="23916"/>
    <n v="51606"/>
    <n v="1720.2"/>
    <n v="51609"/>
    <n v="1720.3"/>
    <n v="21593"/>
    <n v="19509"/>
    <n v="51606"/>
    <n v="51609"/>
    <m/>
    <m/>
    <n v="165595"/>
    <n v="155012"/>
    <n v="104372"/>
    <n v="106353"/>
    <n v="186417"/>
    <n v="175153"/>
    <n v="456384"/>
    <n v="507.09333333333331"/>
    <n v="436518"/>
    <n v="485.02"/>
    <m/>
    <m/>
    <n v="0"/>
    <n v="0"/>
    <m/>
    <m/>
    <m/>
    <m/>
    <m/>
    <m/>
    <m/>
    <m/>
    <n v="0"/>
    <n v="0"/>
    <n v="0"/>
    <n v="0"/>
    <n v="2227.2933333333335"/>
    <n v="2205.3199999999997"/>
  </r>
  <r>
    <x v="9"/>
    <s v="Stanly Community College"/>
    <s v="Met the criteria for Two-Year 3 in  2021-22"/>
    <n v="199740"/>
    <x v="6"/>
    <m/>
    <m/>
    <m/>
    <m/>
    <n v="20340"/>
    <n v="18934"/>
    <n v="6245"/>
    <n v="6005"/>
    <n v="21729"/>
    <n v="20001"/>
    <n v="48314"/>
    <n v="1610.4666666666667"/>
    <n v="44940"/>
    <n v="1498"/>
    <n v="9776"/>
    <n v="9284"/>
    <n v="48314"/>
    <n v="44940"/>
    <m/>
    <m/>
    <n v="178692"/>
    <n v="160691"/>
    <n v="76853"/>
    <n v="94947"/>
    <n v="169719"/>
    <n v="167219"/>
    <n v="425264"/>
    <n v="472.51555555555558"/>
    <n v="422857"/>
    <n v="469.8411111111111"/>
    <m/>
    <m/>
    <n v="0"/>
    <n v="0"/>
    <m/>
    <m/>
    <m/>
    <m/>
    <m/>
    <m/>
    <m/>
    <m/>
    <n v="0"/>
    <n v="0"/>
    <n v="0"/>
    <n v="0"/>
    <n v="2082.9822222222224"/>
    <n v="1967.8411111111111"/>
  </r>
  <r>
    <x v="9"/>
    <s v="Surry Community College "/>
    <m/>
    <n v="199768"/>
    <x v="6"/>
    <m/>
    <m/>
    <m/>
    <m/>
    <n v="28354"/>
    <n v="25465"/>
    <n v="6105"/>
    <n v="5852"/>
    <n v="29348"/>
    <n v="26135"/>
    <n v="63807"/>
    <n v="2126.9"/>
    <n v="57452"/>
    <n v="1915.0666666666666"/>
    <n v="18623"/>
    <n v="16905"/>
    <n v="63807"/>
    <n v="57452"/>
    <m/>
    <m/>
    <n v="98114"/>
    <n v="99017"/>
    <n v="58414"/>
    <n v="73582"/>
    <n v="105255"/>
    <n v="140708"/>
    <n v="261783"/>
    <n v="290.87"/>
    <n v="313307"/>
    <n v="348.11888888888888"/>
    <m/>
    <m/>
    <n v="0"/>
    <n v="0"/>
    <m/>
    <m/>
    <m/>
    <m/>
    <m/>
    <m/>
    <m/>
    <m/>
    <n v="0"/>
    <n v="0"/>
    <n v="0"/>
    <n v="0"/>
    <n v="2417.77"/>
    <n v="2263.1855555555553"/>
  </r>
  <r>
    <x v="9"/>
    <s v="Vance-Granville Community College "/>
    <m/>
    <n v="199838"/>
    <x v="6"/>
    <m/>
    <m/>
    <m/>
    <m/>
    <n v="25208"/>
    <n v="22513"/>
    <n v="6710"/>
    <n v="6043"/>
    <n v="25676"/>
    <n v="23984"/>
    <n v="57594"/>
    <n v="1919.8"/>
    <n v="52540"/>
    <n v="1751.3333333333333"/>
    <n v="16015"/>
    <n v="15094"/>
    <n v="57594"/>
    <n v="52540"/>
    <m/>
    <m/>
    <n v="116554"/>
    <n v="96065"/>
    <n v="43951"/>
    <n v="70180"/>
    <n v="119489"/>
    <n v="117346"/>
    <n v="279994"/>
    <n v="311.10444444444443"/>
    <n v="283591"/>
    <n v="315.10111111111109"/>
    <m/>
    <m/>
    <n v="0"/>
    <n v="0"/>
    <m/>
    <m/>
    <m/>
    <m/>
    <m/>
    <m/>
    <m/>
    <m/>
    <n v="0"/>
    <n v="0"/>
    <n v="0"/>
    <n v="0"/>
    <n v="2230.9044444444444"/>
    <n v="2066.4344444444441"/>
  </r>
  <r>
    <x v="9"/>
    <s v="Wayne Community College"/>
    <m/>
    <n v="199892"/>
    <x v="6"/>
    <m/>
    <m/>
    <m/>
    <m/>
    <n v="29647"/>
    <n v="26543"/>
    <n v="10209"/>
    <n v="9224"/>
    <n v="29159"/>
    <n v="27651"/>
    <n v="69015"/>
    <n v="2300.5"/>
    <n v="63418"/>
    <n v="2113.9333333333334"/>
    <n v="11072"/>
    <n v="9784"/>
    <n v="69015"/>
    <n v="63418"/>
    <m/>
    <m/>
    <n v="115650"/>
    <n v="114055"/>
    <n v="41313"/>
    <n v="82680"/>
    <n v="89156"/>
    <n v="114303"/>
    <n v="246119"/>
    <n v="273.46555555555557"/>
    <n v="311038"/>
    <n v="345.59777777777776"/>
    <m/>
    <m/>
    <n v="0"/>
    <n v="0"/>
    <m/>
    <m/>
    <m/>
    <m/>
    <m/>
    <m/>
    <m/>
    <m/>
    <n v="0"/>
    <n v="0"/>
    <n v="0"/>
    <n v="0"/>
    <n v="2573.9655555555555"/>
    <n v="2459.5311111111114"/>
  </r>
  <r>
    <x v="9"/>
    <s v="Wilkes Community College "/>
    <m/>
    <n v="199926"/>
    <x v="6"/>
    <m/>
    <m/>
    <m/>
    <m/>
    <n v="24135"/>
    <n v="20374"/>
    <n v="5171"/>
    <n v="4652"/>
    <n v="24048"/>
    <n v="22858"/>
    <n v="53354"/>
    <n v="1778.4666666666667"/>
    <n v="47884"/>
    <n v="1596.1333333333334"/>
    <n v="13955"/>
    <n v="13038"/>
    <n v="53354"/>
    <n v="47884"/>
    <m/>
    <m/>
    <n v="102177"/>
    <n v="96590"/>
    <n v="43914"/>
    <n v="73861"/>
    <n v="92856"/>
    <n v="115703"/>
    <n v="238947"/>
    <n v="265.49666666666667"/>
    <n v="286154"/>
    <n v="317.94888888888892"/>
    <m/>
    <m/>
    <n v="0"/>
    <n v="0"/>
    <m/>
    <m/>
    <m/>
    <m/>
    <m/>
    <m/>
    <m/>
    <m/>
    <n v="0"/>
    <n v="0"/>
    <n v="0"/>
    <n v="0"/>
    <n v="2043.9633333333334"/>
    <n v="1914.0822222222223"/>
  </r>
  <r>
    <x v="9"/>
    <s v="Beaufort County Community College "/>
    <m/>
    <n v="197966"/>
    <x v="7"/>
    <m/>
    <m/>
    <m/>
    <m/>
    <n v="14040"/>
    <n v="12605"/>
    <n v="3187"/>
    <n v="3007"/>
    <n v="13100"/>
    <n v="16403"/>
    <n v="30327"/>
    <n v="1010.9"/>
    <n v="32015"/>
    <n v="1067.1666666666667"/>
    <n v="11008"/>
    <n v="11157"/>
    <n v="30327"/>
    <n v="32015"/>
    <m/>
    <m/>
    <n v="76361"/>
    <n v="98928"/>
    <n v="31315"/>
    <n v="49822"/>
    <n v="62347"/>
    <n v="92336"/>
    <n v="170023"/>
    <n v="188.91444444444446"/>
    <n v="241086"/>
    <n v="267.87333333333333"/>
    <m/>
    <m/>
    <n v="0"/>
    <n v="0"/>
    <m/>
    <m/>
    <m/>
    <m/>
    <m/>
    <m/>
    <m/>
    <m/>
    <n v="0"/>
    <n v="0"/>
    <n v="0"/>
    <n v="0"/>
    <n v="1199.8144444444445"/>
    <n v="1335.04"/>
  </r>
  <r>
    <x v="9"/>
    <s v="Bladen Community College"/>
    <m/>
    <n v="198011"/>
    <x v="7"/>
    <m/>
    <m/>
    <m/>
    <m/>
    <n v="11007"/>
    <n v="9600"/>
    <n v="3049"/>
    <n v="2861"/>
    <n v="11122"/>
    <n v="11737"/>
    <n v="25178"/>
    <n v="839.26666666666665"/>
    <n v="24198"/>
    <n v="806.6"/>
    <n v="7121"/>
    <n v="6910"/>
    <n v="25178"/>
    <n v="24198"/>
    <m/>
    <m/>
    <n v="46628"/>
    <n v="45866"/>
    <n v="26715"/>
    <n v="26934"/>
    <n v="46528"/>
    <n v="56629"/>
    <n v="119871"/>
    <n v="133.19"/>
    <n v="129429"/>
    <n v="143.81"/>
    <m/>
    <m/>
    <n v="0"/>
    <n v="0"/>
    <m/>
    <m/>
    <m/>
    <m/>
    <m/>
    <m/>
    <m/>
    <m/>
    <n v="0"/>
    <n v="0"/>
    <n v="0"/>
    <n v="0"/>
    <n v="972.45666666666671"/>
    <n v="950.41000000000008"/>
  </r>
  <r>
    <x v="9"/>
    <s v="Blue Ridge Community College"/>
    <m/>
    <n v="198039"/>
    <x v="7"/>
    <m/>
    <m/>
    <m/>
    <m/>
    <n v="19551"/>
    <n v="19128"/>
    <n v="5563"/>
    <n v="5506"/>
    <n v="20823"/>
    <n v="23079"/>
    <n v="45937"/>
    <n v="1531.2333333333333"/>
    <n v="47713"/>
    <n v="1590.4333333333334"/>
    <n v="9859"/>
    <n v="9970"/>
    <n v="45937"/>
    <n v="47713"/>
    <m/>
    <m/>
    <n v="104786"/>
    <n v="105341"/>
    <n v="72045"/>
    <n v="95052"/>
    <n v="112368"/>
    <n v="129625"/>
    <n v="289199"/>
    <n v="321.33222222222224"/>
    <n v="330018"/>
    <n v="366.68666666666667"/>
    <m/>
    <m/>
    <n v="0"/>
    <n v="0"/>
    <m/>
    <m/>
    <m/>
    <m/>
    <m/>
    <m/>
    <m/>
    <m/>
    <n v="0"/>
    <n v="0"/>
    <n v="0"/>
    <n v="0"/>
    <n v="1852.5655555555556"/>
    <n v="1957.1200000000001"/>
  </r>
  <r>
    <x v="9"/>
    <s v="Brunswick Community College"/>
    <m/>
    <n v="198084"/>
    <x v="7"/>
    <m/>
    <m/>
    <m/>
    <m/>
    <n v="14458"/>
    <n v="14667"/>
    <n v="3010"/>
    <n v="3400"/>
    <n v="15746"/>
    <n v="16560"/>
    <n v="33214"/>
    <n v="1107.1333333333334"/>
    <n v="34627"/>
    <n v="1154.2333333333333"/>
    <n v="8923"/>
    <n v="9069"/>
    <n v="33214"/>
    <n v="34627"/>
    <m/>
    <m/>
    <n v="112726"/>
    <n v="120666"/>
    <n v="29097"/>
    <n v="64571"/>
    <n v="87635"/>
    <n v="139893"/>
    <n v="229458"/>
    <n v="254.95333333333335"/>
    <n v="325130"/>
    <n v="361.25555555555553"/>
    <m/>
    <m/>
    <n v="0"/>
    <n v="0"/>
    <m/>
    <m/>
    <m/>
    <m/>
    <m/>
    <m/>
    <m/>
    <m/>
    <n v="0"/>
    <n v="0"/>
    <n v="0"/>
    <n v="0"/>
    <n v="1362.0866666666668"/>
    <n v="1515.4888888888888"/>
  </r>
  <r>
    <x v="9"/>
    <s v="Carteret Community College"/>
    <m/>
    <n v="198206"/>
    <x v="7"/>
    <m/>
    <m/>
    <m/>
    <m/>
    <n v="13274.5"/>
    <n v="11983"/>
    <n v="3030"/>
    <n v="3184"/>
    <n v="13024"/>
    <n v="15913"/>
    <n v="29328.5"/>
    <n v="977.61666666666667"/>
    <n v="31080"/>
    <n v="1036"/>
    <n v="4951"/>
    <n v="4359"/>
    <n v="29328.5"/>
    <n v="31080"/>
    <m/>
    <m/>
    <n v="86927"/>
    <n v="83103"/>
    <n v="27585"/>
    <n v="50014"/>
    <n v="77078"/>
    <n v="107982"/>
    <n v="191590"/>
    <n v="212.87777777777777"/>
    <n v="241099"/>
    <n v="267.88777777777779"/>
    <m/>
    <m/>
    <n v="0"/>
    <n v="0"/>
    <m/>
    <m/>
    <m/>
    <m/>
    <m/>
    <m/>
    <m/>
    <m/>
    <n v="0"/>
    <n v="0"/>
    <n v="0"/>
    <n v="0"/>
    <n v="1190.4944444444445"/>
    <n v="1303.8877777777777"/>
  </r>
  <r>
    <x v="9"/>
    <s v="College of The Albemarle"/>
    <m/>
    <n v="197814"/>
    <x v="7"/>
    <m/>
    <m/>
    <m/>
    <m/>
    <n v="23073"/>
    <n v="21868"/>
    <n v="5724"/>
    <n v="5578"/>
    <n v="23783"/>
    <n v="22825"/>
    <n v="52580"/>
    <n v="1752.6666666666667"/>
    <n v="50271"/>
    <n v="1675.7"/>
    <n v="20454"/>
    <n v="19607"/>
    <n v="52580"/>
    <n v="50271"/>
    <m/>
    <m/>
    <n v="47353"/>
    <n v="68758"/>
    <n v="75707"/>
    <n v="67499"/>
    <n v="79283"/>
    <n v="92772"/>
    <n v="202343"/>
    <n v="224.82555555555555"/>
    <n v="229029"/>
    <n v="254.47666666666666"/>
    <m/>
    <m/>
    <n v="0"/>
    <n v="0"/>
    <m/>
    <m/>
    <m/>
    <m/>
    <m/>
    <m/>
    <m/>
    <m/>
    <n v="0"/>
    <n v="0"/>
    <n v="0"/>
    <n v="0"/>
    <n v="1977.4922222222224"/>
    <n v="1930.1766666666667"/>
  </r>
  <r>
    <x v="9"/>
    <s v="Edgecombe Community College"/>
    <m/>
    <n v="198491"/>
    <x v="7"/>
    <m/>
    <m/>
    <m/>
    <m/>
    <n v="16049"/>
    <n v="12533"/>
    <n v="4869"/>
    <n v="4763"/>
    <n v="13587"/>
    <n v="13753"/>
    <n v="34505"/>
    <n v="1150.1666666666667"/>
    <n v="31049"/>
    <n v="1034.9666666666667"/>
    <n v="5640"/>
    <n v="4858"/>
    <n v="34505"/>
    <n v="31049"/>
    <m/>
    <m/>
    <n v="62483"/>
    <n v="70648"/>
    <n v="46493"/>
    <n v="56153"/>
    <n v="72317"/>
    <n v="107406"/>
    <n v="181293"/>
    <n v="201.43666666666667"/>
    <n v="234207"/>
    <n v="260.23"/>
    <m/>
    <m/>
    <n v="0"/>
    <n v="0"/>
    <m/>
    <m/>
    <m/>
    <m/>
    <m/>
    <m/>
    <m/>
    <m/>
    <n v="0"/>
    <n v="0"/>
    <n v="0"/>
    <n v="0"/>
    <n v="1351.6033333333335"/>
    <n v="1295.1966666666667"/>
  </r>
  <r>
    <x v="9"/>
    <s v="Halifax Community College "/>
    <m/>
    <n v="198640"/>
    <x v="7"/>
    <m/>
    <m/>
    <m/>
    <m/>
    <n v="9578"/>
    <n v="7631"/>
    <n v="1785"/>
    <n v="1902"/>
    <n v="8088"/>
    <n v="8493"/>
    <n v="19451"/>
    <n v="648.36666666666667"/>
    <n v="18026"/>
    <n v="600.86666666666667"/>
    <n v="7253"/>
    <n v="7209"/>
    <n v="19451"/>
    <n v="18026"/>
    <m/>
    <m/>
    <n v="60942"/>
    <n v="38350"/>
    <n v="16440"/>
    <n v="33996"/>
    <n v="46401"/>
    <n v="49246"/>
    <n v="123783"/>
    <n v="137.53666666666666"/>
    <n v="121592"/>
    <n v="135.10222222222222"/>
    <m/>
    <m/>
    <n v="0"/>
    <n v="0"/>
    <m/>
    <m/>
    <m/>
    <m/>
    <m/>
    <m/>
    <m/>
    <m/>
    <n v="0"/>
    <n v="0"/>
    <n v="0"/>
    <n v="0"/>
    <n v="785.90333333333331"/>
    <n v="735.96888888888884"/>
  </r>
  <r>
    <x v="9"/>
    <s v="Haywood Community College"/>
    <m/>
    <n v="198668"/>
    <x v="7"/>
    <m/>
    <m/>
    <m/>
    <m/>
    <n v="13779"/>
    <n v="12253"/>
    <n v="3087"/>
    <n v="2697"/>
    <n v="13908"/>
    <n v="12436"/>
    <n v="30774"/>
    <n v="1025.8"/>
    <n v="27386"/>
    <n v="912.86666666666667"/>
    <n v="6380"/>
    <n v="5860"/>
    <n v="30774"/>
    <n v="27386"/>
    <m/>
    <m/>
    <n v="54841"/>
    <n v="56548"/>
    <n v="38593"/>
    <n v="31522"/>
    <n v="61555"/>
    <n v="58998"/>
    <n v="154989"/>
    <n v="172.21"/>
    <n v="147068"/>
    <n v="163.4088888888889"/>
    <m/>
    <m/>
    <n v="0"/>
    <n v="0"/>
    <m/>
    <m/>
    <m/>
    <m/>
    <m/>
    <m/>
    <m/>
    <m/>
    <n v="0"/>
    <n v="0"/>
    <n v="0"/>
    <n v="0"/>
    <n v="1198.01"/>
    <n v="1076.2755555555555"/>
  </r>
  <r>
    <x v="9"/>
    <s v="Isothermal Community College "/>
    <m/>
    <n v="198710"/>
    <x v="7"/>
    <m/>
    <m/>
    <m/>
    <m/>
    <n v="19862"/>
    <n v="18145"/>
    <n v="5672"/>
    <n v="5598"/>
    <n v="20169"/>
    <n v="18346"/>
    <n v="45703"/>
    <n v="1523.4333333333334"/>
    <n v="42089"/>
    <n v="1402.9666666666667"/>
    <n v="13992"/>
    <n v="12832"/>
    <n v="45703"/>
    <n v="42089"/>
    <m/>
    <m/>
    <n v="54050"/>
    <n v="59705"/>
    <n v="27141"/>
    <n v="37983"/>
    <n v="50967"/>
    <n v="62907"/>
    <n v="132158"/>
    <n v="146.84222222222223"/>
    <n v="160595"/>
    <n v="178.4388888888889"/>
    <m/>
    <m/>
    <n v="0"/>
    <n v="0"/>
    <m/>
    <m/>
    <m/>
    <m/>
    <m/>
    <m/>
    <m/>
    <m/>
    <n v="0"/>
    <n v="0"/>
    <n v="0"/>
    <n v="0"/>
    <n v="1670.2755555555557"/>
    <n v="1581.4055555555556"/>
  </r>
  <r>
    <x v="9"/>
    <s v="James Sprunt Community College"/>
    <m/>
    <n v="198729"/>
    <x v="7"/>
    <m/>
    <m/>
    <m/>
    <m/>
    <n v="11187"/>
    <n v="9859"/>
    <n v="3558"/>
    <n v="3407"/>
    <n v="10933"/>
    <n v="12763"/>
    <n v="25678"/>
    <n v="855.93333333333328"/>
    <n v="26029"/>
    <n v="867.63333333333333"/>
    <n v="7655"/>
    <n v="6991"/>
    <n v="25678"/>
    <n v="26029"/>
    <m/>
    <m/>
    <n v="85460"/>
    <n v="96220"/>
    <n v="46374"/>
    <n v="49712"/>
    <n v="89255"/>
    <n v="104887"/>
    <n v="221089"/>
    <n v="245.65444444444444"/>
    <n v="250819"/>
    <n v="278.6877777777778"/>
    <m/>
    <m/>
    <n v="0"/>
    <n v="0"/>
    <m/>
    <m/>
    <m/>
    <m/>
    <m/>
    <m/>
    <m/>
    <m/>
    <n v="0"/>
    <n v="0"/>
    <n v="0"/>
    <n v="0"/>
    <n v="1101.5877777777778"/>
    <n v="1146.3211111111111"/>
  </r>
  <r>
    <x v="9"/>
    <s v="Martin Community College "/>
    <m/>
    <n v="198905"/>
    <x v="7"/>
    <m/>
    <m/>
    <m/>
    <m/>
    <n v="7961"/>
    <n v="7025"/>
    <n v="1646"/>
    <n v="1364"/>
    <n v="8062"/>
    <n v="6704"/>
    <n v="17669"/>
    <n v="588.9666666666667"/>
    <n v="15093"/>
    <n v="503.1"/>
    <n v="9788"/>
    <n v="7708"/>
    <n v="17669"/>
    <n v="15093"/>
    <m/>
    <m/>
    <n v="43282"/>
    <n v="20351"/>
    <n v="8406"/>
    <n v="17082"/>
    <n v="31625"/>
    <n v="42498"/>
    <n v="83313"/>
    <n v="92.57"/>
    <n v="79931"/>
    <n v="88.812222222222218"/>
    <m/>
    <m/>
    <n v="0"/>
    <n v="0"/>
    <m/>
    <m/>
    <m/>
    <m/>
    <m/>
    <m/>
    <m/>
    <m/>
    <n v="0"/>
    <n v="0"/>
    <n v="0"/>
    <n v="0"/>
    <n v="681.53666666666663"/>
    <n v="591.91222222222223"/>
  </r>
  <r>
    <x v="9"/>
    <s v="Mayland Community College"/>
    <m/>
    <n v="198914"/>
    <x v="7"/>
    <m/>
    <m/>
    <m/>
    <m/>
    <n v="8257"/>
    <n v="7353"/>
    <n v="1338"/>
    <n v="1260"/>
    <n v="8309"/>
    <n v="7723"/>
    <n v="17904"/>
    <n v="596.79999999999995"/>
    <n v="16336"/>
    <n v="544.5333333333333"/>
    <n v="7003"/>
    <n v="6527"/>
    <n v="17904"/>
    <n v="16336"/>
    <m/>
    <m/>
    <n v="104456"/>
    <n v="31614"/>
    <n v="17529"/>
    <n v="36826"/>
    <n v="45222"/>
    <n v="54661"/>
    <n v="167207"/>
    <n v="185.78555555555556"/>
    <n v="123101"/>
    <n v="136.7788888888889"/>
    <m/>
    <m/>
    <n v="0"/>
    <n v="0"/>
    <m/>
    <m/>
    <m/>
    <m/>
    <m/>
    <m/>
    <m/>
    <m/>
    <n v="0"/>
    <n v="0"/>
    <n v="0"/>
    <n v="0"/>
    <n v="782.58555555555552"/>
    <n v="681.3122222222222"/>
  </r>
  <r>
    <x v="9"/>
    <s v="McDowell Technical Community College"/>
    <m/>
    <n v="198923"/>
    <x v="7"/>
    <m/>
    <m/>
    <m/>
    <m/>
    <n v="8875"/>
    <n v="8056"/>
    <n v="2503"/>
    <n v="2434"/>
    <n v="9287"/>
    <n v="9928"/>
    <n v="20665"/>
    <n v="688.83333333333337"/>
    <n v="20418"/>
    <n v="680.6"/>
    <n v="8251"/>
    <n v="7601"/>
    <n v="20665"/>
    <n v="20418"/>
    <m/>
    <m/>
    <n v="34558"/>
    <n v="57723"/>
    <n v="22287"/>
    <n v="32372"/>
    <n v="34915"/>
    <n v="70065"/>
    <n v="91760"/>
    <n v="101.95555555555555"/>
    <n v="160160"/>
    <n v="177.95555555555555"/>
    <m/>
    <m/>
    <n v="0"/>
    <n v="0"/>
    <m/>
    <m/>
    <m/>
    <m/>
    <m/>
    <m/>
    <m/>
    <m/>
    <n v="0"/>
    <n v="0"/>
    <n v="0"/>
    <n v="0"/>
    <n v="790.78888888888889"/>
    <n v="858.55555555555554"/>
  </r>
  <r>
    <x v="9"/>
    <s v="Montgomery Community College"/>
    <m/>
    <n v="199023"/>
    <x v="7"/>
    <m/>
    <m/>
    <m/>
    <m/>
    <n v="8348.5"/>
    <n v="6482"/>
    <n v="1322"/>
    <n v="1274"/>
    <n v="7721.5"/>
    <n v="7664"/>
    <n v="17392"/>
    <n v="579.73333333333335"/>
    <n v="15420"/>
    <n v="514"/>
    <n v="5766"/>
    <n v="5525"/>
    <n v="17392"/>
    <n v="15420"/>
    <m/>
    <m/>
    <n v="47705"/>
    <n v="40913"/>
    <n v="20038"/>
    <n v="26159"/>
    <n v="53986"/>
    <n v="55395"/>
    <n v="121729"/>
    <n v="135.25444444444443"/>
    <n v="122467"/>
    <n v="136.07444444444445"/>
    <m/>
    <m/>
    <n v="0"/>
    <n v="0"/>
    <m/>
    <m/>
    <m/>
    <m/>
    <m/>
    <m/>
    <m/>
    <m/>
    <n v="0"/>
    <n v="0"/>
    <n v="0"/>
    <n v="0"/>
    <n v="714.98777777777775"/>
    <n v="650.07444444444445"/>
  </r>
  <r>
    <x v="9"/>
    <s v="Pamlico Community College"/>
    <m/>
    <n v="199263"/>
    <x v="7"/>
    <m/>
    <m/>
    <m/>
    <m/>
    <n v="5565"/>
    <n v="2738"/>
    <n v="1853"/>
    <n v="1095"/>
    <n v="3637"/>
    <n v="2838"/>
    <n v="11055"/>
    <n v="368.5"/>
    <n v="6671"/>
    <n v="222.36666666666667"/>
    <n v="1817"/>
    <n v="1458"/>
    <n v="11055"/>
    <n v="6671"/>
    <m/>
    <m/>
    <n v="27143"/>
    <n v="56978"/>
    <n v="17117"/>
    <n v="29285"/>
    <n v="34509"/>
    <n v="42195"/>
    <n v="78769"/>
    <n v="87.521111111111111"/>
    <n v="128458"/>
    <n v="142.73111111111112"/>
    <m/>
    <m/>
    <n v="0"/>
    <n v="0"/>
    <m/>
    <m/>
    <m/>
    <m/>
    <m/>
    <m/>
    <m/>
    <m/>
    <n v="0"/>
    <n v="0"/>
    <n v="0"/>
    <n v="0"/>
    <n v="456.02111111111111"/>
    <n v="365.09777777777776"/>
  </r>
  <r>
    <x v="9"/>
    <s v="Piedmont Community College"/>
    <m/>
    <n v="199324"/>
    <x v="7"/>
    <m/>
    <m/>
    <m/>
    <m/>
    <n v="11116.5"/>
    <n v="9997.5"/>
    <n v="1927.5"/>
    <n v="1874.5"/>
    <n v="11416.5"/>
    <n v="10789"/>
    <n v="24460.5"/>
    <n v="815.35"/>
    <n v="22661"/>
    <n v="755.36666666666667"/>
    <n v="7899.5"/>
    <n v="7696"/>
    <n v="24460.5"/>
    <n v="22661"/>
    <m/>
    <m/>
    <n v="103711"/>
    <n v="57173"/>
    <n v="29473"/>
    <n v="43830"/>
    <n v="56753"/>
    <n v="94679"/>
    <n v="189937"/>
    <n v="211.04111111111112"/>
    <n v="195682"/>
    <n v="217.42444444444445"/>
    <m/>
    <m/>
    <n v="0"/>
    <n v="0"/>
    <m/>
    <m/>
    <m/>
    <m/>
    <m/>
    <m/>
    <m/>
    <m/>
    <n v="0"/>
    <n v="0"/>
    <n v="0"/>
    <n v="0"/>
    <n v="1026.3911111111111"/>
    <n v="972.79111111111115"/>
  </r>
  <r>
    <x v="9"/>
    <s v="Roanoke-Chowan Community College"/>
    <m/>
    <n v="199467"/>
    <x v="7"/>
    <m/>
    <m/>
    <m/>
    <m/>
    <n v="4848"/>
    <n v="4205"/>
    <n v="1106"/>
    <n v="1259"/>
    <n v="4398"/>
    <n v="5385"/>
    <n v="10352"/>
    <n v="345.06666666666666"/>
    <n v="10849"/>
    <n v="361.63333333333333"/>
    <n v="4751"/>
    <n v="4883"/>
    <n v="10352"/>
    <n v="10849"/>
    <m/>
    <m/>
    <n v="27585"/>
    <n v="30078"/>
    <n v="14430"/>
    <n v="31503"/>
    <n v="23466"/>
    <n v="46718"/>
    <n v="65481"/>
    <n v="72.756666666666661"/>
    <n v="108299"/>
    <n v="120.33222222222223"/>
    <m/>
    <m/>
    <n v="0"/>
    <n v="0"/>
    <m/>
    <m/>
    <m/>
    <m/>
    <m/>
    <m/>
    <m/>
    <m/>
    <n v="0"/>
    <n v="0"/>
    <n v="0"/>
    <n v="0"/>
    <n v="417.82333333333332"/>
    <n v="481.96555555555557"/>
  </r>
  <r>
    <x v="9"/>
    <s v="Robeson Community College"/>
    <s v="Met the criteria for Two-Year 2 in 2020-21 and 2021-22"/>
    <n v="199476"/>
    <x v="7"/>
    <m/>
    <m/>
    <m/>
    <m/>
    <n v="17552"/>
    <n v="16176"/>
    <n v="4955"/>
    <n v="5203"/>
    <n v="18778"/>
    <n v="18527"/>
    <n v="41285"/>
    <n v="1376.1666666666667"/>
    <n v="39906"/>
    <n v="1330.2"/>
    <n v="8337"/>
    <n v="7149"/>
    <n v="41285"/>
    <n v="39906"/>
    <m/>
    <m/>
    <n v="238790"/>
    <n v="207542"/>
    <n v="124766"/>
    <n v="141909"/>
    <n v="211115"/>
    <n v="335739"/>
    <n v="574671"/>
    <n v="638.52333333333331"/>
    <n v="685190"/>
    <n v="761.32222222222219"/>
    <m/>
    <m/>
    <n v="0"/>
    <n v="0"/>
    <m/>
    <m/>
    <m/>
    <m/>
    <m/>
    <m/>
    <m/>
    <m/>
    <n v="0"/>
    <n v="0"/>
    <n v="0"/>
    <n v="0"/>
    <n v="2014.69"/>
    <n v="2091.5222222222224"/>
  </r>
  <r>
    <x v="9"/>
    <s v="Rockingham Community College "/>
    <m/>
    <n v="199485"/>
    <x v="7"/>
    <m/>
    <m/>
    <m/>
    <m/>
    <n v="15679"/>
    <n v="13797"/>
    <n v="4532"/>
    <n v="3405"/>
    <n v="16697"/>
    <n v="15631"/>
    <n v="36908"/>
    <n v="1230.2666666666667"/>
    <n v="32833"/>
    <n v="1094.4333333333334"/>
    <n v="8885"/>
    <n v="7080"/>
    <n v="36908"/>
    <n v="32833"/>
    <m/>
    <m/>
    <n v="59555"/>
    <n v="67500"/>
    <n v="27044"/>
    <n v="47873"/>
    <n v="68711"/>
    <n v="74125"/>
    <n v="155310"/>
    <n v="172.56666666666666"/>
    <n v="189498"/>
    <n v="210.55333333333334"/>
    <m/>
    <m/>
    <n v="0"/>
    <n v="0"/>
    <m/>
    <m/>
    <m/>
    <m/>
    <m/>
    <m/>
    <m/>
    <m/>
    <n v="0"/>
    <n v="0"/>
    <n v="0"/>
    <n v="0"/>
    <n v="1402.8333333333333"/>
    <n v="1304.9866666666667"/>
  </r>
  <r>
    <x v="9"/>
    <s v="Sampson Community College"/>
    <m/>
    <n v="199625"/>
    <x v="7"/>
    <m/>
    <m/>
    <m/>
    <m/>
    <n v="15637"/>
    <n v="14831"/>
    <n v="5483"/>
    <n v="5830"/>
    <n v="16424"/>
    <n v="16237"/>
    <n v="37544"/>
    <n v="1251.4666666666667"/>
    <n v="36898"/>
    <n v="1229.9333333333334"/>
    <n v="14222"/>
    <n v="12925"/>
    <n v="37544"/>
    <n v="36898"/>
    <m/>
    <m/>
    <n v="99937"/>
    <n v="105637"/>
    <n v="37012"/>
    <n v="41765"/>
    <n v="111220"/>
    <n v="136647"/>
    <n v="248169"/>
    <n v="275.74333333333334"/>
    <n v="284049"/>
    <n v="315.61"/>
    <m/>
    <m/>
    <n v="0"/>
    <n v="0"/>
    <m/>
    <m/>
    <m/>
    <m/>
    <m/>
    <m/>
    <m/>
    <m/>
    <n v="0"/>
    <n v="0"/>
    <n v="0"/>
    <n v="0"/>
    <n v="1527.21"/>
    <n v="1545.5433333333335"/>
  </r>
  <r>
    <x v="9"/>
    <s v="Southeastern Community College "/>
    <m/>
    <n v="199722"/>
    <x v="7"/>
    <m/>
    <m/>
    <m/>
    <m/>
    <n v="13388"/>
    <n v="11406"/>
    <n v="4072"/>
    <n v="3782"/>
    <n v="12428"/>
    <n v="11046"/>
    <n v="29888"/>
    <n v="996.26666666666665"/>
    <n v="26234"/>
    <n v="874.4666666666667"/>
    <n v="7715"/>
    <n v="6465"/>
    <n v="29888"/>
    <n v="26234"/>
    <m/>
    <m/>
    <n v="134653"/>
    <n v="109083"/>
    <n v="34896"/>
    <n v="59623"/>
    <n v="69726"/>
    <n v="135948"/>
    <n v="239275"/>
    <n v="265.86111111111109"/>
    <n v="304654"/>
    <n v="338.50444444444446"/>
    <m/>
    <m/>
    <n v="0"/>
    <n v="0"/>
    <m/>
    <m/>
    <m/>
    <m/>
    <m/>
    <m/>
    <m/>
    <m/>
    <n v="0"/>
    <n v="0"/>
    <n v="0"/>
    <n v="0"/>
    <n v="1262.1277777777777"/>
    <n v="1212.9711111111112"/>
  </r>
  <r>
    <x v="9"/>
    <s v="Southwestern Community College "/>
    <m/>
    <n v="199731"/>
    <x v="7"/>
    <m/>
    <m/>
    <m/>
    <m/>
    <n v="20636"/>
    <n v="17790"/>
    <n v="4199"/>
    <n v="3768"/>
    <n v="19833"/>
    <n v="21764"/>
    <n v="44668"/>
    <n v="1488.9333333333334"/>
    <n v="43322"/>
    <n v="1444.0666666666666"/>
    <n v="11505"/>
    <n v="10601"/>
    <n v="44668"/>
    <n v="43322"/>
    <m/>
    <m/>
    <n v="92216"/>
    <n v="108877"/>
    <n v="65790"/>
    <n v="73214"/>
    <n v="94109"/>
    <n v="115339"/>
    <n v="252115"/>
    <n v="280.12777777777779"/>
    <n v="297430"/>
    <n v="330.47777777777776"/>
    <m/>
    <m/>
    <n v="0"/>
    <n v="0"/>
    <m/>
    <m/>
    <m/>
    <m/>
    <m/>
    <m/>
    <m/>
    <m/>
    <n v="0"/>
    <n v="0"/>
    <n v="0"/>
    <n v="0"/>
    <n v="1769.0611111111111"/>
    <n v="1774.5444444444443"/>
  </r>
  <r>
    <x v="9"/>
    <s v="Tri-County Community College "/>
    <m/>
    <n v="199795"/>
    <x v="7"/>
    <m/>
    <m/>
    <m/>
    <m/>
    <n v="10574"/>
    <n v="9846"/>
    <n v="2683"/>
    <n v="2445"/>
    <n v="10300"/>
    <n v="10308"/>
    <n v="23557"/>
    <n v="785.23333333333335"/>
    <n v="22599"/>
    <n v="753.3"/>
    <n v="10035"/>
    <n v="8733"/>
    <n v="23557"/>
    <n v="22599"/>
    <m/>
    <m/>
    <n v="43679"/>
    <n v="46527"/>
    <n v="19456"/>
    <n v="27928"/>
    <n v="42858"/>
    <n v="41509"/>
    <n v="105993"/>
    <n v="117.77"/>
    <n v="115964"/>
    <n v="128.84888888888889"/>
    <m/>
    <m/>
    <n v="0"/>
    <n v="0"/>
    <m/>
    <m/>
    <m/>
    <m/>
    <m/>
    <m/>
    <m/>
    <m/>
    <n v="0"/>
    <n v="0"/>
    <n v="0"/>
    <n v="0"/>
    <n v="903.00333333333333"/>
    <n v="882.14888888888891"/>
  </r>
  <r>
    <x v="9"/>
    <s v="Western Piedmont Community College "/>
    <m/>
    <n v="199908"/>
    <x v="7"/>
    <m/>
    <m/>
    <m/>
    <m/>
    <n v="18183"/>
    <n v="15894"/>
    <n v="4681"/>
    <n v="4218"/>
    <n v="18012"/>
    <n v="16921"/>
    <n v="40876"/>
    <n v="1362.5333333333333"/>
    <n v="37033"/>
    <n v="1234.4333333333334"/>
    <n v="11187"/>
    <n v="10487"/>
    <n v="40876"/>
    <n v="37033"/>
    <m/>
    <m/>
    <n v="51003"/>
    <n v="46930"/>
    <n v="17918"/>
    <n v="34823"/>
    <n v="45077"/>
    <n v="57068"/>
    <n v="113998"/>
    <n v="126.66444444444444"/>
    <n v="138821"/>
    <n v="154.24555555555557"/>
    <m/>
    <m/>
    <n v="0"/>
    <n v="0"/>
    <m/>
    <m/>
    <m/>
    <m/>
    <m/>
    <m/>
    <m/>
    <m/>
    <n v="0"/>
    <n v="0"/>
    <n v="0"/>
    <n v="0"/>
    <n v="1489.1977777777777"/>
    <n v="1388.6788888888889"/>
  </r>
  <r>
    <x v="9"/>
    <s v="Wilson Community College"/>
    <m/>
    <n v="199953"/>
    <x v="7"/>
    <m/>
    <m/>
    <m/>
    <m/>
    <n v="14556.5"/>
    <n v="13898"/>
    <n v="5246"/>
    <n v="5200"/>
    <n v="16177"/>
    <n v="14776.5"/>
    <n v="35979.5"/>
    <n v="1199.3166666666666"/>
    <n v="33874.5"/>
    <n v="1129.1500000000001"/>
    <n v="10837.5"/>
    <n v="9980.5"/>
    <n v="35979.5"/>
    <n v="33874.5"/>
    <m/>
    <m/>
    <n v="66889"/>
    <n v="67026"/>
    <n v="24323"/>
    <n v="42507"/>
    <n v="61238"/>
    <n v="74384"/>
    <n v="152450"/>
    <n v="169.38888888888889"/>
    <n v="183917"/>
    <n v="204.35222222222222"/>
    <m/>
    <m/>
    <n v="0"/>
    <n v="0"/>
    <m/>
    <m/>
    <m/>
    <m/>
    <m/>
    <m/>
    <m/>
    <m/>
    <n v="0"/>
    <n v="0"/>
    <n v="0"/>
    <n v="0"/>
    <n v="1368.7055555555555"/>
    <n v="1333.5022222222224"/>
  </r>
  <r>
    <x v="10"/>
    <m/>
    <m/>
    <m/>
    <x v="13"/>
    <m/>
    <m/>
    <m/>
    <m/>
    <m/>
    <m/>
    <m/>
    <m/>
    <m/>
    <m/>
    <n v="0"/>
    <n v="0"/>
    <n v="0"/>
    <n v="0"/>
    <m/>
    <m/>
    <n v="0"/>
    <n v="0"/>
    <m/>
    <m/>
    <m/>
    <m/>
    <m/>
    <m/>
    <m/>
    <m/>
    <n v="0"/>
    <n v="0"/>
    <n v="0"/>
    <n v="0"/>
    <m/>
    <m/>
    <n v="0"/>
    <n v="0"/>
    <m/>
    <m/>
    <m/>
    <m/>
    <m/>
    <m/>
    <m/>
    <m/>
    <n v="0"/>
    <n v="0"/>
    <n v="0"/>
    <n v="0"/>
    <n v="0"/>
    <n v="0"/>
  </r>
  <r>
    <x v="10"/>
    <s v="Canadian Valley Technology Center                 "/>
    <s v="Met the crtiera for Technical College 2 in 2021-22"/>
    <n v="365374"/>
    <x v="8"/>
    <m/>
    <m/>
    <m/>
    <m/>
    <m/>
    <m/>
    <m/>
    <m/>
    <m/>
    <m/>
    <n v="0"/>
    <n v="0"/>
    <n v="0"/>
    <n v="0"/>
    <m/>
    <m/>
    <n v="0"/>
    <n v="0"/>
    <m/>
    <m/>
    <m/>
    <m/>
    <m/>
    <m/>
    <n v="970575"/>
    <n v="436806"/>
    <n v="970575"/>
    <n v="1078.4166666666667"/>
    <n v="436806"/>
    <n v="485.34"/>
    <m/>
    <m/>
    <n v="0"/>
    <n v="0"/>
    <m/>
    <m/>
    <m/>
    <m/>
    <m/>
    <m/>
    <m/>
    <m/>
    <n v="0"/>
    <n v="0"/>
    <n v="0"/>
    <n v="0"/>
    <n v="1078.4166666666667"/>
    <n v="485.34"/>
  </r>
  <r>
    <x v="10"/>
    <s v="Francis Tuttle Technology Center                  "/>
    <s v="Met the crtiera for Technical College 2 in 2021-22"/>
    <n v="245999"/>
    <x v="8"/>
    <m/>
    <m/>
    <m/>
    <m/>
    <m/>
    <m/>
    <m/>
    <m/>
    <m/>
    <m/>
    <n v="0"/>
    <n v="0"/>
    <n v="0"/>
    <n v="0"/>
    <m/>
    <m/>
    <n v="0"/>
    <n v="0"/>
    <m/>
    <m/>
    <m/>
    <m/>
    <m/>
    <m/>
    <n v="1514425.9"/>
    <n v="485462"/>
    <n v="1514425.9"/>
    <n v="1682.6954444444443"/>
    <n v="485462"/>
    <n v="539.40222222222224"/>
    <m/>
    <m/>
    <n v="0"/>
    <n v="0"/>
    <m/>
    <m/>
    <m/>
    <m/>
    <m/>
    <m/>
    <m/>
    <m/>
    <n v="0"/>
    <n v="0"/>
    <n v="0"/>
    <n v="0"/>
    <n v="1682.6954444444443"/>
    <n v="539.40222222222224"/>
  </r>
  <r>
    <x v="10"/>
    <s v="Tulsa Technology Center-Lemley Campus             "/>
    <s v="Met the criteria for Technical Institute or College 2 in 2021-22"/>
    <n v="261375"/>
    <x v="8"/>
    <m/>
    <m/>
    <m/>
    <m/>
    <m/>
    <m/>
    <m/>
    <m/>
    <m/>
    <m/>
    <n v="0"/>
    <n v="0"/>
    <n v="0"/>
    <n v="0"/>
    <m/>
    <m/>
    <n v="0"/>
    <n v="0"/>
    <m/>
    <m/>
    <m/>
    <m/>
    <m/>
    <m/>
    <n v="1309950"/>
    <n v="672079"/>
    <n v="1309950"/>
    <n v="1455.5"/>
    <n v="672079"/>
    <n v="746.7544444444444"/>
    <m/>
    <m/>
    <n v="0"/>
    <n v="0"/>
    <m/>
    <m/>
    <m/>
    <m/>
    <m/>
    <m/>
    <m/>
    <m/>
    <n v="0"/>
    <n v="0"/>
    <n v="0"/>
    <n v="0"/>
    <n v="1455.5"/>
    <n v="746.7544444444444"/>
  </r>
  <r>
    <x v="10"/>
    <s v="Autry Technology Center                           "/>
    <m/>
    <n v="365213"/>
    <x v="9"/>
    <m/>
    <m/>
    <m/>
    <m/>
    <m/>
    <m/>
    <m/>
    <m/>
    <m/>
    <m/>
    <n v="0"/>
    <n v="0"/>
    <n v="0"/>
    <n v="0"/>
    <m/>
    <m/>
    <n v="0"/>
    <n v="0"/>
    <m/>
    <m/>
    <m/>
    <m/>
    <m/>
    <m/>
    <n v="465419.4"/>
    <n v="223511"/>
    <n v="465419.4"/>
    <n v="517.13266666666664"/>
    <n v="223511"/>
    <n v="248.34555555555556"/>
    <m/>
    <m/>
    <n v="0"/>
    <n v="0"/>
    <m/>
    <m/>
    <m/>
    <m/>
    <m/>
    <m/>
    <m/>
    <m/>
    <n v="0"/>
    <n v="0"/>
    <n v="0"/>
    <n v="0"/>
    <n v="517.13266666666664"/>
    <n v="248.34555555555556"/>
  </r>
  <r>
    <x v="10"/>
    <s v="Caddo Kiowa Technology Center                     "/>
    <m/>
    <n v="364946"/>
    <x v="9"/>
    <m/>
    <m/>
    <m/>
    <m/>
    <m/>
    <m/>
    <m/>
    <m/>
    <m/>
    <m/>
    <n v="0"/>
    <n v="0"/>
    <n v="0"/>
    <n v="0"/>
    <m/>
    <m/>
    <n v="0"/>
    <n v="0"/>
    <m/>
    <m/>
    <m/>
    <m/>
    <m/>
    <m/>
    <n v="256418.1"/>
    <n v="154785"/>
    <n v="256418.1"/>
    <n v="284.90899999999999"/>
    <n v="154785"/>
    <n v="171.98333333333332"/>
    <m/>
    <m/>
    <n v="0"/>
    <n v="0"/>
    <m/>
    <m/>
    <m/>
    <m/>
    <m/>
    <m/>
    <m/>
    <m/>
    <n v="0"/>
    <n v="0"/>
    <n v="0"/>
    <n v="0"/>
    <n v="284.90899999999999"/>
    <n v="171.98333333333332"/>
  </r>
  <r>
    <x v="10"/>
    <s v="Central Technology Center                         "/>
    <m/>
    <n v="246017"/>
    <x v="9"/>
    <m/>
    <m/>
    <m/>
    <m/>
    <m/>
    <m/>
    <m/>
    <m/>
    <m/>
    <m/>
    <n v="0"/>
    <n v="0"/>
    <n v="0"/>
    <n v="0"/>
    <m/>
    <m/>
    <n v="0"/>
    <n v="0"/>
    <m/>
    <m/>
    <m/>
    <m/>
    <m/>
    <m/>
    <n v="677725.7"/>
    <n v="454439"/>
    <n v="677725.7"/>
    <n v="753.0285555555555"/>
    <n v="454439"/>
    <n v="504.93222222222221"/>
    <m/>
    <m/>
    <n v="0"/>
    <n v="0"/>
    <m/>
    <m/>
    <m/>
    <m/>
    <m/>
    <m/>
    <m/>
    <m/>
    <n v="0"/>
    <n v="0"/>
    <n v="0"/>
    <n v="0"/>
    <n v="753.0285555555555"/>
    <n v="504.93222222222221"/>
  </r>
  <r>
    <x v="10"/>
    <s v="Chisholm Trail Technology Center                  "/>
    <m/>
    <n v="375656"/>
    <x v="9"/>
    <m/>
    <m/>
    <m/>
    <m/>
    <m/>
    <m/>
    <m/>
    <m/>
    <m/>
    <m/>
    <n v="0"/>
    <n v="0"/>
    <n v="0"/>
    <n v="0"/>
    <m/>
    <m/>
    <n v="0"/>
    <n v="0"/>
    <m/>
    <m/>
    <m/>
    <m/>
    <m/>
    <m/>
    <n v="126730.5"/>
    <n v="35130"/>
    <n v="126730.5"/>
    <n v="140.81166666666667"/>
    <n v="35130"/>
    <n v="39.033333333333331"/>
    <m/>
    <m/>
    <n v="0"/>
    <n v="0"/>
    <m/>
    <m/>
    <m/>
    <m/>
    <m/>
    <m/>
    <m/>
    <m/>
    <n v="0"/>
    <n v="0"/>
    <n v="0"/>
    <n v="0"/>
    <n v="140.81166666666667"/>
    <n v="39.033333333333331"/>
  </r>
  <r>
    <x v="10"/>
    <s v="Eastern Oklahoma County Technology Center         "/>
    <m/>
    <n v="418348"/>
    <x v="9"/>
    <m/>
    <m/>
    <m/>
    <m/>
    <m/>
    <m/>
    <m/>
    <m/>
    <m/>
    <m/>
    <n v="0"/>
    <n v="0"/>
    <n v="0"/>
    <n v="0"/>
    <m/>
    <m/>
    <n v="0"/>
    <n v="0"/>
    <m/>
    <m/>
    <m/>
    <m/>
    <m/>
    <m/>
    <n v="487232.9"/>
    <n v="206781"/>
    <n v="487232.9"/>
    <n v="541.36988888888891"/>
    <n v="206781"/>
    <n v="229.75666666666666"/>
    <m/>
    <m/>
    <n v="0"/>
    <n v="0"/>
    <m/>
    <m/>
    <m/>
    <m/>
    <m/>
    <m/>
    <m/>
    <m/>
    <n v="0"/>
    <n v="0"/>
    <n v="0"/>
    <n v="0"/>
    <n v="541.36988888888891"/>
    <n v="229.75666666666666"/>
  </r>
  <r>
    <x v="10"/>
    <s v="Gordon Cooper Technology Center                   "/>
    <m/>
    <n v="375683"/>
    <x v="9"/>
    <m/>
    <m/>
    <m/>
    <m/>
    <m/>
    <m/>
    <m/>
    <m/>
    <m/>
    <m/>
    <n v="0"/>
    <n v="0"/>
    <n v="0"/>
    <n v="0"/>
    <m/>
    <m/>
    <n v="0"/>
    <n v="0"/>
    <m/>
    <m/>
    <m/>
    <m/>
    <m/>
    <m/>
    <n v="1009352.8"/>
    <n v="299823"/>
    <n v="1009352.8"/>
    <n v="1121.5031111111111"/>
    <n v="299823"/>
    <n v="333.13666666666666"/>
    <m/>
    <m/>
    <n v="0"/>
    <n v="0"/>
    <m/>
    <m/>
    <m/>
    <m/>
    <m/>
    <m/>
    <m/>
    <m/>
    <n v="0"/>
    <n v="0"/>
    <n v="0"/>
    <n v="0"/>
    <n v="1121.5031111111111"/>
    <n v="333.13666666666666"/>
  </r>
  <r>
    <x v="10"/>
    <s v="Great Plains Technology Center                    "/>
    <m/>
    <n v="364548"/>
    <x v="9"/>
    <m/>
    <m/>
    <m/>
    <m/>
    <m/>
    <m/>
    <m/>
    <m/>
    <m/>
    <m/>
    <n v="0"/>
    <n v="0"/>
    <n v="0"/>
    <n v="0"/>
    <m/>
    <m/>
    <n v="0"/>
    <n v="0"/>
    <m/>
    <m/>
    <m/>
    <m/>
    <m/>
    <m/>
    <n v="683487"/>
    <n v="369250"/>
    <n v="683487"/>
    <n v="759.43"/>
    <n v="369250"/>
    <n v="410.27777777777777"/>
    <m/>
    <m/>
    <n v="0"/>
    <n v="0"/>
    <m/>
    <m/>
    <m/>
    <m/>
    <m/>
    <m/>
    <m/>
    <m/>
    <n v="0"/>
    <n v="0"/>
    <n v="0"/>
    <n v="0"/>
    <n v="759.43"/>
    <n v="410.27777777777777"/>
  </r>
  <r>
    <x v="10"/>
    <s v="Green Country Technology Center                   "/>
    <m/>
    <n v="428019"/>
    <x v="9"/>
    <m/>
    <m/>
    <m/>
    <m/>
    <m/>
    <m/>
    <m/>
    <m/>
    <m/>
    <m/>
    <n v="0"/>
    <n v="0"/>
    <n v="0"/>
    <n v="0"/>
    <m/>
    <m/>
    <n v="0"/>
    <n v="0"/>
    <m/>
    <m/>
    <m/>
    <m/>
    <m/>
    <m/>
    <n v="233309"/>
    <n v="98754"/>
    <n v="233309"/>
    <n v="259.23222222222222"/>
    <n v="98754"/>
    <n v="109.72666666666667"/>
    <m/>
    <m/>
    <n v="0"/>
    <n v="0"/>
    <m/>
    <m/>
    <m/>
    <m/>
    <m/>
    <m/>
    <m/>
    <m/>
    <n v="0"/>
    <n v="0"/>
    <n v="0"/>
    <n v="0"/>
    <n v="259.23222222222222"/>
    <n v="109.72666666666667"/>
  </r>
  <r>
    <x v="10"/>
    <s v="High Plains Technology Center                     "/>
    <m/>
    <n v="208053"/>
    <x v="9"/>
    <m/>
    <m/>
    <m/>
    <m/>
    <m/>
    <m/>
    <m/>
    <m/>
    <m/>
    <m/>
    <n v="0"/>
    <n v="0"/>
    <n v="0"/>
    <n v="0"/>
    <m/>
    <m/>
    <n v="0"/>
    <n v="0"/>
    <m/>
    <m/>
    <m/>
    <m/>
    <m/>
    <m/>
    <n v="204946.9"/>
    <n v="141360"/>
    <n v="204946.9"/>
    <n v="227.71877777777777"/>
    <n v="141360"/>
    <n v="157.06666666666666"/>
    <m/>
    <m/>
    <n v="0"/>
    <n v="0"/>
    <m/>
    <m/>
    <m/>
    <m/>
    <m/>
    <m/>
    <m/>
    <m/>
    <n v="0"/>
    <n v="0"/>
    <n v="0"/>
    <n v="0"/>
    <n v="227.71877777777777"/>
    <n v="157.06666666666666"/>
  </r>
  <r>
    <x v="10"/>
    <s v="Indian Capital Technology Center-Muskogee         "/>
    <m/>
    <n v="418296"/>
    <x v="9"/>
    <m/>
    <m/>
    <m/>
    <m/>
    <m/>
    <m/>
    <m/>
    <m/>
    <m/>
    <m/>
    <n v="0"/>
    <n v="0"/>
    <n v="0"/>
    <n v="0"/>
    <m/>
    <m/>
    <n v="0"/>
    <n v="0"/>
    <m/>
    <m/>
    <m/>
    <m/>
    <m/>
    <m/>
    <n v="517115.4"/>
    <n v="316864"/>
    <n v="517115.4"/>
    <n v="574.57266666666669"/>
    <n v="316864"/>
    <n v="352.07111111111112"/>
    <m/>
    <m/>
    <n v="0"/>
    <n v="0"/>
    <m/>
    <m/>
    <m/>
    <m/>
    <m/>
    <m/>
    <m/>
    <m/>
    <n v="0"/>
    <n v="0"/>
    <n v="0"/>
    <n v="0"/>
    <n v="574.57266666666669"/>
    <n v="352.07111111111112"/>
  </r>
  <r>
    <x v="10"/>
    <s v="Indian Capital Technology Center-Sallisaw         "/>
    <m/>
    <n v="421540"/>
    <x v="9"/>
    <m/>
    <m/>
    <m/>
    <m/>
    <m/>
    <m/>
    <m/>
    <m/>
    <m/>
    <m/>
    <n v="0"/>
    <n v="0"/>
    <n v="0"/>
    <n v="0"/>
    <m/>
    <m/>
    <n v="0"/>
    <n v="0"/>
    <m/>
    <m/>
    <m/>
    <m/>
    <m/>
    <m/>
    <n v="99576.7"/>
    <n v="94745"/>
    <n v="99576.7"/>
    <n v="110.64077777777777"/>
    <n v="94745"/>
    <n v="105.27222222222223"/>
    <m/>
    <m/>
    <n v="0"/>
    <n v="0"/>
    <m/>
    <m/>
    <m/>
    <m/>
    <m/>
    <m/>
    <m/>
    <m/>
    <n v="0"/>
    <n v="0"/>
    <n v="0"/>
    <n v="0"/>
    <n v="110.64077777777777"/>
    <n v="105.27222222222223"/>
  </r>
  <r>
    <x v="10"/>
    <s v="Indian Capital Technology Center-Stilwell         "/>
    <m/>
    <n v="421559"/>
    <x v="9"/>
    <m/>
    <m/>
    <m/>
    <m/>
    <m/>
    <m/>
    <m/>
    <m/>
    <m/>
    <m/>
    <n v="0"/>
    <n v="0"/>
    <n v="0"/>
    <n v="0"/>
    <m/>
    <m/>
    <n v="0"/>
    <n v="0"/>
    <m/>
    <m/>
    <m/>
    <m/>
    <m/>
    <m/>
    <n v="114030"/>
    <n v="63600"/>
    <n v="114030"/>
    <n v="126.7"/>
    <n v="63600"/>
    <n v="70.666666666666671"/>
    <m/>
    <m/>
    <n v="0"/>
    <n v="0"/>
    <m/>
    <m/>
    <m/>
    <m/>
    <m/>
    <m/>
    <m/>
    <m/>
    <n v="0"/>
    <n v="0"/>
    <n v="0"/>
    <n v="0"/>
    <n v="126.7"/>
    <n v="70.666666666666671"/>
  </r>
  <r>
    <x v="10"/>
    <s v="Indian Capital Technology Center-Tahlequah        "/>
    <m/>
    <n v="208026"/>
    <x v="9"/>
    <m/>
    <m/>
    <m/>
    <m/>
    <m/>
    <m/>
    <m/>
    <m/>
    <m/>
    <m/>
    <n v="0"/>
    <n v="0"/>
    <n v="0"/>
    <n v="0"/>
    <m/>
    <m/>
    <n v="0"/>
    <n v="0"/>
    <m/>
    <m/>
    <m/>
    <m/>
    <m/>
    <m/>
    <n v="228733.2"/>
    <n v="116634"/>
    <n v="228733.2"/>
    <n v="254.14800000000002"/>
    <n v="116634"/>
    <n v="129.59333333333333"/>
    <m/>
    <m/>
    <n v="0"/>
    <n v="0"/>
    <m/>
    <m/>
    <m/>
    <m/>
    <m/>
    <m/>
    <m/>
    <m/>
    <n v="0"/>
    <n v="0"/>
    <n v="0"/>
    <n v="0"/>
    <n v="254.14800000000002"/>
    <n v="129.59333333333333"/>
  </r>
  <r>
    <x v="10"/>
    <s v="Kiamichi Technology Center-Atoka                  "/>
    <m/>
    <n v="375692"/>
    <x v="9"/>
    <m/>
    <m/>
    <m/>
    <m/>
    <m/>
    <m/>
    <m/>
    <m/>
    <m/>
    <m/>
    <n v="0"/>
    <n v="0"/>
    <n v="0"/>
    <n v="0"/>
    <m/>
    <m/>
    <n v="0"/>
    <n v="0"/>
    <m/>
    <m/>
    <m/>
    <m/>
    <m/>
    <m/>
    <n v="203282"/>
    <n v="53380"/>
    <n v="203282"/>
    <n v="225.86888888888888"/>
    <n v="53380"/>
    <n v="59.31111111111111"/>
    <m/>
    <m/>
    <n v="0"/>
    <n v="0"/>
    <m/>
    <m/>
    <m/>
    <m/>
    <m/>
    <m/>
    <m/>
    <m/>
    <n v="0"/>
    <n v="0"/>
    <n v="0"/>
    <n v="0"/>
    <n v="225.86888888888888"/>
    <n v="59.31111111111111"/>
  </r>
  <r>
    <x v="10"/>
    <s v="Kiamichi Technology Center-Durant                 "/>
    <m/>
    <n v="375708"/>
    <x v="9"/>
    <m/>
    <m/>
    <m/>
    <m/>
    <m/>
    <m/>
    <m/>
    <m/>
    <m/>
    <m/>
    <n v="0"/>
    <n v="0"/>
    <n v="0"/>
    <n v="0"/>
    <m/>
    <m/>
    <n v="0"/>
    <n v="0"/>
    <m/>
    <m/>
    <m/>
    <m/>
    <m/>
    <m/>
    <n v="151019.5"/>
    <n v="92863"/>
    <n v="151019.5"/>
    <n v="167.79944444444445"/>
    <n v="92863"/>
    <n v="103.18111111111111"/>
    <m/>
    <m/>
    <n v="0"/>
    <n v="0"/>
    <m/>
    <m/>
    <m/>
    <m/>
    <m/>
    <m/>
    <m/>
    <m/>
    <n v="0"/>
    <n v="0"/>
    <n v="0"/>
    <n v="0"/>
    <n v="167.79944444444445"/>
    <n v="103.18111111111111"/>
  </r>
  <r>
    <x v="10"/>
    <s v="Kiamichi Technology Center-Hugo                   "/>
    <m/>
    <n v="375717"/>
    <x v="9"/>
    <m/>
    <m/>
    <m/>
    <m/>
    <m/>
    <m/>
    <m/>
    <m/>
    <m/>
    <m/>
    <n v="0"/>
    <n v="0"/>
    <n v="0"/>
    <n v="0"/>
    <m/>
    <m/>
    <n v="0"/>
    <n v="0"/>
    <m/>
    <m/>
    <m/>
    <m/>
    <m/>
    <m/>
    <n v="71652"/>
    <n v="58173"/>
    <n v="71652"/>
    <n v="79.61333333333333"/>
    <n v="58173"/>
    <n v="64.63666666666667"/>
    <m/>
    <m/>
    <n v="0"/>
    <n v="0"/>
    <m/>
    <m/>
    <m/>
    <m/>
    <m/>
    <m/>
    <m/>
    <m/>
    <n v="0"/>
    <n v="0"/>
    <n v="0"/>
    <n v="0"/>
    <n v="79.61333333333333"/>
    <n v="64.63666666666667"/>
  </r>
  <r>
    <x v="10"/>
    <s v="Kiamichi Technology Center-Idabel                 "/>
    <m/>
    <n v="375735"/>
    <x v="9"/>
    <m/>
    <m/>
    <m/>
    <m/>
    <m/>
    <m/>
    <m/>
    <m/>
    <m/>
    <m/>
    <n v="0"/>
    <n v="0"/>
    <n v="0"/>
    <n v="0"/>
    <m/>
    <m/>
    <n v="0"/>
    <n v="0"/>
    <m/>
    <m/>
    <m/>
    <m/>
    <m/>
    <m/>
    <n v="164047"/>
    <n v="94645"/>
    <n v="164047"/>
    <n v="182.27444444444444"/>
    <n v="94645"/>
    <n v="105.16111111111111"/>
    <m/>
    <m/>
    <n v="0"/>
    <n v="0"/>
    <m/>
    <m/>
    <m/>
    <m/>
    <m/>
    <m/>
    <m/>
    <m/>
    <n v="0"/>
    <n v="0"/>
    <n v="0"/>
    <n v="0"/>
    <n v="182.27444444444444"/>
    <n v="105.16111111111111"/>
  </r>
  <r>
    <x v="10"/>
    <s v="Kiamichi Technology Center-McAlester              "/>
    <m/>
    <n v="375726"/>
    <x v="9"/>
    <m/>
    <m/>
    <m/>
    <m/>
    <m/>
    <m/>
    <m/>
    <m/>
    <m/>
    <m/>
    <n v="0"/>
    <n v="0"/>
    <n v="0"/>
    <n v="0"/>
    <m/>
    <m/>
    <n v="0"/>
    <n v="0"/>
    <m/>
    <m/>
    <m/>
    <m/>
    <m/>
    <m/>
    <n v="241451"/>
    <n v="160450"/>
    <n v="241451"/>
    <n v="268.2788888888889"/>
    <n v="160450"/>
    <n v="178.27777777777777"/>
    <m/>
    <m/>
    <n v="0"/>
    <n v="0"/>
    <m/>
    <m/>
    <m/>
    <m/>
    <m/>
    <m/>
    <m/>
    <m/>
    <n v="0"/>
    <n v="0"/>
    <n v="0"/>
    <n v="0"/>
    <n v="268.2788888888889"/>
    <n v="178.27777777777777"/>
  </r>
  <r>
    <x v="10"/>
    <s v="Kiamichi Technology Center-Poteau                 "/>
    <m/>
    <n v="375744"/>
    <x v="9"/>
    <m/>
    <m/>
    <m/>
    <m/>
    <m/>
    <m/>
    <m/>
    <m/>
    <m/>
    <m/>
    <n v="0"/>
    <n v="0"/>
    <n v="0"/>
    <n v="0"/>
    <m/>
    <m/>
    <n v="0"/>
    <n v="0"/>
    <m/>
    <m/>
    <m/>
    <m/>
    <m/>
    <m/>
    <n v="203094"/>
    <n v="130317"/>
    <n v="203094"/>
    <n v="225.66"/>
    <n v="130317"/>
    <n v="144.79666666666665"/>
    <m/>
    <m/>
    <n v="0"/>
    <n v="0"/>
    <m/>
    <m/>
    <m/>
    <m/>
    <m/>
    <m/>
    <m/>
    <m/>
    <n v="0"/>
    <n v="0"/>
    <n v="0"/>
    <n v="0"/>
    <n v="225.66"/>
    <n v="144.79666666666665"/>
  </r>
  <r>
    <x v="10"/>
    <s v="Kiamichi Technology Center-Spiro                  "/>
    <m/>
    <n v="375753"/>
    <x v="9"/>
    <m/>
    <m/>
    <m/>
    <m/>
    <m/>
    <m/>
    <m/>
    <m/>
    <m/>
    <m/>
    <n v="0"/>
    <n v="0"/>
    <n v="0"/>
    <n v="0"/>
    <m/>
    <m/>
    <n v="0"/>
    <n v="0"/>
    <m/>
    <m/>
    <m/>
    <m/>
    <m/>
    <m/>
    <n v="15054"/>
    <n v="5346"/>
    <n v="15054"/>
    <n v="16.726666666666667"/>
    <n v="5346"/>
    <n v="5.94"/>
    <m/>
    <m/>
    <n v="0"/>
    <n v="0"/>
    <m/>
    <m/>
    <m/>
    <m/>
    <m/>
    <m/>
    <m/>
    <m/>
    <n v="0"/>
    <n v="0"/>
    <n v="0"/>
    <n v="0"/>
    <n v="16.726666666666667"/>
    <n v="5.94"/>
  </r>
  <r>
    <x v="10"/>
    <s v="Kiamichi Technology Center-Stigler                "/>
    <m/>
    <n v="405748"/>
    <x v="9"/>
    <m/>
    <m/>
    <m/>
    <m/>
    <m/>
    <m/>
    <m/>
    <m/>
    <m/>
    <m/>
    <n v="0"/>
    <n v="0"/>
    <n v="0"/>
    <n v="0"/>
    <m/>
    <m/>
    <n v="0"/>
    <n v="0"/>
    <m/>
    <m/>
    <m/>
    <m/>
    <m/>
    <m/>
    <n v="79776"/>
    <n v="12186"/>
    <n v="79776"/>
    <n v="88.64"/>
    <n v="12186"/>
    <n v="13.54"/>
    <m/>
    <m/>
    <n v="0"/>
    <n v="0"/>
    <m/>
    <m/>
    <m/>
    <m/>
    <m/>
    <m/>
    <m/>
    <m/>
    <n v="0"/>
    <n v="0"/>
    <n v="0"/>
    <n v="0"/>
    <n v="88.64"/>
    <n v="13.54"/>
  </r>
  <r>
    <x v="10"/>
    <s v="Kiamichi Technology Center-Talihina               "/>
    <m/>
    <n v="375762"/>
    <x v="9"/>
    <m/>
    <m/>
    <m/>
    <m/>
    <m/>
    <m/>
    <m/>
    <m/>
    <m/>
    <m/>
    <n v="0"/>
    <n v="0"/>
    <n v="0"/>
    <n v="0"/>
    <m/>
    <m/>
    <n v="0"/>
    <n v="0"/>
    <m/>
    <m/>
    <m/>
    <m/>
    <m/>
    <m/>
    <n v="57855"/>
    <n v="28473"/>
    <n v="57855"/>
    <n v="64.283333333333331"/>
    <n v="28473"/>
    <n v="31.636666666666667"/>
    <m/>
    <m/>
    <n v="0"/>
    <n v="0"/>
    <m/>
    <m/>
    <m/>
    <m/>
    <m/>
    <m/>
    <m/>
    <m/>
    <n v="0"/>
    <n v="0"/>
    <n v="0"/>
    <n v="0"/>
    <n v="64.283333333333331"/>
    <n v="31.636666666666667"/>
  </r>
  <r>
    <x v="10"/>
    <s v="Meridian Technology Center                        "/>
    <m/>
    <n v="365480"/>
    <x v="9"/>
    <m/>
    <m/>
    <m/>
    <m/>
    <m/>
    <m/>
    <m/>
    <m/>
    <m/>
    <m/>
    <n v="0"/>
    <n v="0"/>
    <n v="0"/>
    <n v="0"/>
    <m/>
    <m/>
    <n v="0"/>
    <n v="0"/>
    <m/>
    <m/>
    <m/>
    <m/>
    <m/>
    <m/>
    <n v="546093.80000000005"/>
    <n v="261413"/>
    <n v="546093.80000000005"/>
    <n v="606.77088888888898"/>
    <n v="261413"/>
    <n v="290.45888888888891"/>
    <m/>
    <m/>
    <n v="0"/>
    <n v="0"/>
    <m/>
    <m/>
    <m/>
    <m/>
    <m/>
    <m/>
    <m/>
    <m/>
    <n v="0"/>
    <n v="0"/>
    <n v="0"/>
    <n v="0"/>
    <n v="606.77088888888898"/>
    <n v="290.45888888888891"/>
  </r>
  <r>
    <x v="10"/>
    <s v="Metro Technology Centers                          "/>
    <m/>
    <n v="363165"/>
    <x v="9"/>
    <m/>
    <m/>
    <m/>
    <m/>
    <m/>
    <m/>
    <m/>
    <m/>
    <m/>
    <m/>
    <n v="0"/>
    <n v="0"/>
    <n v="0"/>
    <n v="0"/>
    <m/>
    <m/>
    <n v="0"/>
    <n v="0"/>
    <m/>
    <m/>
    <m/>
    <m/>
    <m/>
    <m/>
    <n v="694158.8"/>
    <n v="205995"/>
    <n v="694158.8"/>
    <n v="771.28755555555563"/>
    <n v="205995"/>
    <n v="228.88333333333333"/>
    <m/>
    <m/>
    <n v="0"/>
    <n v="0"/>
    <m/>
    <m/>
    <m/>
    <m/>
    <m/>
    <m/>
    <m/>
    <m/>
    <n v="0"/>
    <n v="0"/>
    <n v="0"/>
    <n v="0"/>
    <n v="771.28755555555563"/>
    <n v="228.88333333333333"/>
  </r>
  <r>
    <x v="10"/>
    <s v="Mid-America Technology Center                     "/>
    <m/>
    <n v="418320"/>
    <x v="9"/>
    <m/>
    <m/>
    <m/>
    <m/>
    <m/>
    <m/>
    <m/>
    <m/>
    <m/>
    <m/>
    <n v="0"/>
    <n v="0"/>
    <n v="0"/>
    <n v="0"/>
    <m/>
    <m/>
    <n v="0"/>
    <n v="0"/>
    <m/>
    <m/>
    <m/>
    <m/>
    <m/>
    <m/>
    <n v="924678"/>
    <n v="314042"/>
    <n v="924678"/>
    <n v="1027.42"/>
    <n v="314042"/>
    <n v="348.93555555555554"/>
    <m/>
    <m/>
    <n v="0"/>
    <n v="0"/>
    <m/>
    <m/>
    <m/>
    <m/>
    <m/>
    <m/>
    <m/>
    <m/>
    <n v="0"/>
    <n v="0"/>
    <n v="0"/>
    <n v="0"/>
    <n v="1027.42"/>
    <n v="348.93555555555554"/>
  </r>
  <r>
    <x v="10"/>
    <s v="Mid-Del Technology Center                         "/>
    <m/>
    <n v="431017"/>
    <x v="9"/>
    <m/>
    <m/>
    <m/>
    <m/>
    <m/>
    <m/>
    <m/>
    <m/>
    <m/>
    <m/>
    <n v="0"/>
    <n v="0"/>
    <n v="0"/>
    <n v="0"/>
    <m/>
    <m/>
    <n v="0"/>
    <n v="0"/>
    <m/>
    <m/>
    <m/>
    <m/>
    <m/>
    <m/>
    <n v="564600"/>
    <n v="216071"/>
    <n v="564600"/>
    <n v="627.33333333333337"/>
    <n v="216071"/>
    <n v="240.07888888888888"/>
    <m/>
    <m/>
    <n v="0"/>
    <n v="0"/>
    <m/>
    <m/>
    <m/>
    <m/>
    <m/>
    <m/>
    <m/>
    <m/>
    <n v="0"/>
    <n v="0"/>
    <n v="0"/>
    <n v="0"/>
    <n v="627.33333333333337"/>
    <n v="240.07888888888888"/>
  </r>
  <r>
    <x v="10"/>
    <s v="Moore Norman Technology Center                    "/>
    <m/>
    <n v="248606"/>
    <x v="9"/>
    <m/>
    <m/>
    <m/>
    <m/>
    <m/>
    <m/>
    <m/>
    <m/>
    <m/>
    <m/>
    <n v="0"/>
    <n v="0"/>
    <n v="0"/>
    <n v="0"/>
    <m/>
    <m/>
    <n v="0"/>
    <n v="0"/>
    <m/>
    <m/>
    <m/>
    <m/>
    <m/>
    <m/>
    <n v="1970282.5"/>
    <n v="431879"/>
    <n v="1970282.5"/>
    <n v="2189.2027777777776"/>
    <n v="431879"/>
    <n v="479.86555555555555"/>
    <m/>
    <m/>
    <n v="0"/>
    <n v="0"/>
    <m/>
    <m/>
    <m/>
    <m/>
    <m/>
    <m/>
    <m/>
    <m/>
    <n v="0"/>
    <n v="0"/>
    <n v="0"/>
    <n v="0"/>
    <n v="2189.2027777777776"/>
    <n v="479.86555555555555"/>
  </r>
  <r>
    <x v="10"/>
    <s v="Northeast Technology Center-Afton                 "/>
    <m/>
    <n v="420459"/>
    <x v="9"/>
    <m/>
    <m/>
    <m/>
    <m/>
    <m/>
    <m/>
    <m/>
    <m/>
    <m/>
    <m/>
    <n v="0"/>
    <n v="0"/>
    <n v="0"/>
    <n v="0"/>
    <m/>
    <m/>
    <n v="0"/>
    <n v="0"/>
    <m/>
    <m/>
    <m/>
    <m/>
    <m/>
    <m/>
    <n v="268268"/>
    <n v="173539"/>
    <n v="268268"/>
    <n v="298.07555555555558"/>
    <n v="173539"/>
    <n v="192.82111111111112"/>
    <m/>
    <m/>
    <n v="0"/>
    <n v="0"/>
    <m/>
    <m/>
    <m/>
    <m/>
    <m/>
    <m/>
    <m/>
    <m/>
    <n v="0"/>
    <n v="0"/>
    <n v="0"/>
    <n v="0"/>
    <n v="298.07555555555558"/>
    <n v="192.82111111111112"/>
  </r>
  <r>
    <x v="10"/>
    <s v="Northeast Technology Center-Claremore"/>
    <m/>
    <n v="456560"/>
    <x v="9"/>
    <m/>
    <m/>
    <m/>
    <m/>
    <m/>
    <m/>
    <m/>
    <m/>
    <m/>
    <m/>
    <n v="0"/>
    <n v="0"/>
    <n v="0"/>
    <n v="0"/>
    <m/>
    <m/>
    <n v="0"/>
    <n v="0"/>
    <m/>
    <m/>
    <m/>
    <m/>
    <m/>
    <m/>
    <n v="188328"/>
    <n v="95716"/>
    <n v="188328"/>
    <n v="209.25333333333333"/>
    <n v="95716"/>
    <n v="106.35111111111111"/>
    <m/>
    <m/>
    <n v="0"/>
    <n v="0"/>
    <m/>
    <m/>
    <m/>
    <m/>
    <m/>
    <m/>
    <m/>
    <m/>
    <n v="0"/>
    <n v="0"/>
    <n v="0"/>
    <n v="0"/>
    <n v="209.25333333333333"/>
    <n v="106.35111111111111"/>
  </r>
  <r>
    <x v="10"/>
    <s v="Northeast Technology Center-Kansas                "/>
    <m/>
    <n v="432074"/>
    <x v="9"/>
    <m/>
    <m/>
    <m/>
    <m/>
    <m/>
    <m/>
    <m/>
    <m/>
    <m/>
    <m/>
    <n v="0"/>
    <n v="0"/>
    <n v="0"/>
    <n v="0"/>
    <m/>
    <m/>
    <n v="0"/>
    <n v="0"/>
    <m/>
    <m/>
    <m/>
    <m/>
    <m/>
    <m/>
    <n v="144608"/>
    <n v="85937"/>
    <n v="144608"/>
    <n v="160.67555555555555"/>
    <n v="85937"/>
    <n v="95.48555555555555"/>
    <m/>
    <m/>
    <n v="0"/>
    <n v="0"/>
    <m/>
    <m/>
    <m/>
    <m/>
    <m/>
    <m/>
    <m/>
    <m/>
    <n v="0"/>
    <n v="0"/>
    <n v="0"/>
    <n v="0"/>
    <n v="160.67555555555555"/>
    <n v="95.48555555555555"/>
  </r>
  <r>
    <x v="10"/>
    <s v="Northeast Technology Center-Pryor                 "/>
    <m/>
    <n v="418339"/>
    <x v="9"/>
    <m/>
    <m/>
    <m/>
    <m/>
    <m/>
    <m/>
    <m/>
    <m/>
    <m/>
    <m/>
    <n v="0"/>
    <n v="0"/>
    <n v="0"/>
    <n v="0"/>
    <m/>
    <m/>
    <n v="0"/>
    <n v="0"/>
    <m/>
    <m/>
    <m/>
    <m/>
    <m/>
    <m/>
    <n v="291293.5"/>
    <n v="159015"/>
    <n v="291293.5"/>
    <n v="323.65944444444443"/>
    <n v="159015"/>
    <n v="176.68333333333334"/>
    <m/>
    <m/>
    <n v="0"/>
    <n v="0"/>
    <m/>
    <m/>
    <m/>
    <m/>
    <m/>
    <m/>
    <m/>
    <m/>
    <n v="0"/>
    <n v="0"/>
    <n v="0"/>
    <n v="0"/>
    <n v="323.65944444444443"/>
    <n v="176.68333333333334"/>
  </r>
  <r>
    <x v="10"/>
    <s v="Northwest Technology Center-Alva                  "/>
    <m/>
    <n v="366623"/>
    <x v="9"/>
    <m/>
    <m/>
    <m/>
    <m/>
    <m/>
    <m/>
    <m/>
    <m/>
    <m/>
    <m/>
    <n v="0"/>
    <n v="0"/>
    <n v="0"/>
    <n v="0"/>
    <m/>
    <m/>
    <n v="0"/>
    <n v="0"/>
    <m/>
    <m/>
    <m/>
    <m/>
    <m/>
    <m/>
    <n v="90094.5"/>
    <n v="60225"/>
    <n v="90094.5"/>
    <n v="100.105"/>
    <n v="60225"/>
    <n v="66.916666666666671"/>
    <m/>
    <m/>
    <n v="0"/>
    <n v="0"/>
    <m/>
    <m/>
    <m/>
    <m/>
    <m/>
    <m/>
    <m/>
    <m/>
    <n v="0"/>
    <n v="0"/>
    <n v="0"/>
    <n v="0"/>
    <n v="100.105"/>
    <n v="66.916666666666671"/>
  </r>
  <r>
    <x v="10"/>
    <s v="Northwest Technology Center-Fairview              "/>
    <m/>
    <n v="407601"/>
    <x v="9"/>
    <m/>
    <m/>
    <m/>
    <m/>
    <m/>
    <m/>
    <m/>
    <m/>
    <m/>
    <m/>
    <n v="0"/>
    <n v="0"/>
    <n v="0"/>
    <n v="0"/>
    <m/>
    <m/>
    <n v="0"/>
    <n v="0"/>
    <m/>
    <m/>
    <m/>
    <m/>
    <m/>
    <m/>
    <n v="59402"/>
    <n v="37854"/>
    <n v="59402"/>
    <n v="66.002222222222215"/>
    <n v="37854"/>
    <n v="42.06"/>
    <m/>
    <m/>
    <n v="0"/>
    <n v="0"/>
    <m/>
    <m/>
    <m/>
    <m/>
    <m/>
    <m/>
    <m/>
    <m/>
    <n v="0"/>
    <n v="0"/>
    <n v="0"/>
    <n v="0"/>
    <n v="66.002222222222215"/>
    <n v="42.06"/>
  </r>
  <r>
    <x v="10"/>
    <s v="Pioneer Technology Center                         "/>
    <m/>
    <n v="364627"/>
    <x v="9"/>
    <m/>
    <m/>
    <m/>
    <m/>
    <m/>
    <m/>
    <m/>
    <m/>
    <m/>
    <m/>
    <n v="0"/>
    <n v="0"/>
    <n v="0"/>
    <n v="0"/>
    <m/>
    <m/>
    <n v="0"/>
    <n v="0"/>
    <m/>
    <m/>
    <m/>
    <m/>
    <m/>
    <m/>
    <n v="289198"/>
    <n v="159048"/>
    <n v="289198"/>
    <n v="321.33111111111111"/>
    <n v="159048"/>
    <n v="176.72"/>
    <m/>
    <m/>
    <n v="0"/>
    <n v="0"/>
    <m/>
    <m/>
    <m/>
    <m/>
    <m/>
    <m/>
    <m/>
    <m/>
    <n v="0"/>
    <n v="0"/>
    <n v="0"/>
    <n v="0"/>
    <n v="321.33111111111111"/>
    <n v="176.72"/>
  </r>
  <r>
    <x v="10"/>
    <s v="Pontotoc Technology Center                        "/>
    <m/>
    <n v="206905"/>
    <x v="9"/>
    <m/>
    <m/>
    <m/>
    <m/>
    <m/>
    <m/>
    <m/>
    <m/>
    <m/>
    <m/>
    <n v="0"/>
    <n v="0"/>
    <n v="0"/>
    <n v="0"/>
    <m/>
    <m/>
    <n v="0"/>
    <n v="0"/>
    <m/>
    <m/>
    <m/>
    <m/>
    <m/>
    <m/>
    <n v="182868.6"/>
    <n v="124016"/>
    <n v="182868.6"/>
    <n v="203.18733333333333"/>
    <n v="124016"/>
    <n v="137.79555555555555"/>
    <m/>
    <m/>
    <n v="0"/>
    <n v="0"/>
    <m/>
    <m/>
    <m/>
    <m/>
    <m/>
    <m/>
    <m/>
    <m/>
    <n v="0"/>
    <n v="0"/>
    <n v="0"/>
    <n v="0"/>
    <n v="203.18733333333333"/>
    <n v="137.79555555555555"/>
  </r>
  <r>
    <x v="10"/>
    <s v="Red River Technology Center                       "/>
    <m/>
    <n v="250993"/>
    <x v="9"/>
    <m/>
    <m/>
    <m/>
    <m/>
    <m/>
    <m/>
    <m/>
    <m/>
    <m/>
    <m/>
    <n v="0"/>
    <n v="0"/>
    <n v="0"/>
    <n v="0"/>
    <m/>
    <m/>
    <n v="0"/>
    <n v="0"/>
    <m/>
    <m/>
    <m/>
    <m/>
    <m/>
    <m/>
    <n v="456748.1"/>
    <n v="151656"/>
    <n v="456748.1"/>
    <n v="507.49788888888884"/>
    <n v="151656"/>
    <n v="168.50666666666666"/>
    <m/>
    <m/>
    <n v="0"/>
    <n v="0"/>
    <m/>
    <m/>
    <m/>
    <m/>
    <m/>
    <m/>
    <m/>
    <m/>
    <n v="0"/>
    <n v="0"/>
    <n v="0"/>
    <n v="0"/>
    <n v="507.49788888888884"/>
    <n v="168.50666666666666"/>
  </r>
  <r>
    <x v="10"/>
    <s v="Southern Oklahoma Technology Center               "/>
    <m/>
    <n v="365198"/>
    <x v="9"/>
    <m/>
    <m/>
    <m/>
    <m/>
    <m/>
    <m/>
    <m/>
    <m/>
    <m/>
    <m/>
    <n v="0"/>
    <n v="0"/>
    <n v="0"/>
    <n v="0"/>
    <m/>
    <m/>
    <n v="0"/>
    <n v="0"/>
    <m/>
    <m/>
    <m/>
    <m/>
    <m/>
    <m/>
    <n v="785593.7"/>
    <n v="245095"/>
    <n v="785593.7"/>
    <n v="872.88188888888885"/>
    <n v="245095"/>
    <n v="272.32777777777778"/>
    <m/>
    <m/>
    <n v="0"/>
    <n v="0"/>
    <m/>
    <m/>
    <m/>
    <m/>
    <m/>
    <m/>
    <m/>
    <m/>
    <n v="0"/>
    <n v="0"/>
    <n v="0"/>
    <n v="0"/>
    <n v="872.88188888888885"/>
    <n v="272.32777777777778"/>
  </r>
  <r>
    <x v="10"/>
    <s v="Southwest Technology Center                       "/>
    <m/>
    <n v="368364"/>
    <x v="9"/>
    <m/>
    <m/>
    <m/>
    <m/>
    <m/>
    <m/>
    <m/>
    <m/>
    <m/>
    <m/>
    <n v="0"/>
    <n v="0"/>
    <n v="0"/>
    <n v="0"/>
    <m/>
    <m/>
    <n v="0"/>
    <n v="0"/>
    <m/>
    <m/>
    <m/>
    <m/>
    <m/>
    <m/>
    <n v="198633.5"/>
    <n v="155110"/>
    <n v="198633.5"/>
    <n v="220.70388888888888"/>
    <n v="155110"/>
    <n v="172.34444444444443"/>
    <m/>
    <m/>
    <n v="0"/>
    <n v="0"/>
    <m/>
    <m/>
    <m/>
    <m/>
    <m/>
    <m/>
    <m/>
    <m/>
    <n v="0"/>
    <n v="0"/>
    <n v="0"/>
    <n v="0"/>
    <n v="220.70388888888888"/>
    <n v="172.34444444444443"/>
  </r>
  <r>
    <x v="10"/>
    <s v="Tri County Technology Center                      "/>
    <m/>
    <n v="418287"/>
    <x v="9"/>
    <m/>
    <m/>
    <m/>
    <m/>
    <m/>
    <m/>
    <m/>
    <m/>
    <m/>
    <m/>
    <n v="0"/>
    <n v="0"/>
    <n v="0"/>
    <n v="0"/>
    <m/>
    <m/>
    <n v="0"/>
    <n v="0"/>
    <m/>
    <m/>
    <m/>
    <m/>
    <m/>
    <m/>
    <n v="309395"/>
    <n v="205091"/>
    <n v="309395"/>
    <n v="343.77222222222224"/>
    <n v="205091"/>
    <n v="227.87888888888889"/>
    <m/>
    <m/>
    <n v="0"/>
    <n v="0"/>
    <m/>
    <m/>
    <m/>
    <m/>
    <m/>
    <m/>
    <m/>
    <m/>
    <n v="0"/>
    <n v="0"/>
    <n v="0"/>
    <n v="0"/>
    <n v="343.77222222222224"/>
    <n v="227.87888888888889"/>
  </r>
  <r>
    <x v="10"/>
    <s v="Tulsa County Area Voc Tech School Dist 18-Peoria  "/>
    <m/>
    <n v="207607"/>
    <x v="9"/>
    <m/>
    <m/>
    <m/>
    <m/>
    <m/>
    <m/>
    <m/>
    <m/>
    <m/>
    <m/>
    <n v="0"/>
    <n v="0"/>
    <n v="0"/>
    <n v="0"/>
    <m/>
    <m/>
    <n v="0"/>
    <n v="0"/>
    <m/>
    <m/>
    <m/>
    <m/>
    <m/>
    <m/>
    <n v="333342"/>
    <n v="248842"/>
    <n v="333342"/>
    <n v="370.38"/>
    <n v="248842"/>
    <n v="276.49111111111114"/>
    <m/>
    <m/>
    <n v="0"/>
    <n v="0"/>
    <m/>
    <m/>
    <m/>
    <m/>
    <m/>
    <m/>
    <m/>
    <m/>
    <n v="0"/>
    <n v="0"/>
    <n v="0"/>
    <n v="0"/>
    <n v="370.38"/>
    <n v="276.49111111111114"/>
  </r>
  <r>
    <x v="10"/>
    <s v="Tulsa Technology Center-Broken Arrow Campus       "/>
    <m/>
    <n v="261393"/>
    <x v="9"/>
    <m/>
    <m/>
    <m/>
    <m/>
    <m/>
    <m/>
    <m/>
    <m/>
    <m/>
    <m/>
    <n v="0"/>
    <n v="0"/>
    <n v="0"/>
    <n v="0"/>
    <m/>
    <m/>
    <n v="0"/>
    <n v="0"/>
    <m/>
    <m/>
    <m/>
    <m/>
    <m/>
    <m/>
    <n v="424787.5"/>
    <n v="318692"/>
    <n v="424787.5"/>
    <n v="471.98611111111109"/>
    <n v="318692"/>
    <n v="354.10222222222222"/>
    <m/>
    <m/>
    <n v="0"/>
    <n v="0"/>
    <m/>
    <m/>
    <m/>
    <m/>
    <m/>
    <m/>
    <m/>
    <m/>
    <n v="0"/>
    <n v="0"/>
    <n v="0"/>
    <n v="0"/>
    <n v="471.98611111111109"/>
    <n v="354.10222222222222"/>
  </r>
  <r>
    <x v="10"/>
    <s v="Tulsa Technology Center-Owasso"/>
    <m/>
    <n v="482264"/>
    <x v="9"/>
    <m/>
    <m/>
    <m/>
    <m/>
    <m/>
    <m/>
    <m/>
    <m/>
    <m/>
    <m/>
    <n v="0"/>
    <n v="0"/>
    <n v="0"/>
    <n v="0"/>
    <m/>
    <m/>
    <n v="0"/>
    <n v="0"/>
    <m/>
    <m/>
    <m/>
    <m/>
    <m/>
    <m/>
    <n v="251858"/>
    <n v="210342"/>
    <n v="251858"/>
    <n v="279.84222222222223"/>
    <n v="210342"/>
    <n v="233.71333333333334"/>
    <m/>
    <m/>
    <n v="0"/>
    <n v="0"/>
    <m/>
    <m/>
    <m/>
    <m/>
    <m/>
    <m/>
    <m/>
    <m/>
    <n v="0"/>
    <n v="0"/>
    <n v="0"/>
    <n v="0"/>
    <n v="279.84222222222223"/>
    <n v="233.71333333333334"/>
  </r>
  <r>
    <x v="10"/>
    <s v="Tulsa Technology Center-Riverside Campus          "/>
    <m/>
    <n v="261384"/>
    <x v="9"/>
    <m/>
    <m/>
    <m/>
    <m/>
    <m/>
    <m/>
    <m/>
    <m/>
    <m/>
    <m/>
    <n v="0"/>
    <n v="0"/>
    <n v="0"/>
    <n v="0"/>
    <m/>
    <m/>
    <n v="0"/>
    <n v="0"/>
    <m/>
    <m/>
    <m/>
    <m/>
    <m/>
    <m/>
    <n v="433976"/>
    <n v="287920"/>
    <n v="433976"/>
    <n v="482.19555555555553"/>
    <n v="287920"/>
    <n v="319.9111111111111"/>
    <m/>
    <m/>
    <n v="0"/>
    <n v="0"/>
    <m/>
    <m/>
    <m/>
    <m/>
    <m/>
    <m/>
    <m/>
    <m/>
    <n v="0"/>
    <n v="0"/>
    <n v="0"/>
    <n v="0"/>
    <n v="482.19555555555553"/>
    <n v="319.9111111111111"/>
  </r>
  <r>
    <x v="10"/>
    <s v="Tulsa Technology Center-Sand Springs"/>
    <m/>
    <n v="482273"/>
    <x v="9"/>
    <m/>
    <m/>
    <m/>
    <m/>
    <m/>
    <m/>
    <m/>
    <m/>
    <m/>
    <m/>
    <n v="0"/>
    <n v="0"/>
    <n v="0"/>
    <n v="0"/>
    <m/>
    <m/>
    <n v="0"/>
    <n v="0"/>
    <m/>
    <m/>
    <m/>
    <m/>
    <m/>
    <m/>
    <n v="126993"/>
    <n v="97281"/>
    <n v="126993"/>
    <n v="141.10333333333332"/>
    <n v="97281"/>
    <n v="108.09"/>
    <m/>
    <m/>
    <n v="0"/>
    <n v="0"/>
    <m/>
    <m/>
    <m/>
    <m/>
    <m/>
    <m/>
    <m/>
    <m/>
    <n v="0"/>
    <n v="0"/>
    <n v="0"/>
    <n v="0"/>
    <n v="141.10333333333332"/>
    <n v="108.09"/>
  </r>
  <r>
    <x v="10"/>
    <s v="Wes Watkins Technology Center                     "/>
    <m/>
    <n v="418357"/>
    <x v="9"/>
    <m/>
    <m/>
    <m/>
    <m/>
    <m/>
    <m/>
    <m/>
    <m/>
    <m/>
    <m/>
    <n v="0"/>
    <n v="0"/>
    <n v="0"/>
    <n v="0"/>
    <m/>
    <m/>
    <n v="0"/>
    <n v="0"/>
    <m/>
    <m/>
    <m/>
    <m/>
    <m/>
    <m/>
    <n v="131116.70000000001"/>
    <n v="67290"/>
    <n v="131116.70000000001"/>
    <n v="145.68522222222222"/>
    <n v="67290"/>
    <n v="74.766666666666666"/>
    <m/>
    <m/>
    <n v="0"/>
    <n v="0"/>
    <m/>
    <m/>
    <m/>
    <m/>
    <m/>
    <m/>
    <m/>
    <m/>
    <n v="0"/>
    <n v="0"/>
    <n v="0"/>
    <n v="0"/>
    <n v="145.68522222222222"/>
    <n v="74.766666666666666"/>
  </r>
  <r>
    <x v="10"/>
    <s v="Western Technology Center                         "/>
    <m/>
    <n v="418302"/>
    <x v="9"/>
    <m/>
    <m/>
    <m/>
    <m/>
    <m/>
    <m/>
    <m/>
    <m/>
    <m/>
    <m/>
    <n v="0"/>
    <n v="0"/>
    <n v="0"/>
    <n v="0"/>
    <m/>
    <m/>
    <n v="0"/>
    <n v="0"/>
    <m/>
    <m/>
    <m/>
    <m/>
    <m/>
    <m/>
    <n v="344865.8"/>
    <n v="172100"/>
    <n v="344865.8"/>
    <n v="383.18422222222222"/>
    <n v="172100"/>
    <n v="191.22222222222223"/>
    <m/>
    <m/>
    <n v="0"/>
    <n v="0"/>
    <m/>
    <m/>
    <m/>
    <m/>
    <m/>
    <m/>
    <m/>
    <m/>
    <n v="0"/>
    <n v="0"/>
    <n v="0"/>
    <n v="0"/>
    <n v="383.18422222222222"/>
    <n v="191.22222222222223"/>
  </r>
  <r>
    <x v="11"/>
    <s v="Clemson University"/>
    <m/>
    <n v="217882"/>
    <x v="0"/>
    <m/>
    <m/>
    <m/>
    <m/>
    <n v="278087"/>
    <n v="289745"/>
    <n v="37821"/>
    <n v="38247"/>
    <n v="313062"/>
    <n v="323315"/>
    <n v="628970"/>
    <n v="20965.666666666668"/>
    <n v="651307"/>
    <n v="21710.233333333334"/>
    <n v="193"/>
    <n v="201"/>
    <n v="628970"/>
    <n v="651307"/>
    <m/>
    <m/>
    <m/>
    <m/>
    <m/>
    <m/>
    <m/>
    <m/>
    <n v="0"/>
    <n v="0"/>
    <n v="0"/>
    <n v="0"/>
    <m/>
    <m/>
    <n v="0"/>
    <n v="0"/>
    <m/>
    <m/>
    <n v="41544"/>
    <n v="40322"/>
    <n v="18335"/>
    <n v="17942"/>
    <n v="43439"/>
    <n v="44426"/>
    <n v="103318"/>
    <n v="4304.916666666667"/>
    <n v="102690"/>
    <n v="4278.75"/>
    <n v="25270.583333333336"/>
    <n v="25988.983333333334"/>
  </r>
  <r>
    <x v="11"/>
    <s v="University of South Carolina-Columbia"/>
    <m/>
    <n v="218663"/>
    <x v="0"/>
    <m/>
    <m/>
    <m/>
    <m/>
    <n v="380399"/>
    <n v="374567"/>
    <n v="49747"/>
    <n v="46185"/>
    <n v="407477"/>
    <n v="397546"/>
    <n v="837623"/>
    <n v="27920.766666666666"/>
    <n v="818298"/>
    <n v="27276.6"/>
    <n v="31"/>
    <n v="34"/>
    <n v="837623"/>
    <n v="818298"/>
    <m/>
    <m/>
    <m/>
    <m/>
    <m/>
    <m/>
    <m/>
    <m/>
    <n v="0"/>
    <n v="0"/>
    <n v="0"/>
    <n v="0"/>
    <m/>
    <m/>
    <n v="0"/>
    <n v="0"/>
    <m/>
    <m/>
    <n v="73935"/>
    <n v="77524"/>
    <n v="24450"/>
    <n v="26610"/>
    <n v="80396"/>
    <n v="83401"/>
    <n v="178781"/>
    <n v="7449.208333333333"/>
    <n v="187535"/>
    <n v="7813.958333333333"/>
    <n v="35369.974999999999"/>
    <n v="35090.558333333334"/>
  </r>
  <r>
    <x v="11"/>
    <s v="College of Charleston"/>
    <m/>
    <n v="217819"/>
    <x v="2"/>
    <m/>
    <m/>
    <m/>
    <m/>
    <n v="130713"/>
    <n v="126725"/>
    <n v="15498"/>
    <n v="14510"/>
    <n v="133970"/>
    <n v="142627"/>
    <n v="280181"/>
    <n v="9339.3666666666668"/>
    <n v="283862"/>
    <n v="9462.0666666666675"/>
    <n v="777"/>
    <n v="520"/>
    <n v="280181"/>
    <n v="283862"/>
    <m/>
    <m/>
    <m/>
    <m/>
    <m/>
    <m/>
    <m/>
    <m/>
    <n v="0"/>
    <n v="0"/>
    <n v="0"/>
    <n v="0"/>
    <m/>
    <m/>
    <n v="0"/>
    <n v="0"/>
    <m/>
    <m/>
    <n v="6457"/>
    <n v="6078"/>
    <n v="4291"/>
    <n v="4040"/>
    <n v="5644"/>
    <n v="5734"/>
    <n v="16392"/>
    <n v="683"/>
    <n v="15852"/>
    <n v="660.5"/>
    <n v="10022.366666666667"/>
    <n v="10122.566666666668"/>
  </r>
  <r>
    <x v="11"/>
    <s v="The Citadel, the Military College of South Carolina "/>
    <m/>
    <n v="217864"/>
    <x v="2"/>
    <m/>
    <m/>
    <m/>
    <m/>
    <n v="46280"/>
    <n v="44715"/>
    <n v="5770"/>
    <n v="5693"/>
    <n v="46368"/>
    <n v="44702"/>
    <n v="98418"/>
    <n v="3280.6"/>
    <n v="95110"/>
    <n v="3170.3333333333335"/>
    <n v="3"/>
    <n v="9"/>
    <n v="98418"/>
    <n v="95110"/>
    <m/>
    <m/>
    <m/>
    <m/>
    <m/>
    <m/>
    <m/>
    <m/>
    <n v="0"/>
    <n v="0"/>
    <n v="0"/>
    <n v="0"/>
    <m/>
    <m/>
    <n v="0"/>
    <n v="0"/>
    <m/>
    <m/>
    <n v="5035"/>
    <n v="6142"/>
    <n v="4062"/>
    <n v="4951"/>
    <n v="5574"/>
    <n v="5895"/>
    <n v="14671"/>
    <n v="611.29166666666663"/>
    <n v="16988"/>
    <n v="707.83333333333337"/>
    <n v="3891.8916666666664"/>
    <n v="3878.166666666667"/>
  </r>
  <r>
    <x v="11"/>
    <s v="Winthrop University "/>
    <m/>
    <n v="218964"/>
    <x v="2"/>
    <m/>
    <m/>
    <m/>
    <m/>
    <n v="62726.5"/>
    <n v="57958"/>
    <n v="5725.5"/>
    <n v="5633"/>
    <n v="63850.5"/>
    <n v="56476"/>
    <n v="132302.5"/>
    <n v="4410.083333333333"/>
    <n v="120067"/>
    <n v="4002.2333333333331"/>
    <n v="1110"/>
    <n v="1065"/>
    <n v="132302.5"/>
    <n v="120067"/>
    <m/>
    <m/>
    <m/>
    <m/>
    <m/>
    <m/>
    <m/>
    <m/>
    <n v="0"/>
    <n v="0"/>
    <n v="0"/>
    <n v="0"/>
    <m/>
    <m/>
    <n v="0"/>
    <n v="0"/>
    <m/>
    <m/>
    <n v="6734"/>
    <n v="7880"/>
    <n v="4773"/>
    <n v="5110"/>
    <n v="7860"/>
    <n v="7798"/>
    <n v="19367"/>
    <n v="806.95833333333337"/>
    <n v="20788"/>
    <n v="866.16666666666663"/>
    <n v="5217.0416666666661"/>
    <n v="4868.3999999999996"/>
  </r>
  <r>
    <x v="11"/>
    <s v="Coastal Carolina University"/>
    <m/>
    <n v="218724"/>
    <x v="3"/>
    <m/>
    <m/>
    <m/>
    <m/>
    <n v="128539"/>
    <n v="124068"/>
    <n v="17440"/>
    <n v="15819"/>
    <n v="137780"/>
    <n v="143105"/>
    <n v="283759"/>
    <n v="9458.6333333333332"/>
    <n v="282992"/>
    <n v="9433.0666666666675"/>
    <n v="2560"/>
    <n v="2472"/>
    <n v="283759"/>
    <n v="282992"/>
    <m/>
    <m/>
    <m/>
    <m/>
    <m/>
    <m/>
    <m/>
    <m/>
    <n v="0"/>
    <n v="0"/>
    <n v="0"/>
    <n v="0"/>
    <m/>
    <m/>
    <n v="0"/>
    <n v="0"/>
    <m/>
    <m/>
    <n v="4166"/>
    <n v="4352"/>
    <n v="4125"/>
    <n v="3715"/>
    <n v="4100"/>
    <n v="4254"/>
    <n v="12391"/>
    <n v="516.29166666666663"/>
    <n v="12321"/>
    <n v="513.375"/>
    <n v="9974.9249999999993"/>
    <n v="9946.4416666666675"/>
  </r>
  <r>
    <x v="11"/>
    <s v="Francis Marion University "/>
    <m/>
    <n v="218061"/>
    <x v="4"/>
    <m/>
    <m/>
    <m/>
    <m/>
    <n v="42314"/>
    <n v="39846"/>
    <n v="3092"/>
    <n v="2838"/>
    <n v="46182"/>
    <n v="44201"/>
    <n v="91588"/>
    <n v="3052.9333333333334"/>
    <n v="86885"/>
    <n v="2896.1666666666665"/>
    <n v="4814"/>
    <n v="4965"/>
    <n v="91588"/>
    <n v="86885"/>
    <m/>
    <m/>
    <m/>
    <m/>
    <m/>
    <m/>
    <m/>
    <m/>
    <n v="0"/>
    <n v="0"/>
    <n v="0"/>
    <n v="0"/>
    <m/>
    <m/>
    <n v="0"/>
    <n v="0"/>
    <m/>
    <m/>
    <n v="3164"/>
    <n v="3027"/>
    <n v="3259"/>
    <n v="2869"/>
    <n v="4420"/>
    <n v="3119"/>
    <n v="10843"/>
    <n v="451.79166666666669"/>
    <n v="9015"/>
    <n v="375.625"/>
    <n v="3504.7249999999999"/>
    <n v="3271.7916666666665"/>
  </r>
  <r>
    <x v="11"/>
    <s v="South Carolina State University "/>
    <m/>
    <n v="218733"/>
    <x v="4"/>
    <m/>
    <m/>
    <m/>
    <m/>
    <n v="28262"/>
    <n v="23585"/>
    <n v="2270"/>
    <n v="2338"/>
    <n v="28376"/>
    <n v="29280"/>
    <n v="58908"/>
    <n v="1963.6"/>
    <n v="55203"/>
    <n v="1840.1"/>
    <n v="138"/>
    <n v="144"/>
    <n v="58908"/>
    <n v="55203"/>
    <m/>
    <m/>
    <m/>
    <m/>
    <m/>
    <m/>
    <m/>
    <m/>
    <n v="0"/>
    <n v="0"/>
    <n v="0"/>
    <n v="0"/>
    <m/>
    <m/>
    <n v="0"/>
    <n v="0"/>
    <m/>
    <m/>
    <n v="2158"/>
    <n v="2247"/>
    <n v="956"/>
    <n v="1201"/>
    <n v="2447"/>
    <n v="2375"/>
    <n v="5561"/>
    <n v="231.70833333333334"/>
    <n v="5823"/>
    <n v="242.625"/>
    <n v="2195.3083333333334"/>
    <n v="2082.7249999999999"/>
  </r>
  <r>
    <x v="11"/>
    <s v="Lander University"/>
    <s v="Met the criteria for Four-Year 5 in 2021-22"/>
    <n v="218229"/>
    <x v="11"/>
    <m/>
    <m/>
    <m/>
    <m/>
    <n v="41599.5"/>
    <n v="43699.5"/>
    <n v="3449.5"/>
    <n v="4476"/>
    <n v="49907"/>
    <n v="51620"/>
    <n v="94956"/>
    <n v="3165.2"/>
    <n v="99795.5"/>
    <n v="3326.5166666666669"/>
    <n v="663"/>
    <n v="1068"/>
    <n v="94956"/>
    <n v="99795.5"/>
    <m/>
    <m/>
    <m/>
    <m/>
    <m/>
    <m/>
    <m/>
    <m/>
    <n v="0"/>
    <n v="0"/>
    <n v="0"/>
    <n v="0"/>
    <m/>
    <m/>
    <n v="0"/>
    <n v="0"/>
    <m/>
    <m/>
    <n v="608"/>
    <n v="890"/>
    <n v="665"/>
    <n v="916"/>
    <n v="886"/>
    <n v="1541"/>
    <n v="2159"/>
    <n v="89.958333333333329"/>
    <n v="3347"/>
    <n v="139.45833333333334"/>
    <n v="3255.1583333333333"/>
    <n v="3465.9750000000004"/>
  </r>
  <r>
    <x v="11"/>
    <s v="University of South Carolina-Aiken"/>
    <s v="Reclassified Met the criteria for Four-Year 5 in 2019-20 and 2020-21, and 2021, 22"/>
    <n v="218645"/>
    <x v="4"/>
    <m/>
    <m/>
    <m/>
    <m/>
    <n v="37525"/>
    <n v="36287"/>
    <n v="5890"/>
    <n v="6304"/>
    <n v="42006"/>
    <n v="39700"/>
    <n v="85421"/>
    <n v="2847.3666666666668"/>
    <n v="82291"/>
    <n v="2743.0333333333333"/>
    <n v="2063"/>
    <n v="2734"/>
    <n v="85421"/>
    <n v="82291"/>
    <m/>
    <m/>
    <m/>
    <m/>
    <m/>
    <m/>
    <m/>
    <m/>
    <n v="0"/>
    <n v="0"/>
    <n v="0"/>
    <n v="0"/>
    <m/>
    <m/>
    <n v="0"/>
    <n v="0"/>
    <m/>
    <m/>
    <n v="2517"/>
    <n v="5067"/>
    <n v="1833"/>
    <n v="3707"/>
    <n v="3712"/>
    <n v="4454"/>
    <n v="8062"/>
    <n v="335.91666666666669"/>
    <n v="13228"/>
    <n v="551.16666666666663"/>
    <n v="3183.2833333333333"/>
    <n v="3294.2"/>
  </r>
  <r>
    <x v="11"/>
    <s v="University of South Carolina-Beaufort"/>
    <m/>
    <n v="218654"/>
    <x v="11"/>
    <m/>
    <m/>
    <m/>
    <m/>
    <n v="26682"/>
    <n v="24139"/>
    <n v="4024"/>
    <n v="3640"/>
    <n v="27074"/>
    <n v="26579"/>
    <n v="57780"/>
    <n v="1926"/>
    <n v="54358"/>
    <n v="1811.9333333333334"/>
    <n v="1274"/>
    <n v="1549"/>
    <n v="57780"/>
    <n v="54358"/>
    <m/>
    <m/>
    <m/>
    <m/>
    <m/>
    <m/>
    <m/>
    <m/>
    <n v="0"/>
    <n v="0"/>
    <n v="0"/>
    <n v="0"/>
    <m/>
    <m/>
    <n v="0"/>
    <n v="0"/>
    <m/>
    <m/>
    <n v="48"/>
    <n v="48"/>
    <m/>
    <n v="66"/>
    <n v="48"/>
    <n v="90"/>
    <n v="96"/>
    <n v="4"/>
    <n v="204"/>
    <n v="8.5"/>
    <n v="1930"/>
    <n v="1820.4333333333334"/>
  </r>
  <r>
    <x v="11"/>
    <s v="University of South Carolina-Upstate"/>
    <s v="Met the criteria for Four-Year 5 in 2021-22"/>
    <n v="218742"/>
    <x v="11"/>
    <m/>
    <m/>
    <m/>
    <m/>
    <n v="67923"/>
    <n v="63925"/>
    <n v="10120"/>
    <n v="9641"/>
    <n v="71420"/>
    <n v="64607"/>
    <n v="149463"/>
    <n v="4982.1000000000004"/>
    <n v="138173"/>
    <n v="4605.7666666666664"/>
    <n v="4463"/>
    <n v="4454"/>
    <n v="149463"/>
    <n v="138173"/>
    <m/>
    <m/>
    <m/>
    <m/>
    <m/>
    <m/>
    <m/>
    <m/>
    <n v="0"/>
    <n v="0"/>
    <n v="0"/>
    <n v="0"/>
    <m/>
    <m/>
    <n v="0"/>
    <n v="0"/>
    <m/>
    <m/>
    <n v="2335"/>
    <n v="2414"/>
    <n v="2010"/>
    <n v="1944"/>
    <n v="2706"/>
    <n v="2460"/>
    <n v="7051"/>
    <n v="293.79166666666669"/>
    <n v="6818"/>
    <n v="284.08333333333331"/>
    <n v="5275.8916666666673"/>
    <n v="4889.8499999999995"/>
  </r>
  <r>
    <x v="11"/>
    <s v="Greenville Technical College "/>
    <m/>
    <n v="218113"/>
    <x v="5"/>
    <m/>
    <m/>
    <m/>
    <m/>
    <n v="90725"/>
    <n v="82567"/>
    <n v="32803"/>
    <n v="32267"/>
    <n v="100387"/>
    <n v="92449"/>
    <n v="223915"/>
    <n v="7463.833333333333"/>
    <n v="207283"/>
    <n v="6909.4333333333334"/>
    <n v="18654"/>
    <n v="17340"/>
    <n v="223915"/>
    <n v="207283"/>
    <m/>
    <m/>
    <m/>
    <m/>
    <m/>
    <m/>
    <m/>
    <m/>
    <n v="0"/>
    <n v="0"/>
    <n v="0"/>
    <n v="0"/>
    <m/>
    <m/>
    <n v="0"/>
    <n v="0"/>
    <m/>
    <m/>
    <m/>
    <m/>
    <m/>
    <m/>
    <m/>
    <m/>
    <n v="0"/>
    <n v="0"/>
    <n v="0"/>
    <n v="0"/>
    <n v="7463.833333333333"/>
    <n v="6909.4333333333334"/>
  </r>
  <r>
    <x v="11"/>
    <s v="Horry-Georgetown Technical College "/>
    <s v="Met the criteria for Two-Year 2 in 2020-21, and 2021-22"/>
    <n v="218140"/>
    <x v="5"/>
    <m/>
    <m/>
    <m/>
    <m/>
    <n v="62140"/>
    <n v="58168"/>
    <n v="21329"/>
    <n v="22065"/>
    <n v="65184"/>
    <n v="63357"/>
    <n v="148653"/>
    <n v="4955.1000000000004"/>
    <n v="143590"/>
    <n v="4786.333333333333"/>
    <n v="10087"/>
    <n v="13425"/>
    <n v="148653"/>
    <n v="143590"/>
    <m/>
    <m/>
    <m/>
    <m/>
    <m/>
    <m/>
    <m/>
    <m/>
    <n v="0"/>
    <n v="0"/>
    <n v="0"/>
    <n v="0"/>
    <m/>
    <m/>
    <n v="0"/>
    <n v="0"/>
    <m/>
    <m/>
    <m/>
    <m/>
    <m/>
    <m/>
    <m/>
    <m/>
    <n v="0"/>
    <n v="0"/>
    <n v="0"/>
    <n v="0"/>
    <n v="4955.1000000000004"/>
    <n v="4786.333333333333"/>
  </r>
  <r>
    <x v="11"/>
    <s v="Midlands Technical College "/>
    <m/>
    <n v="218353"/>
    <x v="5"/>
    <m/>
    <m/>
    <m/>
    <m/>
    <n v="82915"/>
    <n v="75537"/>
    <n v="28199"/>
    <n v="28235"/>
    <n v="86052"/>
    <n v="84255"/>
    <n v="197166"/>
    <n v="6572.2"/>
    <n v="188027"/>
    <n v="6267.5666666666666"/>
    <n v="8502"/>
    <n v="11429"/>
    <n v="197166"/>
    <n v="188027"/>
    <m/>
    <m/>
    <m/>
    <m/>
    <m/>
    <m/>
    <m/>
    <m/>
    <n v="0"/>
    <n v="0"/>
    <n v="0"/>
    <n v="0"/>
    <m/>
    <m/>
    <n v="0"/>
    <n v="0"/>
    <m/>
    <m/>
    <m/>
    <m/>
    <m/>
    <m/>
    <m/>
    <m/>
    <n v="0"/>
    <n v="0"/>
    <n v="0"/>
    <n v="0"/>
    <n v="6572.2"/>
    <n v="6267.5666666666666"/>
  </r>
  <r>
    <x v="11"/>
    <s v="Trident Technical College "/>
    <m/>
    <n v="218894"/>
    <x v="5"/>
    <m/>
    <m/>
    <m/>
    <m/>
    <n v="98156"/>
    <n v="92864"/>
    <n v="43408"/>
    <n v="39543"/>
    <n v="105011"/>
    <n v="101176"/>
    <n v="246575"/>
    <n v="8219.1666666666661"/>
    <n v="233583"/>
    <n v="7786.1"/>
    <n v="34175"/>
    <n v="34473"/>
    <n v="246575"/>
    <n v="233583"/>
    <m/>
    <m/>
    <m/>
    <m/>
    <m/>
    <m/>
    <m/>
    <m/>
    <n v="0"/>
    <n v="0"/>
    <n v="0"/>
    <n v="0"/>
    <m/>
    <m/>
    <n v="0"/>
    <n v="0"/>
    <m/>
    <m/>
    <m/>
    <m/>
    <m/>
    <m/>
    <m/>
    <m/>
    <n v="0"/>
    <n v="0"/>
    <n v="0"/>
    <n v="0"/>
    <n v="8219.1666666666661"/>
    <n v="7786.1"/>
  </r>
  <r>
    <x v="11"/>
    <s v="Central Carolina Technical College "/>
    <s v="Met the criteria for Two-Year 3 in 2021-22"/>
    <n v="218858"/>
    <x v="6"/>
    <m/>
    <m/>
    <m/>
    <m/>
    <n v="28097"/>
    <n v="23540"/>
    <n v="11741"/>
    <n v="10664"/>
    <n v="25823"/>
    <n v="23429"/>
    <n v="65661"/>
    <n v="2188.6999999999998"/>
    <n v="57633"/>
    <n v="1921.1"/>
    <n v="10470"/>
    <n v="9543"/>
    <n v="65661"/>
    <n v="57633"/>
    <m/>
    <m/>
    <m/>
    <m/>
    <m/>
    <m/>
    <m/>
    <m/>
    <n v="0"/>
    <n v="0"/>
    <n v="0"/>
    <n v="0"/>
    <m/>
    <m/>
    <n v="0"/>
    <n v="0"/>
    <m/>
    <m/>
    <m/>
    <m/>
    <m/>
    <m/>
    <m/>
    <m/>
    <n v="0"/>
    <n v="0"/>
    <n v="0"/>
    <n v="0"/>
    <n v="2188.6999999999998"/>
    <n v="1921.1"/>
  </r>
  <r>
    <x v="11"/>
    <s v="Florence-Darlington Technical College "/>
    <m/>
    <n v="218025"/>
    <x v="6"/>
    <m/>
    <m/>
    <m/>
    <m/>
    <n v="29923"/>
    <n v="25348"/>
    <n v="10333"/>
    <n v="8946"/>
    <n v="30826"/>
    <n v="26253"/>
    <n v="71082"/>
    <n v="2369.4"/>
    <n v="60547"/>
    <n v="2018.2333333333333"/>
    <n v="6508"/>
    <n v="7110"/>
    <n v="71082"/>
    <n v="60547"/>
    <m/>
    <m/>
    <m/>
    <m/>
    <m/>
    <m/>
    <m/>
    <m/>
    <n v="0"/>
    <n v="0"/>
    <n v="0"/>
    <n v="0"/>
    <m/>
    <m/>
    <n v="0"/>
    <n v="0"/>
    <m/>
    <m/>
    <m/>
    <m/>
    <m/>
    <m/>
    <m/>
    <m/>
    <n v="0"/>
    <n v="0"/>
    <n v="0"/>
    <n v="0"/>
    <n v="2369.4"/>
    <n v="2018.2333333333333"/>
  </r>
  <r>
    <x v="11"/>
    <s v="Piedmont Technical College "/>
    <m/>
    <n v="218520"/>
    <x v="6"/>
    <m/>
    <m/>
    <m/>
    <m/>
    <n v="42756"/>
    <n v="39760"/>
    <n v="18949"/>
    <n v="17232"/>
    <n v="44444"/>
    <n v="41817"/>
    <n v="106149"/>
    <n v="3538.3"/>
    <n v="98809"/>
    <n v="3293.6333333333332"/>
    <n v="13670"/>
    <n v="13721"/>
    <n v="106149"/>
    <n v="98809"/>
    <m/>
    <m/>
    <m/>
    <m/>
    <m/>
    <m/>
    <m/>
    <m/>
    <n v="0"/>
    <n v="0"/>
    <n v="0"/>
    <n v="0"/>
    <m/>
    <m/>
    <n v="0"/>
    <n v="0"/>
    <m/>
    <m/>
    <m/>
    <m/>
    <m/>
    <m/>
    <m/>
    <m/>
    <n v="0"/>
    <n v="0"/>
    <n v="0"/>
    <n v="0"/>
    <n v="3538.3"/>
    <n v="3293.6333333333332"/>
  </r>
  <r>
    <x v="11"/>
    <s v="Spartanburg Community College "/>
    <m/>
    <n v="218830"/>
    <x v="6"/>
    <m/>
    <m/>
    <m/>
    <m/>
    <n v="40908"/>
    <n v="36732"/>
    <n v="12364"/>
    <n v="12615"/>
    <n v="39650"/>
    <n v="58991"/>
    <n v="92922"/>
    <n v="3097.4"/>
    <n v="108338"/>
    <n v="3611.2666666666669"/>
    <n v="10694"/>
    <n v="12447"/>
    <n v="92922"/>
    <n v="108338"/>
    <m/>
    <m/>
    <m/>
    <m/>
    <m/>
    <m/>
    <m/>
    <m/>
    <n v="0"/>
    <n v="0"/>
    <n v="0"/>
    <n v="0"/>
    <m/>
    <m/>
    <n v="0"/>
    <n v="0"/>
    <m/>
    <m/>
    <m/>
    <m/>
    <m/>
    <m/>
    <m/>
    <m/>
    <n v="0"/>
    <n v="0"/>
    <n v="0"/>
    <n v="0"/>
    <n v="3097.4"/>
    <n v="3611.2666666666669"/>
  </r>
  <r>
    <x v="11"/>
    <s v="Tri-County Technical College "/>
    <m/>
    <n v="218885"/>
    <x v="6"/>
    <m/>
    <m/>
    <m/>
    <m/>
    <n v="59374"/>
    <n v="56396"/>
    <n v="19731"/>
    <n v="19319"/>
    <n v="62102"/>
    <n v="62737"/>
    <n v="141207"/>
    <n v="4706.8999999999996"/>
    <n v="138452"/>
    <n v="4615.0666666666666"/>
    <n v="7782"/>
    <n v="7002"/>
    <n v="141207"/>
    <n v="138452"/>
    <m/>
    <m/>
    <m/>
    <m/>
    <m/>
    <m/>
    <m/>
    <m/>
    <n v="0"/>
    <n v="0"/>
    <n v="0"/>
    <n v="0"/>
    <m/>
    <m/>
    <n v="0"/>
    <n v="0"/>
    <m/>
    <m/>
    <m/>
    <m/>
    <m/>
    <m/>
    <m/>
    <m/>
    <n v="0"/>
    <n v="0"/>
    <n v="0"/>
    <n v="0"/>
    <n v="4706.8999999999996"/>
    <n v="4615.0666666666666"/>
  </r>
  <r>
    <x v="11"/>
    <s v="York Technical College "/>
    <m/>
    <n v="218991"/>
    <x v="6"/>
    <m/>
    <m/>
    <m/>
    <m/>
    <n v="40559"/>
    <n v="37057"/>
    <n v="12895"/>
    <n v="10857"/>
    <n v="43493"/>
    <n v="40036"/>
    <n v="96947"/>
    <n v="3231.5666666666666"/>
    <n v="87950"/>
    <n v="2931.6666666666665"/>
    <n v="7688"/>
    <n v="8126"/>
    <n v="96947"/>
    <n v="87950"/>
    <m/>
    <m/>
    <m/>
    <m/>
    <m/>
    <m/>
    <m/>
    <m/>
    <n v="0"/>
    <n v="0"/>
    <n v="0"/>
    <n v="0"/>
    <m/>
    <m/>
    <n v="0"/>
    <n v="0"/>
    <m/>
    <m/>
    <m/>
    <m/>
    <m/>
    <m/>
    <m/>
    <m/>
    <n v="0"/>
    <n v="0"/>
    <n v="0"/>
    <n v="0"/>
    <n v="3231.5666666666666"/>
    <n v="2931.6666666666665"/>
  </r>
  <r>
    <x v="11"/>
    <s v="Aiken Technical College "/>
    <m/>
    <n v="217615"/>
    <x v="7"/>
    <m/>
    <m/>
    <m/>
    <m/>
    <n v="17459"/>
    <n v="16325"/>
    <n v="7354"/>
    <n v="7171"/>
    <n v="17502"/>
    <n v="16786"/>
    <n v="42315"/>
    <n v="1410.5"/>
    <n v="40282"/>
    <n v="1342.7333333333333"/>
    <n v="2401"/>
    <n v="2481"/>
    <n v="42315"/>
    <n v="40282"/>
    <m/>
    <m/>
    <m/>
    <m/>
    <m/>
    <m/>
    <m/>
    <m/>
    <n v="0"/>
    <n v="0"/>
    <n v="0"/>
    <n v="0"/>
    <m/>
    <m/>
    <n v="0"/>
    <n v="0"/>
    <m/>
    <m/>
    <m/>
    <m/>
    <m/>
    <m/>
    <m/>
    <m/>
    <n v="0"/>
    <n v="0"/>
    <n v="0"/>
    <n v="0"/>
    <n v="1410.5"/>
    <n v="1342.7333333333333"/>
  </r>
  <r>
    <x v="11"/>
    <s v="Denmark Technical College "/>
    <m/>
    <n v="217989"/>
    <x v="7"/>
    <m/>
    <m/>
    <m/>
    <m/>
    <n v="5292"/>
    <n v="4753"/>
    <n v="2498"/>
    <n v="2200"/>
    <n v="4864"/>
    <n v="6265"/>
    <n v="12654"/>
    <n v="421.8"/>
    <n v="13218"/>
    <n v="440.6"/>
    <n v="3232"/>
    <n v="3201"/>
    <n v="12654"/>
    <n v="13218"/>
    <m/>
    <m/>
    <m/>
    <m/>
    <m/>
    <m/>
    <m/>
    <m/>
    <n v="0"/>
    <n v="0"/>
    <n v="0"/>
    <n v="0"/>
    <m/>
    <m/>
    <n v="0"/>
    <n v="0"/>
    <m/>
    <m/>
    <m/>
    <m/>
    <m/>
    <m/>
    <m/>
    <m/>
    <n v="0"/>
    <n v="0"/>
    <n v="0"/>
    <n v="0"/>
    <n v="421.8"/>
    <n v="440.6"/>
  </r>
  <r>
    <x v="11"/>
    <s v="Northeastern Technical College "/>
    <m/>
    <n v="217837"/>
    <x v="7"/>
    <m/>
    <m/>
    <m/>
    <m/>
    <n v="11735"/>
    <n v="11134"/>
    <n v="5252"/>
    <n v="6085"/>
    <n v="11705"/>
    <n v="13076"/>
    <n v="28692"/>
    <n v="956.4"/>
    <n v="30295"/>
    <n v="1009.8333333333334"/>
    <n v="6757"/>
    <n v="8756"/>
    <n v="28692"/>
    <n v="30295"/>
    <m/>
    <m/>
    <m/>
    <m/>
    <m/>
    <m/>
    <m/>
    <m/>
    <n v="0"/>
    <n v="0"/>
    <n v="0"/>
    <n v="0"/>
    <m/>
    <m/>
    <n v="0"/>
    <n v="0"/>
    <m/>
    <m/>
    <m/>
    <m/>
    <m/>
    <m/>
    <m/>
    <m/>
    <n v="0"/>
    <n v="0"/>
    <n v="0"/>
    <n v="0"/>
    <n v="956.4"/>
    <n v="1009.8333333333334"/>
  </r>
  <r>
    <x v="11"/>
    <s v="Orangeburg-Calhoun Technical College "/>
    <m/>
    <n v="218487"/>
    <x v="7"/>
    <m/>
    <m/>
    <m/>
    <m/>
    <n v="20317"/>
    <n v="18433"/>
    <n v="8554"/>
    <n v="9334"/>
    <n v="19487"/>
    <n v="19188"/>
    <n v="48358"/>
    <n v="1611.9333333333334"/>
    <n v="46955"/>
    <n v="1565.1666666666667"/>
    <n v="8319"/>
    <n v="8702"/>
    <n v="48358"/>
    <n v="46955"/>
    <m/>
    <m/>
    <m/>
    <m/>
    <m/>
    <m/>
    <m/>
    <m/>
    <n v="0"/>
    <n v="0"/>
    <n v="0"/>
    <n v="0"/>
    <m/>
    <m/>
    <n v="0"/>
    <n v="0"/>
    <m/>
    <m/>
    <m/>
    <m/>
    <m/>
    <m/>
    <m/>
    <m/>
    <n v="0"/>
    <n v="0"/>
    <n v="0"/>
    <n v="0"/>
    <n v="1611.9333333333334"/>
    <n v="1565.1666666666667"/>
  </r>
  <r>
    <x v="11"/>
    <s v="Technical College of the Lowcountry"/>
    <m/>
    <n v="217712"/>
    <x v="7"/>
    <m/>
    <m/>
    <m/>
    <m/>
    <n v="17906"/>
    <n v="15986"/>
    <n v="7258"/>
    <n v="6393"/>
    <n v="17633"/>
    <n v="16578"/>
    <n v="42797"/>
    <n v="1426.5666666666666"/>
    <n v="38957"/>
    <n v="1298.5666666666666"/>
    <n v="5341"/>
    <n v="6020"/>
    <n v="42797"/>
    <n v="38957"/>
    <m/>
    <m/>
    <m/>
    <m/>
    <m/>
    <m/>
    <m/>
    <m/>
    <n v="0"/>
    <n v="0"/>
    <n v="0"/>
    <n v="0"/>
    <m/>
    <m/>
    <n v="0"/>
    <n v="0"/>
    <m/>
    <m/>
    <m/>
    <m/>
    <m/>
    <m/>
    <m/>
    <m/>
    <n v="0"/>
    <n v="0"/>
    <n v="0"/>
    <n v="0"/>
    <n v="1426.5666666666666"/>
    <n v="1298.5666666666666"/>
  </r>
  <r>
    <x v="11"/>
    <s v="University of South Carolina-Lancaster"/>
    <m/>
    <n v="218672"/>
    <x v="7"/>
    <m/>
    <m/>
    <m/>
    <m/>
    <n v="14692"/>
    <n v="15675"/>
    <n v="3448"/>
    <n v="3092"/>
    <n v="17416"/>
    <n v="17140"/>
    <n v="35556"/>
    <n v="1185.2"/>
    <n v="35907"/>
    <n v="1196.9000000000001"/>
    <n v="13210"/>
    <n v="14619"/>
    <n v="35556"/>
    <n v="35907"/>
    <m/>
    <m/>
    <m/>
    <m/>
    <m/>
    <m/>
    <m/>
    <m/>
    <n v="0"/>
    <n v="0"/>
    <n v="0"/>
    <n v="0"/>
    <m/>
    <m/>
    <n v="0"/>
    <n v="0"/>
    <m/>
    <m/>
    <m/>
    <m/>
    <m/>
    <m/>
    <m/>
    <m/>
    <n v="0"/>
    <n v="0"/>
    <n v="0"/>
    <n v="0"/>
    <n v="1185.2"/>
    <n v="1196.9000000000001"/>
  </r>
  <r>
    <x v="11"/>
    <s v="University of South Carolina-Salkehatchie"/>
    <m/>
    <n v="218681"/>
    <x v="7"/>
    <m/>
    <m/>
    <m/>
    <m/>
    <n v="8338"/>
    <n v="8220"/>
    <n v="1108"/>
    <n v="1141"/>
    <n v="9621"/>
    <n v="7999"/>
    <n v="19067"/>
    <n v="635.56666666666672"/>
    <n v="17360"/>
    <n v="578.66666666666663"/>
    <n v="5828"/>
    <n v="5424"/>
    <n v="19067"/>
    <n v="17360"/>
    <m/>
    <m/>
    <m/>
    <m/>
    <m/>
    <m/>
    <m/>
    <m/>
    <n v="0"/>
    <n v="0"/>
    <n v="0"/>
    <n v="0"/>
    <m/>
    <m/>
    <n v="0"/>
    <n v="0"/>
    <m/>
    <m/>
    <m/>
    <m/>
    <m/>
    <m/>
    <m/>
    <m/>
    <n v="0"/>
    <n v="0"/>
    <n v="0"/>
    <n v="0"/>
    <n v="635.56666666666672"/>
    <n v="578.66666666666663"/>
  </r>
  <r>
    <x v="11"/>
    <s v="University of South Carolina-Sumter"/>
    <m/>
    <n v="218690"/>
    <x v="7"/>
    <m/>
    <m/>
    <m/>
    <m/>
    <n v="10821"/>
    <n v="10326"/>
    <n v="1831"/>
    <n v="1553"/>
    <n v="12496"/>
    <n v="12736"/>
    <n v="25148"/>
    <n v="838.26666666666665"/>
    <n v="24615"/>
    <n v="820.5"/>
    <n v="9035"/>
    <n v="9594"/>
    <n v="25148"/>
    <n v="24615"/>
    <m/>
    <m/>
    <m/>
    <m/>
    <m/>
    <m/>
    <m/>
    <m/>
    <n v="0"/>
    <n v="0"/>
    <n v="0"/>
    <n v="0"/>
    <m/>
    <m/>
    <n v="0"/>
    <n v="0"/>
    <m/>
    <m/>
    <m/>
    <m/>
    <m/>
    <m/>
    <m/>
    <m/>
    <n v="0"/>
    <n v="0"/>
    <n v="0"/>
    <n v="0"/>
    <n v="838.26666666666665"/>
    <n v="820.5"/>
  </r>
  <r>
    <x v="11"/>
    <s v="University of South Carolina-Union"/>
    <m/>
    <n v="218706"/>
    <x v="7"/>
    <m/>
    <m/>
    <m/>
    <m/>
    <n v="10067"/>
    <n v="9521"/>
    <n v="835"/>
    <n v="698"/>
    <n v="9495"/>
    <n v="10977"/>
    <n v="20397"/>
    <n v="679.9"/>
    <n v="21196"/>
    <n v="706.5333333333333"/>
    <n v="11620"/>
    <n v="13190"/>
    <n v="20397"/>
    <n v="21196"/>
    <m/>
    <m/>
    <m/>
    <m/>
    <m/>
    <m/>
    <m/>
    <m/>
    <n v="0"/>
    <n v="0"/>
    <n v="0"/>
    <n v="0"/>
    <m/>
    <m/>
    <n v="0"/>
    <n v="0"/>
    <m/>
    <m/>
    <m/>
    <m/>
    <m/>
    <m/>
    <m/>
    <m/>
    <n v="0"/>
    <n v="0"/>
    <n v="0"/>
    <n v="0"/>
    <n v="679.9"/>
    <n v="706.5333333333333"/>
  </r>
  <r>
    <x v="11"/>
    <s v="Williamsburg Technical College "/>
    <m/>
    <n v="218955"/>
    <x v="7"/>
    <m/>
    <m/>
    <m/>
    <m/>
    <n v="5983"/>
    <n v="4732"/>
    <n v="2595"/>
    <n v="2327"/>
    <n v="5268"/>
    <n v="4474"/>
    <n v="13846"/>
    <n v="461.53333333333336"/>
    <n v="11533"/>
    <n v="384.43333333333334"/>
    <n v="4189"/>
    <n v="2482"/>
    <n v="13846"/>
    <n v="11533"/>
    <m/>
    <m/>
    <m/>
    <m/>
    <m/>
    <m/>
    <m/>
    <m/>
    <n v="0"/>
    <n v="0"/>
    <n v="0"/>
    <n v="0"/>
    <m/>
    <m/>
    <n v="0"/>
    <n v="0"/>
    <m/>
    <m/>
    <m/>
    <m/>
    <m/>
    <m/>
    <m/>
    <m/>
    <n v="0"/>
    <n v="0"/>
    <n v="0"/>
    <n v="0"/>
    <n v="461.53333333333336"/>
    <n v="384.43333333333334"/>
  </r>
  <r>
    <x v="12"/>
    <s v="University of Memphis"/>
    <m/>
    <n v="220862"/>
    <x v="0"/>
    <m/>
    <m/>
    <m/>
    <m/>
    <n v="187171"/>
    <n v="179591"/>
    <n v="33100"/>
    <n v="30308"/>
    <n v="206590"/>
    <n v="200941"/>
    <n v="426861"/>
    <n v="14228.7"/>
    <n v="410840"/>
    <n v="13694.666666666666"/>
    <n v="14172"/>
    <n v="15870"/>
    <n v="426861"/>
    <n v="410840"/>
    <m/>
    <m/>
    <m/>
    <m/>
    <m/>
    <m/>
    <m/>
    <m/>
    <n v="0"/>
    <n v="0"/>
    <n v="0"/>
    <n v="0"/>
    <m/>
    <m/>
    <n v="0"/>
    <n v="0"/>
    <m/>
    <m/>
    <n v="31141"/>
    <n v="34743"/>
    <n v="8491"/>
    <n v="10043"/>
    <n v="35435"/>
    <n v="36758"/>
    <n v="75067"/>
    <n v="3127.7916666666665"/>
    <n v="81544"/>
    <n v="3397.6666666666665"/>
    <n v="17356.491666666669"/>
    <n v="17092.333333333332"/>
  </r>
  <r>
    <x v="12"/>
    <s v="University of Tennessee, Knoxville"/>
    <m/>
    <n v="221759"/>
    <x v="0"/>
    <m/>
    <m/>
    <m/>
    <m/>
    <n v="303943.5"/>
    <n v="313374"/>
    <n v="38517"/>
    <n v="35428"/>
    <n v="335338"/>
    <n v="346951"/>
    <n v="677798.5"/>
    <n v="22593.283333333333"/>
    <n v="695753"/>
    <n v="23191.766666666666"/>
    <n v="131"/>
    <n v="183"/>
    <n v="677798.5"/>
    <n v="695753"/>
    <m/>
    <m/>
    <m/>
    <m/>
    <m/>
    <m/>
    <m/>
    <m/>
    <n v="0"/>
    <n v="0"/>
    <n v="0"/>
    <n v="0"/>
    <m/>
    <m/>
    <n v="0"/>
    <n v="0"/>
    <m/>
    <m/>
    <n v="47721.5"/>
    <n v="50078"/>
    <n v="17200"/>
    <n v="19402"/>
    <n v="52854.5"/>
    <n v="55129"/>
    <n v="117776"/>
    <n v="4907.333333333333"/>
    <n v="124609"/>
    <n v="5192.041666666667"/>
    <n v="27500.616666666665"/>
    <n v="28383.808333333334"/>
  </r>
  <r>
    <x v="12"/>
    <s v="East Tennessee State University "/>
    <m/>
    <n v="220075"/>
    <x v="1"/>
    <m/>
    <m/>
    <m/>
    <m/>
    <n v="138142"/>
    <n v="131346"/>
    <n v="23686"/>
    <n v="19976"/>
    <n v="147230"/>
    <n v="140950"/>
    <n v="309058"/>
    <n v="10301.933333333332"/>
    <n v="292272"/>
    <n v="9742.4"/>
    <n v="4023"/>
    <n v="4220"/>
    <n v="309058"/>
    <n v="292272"/>
    <m/>
    <m/>
    <m/>
    <m/>
    <m/>
    <m/>
    <m/>
    <m/>
    <n v="0"/>
    <n v="0"/>
    <n v="0"/>
    <n v="0"/>
    <m/>
    <m/>
    <n v="0"/>
    <n v="0"/>
    <m/>
    <m/>
    <n v="19798.5"/>
    <n v="19568"/>
    <n v="9036"/>
    <n v="8343"/>
    <n v="20529.5"/>
    <n v="20770"/>
    <n v="49364"/>
    <n v="2056.8333333333335"/>
    <n v="48681"/>
    <n v="2028.375"/>
    <n v="12358.766666666666"/>
    <n v="11770.775"/>
  </r>
  <r>
    <x v="12"/>
    <s v="Middle Tennessee State University "/>
    <m/>
    <n v="220978"/>
    <x v="1"/>
    <m/>
    <m/>
    <m/>
    <m/>
    <n v="222766"/>
    <n v="216883"/>
    <n v="37417"/>
    <n v="34403"/>
    <n v="245294"/>
    <n v="228573"/>
    <n v="505477"/>
    <n v="16849.233333333334"/>
    <n v="479859"/>
    <n v="15995.3"/>
    <n v="10218"/>
    <n v="9300"/>
    <n v="505477"/>
    <n v="479859"/>
    <m/>
    <m/>
    <m/>
    <m/>
    <m/>
    <m/>
    <m/>
    <m/>
    <n v="0"/>
    <n v="0"/>
    <n v="0"/>
    <n v="0"/>
    <m/>
    <m/>
    <n v="0"/>
    <n v="0"/>
    <m/>
    <m/>
    <n v="14448"/>
    <n v="19457"/>
    <n v="8055"/>
    <n v="10081"/>
    <n v="19209"/>
    <n v="19468"/>
    <n v="41712"/>
    <n v="1738"/>
    <n v="49006"/>
    <n v="2041.9166666666667"/>
    <n v="18587.233333333334"/>
    <n v="18037.216666666667"/>
  </r>
  <r>
    <x v="12"/>
    <s v="Tennessee State University "/>
    <m/>
    <n v="221838"/>
    <x v="1"/>
    <m/>
    <m/>
    <m/>
    <m/>
    <n v="66138"/>
    <n v="61487"/>
    <n v="9647"/>
    <n v="11049"/>
    <n v="79644"/>
    <n v="81856"/>
    <n v="155429"/>
    <n v="5180.9666666666662"/>
    <n v="154392"/>
    <n v="5146.3999999999996"/>
    <n v="798"/>
    <n v="564"/>
    <n v="155429"/>
    <n v="154392"/>
    <m/>
    <m/>
    <m/>
    <m/>
    <m/>
    <m/>
    <m/>
    <m/>
    <n v="0"/>
    <n v="0"/>
    <n v="0"/>
    <n v="0"/>
    <m/>
    <m/>
    <n v="0"/>
    <n v="0"/>
    <m/>
    <m/>
    <n v="9654"/>
    <n v="10701"/>
    <n v="5334"/>
    <n v="6588"/>
    <n v="11751"/>
    <n v="12764"/>
    <n v="26739"/>
    <n v="1114.125"/>
    <n v="30053"/>
    <n v="1252.2083333333333"/>
    <n v="6295.0916666666662"/>
    <n v="6398.6083333333327"/>
  </r>
  <r>
    <x v="12"/>
    <s v="Austin Peay State University "/>
    <m/>
    <n v="219602"/>
    <x v="2"/>
    <m/>
    <m/>
    <m/>
    <m/>
    <n v="109134"/>
    <n v="97910"/>
    <n v="18369"/>
    <n v="17064"/>
    <n v="110707"/>
    <n v="100663"/>
    <n v="238210"/>
    <n v="7940.333333333333"/>
    <n v="215637"/>
    <n v="7187.9"/>
    <n v="10283"/>
    <n v="10356"/>
    <n v="238210"/>
    <n v="215637"/>
    <m/>
    <m/>
    <m/>
    <m/>
    <m/>
    <m/>
    <m/>
    <m/>
    <n v="0"/>
    <n v="0"/>
    <n v="0"/>
    <n v="0"/>
    <m/>
    <m/>
    <n v="0"/>
    <n v="0"/>
    <m/>
    <m/>
    <n v="7396"/>
    <n v="8822"/>
    <n v="3848"/>
    <n v="3350"/>
    <n v="9243"/>
    <n v="9317"/>
    <n v="20487"/>
    <n v="853.625"/>
    <n v="21489"/>
    <n v="895.375"/>
    <n v="8793.9583333333321"/>
    <n v="8083.2749999999996"/>
  </r>
  <r>
    <x v="12"/>
    <s v="Tennessee Technological University "/>
    <m/>
    <n v="221847"/>
    <x v="2"/>
    <m/>
    <m/>
    <m/>
    <m/>
    <n v="110310"/>
    <n v="106087"/>
    <n v="13842"/>
    <n v="12637"/>
    <n v="121291"/>
    <n v="116606"/>
    <n v="245443"/>
    <n v="8181.4333333333334"/>
    <n v="235330"/>
    <n v="7844.333333333333"/>
    <n v="1390"/>
    <n v="1495"/>
    <n v="245443"/>
    <n v="235330"/>
    <m/>
    <m/>
    <m/>
    <m/>
    <m/>
    <m/>
    <m/>
    <m/>
    <n v="0"/>
    <n v="0"/>
    <n v="0"/>
    <n v="0"/>
    <m/>
    <m/>
    <n v="0"/>
    <n v="0"/>
    <m/>
    <m/>
    <n v="7337"/>
    <n v="8695"/>
    <n v="3780"/>
    <n v="4551"/>
    <n v="8954"/>
    <n v="8988"/>
    <n v="20071"/>
    <n v="836.29166666666663"/>
    <n v="22234"/>
    <n v="926.41666666666663"/>
    <n v="9017.7250000000004"/>
    <n v="8770.75"/>
  </r>
  <r>
    <x v="12"/>
    <s v="University of Tennessee at Chattanooga"/>
    <m/>
    <n v="221740"/>
    <x v="2"/>
    <m/>
    <m/>
    <m/>
    <m/>
    <n v="126556"/>
    <n v="123905"/>
    <n v="18128"/>
    <n v="16904"/>
    <n v="143408"/>
    <n v="138324"/>
    <n v="288092"/>
    <n v="9603.0666666666675"/>
    <n v="279133"/>
    <n v="9304.4333333333325"/>
    <n v="120"/>
    <n v="116"/>
    <n v="288092"/>
    <n v="279133"/>
    <m/>
    <m/>
    <m/>
    <m/>
    <m/>
    <m/>
    <m/>
    <m/>
    <n v="0"/>
    <n v="0"/>
    <n v="0"/>
    <n v="0"/>
    <m/>
    <m/>
    <n v="0"/>
    <n v="0"/>
    <m/>
    <m/>
    <n v="11178"/>
    <n v="11666"/>
    <n v="5860"/>
    <n v="5786"/>
    <n v="11918"/>
    <n v="12401"/>
    <n v="28956"/>
    <n v="1206.5"/>
    <n v="29853"/>
    <n v="1243.875"/>
    <n v="10809.566666666668"/>
    <n v="10548.308333333332"/>
  </r>
  <r>
    <x v="12"/>
    <s v="University of Tennessee at Martin"/>
    <m/>
    <n v="221768"/>
    <x v="3"/>
    <m/>
    <m/>
    <m/>
    <m/>
    <n v="73147"/>
    <n v="69490"/>
    <n v="10292"/>
    <n v="9037"/>
    <n v="78090"/>
    <n v="72342"/>
    <n v="161529"/>
    <n v="5384.3"/>
    <n v="150869"/>
    <n v="5028.9666666666662"/>
    <n v="9560"/>
    <n v="8627"/>
    <n v="161529"/>
    <n v="150869"/>
    <m/>
    <m/>
    <m/>
    <m/>
    <m/>
    <m/>
    <m/>
    <m/>
    <n v="0"/>
    <n v="0"/>
    <n v="0"/>
    <n v="0"/>
    <m/>
    <m/>
    <n v="0"/>
    <n v="0"/>
    <m/>
    <m/>
    <n v="4137"/>
    <n v="4941"/>
    <n v="2703"/>
    <n v="2998"/>
    <n v="4963"/>
    <n v="4638"/>
    <n v="11803"/>
    <n v="491.79166666666669"/>
    <n v="12577"/>
    <n v="524.04166666666663"/>
    <n v="5876.0916666666672"/>
    <n v="5553.0083333333332"/>
  </r>
  <r>
    <x v="12"/>
    <s v="Chattanooga State Technical Community College "/>
    <s v="Met the criteria for Two-Year 1 in  2021-22"/>
    <n v="219824"/>
    <x v="5"/>
    <m/>
    <m/>
    <m/>
    <m/>
    <n v="68065"/>
    <n v="57727"/>
    <n v="13928"/>
    <n v="12207"/>
    <n v="74880"/>
    <n v="67843"/>
    <n v="156873"/>
    <n v="5229.1000000000004"/>
    <n v="137777"/>
    <n v="4592.5666666666666"/>
    <n v="14596"/>
    <n v="14034"/>
    <n v="156873"/>
    <n v="137777"/>
    <m/>
    <m/>
    <m/>
    <m/>
    <m/>
    <m/>
    <m/>
    <m/>
    <n v="0"/>
    <n v="0"/>
    <n v="0"/>
    <n v="0"/>
    <m/>
    <m/>
    <n v="0"/>
    <n v="0"/>
    <m/>
    <m/>
    <m/>
    <m/>
    <m/>
    <m/>
    <m/>
    <m/>
    <n v="0"/>
    <n v="0"/>
    <n v="0"/>
    <n v="0"/>
    <n v="5229.1000000000004"/>
    <n v="4592.5666666666666"/>
  </r>
  <r>
    <x v="12"/>
    <s v="Nashville State Technical Community College"/>
    <s v="Met the criteria for Two-Year 1 in  2021-22"/>
    <n v="221184"/>
    <x v="5"/>
    <m/>
    <m/>
    <m/>
    <m/>
    <n v="66128"/>
    <n v="58132"/>
    <n v="14852"/>
    <n v="15812"/>
    <n v="66315.5"/>
    <n v="62152"/>
    <n v="147295.5"/>
    <n v="4909.8500000000004"/>
    <n v="136096"/>
    <n v="4536.5333333333338"/>
    <n v="8232"/>
    <n v="9406"/>
    <n v="147295.5"/>
    <n v="136096"/>
    <m/>
    <m/>
    <m/>
    <m/>
    <m/>
    <m/>
    <m/>
    <m/>
    <n v="0"/>
    <n v="0"/>
    <n v="0"/>
    <n v="0"/>
    <m/>
    <m/>
    <n v="0"/>
    <n v="0"/>
    <m/>
    <m/>
    <m/>
    <m/>
    <m/>
    <m/>
    <m/>
    <m/>
    <n v="0"/>
    <n v="0"/>
    <n v="0"/>
    <n v="0"/>
    <n v="4909.8500000000004"/>
    <n v="4536.5333333333338"/>
  </r>
  <r>
    <x v="12"/>
    <s v="Pellissippi State Technical Community College"/>
    <m/>
    <n v="221643"/>
    <x v="5"/>
    <m/>
    <m/>
    <m/>
    <m/>
    <n v="86752"/>
    <n v="73420"/>
    <n v="20056"/>
    <n v="18129"/>
    <n v="91649"/>
    <n v="84613"/>
    <n v="198457"/>
    <n v="6615.2333333333336"/>
    <n v="176162"/>
    <n v="5872.0666666666666"/>
    <n v="10753"/>
    <n v="11151"/>
    <n v="198457"/>
    <n v="176162"/>
    <m/>
    <m/>
    <m/>
    <m/>
    <m/>
    <m/>
    <m/>
    <m/>
    <n v="0"/>
    <n v="0"/>
    <n v="0"/>
    <n v="0"/>
    <m/>
    <m/>
    <n v="0"/>
    <n v="0"/>
    <m/>
    <m/>
    <m/>
    <m/>
    <m/>
    <m/>
    <m/>
    <m/>
    <n v="0"/>
    <n v="0"/>
    <n v="0"/>
    <n v="0"/>
    <n v="6615.2333333333336"/>
    <n v="5872.0666666666666"/>
  </r>
  <r>
    <x v="12"/>
    <s v="Southwest Tennessee Community College"/>
    <s v="Met the criteria for Two-Year 1 in  2021-22"/>
    <n v="221485"/>
    <x v="5"/>
    <m/>
    <m/>
    <m/>
    <m/>
    <n v="75486"/>
    <n v="57362"/>
    <n v="21370"/>
    <n v="15882"/>
    <n v="72975"/>
    <n v="65144"/>
    <n v="169831"/>
    <n v="5661.0333333333338"/>
    <n v="138388"/>
    <n v="4612.9333333333334"/>
    <n v="5196"/>
    <n v="5538"/>
    <n v="169831"/>
    <n v="138388"/>
    <m/>
    <m/>
    <m/>
    <m/>
    <m/>
    <m/>
    <m/>
    <m/>
    <n v="0"/>
    <n v="0"/>
    <n v="0"/>
    <n v="0"/>
    <m/>
    <m/>
    <n v="0"/>
    <n v="0"/>
    <m/>
    <m/>
    <m/>
    <m/>
    <m/>
    <m/>
    <m/>
    <m/>
    <n v="0"/>
    <n v="0"/>
    <n v="0"/>
    <n v="0"/>
    <n v="5661.0333333333338"/>
    <n v="4612.9333333333334"/>
  </r>
  <r>
    <x v="12"/>
    <s v="Volunteer State Community College "/>
    <m/>
    <n v="222053"/>
    <x v="5"/>
    <m/>
    <m/>
    <m/>
    <m/>
    <n v="75735"/>
    <n v="64850"/>
    <n v="17087"/>
    <n v="14937"/>
    <n v="87017"/>
    <n v="73032"/>
    <n v="179839"/>
    <n v="5994.6333333333332"/>
    <n v="152819"/>
    <n v="5093.9666666666662"/>
    <n v="17262.5"/>
    <n v="14419"/>
    <n v="179839"/>
    <n v="152819"/>
    <m/>
    <m/>
    <m/>
    <m/>
    <m/>
    <m/>
    <m/>
    <m/>
    <n v="0"/>
    <n v="0"/>
    <n v="0"/>
    <n v="0"/>
    <m/>
    <m/>
    <n v="0"/>
    <n v="0"/>
    <m/>
    <m/>
    <m/>
    <m/>
    <m/>
    <m/>
    <m/>
    <m/>
    <n v="0"/>
    <n v="0"/>
    <n v="0"/>
    <n v="0"/>
    <n v="5994.6333333333332"/>
    <n v="5093.9666666666662"/>
  </r>
  <r>
    <x v="12"/>
    <s v="Cleveland State Community College "/>
    <m/>
    <n v="219879"/>
    <x v="6"/>
    <m/>
    <m/>
    <m/>
    <m/>
    <n v="28661"/>
    <n v="25326"/>
    <n v="5006"/>
    <n v="4836"/>
    <n v="32319"/>
    <n v="30177"/>
    <n v="65986"/>
    <n v="2199.5333333333333"/>
    <n v="60339"/>
    <n v="2011.3"/>
    <n v="8637"/>
    <n v="8905"/>
    <n v="65986"/>
    <n v="60339"/>
    <m/>
    <m/>
    <m/>
    <m/>
    <m/>
    <m/>
    <m/>
    <m/>
    <n v="0"/>
    <n v="0"/>
    <n v="0"/>
    <n v="0"/>
    <m/>
    <m/>
    <n v="0"/>
    <n v="0"/>
    <m/>
    <m/>
    <m/>
    <m/>
    <m/>
    <m/>
    <m/>
    <m/>
    <n v="0"/>
    <n v="0"/>
    <n v="0"/>
    <n v="0"/>
    <n v="2199.5333333333333"/>
    <n v="2011.3"/>
  </r>
  <r>
    <x v="12"/>
    <s v="Columbia State Community College "/>
    <m/>
    <n v="219888"/>
    <x v="6"/>
    <m/>
    <m/>
    <m/>
    <m/>
    <n v="56195"/>
    <n v="51095"/>
    <n v="13161"/>
    <n v="11599"/>
    <n v="63016"/>
    <n v="56969"/>
    <n v="132372"/>
    <n v="4412.3999999999996"/>
    <n v="119663"/>
    <n v="3988.7666666666669"/>
    <n v="9368"/>
    <n v="8566"/>
    <n v="132372"/>
    <n v="119663"/>
    <m/>
    <m/>
    <m/>
    <m/>
    <m/>
    <m/>
    <m/>
    <m/>
    <n v="0"/>
    <n v="0"/>
    <n v="0"/>
    <n v="0"/>
    <m/>
    <m/>
    <n v="0"/>
    <n v="0"/>
    <m/>
    <m/>
    <m/>
    <m/>
    <m/>
    <m/>
    <m/>
    <m/>
    <n v="0"/>
    <n v="0"/>
    <n v="0"/>
    <n v="0"/>
    <n v="4412.3999999999996"/>
    <n v="3988.7666666666669"/>
  </r>
  <r>
    <x v="12"/>
    <s v="Jackson State Community College "/>
    <m/>
    <n v="220400"/>
    <x v="6"/>
    <m/>
    <m/>
    <m/>
    <m/>
    <n v="39614"/>
    <n v="31211"/>
    <n v="8294"/>
    <n v="7647"/>
    <n v="39819"/>
    <n v="36392"/>
    <n v="87727"/>
    <n v="2924.2333333333331"/>
    <n v="75250"/>
    <n v="2508.3333333333335"/>
    <n v="12319"/>
    <n v="11064"/>
    <n v="87727"/>
    <n v="75250"/>
    <m/>
    <m/>
    <m/>
    <m/>
    <m/>
    <m/>
    <m/>
    <m/>
    <n v="0"/>
    <n v="0"/>
    <n v="0"/>
    <n v="0"/>
    <m/>
    <m/>
    <n v="0"/>
    <n v="0"/>
    <m/>
    <m/>
    <m/>
    <m/>
    <m/>
    <m/>
    <m/>
    <m/>
    <n v="0"/>
    <n v="0"/>
    <n v="0"/>
    <n v="0"/>
    <n v="2924.2333333333331"/>
    <n v="2508.3333333333335"/>
  </r>
  <r>
    <x v="12"/>
    <s v="Motlow State Community College "/>
    <m/>
    <n v="221096"/>
    <x v="6"/>
    <m/>
    <m/>
    <m/>
    <m/>
    <n v="59335"/>
    <n v="49374"/>
    <n v="11507"/>
    <n v="9890"/>
    <n v="62334"/>
    <n v="56558"/>
    <n v="133176"/>
    <n v="4439.2"/>
    <n v="115822"/>
    <n v="3860.7333333333331"/>
    <n v="19055"/>
    <n v="17161"/>
    <n v="133176"/>
    <n v="115822"/>
    <m/>
    <m/>
    <m/>
    <m/>
    <m/>
    <m/>
    <m/>
    <m/>
    <n v="0"/>
    <n v="0"/>
    <n v="0"/>
    <n v="0"/>
    <m/>
    <m/>
    <n v="0"/>
    <n v="0"/>
    <m/>
    <m/>
    <m/>
    <m/>
    <m/>
    <m/>
    <m/>
    <m/>
    <n v="0"/>
    <n v="0"/>
    <n v="0"/>
    <n v="0"/>
    <n v="4439.2"/>
    <n v="3860.7333333333331"/>
  </r>
  <r>
    <x v="12"/>
    <s v="Northeast State Technical Community College"/>
    <m/>
    <n v="221908"/>
    <x v="6"/>
    <m/>
    <m/>
    <m/>
    <m/>
    <n v="52343"/>
    <n v="44286"/>
    <n v="8345"/>
    <n v="8400"/>
    <n v="55682"/>
    <n v="53506"/>
    <n v="116370"/>
    <n v="3879"/>
    <n v="106192"/>
    <n v="3539.7333333333331"/>
    <n v="8529"/>
    <n v="8192"/>
    <n v="116370"/>
    <n v="106192"/>
    <m/>
    <m/>
    <m/>
    <m/>
    <m/>
    <m/>
    <m/>
    <m/>
    <n v="0"/>
    <n v="0"/>
    <n v="0"/>
    <n v="0"/>
    <m/>
    <m/>
    <n v="0"/>
    <n v="0"/>
    <m/>
    <m/>
    <m/>
    <m/>
    <m/>
    <m/>
    <m/>
    <m/>
    <n v="0"/>
    <n v="0"/>
    <n v="0"/>
    <n v="0"/>
    <n v="3879"/>
    <n v="3539.7333333333331"/>
  </r>
  <r>
    <x v="12"/>
    <s v="Roane State Community College "/>
    <m/>
    <n v="221397"/>
    <x v="6"/>
    <m/>
    <m/>
    <m/>
    <m/>
    <n v="51276"/>
    <n v="44652"/>
    <n v="7706"/>
    <n v="6768"/>
    <n v="52972"/>
    <n v="47374"/>
    <n v="111954"/>
    <n v="3731.8"/>
    <n v="98794"/>
    <n v="3293.1333333333332"/>
    <n v="14910"/>
    <n v="14395"/>
    <n v="111954"/>
    <n v="98794"/>
    <m/>
    <m/>
    <m/>
    <m/>
    <m/>
    <m/>
    <m/>
    <m/>
    <n v="0"/>
    <n v="0"/>
    <n v="0"/>
    <n v="0"/>
    <m/>
    <m/>
    <n v="0"/>
    <n v="0"/>
    <m/>
    <m/>
    <m/>
    <m/>
    <m/>
    <m/>
    <m/>
    <m/>
    <n v="0"/>
    <n v="0"/>
    <n v="0"/>
    <n v="0"/>
    <n v="3731.8"/>
    <n v="3293.1333333333332"/>
  </r>
  <r>
    <x v="12"/>
    <s v="Walters State Community College "/>
    <m/>
    <n v="222062"/>
    <x v="6"/>
    <m/>
    <m/>
    <m/>
    <m/>
    <n v="51325"/>
    <n v="47215"/>
    <n v="8152"/>
    <n v="6148"/>
    <n v="57526"/>
    <n v="54390"/>
    <n v="117003"/>
    <n v="3900.1"/>
    <n v="107753"/>
    <n v="3591.7666666666669"/>
    <n v="12784"/>
    <n v="13671"/>
    <n v="117003"/>
    <n v="107753"/>
    <m/>
    <m/>
    <m/>
    <m/>
    <m/>
    <m/>
    <m/>
    <m/>
    <n v="0"/>
    <n v="0"/>
    <n v="0"/>
    <n v="0"/>
    <m/>
    <m/>
    <n v="0"/>
    <n v="0"/>
    <m/>
    <m/>
    <m/>
    <m/>
    <m/>
    <m/>
    <m/>
    <m/>
    <n v="0"/>
    <n v="0"/>
    <n v="0"/>
    <n v="0"/>
    <n v="3900.1"/>
    <n v="3591.7666666666669"/>
  </r>
  <r>
    <x v="12"/>
    <s v="Dyersburg State Community College "/>
    <m/>
    <n v="220057"/>
    <x v="7"/>
    <m/>
    <m/>
    <m/>
    <m/>
    <n v="22766"/>
    <n v="21230"/>
    <n v="4325"/>
    <n v="4649"/>
    <n v="24448"/>
    <n v="25937"/>
    <n v="51539"/>
    <n v="1717.9666666666667"/>
    <n v="51816"/>
    <n v="1727.2"/>
    <n v="5504"/>
    <n v="5566"/>
    <n v="51539"/>
    <n v="51816"/>
    <m/>
    <m/>
    <m/>
    <m/>
    <m/>
    <m/>
    <m/>
    <m/>
    <n v="0"/>
    <n v="0"/>
    <n v="0"/>
    <n v="0"/>
    <m/>
    <m/>
    <n v="0"/>
    <n v="0"/>
    <m/>
    <m/>
    <m/>
    <m/>
    <m/>
    <m/>
    <m/>
    <m/>
    <n v="0"/>
    <n v="0"/>
    <n v="0"/>
    <n v="0"/>
    <n v="1717.9666666666667"/>
    <n v="1727.2"/>
  </r>
  <r>
    <x v="12"/>
    <s v="Tennessee College of Applied Technology at Athens"/>
    <m/>
    <n v="219596"/>
    <x v="9"/>
    <m/>
    <m/>
    <m/>
    <m/>
    <m/>
    <m/>
    <m/>
    <m/>
    <m/>
    <m/>
    <n v="0"/>
    <n v="0"/>
    <n v="0"/>
    <n v="0"/>
    <m/>
    <m/>
    <n v="0"/>
    <n v="0"/>
    <m/>
    <m/>
    <n v="89100"/>
    <n v="76161"/>
    <n v="67936"/>
    <n v="63773"/>
    <n v="78454"/>
    <n v="94779"/>
    <n v="235490"/>
    <n v="261.65555555555557"/>
    <n v="234713"/>
    <n v="260.79222222222222"/>
    <m/>
    <m/>
    <n v="0"/>
    <n v="0"/>
    <m/>
    <m/>
    <m/>
    <m/>
    <m/>
    <m/>
    <m/>
    <m/>
    <n v="0"/>
    <n v="0"/>
    <n v="0"/>
    <n v="0"/>
    <n v="261.65555555555557"/>
    <n v="260.79222222222222"/>
  </r>
  <r>
    <x v="12"/>
    <s v="Tennessee College of Applied Technology at Chattanooga"/>
    <m/>
    <s v="219824B"/>
    <x v="9"/>
    <m/>
    <m/>
    <m/>
    <m/>
    <m/>
    <m/>
    <m/>
    <m/>
    <m/>
    <m/>
    <n v="0"/>
    <n v="0"/>
    <n v="0"/>
    <n v="0"/>
    <m/>
    <m/>
    <n v="0"/>
    <n v="0"/>
    <m/>
    <m/>
    <n v="332363"/>
    <n v="273031"/>
    <n v="187331"/>
    <n v="179760"/>
    <n v="295842"/>
    <n v="320508"/>
    <n v="815536"/>
    <n v="906.15111111111116"/>
    <n v="773299"/>
    <n v="859.2211111111111"/>
    <m/>
    <m/>
    <n v="0"/>
    <n v="0"/>
    <m/>
    <m/>
    <m/>
    <m/>
    <m/>
    <m/>
    <m/>
    <m/>
    <n v="0"/>
    <n v="0"/>
    <n v="0"/>
    <n v="0"/>
    <n v="906.15111111111116"/>
    <n v="859.2211111111111"/>
  </r>
  <r>
    <x v="12"/>
    <s v="Tennessee College of Applied Technology at Covington"/>
    <m/>
    <n v="219921"/>
    <x v="9"/>
    <m/>
    <m/>
    <m/>
    <m/>
    <m/>
    <m/>
    <m/>
    <m/>
    <m/>
    <m/>
    <n v="0"/>
    <n v="0"/>
    <n v="0"/>
    <n v="0"/>
    <m/>
    <m/>
    <n v="0"/>
    <n v="0"/>
    <m/>
    <m/>
    <n v="81592"/>
    <n v="82362"/>
    <n v="71588"/>
    <n v="72572"/>
    <n v="92879"/>
    <n v="91111"/>
    <n v="246059"/>
    <n v="273.39888888888891"/>
    <n v="246045"/>
    <n v="273.38333333333333"/>
    <m/>
    <m/>
    <n v="0"/>
    <n v="0"/>
    <m/>
    <m/>
    <m/>
    <m/>
    <m/>
    <m/>
    <m/>
    <m/>
    <n v="0"/>
    <n v="0"/>
    <n v="0"/>
    <n v="0"/>
    <n v="273.39888888888891"/>
    <n v="273.38333333333333"/>
  </r>
  <r>
    <x v="12"/>
    <s v="Tennessee College of Applied Technology at Crossville"/>
    <m/>
    <n v="221591"/>
    <x v="9"/>
    <m/>
    <m/>
    <m/>
    <m/>
    <m/>
    <m/>
    <m/>
    <m/>
    <m/>
    <m/>
    <n v="0"/>
    <n v="0"/>
    <n v="0"/>
    <n v="0"/>
    <m/>
    <m/>
    <n v="0"/>
    <n v="0"/>
    <m/>
    <m/>
    <n v="124158"/>
    <n v="146890"/>
    <n v="108760"/>
    <n v="119108"/>
    <n v="143991"/>
    <n v="147693"/>
    <n v="376909"/>
    <n v="418.78777777777776"/>
    <n v="413691"/>
    <n v="459.65666666666669"/>
    <m/>
    <m/>
    <n v="0"/>
    <n v="0"/>
    <m/>
    <m/>
    <m/>
    <m/>
    <m/>
    <m/>
    <m/>
    <m/>
    <n v="0"/>
    <n v="0"/>
    <n v="0"/>
    <n v="0"/>
    <n v="418.78777777777776"/>
    <n v="459.65666666666669"/>
  </r>
  <r>
    <x v="12"/>
    <s v="Tennessee College of Applied Technology at Crump"/>
    <m/>
    <n v="221430"/>
    <x v="9"/>
    <m/>
    <m/>
    <m/>
    <m/>
    <m/>
    <m/>
    <m/>
    <m/>
    <m/>
    <m/>
    <n v="0"/>
    <n v="0"/>
    <n v="0"/>
    <n v="0"/>
    <m/>
    <m/>
    <n v="0"/>
    <n v="0"/>
    <m/>
    <m/>
    <n v="125883"/>
    <n v="145352"/>
    <n v="74810"/>
    <n v="89945"/>
    <n v="158002"/>
    <n v="184534"/>
    <n v="358695"/>
    <n v="398.55"/>
    <n v="419831"/>
    <n v="466.47888888888889"/>
    <m/>
    <m/>
    <n v="0"/>
    <n v="0"/>
    <m/>
    <m/>
    <m/>
    <m/>
    <m/>
    <m/>
    <m/>
    <m/>
    <n v="0"/>
    <n v="0"/>
    <n v="0"/>
    <n v="0"/>
    <n v="398.55"/>
    <n v="466.47888888888889"/>
  </r>
  <r>
    <x v="12"/>
    <s v="Tennessee College of Applied Technology at Dickson"/>
    <m/>
    <n v="219994"/>
    <x v="9"/>
    <m/>
    <m/>
    <m/>
    <m/>
    <m/>
    <m/>
    <m/>
    <m/>
    <m/>
    <m/>
    <n v="0"/>
    <n v="0"/>
    <n v="0"/>
    <n v="0"/>
    <m/>
    <m/>
    <n v="0"/>
    <n v="0"/>
    <m/>
    <m/>
    <n v="247400"/>
    <n v="245192"/>
    <n v="202300"/>
    <n v="216570"/>
    <n v="252017"/>
    <n v="252219"/>
    <n v="701717"/>
    <n v="779.68555555555554"/>
    <n v="713981"/>
    <n v="793.3122222222222"/>
    <m/>
    <m/>
    <n v="0"/>
    <n v="0"/>
    <m/>
    <m/>
    <m/>
    <m/>
    <m/>
    <m/>
    <m/>
    <m/>
    <n v="0"/>
    <n v="0"/>
    <n v="0"/>
    <n v="0"/>
    <n v="779.68555555555554"/>
    <n v="793.3122222222222"/>
  </r>
  <r>
    <x v="12"/>
    <s v="Tennessee College of Applied Technology at Elizabethton"/>
    <m/>
    <n v="220127"/>
    <x v="9"/>
    <m/>
    <m/>
    <m/>
    <m/>
    <m/>
    <m/>
    <m/>
    <m/>
    <m/>
    <m/>
    <n v="0"/>
    <n v="0"/>
    <n v="0"/>
    <n v="0"/>
    <m/>
    <m/>
    <n v="0"/>
    <n v="0"/>
    <m/>
    <m/>
    <n v="182440"/>
    <n v="172473"/>
    <n v="168363"/>
    <n v="152092"/>
    <n v="176639"/>
    <n v="171631"/>
    <n v="527442"/>
    <n v="586.04666666666662"/>
    <n v="496196"/>
    <n v="551.32888888888886"/>
    <m/>
    <m/>
    <n v="0"/>
    <n v="0"/>
    <m/>
    <m/>
    <m/>
    <m/>
    <m/>
    <m/>
    <m/>
    <m/>
    <n v="0"/>
    <n v="0"/>
    <n v="0"/>
    <n v="0"/>
    <n v="586.04666666666662"/>
    <n v="551.32888888888886"/>
  </r>
  <r>
    <x v="12"/>
    <s v="Tennessee College of Applied Technology at Harriman"/>
    <m/>
    <n v="220251"/>
    <x v="9"/>
    <m/>
    <m/>
    <m/>
    <m/>
    <m/>
    <m/>
    <m/>
    <m/>
    <m/>
    <m/>
    <n v="0"/>
    <n v="0"/>
    <n v="0"/>
    <n v="0"/>
    <m/>
    <m/>
    <n v="0"/>
    <n v="0"/>
    <m/>
    <m/>
    <n v="71693"/>
    <n v="102341"/>
    <n v="67098"/>
    <n v="78165"/>
    <n v="99460"/>
    <n v="133733"/>
    <n v="238251"/>
    <n v="264.72333333333336"/>
    <n v="314239"/>
    <n v="349.15444444444444"/>
    <m/>
    <m/>
    <n v="0"/>
    <n v="0"/>
    <m/>
    <m/>
    <m/>
    <m/>
    <m/>
    <m/>
    <m/>
    <m/>
    <n v="0"/>
    <n v="0"/>
    <n v="0"/>
    <n v="0"/>
    <n v="264.72333333333336"/>
    <n v="349.15444444444444"/>
  </r>
  <r>
    <x v="12"/>
    <s v="Tennessee College of Applied Technology at Hartsville"/>
    <m/>
    <n v="220279"/>
    <x v="9"/>
    <m/>
    <m/>
    <m/>
    <m/>
    <m/>
    <m/>
    <m/>
    <m/>
    <m/>
    <m/>
    <n v="0"/>
    <n v="0"/>
    <n v="0"/>
    <n v="0"/>
    <m/>
    <m/>
    <n v="0"/>
    <n v="0"/>
    <m/>
    <m/>
    <n v="102119"/>
    <n v="106720"/>
    <n v="70094"/>
    <n v="66158"/>
    <n v="124442"/>
    <n v="136138"/>
    <n v="296655"/>
    <n v="329.61666666666667"/>
    <n v="309016"/>
    <n v="343.35111111111109"/>
    <m/>
    <m/>
    <n v="0"/>
    <n v="0"/>
    <m/>
    <m/>
    <m/>
    <m/>
    <m/>
    <m/>
    <m/>
    <m/>
    <n v="0"/>
    <n v="0"/>
    <n v="0"/>
    <n v="0"/>
    <n v="329.61666666666667"/>
    <n v="343.35111111111109"/>
  </r>
  <r>
    <x v="12"/>
    <s v="Tennessee College of Applied Technology at Hohenwald"/>
    <m/>
    <n v="220321"/>
    <x v="9"/>
    <m/>
    <m/>
    <m/>
    <m/>
    <m/>
    <m/>
    <m/>
    <m/>
    <m/>
    <m/>
    <n v="0"/>
    <n v="0"/>
    <n v="0"/>
    <n v="0"/>
    <m/>
    <m/>
    <n v="0"/>
    <n v="0"/>
    <m/>
    <m/>
    <n v="125147"/>
    <n v="127833"/>
    <n v="98161"/>
    <n v="91132"/>
    <n v="133516"/>
    <n v="144701"/>
    <n v="356824"/>
    <n v="396.4711111111111"/>
    <n v="363666"/>
    <n v="404.07333333333332"/>
    <m/>
    <m/>
    <n v="0"/>
    <n v="0"/>
    <m/>
    <m/>
    <m/>
    <m/>
    <m/>
    <m/>
    <m/>
    <m/>
    <n v="0"/>
    <n v="0"/>
    <n v="0"/>
    <n v="0"/>
    <n v="396.4711111111111"/>
    <n v="404.07333333333332"/>
  </r>
  <r>
    <x v="12"/>
    <s v="Tennessee College of Applied Technology at Jacksboro"/>
    <m/>
    <n v="220394"/>
    <x v="9"/>
    <m/>
    <m/>
    <m/>
    <m/>
    <m/>
    <m/>
    <m/>
    <m/>
    <m/>
    <m/>
    <n v="0"/>
    <n v="0"/>
    <n v="0"/>
    <n v="0"/>
    <m/>
    <m/>
    <n v="0"/>
    <n v="0"/>
    <m/>
    <m/>
    <n v="80310"/>
    <n v="81667"/>
    <n v="64620"/>
    <n v="59171"/>
    <n v="99359"/>
    <n v="82414"/>
    <n v="244289"/>
    <n v="271.43222222222221"/>
    <n v="223252"/>
    <n v="248.05777777777777"/>
    <m/>
    <m/>
    <n v="0"/>
    <n v="0"/>
    <m/>
    <m/>
    <m/>
    <m/>
    <m/>
    <m/>
    <m/>
    <m/>
    <n v="0"/>
    <n v="0"/>
    <n v="0"/>
    <n v="0"/>
    <n v="271.43222222222221"/>
    <n v="248.05777777777777"/>
  </r>
  <r>
    <x v="12"/>
    <s v="Tennessee College of Applied Technology at Jackson"/>
    <m/>
    <n v="221616"/>
    <x v="9"/>
    <m/>
    <m/>
    <m/>
    <m/>
    <m/>
    <m/>
    <m/>
    <m/>
    <m/>
    <m/>
    <n v="0"/>
    <n v="0"/>
    <n v="0"/>
    <n v="0"/>
    <m/>
    <m/>
    <n v="0"/>
    <n v="0"/>
    <m/>
    <m/>
    <n v="169953"/>
    <n v="149728"/>
    <n v="144499"/>
    <n v="125652"/>
    <n v="167689"/>
    <n v="303646"/>
    <n v="482141"/>
    <n v="535.71222222222218"/>
    <n v="579026"/>
    <n v="643.36222222222227"/>
    <m/>
    <m/>
    <n v="0"/>
    <n v="0"/>
    <m/>
    <m/>
    <m/>
    <m/>
    <m/>
    <m/>
    <m/>
    <m/>
    <n v="0"/>
    <n v="0"/>
    <n v="0"/>
    <n v="0"/>
    <n v="535.71222222222218"/>
    <n v="643.36222222222227"/>
  </r>
  <r>
    <x v="12"/>
    <s v="Tennessee College of Applied Technology at Knoxville"/>
    <m/>
    <n v="221625"/>
    <x v="9"/>
    <m/>
    <m/>
    <m/>
    <m/>
    <m/>
    <m/>
    <m/>
    <m/>
    <m/>
    <m/>
    <n v="0"/>
    <n v="0"/>
    <n v="0"/>
    <n v="0"/>
    <m/>
    <m/>
    <n v="0"/>
    <n v="0"/>
    <m/>
    <m/>
    <n v="264105"/>
    <n v="295121"/>
    <n v="207348"/>
    <n v="233217"/>
    <n v="301050"/>
    <n v="306390"/>
    <n v="772503"/>
    <n v="858.3366666666667"/>
    <n v="834728"/>
    <n v="927.4755555555555"/>
    <m/>
    <m/>
    <n v="0"/>
    <n v="0"/>
    <m/>
    <m/>
    <m/>
    <m/>
    <m/>
    <m/>
    <m/>
    <m/>
    <n v="0"/>
    <n v="0"/>
    <n v="0"/>
    <n v="0"/>
    <n v="858.3366666666667"/>
    <n v="927.4755555555555"/>
  </r>
  <r>
    <x v="12"/>
    <s v="Tennessee College of Applied Technology at Livingston"/>
    <m/>
    <n v="220640"/>
    <x v="9"/>
    <m/>
    <m/>
    <m/>
    <m/>
    <m/>
    <m/>
    <m/>
    <m/>
    <m/>
    <m/>
    <n v="0"/>
    <n v="0"/>
    <n v="0"/>
    <n v="0"/>
    <m/>
    <m/>
    <n v="0"/>
    <n v="0"/>
    <m/>
    <m/>
    <n v="170602"/>
    <n v="149535"/>
    <n v="75987"/>
    <n v="83097"/>
    <n v="165959"/>
    <n v="221999"/>
    <n v="412548"/>
    <n v="458.38666666666666"/>
    <n v="454631"/>
    <n v="505.14555555555557"/>
    <m/>
    <m/>
    <n v="0"/>
    <n v="0"/>
    <m/>
    <m/>
    <m/>
    <m/>
    <m/>
    <m/>
    <m/>
    <m/>
    <n v="0"/>
    <n v="0"/>
    <n v="0"/>
    <n v="0"/>
    <n v="458.38666666666666"/>
    <n v="505.14555555555557"/>
  </r>
  <r>
    <x v="12"/>
    <s v="Tennessee College of Applied Technology at McKenzie"/>
    <m/>
    <n v="220756"/>
    <x v="9"/>
    <m/>
    <m/>
    <m/>
    <m/>
    <m/>
    <m/>
    <m/>
    <m/>
    <m/>
    <m/>
    <n v="0"/>
    <n v="0"/>
    <n v="0"/>
    <n v="0"/>
    <m/>
    <m/>
    <n v="0"/>
    <n v="0"/>
    <m/>
    <m/>
    <n v="52013"/>
    <n v="37381"/>
    <n v="40200"/>
    <n v="32382"/>
    <n v="40514"/>
    <n v="33380"/>
    <n v="132727"/>
    <n v="147.47444444444446"/>
    <n v="103143"/>
    <n v="114.60333333333334"/>
    <m/>
    <m/>
    <n v="0"/>
    <n v="0"/>
    <m/>
    <m/>
    <m/>
    <m/>
    <m/>
    <m/>
    <m/>
    <m/>
    <n v="0"/>
    <n v="0"/>
    <n v="0"/>
    <n v="0"/>
    <n v="147.47444444444446"/>
    <n v="114.60333333333334"/>
  </r>
  <r>
    <x v="12"/>
    <s v="Tennessee College of Applied Technology at McMinnville"/>
    <m/>
    <n v="221607"/>
    <x v="9"/>
    <m/>
    <m/>
    <m/>
    <m/>
    <m/>
    <m/>
    <m/>
    <m/>
    <m/>
    <m/>
    <n v="0"/>
    <n v="0"/>
    <n v="0"/>
    <n v="0"/>
    <m/>
    <m/>
    <n v="0"/>
    <n v="0"/>
    <m/>
    <m/>
    <n v="78745"/>
    <n v="92038"/>
    <n v="70687"/>
    <n v="80145"/>
    <n v="88996"/>
    <n v="95964"/>
    <n v="238428"/>
    <n v="264.92"/>
    <n v="268147"/>
    <n v="297.94111111111113"/>
    <m/>
    <m/>
    <n v="0"/>
    <n v="0"/>
    <m/>
    <m/>
    <m/>
    <m/>
    <m/>
    <m/>
    <m/>
    <m/>
    <n v="0"/>
    <n v="0"/>
    <n v="0"/>
    <n v="0"/>
    <n v="264.92"/>
    <n v="297.94111111111113"/>
  </r>
  <r>
    <x v="12"/>
    <s v="Tennessee College of Applied Technology at Memphis"/>
    <m/>
    <n v="220853"/>
    <x v="9"/>
    <m/>
    <m/>
    <m/>
    <m/>
    <m/>
    <m/>
    <m/>
    <m/>
    <m/>
    <m/>
    <n v="0"/>
    <n v="0"/>
    <n v="0"/>
    <n v="0"/>
    <m/>
    <m/>
    <n v="0"/>
    <n v="0"/>
    <m/>
    <m/>
    <n v="335548"/>
    <n v="321751"/>
    <n v="282602"/>
    <n v="239487"/>
    <n v="358913"/>
    <n v="286535"/>
    <n v="977063"/>
    <n v="1085.6255555555556"/>
    <n v="847773"/>
    <n v="941.97"/>
    <m/>
    <m/>
    <n v="0"/>
    <n v="0"/>
    <m/>
    <m/>
    <m/>
    <m/>
    <m/>
    <m/>
    <m/>
    <m/>
    <n v="0"/>
    <n v="0"/>
    <n v="0"/>
    <n v="0"/>
    <n v="1085.6255555555556"/>
    <n v="941.97"/>
  </r>
  <r>
    <x v="12"/>
    <s v="Tennessee College of Applied Technology at Morristown"/>
    <m/>
    <n v="221050"/>
    <x v="9"/>
    <m/>
    <m/>
    <m/>
    <m/>
    <m/>
    <m/>
    <m/>
    <m/>
    <m/>
    <m/>
    <n v="0"/>
    <n v="0"/>
    <n v="0"/>
    <n v="0"/>
    <m/>
    <m/>
    <n v="0"/>
    <n v="0"/>
    <m/>
    <m/>
    <n v="214530"/>
    <n v="198786"/>
    <n v="162466"/>
    <n v="178315"/>
    <n v="217295"/>
    <n v="238710"/>
    <n v="594291"/>
    <n v="660.32333333333338"/>
    <n v="615811"/>
    <n v="684.23444444444442"/>
    <m/>
    <m/>
    <n v="0"/>
    <n v="0"/>
    <m/>
    <m/>
    <m/>
    <m/>
    <m/>
    <m/>
    <m/>
    <m/>
    <n v="0"/>
    <n v="0"/>
    <n v="0"/>
    <n v="0"/>
    <n v="660.32333333333338"/>
    <n v="684.23444444444442"/>
  </r>
  <r>
    <x v="12"/>
    <s v="Tennessee College of Applied Technology at Murfreesboro"/>
    <m/>
    <n v="221102"/>
    <x v="9"/>
    <m/>
    <m/>
    <m/>
    <m/>
    <m/>
    <m/>
    <m/>
    <m/>
    <m/>
    <m/>
    <n v="0"/>
    <n v="0"/>
    <n v="0"/>
    <n v="0"/>
    <m/>
    <m/>
    <n v="0"/>
    <n v="0"/>
    <m/>
    <m/>
    <n v="209345"/>
    <n v="204201"/>
    <n v="189316"/>
    <n v="216525"/>
    <n v="217383"/>
    <n v="229352"/>
    <n v="616044"/>
    <n v="684.49333333333334"/>
    <n v="650078"/>
    <n v="722.30888888888887"/>
    <m/>
    <m/>
    <n v="0"/>
    <n v="0"/>
    <m/>
    <m/>
    <m/>
    <m/>
    <m/>
    <m/>
    <m/>
    <m/>
    <n v="0"/>
    <n v="0"/>
    <n v="0"/>
    <n v="0"/>
    <n v="684.49333333333334"/>
    <n v="722.30888888888887"/>
  </r>
  <r>
    <x v="12"/>
    <s v="Tennessee College of Applied Technology at Nashville"/>
    <m/>
    <n v="248925"/>
    <x v="9"/>
    <m/>
    <m/>
    <m/>
    <m/>
    <m/>
    <m/>
    <m/>
    <m/>
    <m/>
    <m/>
    <n v="0"/>
    <n v="0"/>
    <n v="0"/>
    <n v="0"/>
    <m/>
    <m/>
    <n v="0"/>
    <n v="0"/>
    <m/>
    <m/>
    <n v="277727"/>
    <n v="277590"/>
    <n v="235696"/>
    <n v="239719"/>
    <n v="288403"/>
    <n v="272030"/>
    <n v="801826"/>
    <n v="890.91777777777781"/>
    <n v="789339"/>
    <n v="877.04333333333329"/>
    <m/>
    <m/>
    <n v="0"/>
    <n v="0"/>
    <m/>
    <m/>
    <m/>
    <m/>
    <m/>
    <m/>
    <m/>
    <m/>
    <n v="0"/>
    <n v="0"/>
    <n v="0"/>
    <n v="0"/>
    <n v="890.91777777777781"/>
    <n v="877.04333333333329"/>
  </r>
  <r>
    <x v="12"/>
    <s v="Tennessee College of Applied Technology at Newbern"/>
    <m/>
    <n v="221236"/>
    <x v="9"/>
    <m/>
    <m/>
    <m/>
    <m/>
    <m/>
    <m/>
    <m/>
    <m/>
    <m/>
    <m/>
    <n v="0"/>
    <n v="0"/>
    <n v="0"/>
    <n v="0"/>
    <m/>
    <m/>
    <n v="0"/>
    <n v="0"/>
    <m/>
    <m/>
    <n v="130305"/>
    <n v="126056"/>
    <n v="117939"/>
    <n v="99528"/>
    <n v="141733"/>
    <n v="136839"/>
    <n v="389977"/>
    <n v="433.3077777777778"/>
    <n v="362423"/>
    <n v="402.6922222222222"/>
    <m/>
    <m/>
    <n v="0"/>
    <n v="0"/>
    <m/>
    <m/>
    <m/>
    <m/>
    <m/>
    <m/>
    <m/>
    <m/>
    <n v="0"/>
    <n v="0"/>
    <n v="0"/>
    <n v="0"/>
    <n v="433.3077777777778"/>
    <n v="402.6922222222222"/>
  </r>
  <r>
    <x v="12"/>
    <s v="Tennessee College of Applied Technology at Oneida"/>
    <m/>
    <n v="221582"/>
    <x v="9"/>
    <m/>
    <m/>
    <m/>
    <m/>
    <m/>
    <m/>
    <m/>
    <m/>
    <m/>
    <m/>
    <n v="0"/>
    <n v="0"/>
    <n v="0"/>
    <n v="0"/>
    <m/>
    <m/>
    <n v="0"/>
    <n v="0"/>
    <m/>
    <m/>
    <n v="63031"/>
    <n v="60065"/>
    <n v="42308"/>
    <n v="48844"/>
    <n v="60630"/>
    <n v="80701"/>
    <n v="165969"/>
    <n v="184.41"/>
    <n v="189610"/>
    <n v="210.67777777777778"/>
    <m/>
    <m/>
    <n v="0"/>
    <n v="0"/>
    <m/>
    <m/>
    <m/>
    <m/>
    <m/>
    <m/>
    <m/>
    <m/>
    <n v="0"/>
    <n v="0"/>
    <n v="0"/>
    <n v="0"/>
    <n v="184.41"/>
    <n v="210.67777777777778"/>
  </r>
  <r>
    <x v="12"/>
    <s v="Tennessee College of Applied Technology at Paris"/>
    <m/>
    <n v="221281"/>
    <x v="9"/>
    <m/>
    <m/>
    <m/>
    <m/>
    <m/>
    <m/>
    <m/>
    <m/>
    <m/>
    <m/>
    <n v="0"/>
    <n v="0"/>
    <n v="0"/>
    <n v="0"/>
    <m/>
    <m/>
    <n v="0"/>
    <n v="0"/>
    <m/>
    <m/>
    <n v="85330"/>
    <n v="61055"/>
    <n v="68827"/>
    <n v="49393"/>
    <n v="76163"/>
    <n v="65730"/>
    <n v="230320"/>
    <n v="255.9111111111111"/>
    <n v="176178"/>
    <n v="195.75333333333333"/>
    <m/>
    <m/>
    <n v="0"/>
    <n v="0"/>
    <m/>
    <m/>
    <m/>
    <m/>
    <m/>
    <m/>
    <m/>
    <m/>
    <n v="0"/>
    <n v="0"/>
    <n v="0"/>
    <n v="0"/>
    <n v="255.9111111111111"/>
    <n v="195.75333333333333"/>
  </r>
  <r>
    <x v="12"/>
    <s v="Tennessee College of Applied Technology at Pulaski"/>
    <m/>
    <n v="221333"/>
    <x v="9"/>
    <m/>
    <m/>
    <m/>
    <m/>
    <m/>
    <m/>
    <m/>
    <m/>
    <m/>
    <m/>
    <n v="0"/>
    <n v="0"/>
    <n v="0"/>
    <n v="0"/>
    <m/>
    <m/>
    <n v="0"/>
    <n v="0"/>
    <m/>
    <m/>
    <n v="119455"/>
    <n v="135440"/>
    <n v="85250"/>
    <n v="83808"/>
    <n v="137369"/>
    <n v="131577"/>
    <n v="342074"/>
    <n v="380.08222222222224"/>
    <n v="350825"/>
    <n v="389.80555555555554"/>
    <m/>
    <m/>
    <n v="0"/>
    <n v="0"/>
    <m/>
    <m/>
    <m/>
    <m/>
    <m/>
    <m/>
    <m/>
    <m/>
    <n v="0"/>
    <n v="0"/>
    <n v="0"/>
    <n v="0"/>
    <n v="380.08222222222224"/>
    <n v="389.80555555555554"/>
  </r>
  <r>
    <x v="12"/>
    <s v="Tennessee College of Applied Technology at Ripley"/>
    <m/>
    <n v="221388"/>
    <x v="9"/>
    <m/>
    <m/>
    <m/>
    <m/>
    <m/>
    <m/>
    <m/>
    <m/>
    <m/>
    <m/>
    <n v="0"/>
    <n v="0"/>
    <n v="0"/>
    <n v="0"/>
    <m/>
    <m/>
    <n v="0"/>
    <n v="0"/>
    <m/>
    <m/>
    <n v="64572"/>
    <n v="61556"/>
    <n v="51038"/>
    <n v="54380"/>
    <n v="66660"/>
    <n v="70801"/>
    <n v="182270"/>
    <n v="202.52222222222221"/>
    <n v="186737"/>
    <n v="207.48555555555555"/>
    <m/>
    <m/>
    <n v="0"/>
    <n v="0"/>
    <m/>
    <m/>
    <m/>
    <m/>
    <m/>
    <m/>
    <m/>
    <m/>
    <n v="0"/>
    <n v="0"/>
    <n v="0"/>
    <n v="0"/>
    <n v="202.52222222222221"/>
    <n v="207.48555555555555"/>
  </r>
  <r>
    <x v="12"/>
    <s v="Tennessee College of Applied Technology at Shelbyville"/>
    <m/>
    <n v="221494"/>
    <x v="9"/>
    <m/>
    <m/>
    <m/>
    <m/>
    <m/>
    <m/>
    <m/>
    <m/>
    <m/>
    <m/>
    <n v="0"/>
    <n v="0"/>
    <n v="0"/>
    <n v="0"/>
    <m/>
    <m/>
    <n v="0"/>
    <n v="0"/>
    <m/>
    <m/>
    <n v="153962"/>
    <n v="154546"/>
    <n v="124412"/>
    <n v="131191"/>
    <n v="166188"/>
    <n v="171059"/>
    <n v="444562"/>
    <n v="493.95777777777778"/>
    <n v="456796"/>
    <n v="507.55111111111108"/>
    <m/>
    <m/>
    <n v="0"/>
    <n v="0"/>
    <m/>
    <m/>
    <m/>
    <m/>
    <m/>
    <m/>
    <m/>
    <m/>
    <n v="0"/>
    <n v="0"/>
    <n v="0"/>
    <n v="0"/>
    <n v="493.95777777777778"/>
    <n v="507.55111111111108"/>
  </r>
  <r>
    <x v="12"/>
    <s v="Tennessee College of Applied Technology at Whiteville"/>
    <m/>
    <n v="221634"/>
    <x v="9"/>
    <m/>
    <m/>
    <m/>
    <m/>
    <m/>
    <m/>
    <m/>
    <m/>
    <m/>
    <m/>
    <n v="0"/>
    <n v="0"/>
    <n v="0"/>
    <n v="0"/>
    <m/>
    <m/>
    <n v="0"/>
    <n v="0"/>
    <m/>
    <m/>
    <n v="69075"/>
    <n v="71892"/>
    <n v="49088"/>
    <n v="35543"/>
    <n v="69009"/>
    <m/>
    <n v="187172"/>
    <n v="207.9688888888889"/>
    <n v="107435"/>
    <n v="119.37222222222222"/>
    <m/>
    <m/>
    <n v="0"/>
    <n v="0"/>
    <m/>
    <m/>
    <m/>
    <m/>
    <m/>
    <m/>
    <m/>
    <m/>
    <n v="0"/>
    <n v="0"/>
    <n v="0"/>
    <n v="0"/>
    <n v="207.9688888888889"/>
    <n v="119.37222222222222"/>
  </r>
  <r>
    <x v="13"/>
    <s v="Texas A&amp;M University "/>
    <m/>
    <n v="228723"/>
    <x v="0"/>
    <m/>
    <m/>
    <n v="0"/>
    <m/>
    <n v="618157"/>
    <n v="643861"/>
    <n v="106529"/>
    <n v="95302"/>
    <n v="687589"/>
    <n v="687883"/>
    <n v="1412275"/>
    <n v="47075.833333333336"/>
    <n v="1427046"/>
    <n v="47568.2"/>
    <n v="0"/>
    <n v="0"/>
    <n v="1412275"/>
    <n v="1427046"/>
    <m/>
    <m/>
    <m/>
    <m/>
    <m/>
    <m/>
    <m/>
    <m/>
    <n v="0"/>
    <n v="0"/>
    <n v="0"/>
    <n v="0"/>
    <m/>
    <m/>
    <n v="0"/>
    <n v="0"/>
    <m/>
    <m/>
    <n v="95499"/>
    <n v="94359"/>
    <n v="33538"/>
    <n v="32123"/>
    <n v="101223"/>
    <n v="104563"/>
    <n v="230260"/>
    <n v="9594.1666666666661"/>
    <n v="231045"/>
    <n v="9626.875"/>
    <n v="56670"/>
    <n v="57195.074999999997"/>
  </r>
  <r>
    <x v="13"/>
    <s v="Texas Tech University "/>
    <m/>
    <n v="229115"/>
    <x v="0"/>
    <m/>
    <m/>
    <n v="0"/>
    <m/>
    <n v="372727"/>
    <n v="388493"/>
    <n v="87314"/>
    <n v="76572"/>
    <n v="428759"/>
    <n v="429399"/>
    <n v="888800"/>
    <n v="29626.666666666668"/>
    <n v="894464"/>
    <n v="29815.466666666667"/>
    <n v="2275"/>
    <n v="1822"/>
    <n v="888800"/>
    <n v="894464"/>
    <m/>
    <m/>
    <m/>
    <m/>
    <m/>
    <m/>
    <m/>
    <m/>
    <n v="0"/>
    <n v="0"/>
    <n v="0"/>
    <n v="0"/>
    <m/>
    <m/>
    <n v="0"/>
    <n v="0"/>
    <m/>
    <m/>
    <n v="48111"/>
    <n v="53112"/>
    <n v="26376"/>
    <n v="26006"/>
    <n v="55054"/>
    <n v="56836"/>
    <n v="129541"/>
    <n v="5397.541666666667"/>
    <n v="135954"/>
    <n v="5664.75"/>
    <n v="35024.208333333336"/>
    <n v="35480.216666666667"/>
  </r>
  <r>
    <x v="13"/>
    <s v="University of Houston"/>
    <m/>
    <n v="225511"/>
    <x v="0"/>
    <m/>
    <m/>
    <n v="0"/>
    <m/>
    <n v="426560"/>
    <n v="432386"/>
    <n v="100530"/>
    <n v="79772"/>
    <n v="474900"/>
    <n v="450975"/>
    <n v="1001990"/>
    <n v="33399.666666666664"/>
    <n v="963133"/>
    <n v="32104.433333333334"/>
    <n v="0"/>
    <n v="0"/>
    <n v="1001990"/>
    <n v="963133"/>
    <m/>
    <m/>
    <m/>
    <m/>
    <m/>
    <m/>
    <m/>
    <m/>
    <n v="0"/>
    <n v="0"/>
    <n v="0"/>
    <n v="0"/>
    <m/>
    <m/>
    <n v="0"/>
    <n v="0"/>
    <m/>
    <m/>
    <n v="70368"/>
    <n v="74633"/>
    <n v="27733"/>
    <n v="22025"/>
    <n v="75309"/>
    <n v="79540"/>
    <n v="173410"/>
    <n v="7225.416666666667"/>
    <n v="176198"/>
    <n v="7341.583333333333"/>
    <n v="40625.083333333328"/>
    <n v="39446.01666666667"/>
  </r>
  <r>
    <x v="13"/>
    <s v="University of North Texas"/>
    <m/>
    <n v="227216"/>
    <x v="0"/>
    <m/>
    <m/>
    <n v="0"/>
    <m/>
    <n v="367716"/>
    <n v="372993"/>
    <n v="86916"/>
    <n v="79861"/>
    <n v="408907"/>
    <n v="394682"/>
    <n v="863539"/>
    <n v="28784.633333333335"/>
    <n v="847536"/>
    <n v="28251.200000000001"/>
    <n v="0"/>
    <n v="0"/>
    <n v="863539"/>
    <n v="847536"/>
    <m/>
    <m/>
    <m/>
    <m/>
    <m/>
    <m/>
    <m/>
    <m/>
    <n v="0"/>
    <n v="0"/>
    <n v="0"/>
    <n v="0"/>
    <m/>
    <m/>
    <n v="0"/>
    <n v="0"/>
    <m/>
    <m/>
    <n v="48675"/>
    <n v="57478"/>
    <n v="23495"/>
    <n v="27289"/>
    <n v="51195"/>
    <n v="64770"/>
    <n v="123365"/>
    <n v="5140.208333333333"/>
    <n v="149537"/>
    <n v="6230.708333333333"/>
    <n v="33924.841666666667"/>
    <n v="34481.908333333333"/>
  </r>
  <r>
    <x v="13"/>
    <s v="University of Texas at Arlington"/>
    <m/>
    <n v="228769"/>
    <x v="0"/>
    <m/>
    <m/>
    <n v="0"/>
    <m/>
    <n v="328968"/>
    <n v="326379"/>
    <n v="125850"/>
    <n v="117108"/>
    <n v="324905"/>
    <n v="310437"/>
    <n v="779723"/>
    <n v="25990.766666666666"/>
    <n v="753924"/>
    <n v="25130.799999999999"/>
    <n v="1638"/>
    <n v="1440"/>
    <n v="779723"/>
    <n v="753924"/>
    <m/>
    <m/>
    <m/>
    <m/>
    <m/>
    <m/>
    <m/>
    <m/>
    <n v="0"/>
    <n v="0"/>
    <n v="0"/>
    <n v="0"/>
    <m/>
    <m/>
    <n v="0"/>
    <n v="0"/>
    <m/>
    <m/>
    <n v="87235"/>
    <n v="79758"/>
    <n v="61755"/>
    <n v="60202"/>
    <n v="63836"/>
    <n v="67544"/>
    <n v="212826"/>
    <n v="8867.75"/>
    <n v="207504"/>
    <n v="8646"/>
    <n v="34858.516666666663"/>
    <n v="33776.800000000003"/>
  </r>
  <r>
    <x v="13"/>
    <s v="University of Texas at Austin"/>
    <m/>
    <n v="228778"/>
    <x v="0"/>
    <m/>
    <m/>
    <n v="0"/>
    <m/>
    <n v="506449"/>
    <n v="506515"/>
    <n v="71982"/>
    <n v="58500"/>
    <n v="542029"/>
    <n v="544686"/>
    <n v="1120460"/>
    <n v="37348.666666666664"/>
    <n v="1109701"/>
    <n v="36990.033333333333"/>
    <n v="0"/>
    <n v="0"/>
    <n v="1120460"/>
    <n v="1109701"/>
    <m/>
    <m/>
    <m/>
    <m/>
    <m/>
    <m/>
    <m/>
    <m/>
    <n v="0"/>
    <n v="0"/>
    <n v="0"/>
    <n v="0"/>
    <m/>
    <m/>
    <n v="0"/>
    <n v="0"/>
    <m/>
    <m/>
    <n v="105938"/>
    <n v="102816"/>
    <n v="20163"/>
    <n v="18283"/>
    <n v="107077"/>
    <n v="113331"/>
    <n v="233178"/>
    <n v="9715.75"/>
    <n v="234430"/>
    <n v="9767.9166666666661"/>
    <n v="47064.416666666664"/>
    <n v="46757.95"/>
  </r>
  <r>
    <x v="13"/>
    <s v="University of Texas at Dallas"/>
    <m/>
    <n v="228787"/>
    <x v="0"/>
    <m/>
    <m/>
    <n v="0"/>
    <m/>
    <n v="257129"/>
    <n v="250097"/>
    <n v="40418"/>
    <n v="35182"/>
    <n v="275329"/>
    <n v="277720"/>
    <n v="572876"/>
    <n v="19095.866666666665"/>
    <n v="562999"/>
    <n v="18766.633333333335"/>
    <n v="0"/>
    <n v="0"/>
    <n v="572876"/>
    <n v="562999"/>
    <m/>
    <m/>
    <m/>
    <m/>
    <m/>
    <m/>
    <m/>
    <m/>
    <n v="0"/>
    <n v="0"/>
    <n v="0"/>
    <n v="0"/>
    <m/>
    <m/>
    <n v="0"/>
    <n v="0"/>
    <m/>
    <m/>
    <n v="61273"/>
    <n v="53429"/>
    <n v="20846"/>
    <n v="15803"/>
    <n v="53519"/>
    <n v="64207"/>
    <n v="135638"/>
    <n v="5651.583333333333"/>
    <n v="133439"/>
    <n v="5559.958333333333"/>
    <n v="24747.449999999997"/>
    <n v="24326.591666666667"/>
  </r>
  <r>
    <x v="13"/>
    <s v="University of Texas at San Antonio"/>
    <m/>
    <n v="229027"/>
    <x v="0"/>
    <m/>
    <m/>
    <n v="0"/>
    <m/>
    <n v="310970"/>
    <n v="318928"/>
    <n v="75703"/>
    <n v="73248"/>
    <n v="355487"/>
    <n v="342267"/>
    <n v="742160"/>
    <n v="24738.666666666668"/>
    <n v="734443"/>
    <n v="24481.433333333334"/>
    <n v="2394"/>
    <n v="2576"/>
    <n v="742160"/>
    <n v="734443"/>
    <m/>
    <m/>
    <m/>
    <m/>
    <m/>
    <m/>
    <m/>
    <m/>
    <n v="0"/>
    <n v="0"/>
    <n v="0"/>
    <n v="0"/>
    <m/>
    <m/>
    <n v="0"/>
    <n v="0"/>
    <m/>
    <m/>
    <n v="29157"/>
    <n v="33064"/>
    <n v="12351"/>
    <n v="11854"/>
    <n v="34050"/>
    <n v="34091"/>
    <n v="75558"/>
    <n v="3148.25"/>
    <n v="79009"/>
    <n v="3292.0416666666665"/>
    <n v="27886.916666666668"/>
    <n v="27773.475000000002"/>
  </r>
  <r>
    <x v="13"/>
    <s v="Texas State University"/>
    <m/>
    <n v="228459"/>
    <x v="1"/>
    <m/>
    <m/>
    <n v="0"/>
    <m/>
    <n v="378021"/>
    <n v="366153"/>
    <n v="71840"/>
    <n v="66306"/>
    <n v="410585"/>
    <n v="408329"/>
    <n v="860446"/>
    <n v="28681.533333333333"/>
    <n v="840788"/>
    <n v="28026.266666666666"/>
    <n v="0"/>
    <n v="0"/>
    <n v="860446"/>
    <n v="840788"/>
    <m/>
    <m/>
    <m/>
    <m/>
    <m/>
    <m/>
    <m/>
    <m/>
    <n v="0"/>
    <n v="0"/>
    <n v="0"/>
    <n v="0"/>
    <m/>
    <m/>
    <n v="0"/>
    <n v="0"/>
    <m/>
    <m/>
    <n v="28055"/>
    <n v="30487"/>
    <n v="11383"/>
    <n v="10989"/>
    <n v="33258"/>
    <n v="33492"/>
    <n v="72696"/>
    <n v="3029"/>
    <n v="74968"/>
    <n v="3123.6666666666665"/>
    <n v="31710.533333333333"/>
    <n v="31149.933333333334"/>
  </r>
  <r>
    <x v="13"/>
    <s v="Texas Woman's University"/>
    <s v="Met the requirments for Four-Year 1 in 2020-21, and 2021-22"/>
    <n v="229179"/>
    <x v="1"/>
    <m/>
    <m/>
    <n v="0"/>
    <m/>
    <n v="107964"/>
    <n v="106380"/>
    <n v="25526"/>
    <n v="22975"/>
    <n v="117950"/>
    <n v="112136"/>
    <n v="251440"/>
    <n v="8381.3333333333339"/>
    <n v="241491"/>
    <n v="8049.7"/>
    <n v="12311"/>
    <n v="12917"/>
    <n v="251440"/>
    <n v="241491"/>
    <m/>
    <m/>
    <m/>
    <m/>
    <m/>
    <m/>
    <m/>
    <m/>
    <n v="0"/>
    <n v="0"/>
    <n v="0"/>
    <n v="0"/>
    <m/>
    <m/>
    <n v="0"/>
    <n v="0"/>
    <m/>
    <m/>
    <n v="35776"/>
    <n v="40243"/>
    <n v="28556"/>
    <n v="32169"/>
    <n v="37266"/>
    <n v="37664"/>
    <n v="101598"/>
    <n v="4233.25"/>
    <n v="110076"/>
    <n v="4586.5"/>
    <n v="12614.583333333334"/>
    <n v="12636.2"/>
  </r>
  <r>
    <x v="13"/>
    <s v="University of Texas at El Paso"/>
    <s v="Met the requirments for Four-Year 1 in 2020-21, and 2021-22"/>
    <n v="228796"/>
    <x v="1"/>
    <m/>
    <m/>
    <n v="0"/>
    <m/>
    <n v="216528"/>
    <n v="206110"/>
    <n v="68562"/>
    <n v="54640"/>
    <n v="234262"/>
    <n v="215086"/>
    <n v="519352"/>
    <n v="17311.733333333334"/>
    <n v="475836"/>
    <n v="15861.2"/>
    <n v="0"/>
    <n v="0"/>
    <n v="519352"/>
    <n v="475836"/>
    <m/>
    <m/>
    <m/>
    <m/>
    <m/>
    <m/>
    <m/>
    <m/>
    <n v="0"/>
    <n v="0"/>
    <n v="0"/>
    <n v="0"/>
    <m/>
    <m/>
    <n v="0"/>
    <n v="0"/>
    <m/>
    <m/>
    <n v="26781"/>
    <n v="28255"/>
    <n v="14389"/>
    <n v="16343"/>
    <n v="24079"/>
    <n v="24651"/>
    <n v="65249"/>
    <n v="2718.7083333333335"/>
    <n v="69249"/>
    <n v="2885.375"/>
    <n v="20030.441666666666"/>
    <n v="18746.575000000001"/>
  </r>
  <r>
    <x v="13"/>
    <s v="Angelo State University"/>
    <m/>
    <n v="222831"/>
    <x v="2"/>
    <m/>
    <m/>
    <n v="0"/>
    <m/>
    <n v="84921"/>
    <n v="81994"/>
    <n v="18081"/>
    <n v="19142"/>
    <n v="90009"/>
    <n v="86302"/>
    <n v="193011"/>
    <n v="6433.7"/>
    <n v="187438"/>
    <n v="6247.9333333333334"/>
    <n v="32458"/>
    <n v="35742"/>
    <n v="193011"/>
    <n v="187438"/>
    <m/>
    <m/>
    <m/>
    <m/>
    <m/>
    <m/>
    <m/>
    <m/>
    <n v="0"/>
    <n v="0"/>
    <n v="0"/>
    <n v="0"/>
    <m/>
    <m/>
    <n v="0"/>
    <n v="0"/>
    <m/>
    <m/>
    <n v="11691"/>
    <n v="12258"/>
    <n v="7367"/>
    <n v="9231"/>
    <n v="8418"/>
    <n v="8261"/>
    <n v="27476"/>
    <n v="1144.8333333333333"/>
    <n v="29750"/>
    <n v="1239.5833333333333"/>
    <n v="7578.5333333333328"/>
    <n v="7487.5166666666664"/>
  </r>
  <r>
    <x v="13"/>
    <s v="Lamar University"/>
    <s v="Met the requirments for 4-Year 2 in 2021-22"/>
    <n v="226091"/>
    <x v="2"/>
    <m/>
    <m/>
    <n v="0"/>
    <m/>
    <n v="93735"/>
    <n v="89507"/>
    <n v="34210"/>
    <n v="33466"/>
    <n v="87986"/>
    <n v="85209"/>
    <n v="215931"/>
    <n v="7197.7"/>
    <n v="208182"/>
    <n v="6939.4"/>
    <n v="3691"/>
    <n v="4056"/>
    <n v="215931"/>
    <n v="208182"/>
    <m/>
    <m/>
    <m/>
    <m/>
    <m/>
    <m/>
    <m/>
    <m/>
    <n v="0"/>
    <n v="0"/>
    <n v="0"/>
    <n v="0"/>
    <m/>
    <m/>
    <n v="0"/>
    <n v="0"/>
    <m/>
    <m/>
    <n v="50476"/>
    <n v="59145"/>
    <n v="50209"/>
    <n v="54168"/>
    <n v="40460"/>
    <n v="39588"/>
    <n v="141145"/>
    <n v="5881.041666666667"/>
    <n v="152901"/>
    <n v="6370.875"/>
    <n v="13078.741666666667"/>
    <n v="13310.275"/>
  </r>
  <r>
    <x v="13"/>
    <s v="Midwestern State University"/>
    <m/>
    <n v="226833"/>
    <x v="2"/>
    <m/>
    <m/>
    <n v="0"/>
    <m/>
    <n v="54366"/>
    <n v="50052"/>
    <n v="12049"/>
    <n v="11502"/>
    <n v="55292"/>
    <n v="52852"/>
    <n v="121707"/>
    <n v="4056.9"/>
    <n v="114406"/>
    <n v="3813.5333333333333"/>
    <n v="779"/>
    <n v="1243"/>
    <n v="121707"/>
    <n v="114406"/>
    <m/>
    <m/>
    <m/>
    <m/>
    <m/>
    <m/>
    <m/>
    <m/>
    <n v="0"/>
    <n v="0"/>
    <n v="0"/>
    <n v="0"/>
    <m/>
    <m/>
    <n v="0"/>
    <n v="0"/>
    <m/>
    <m/>
    <n v="3476"/>
    <n v="3933"/>
    <n v="2396"/>
    <n v="2477"/>
    <n v="3787"/>
    <n v="3806"/>
    <n v="9659"/>
    <n v="402.45833333333331"/>
    <n v="10216"/>
    <n v="425.66666666666669"/>
    <n v="4459.3583333333336"/>
    <n v="4239.2"/>
  </r>
  <r>
    <x v="13"/>
    <s v="Prairie View A&amp;M University"/>
    <m/>
    <n v="227526"/>
    <x v="2"/>
    <m/>
    <m/>
    <n v="0"/>
    <m/>
    <n v="100613"/>
    <n v="99992"/>
    <n v="16639"/>
    <n v="15100"/>
    <n v="108702"/>
    <n v="110742"/>
    <n v="225954"/>
    <n v="7531.8"/>
    <n v="225834"/>
    <n v="7527.8"/>
    <n v="0"/>
    <n v="0"/>
    <n v="225954"/>
    <n v="225834"/>
    <m/>
    <m/>
    <m/>
    <m/>
    <m/>
    <m/>
    <m/>
    <m/>
    <n v="0"/>
    <n v="0"/>
    <n v="0"/>
    <n v="0"/>
    <m/>
    <m/>
    <n v="0"/>
    <n v="0"/>
    <m/>
    <m/>
    <n v="5531"/>
    <n v="6075"/>
    <n v="1914"/>
    <n v="2532"/>
    <n v="5459"/>
    <n v="5712"/>
    <n v="12904"/>
    <n v="537.66666666666663"/>
    <n v="14319"/>
    <n v="596.625"/>
    <n v="8069.4666666666672"/>
    <n v="8124.4250000000002"/>
  </r>
  <r>
    <x v="13"/>
    <s v="Sam Houston State University "/>
    <s v="Met the requirments for 4-Year 2 in 2021-22"/>
    <n v="227881"/>
    <x v="2"/>
    <m/>
    <m/>
    <n v="0"/>
    <m/>
    <n v="210085"/>
    <n v="200858"/>
    <n v="43027"/>
    <n v="39632"/>
    <n v="225806"/>
    <n v="214854"/>
    <n v="478918"/>
    <n v="15963.933333333332"/>
    <n v="455344"/>
    <n v="15178.133333333333"/>
    <n v="0"/>
    <n v="0"/>
    <n v="478918"/>
    <n v="455344"/>
    <m/>
    <m/>
    <m/>
    <m/>
    <m/>
    <m/>
    <m/>
    <m/>
    <n v="0"/>
    <n v="0"/>
    <n v="0"/>
    <n v="0"/>
    <m/>
    <m/>
    <n v="0"/>
    <n v="0"/>
    <m/>
    <m/>
    <n v="15244"/>
    <n v="18049"/>
    <n v="10526"/>
    <n v="11794"/>
    <n v="17720"/>
    <n v="17770"/>
    <n v="43490"/>
    <n v="1812.0833333333333"/>
    <n v="47613"/>
    <n v="1983.875"/>
    <n v="17776.016666666666"/>
    <n v="17162.008333333331"/>
  </r>
  <r>
    <x v="13"/>
    <s v="Stephen F. Austin State University"/>
    <m/>
    <n v="228431"/>
    <x v="2"/>
    <m/>
    <m/>
    <n v="0"/>
    <m/>
    <n v="124979"/>
    <n v="124604"/>
    <n v="24648"/>
    <n v="22212"/>
    <n v="127857"/>
    <n v="126377"/>
    <n v="277484"/>
    <n v="9249.4666666666672"/>
    <n v="273193"/>
    <n v="9106.4333333333325"/>
    <n v="10361"/>
    <n v="9192"/>
    <n v="277484"/>
    <n v="273193"/>
    <m/>
    <m/>
    <m/>
    <m/>
    <m/>
    <m/>
    <m/>
    <m/>
    <n v="0"/>
    <n v="0"/>
    <n v="0"/>
    <n v="0"/>
    <m/>
    <m/>
    <n v="0"/>
    <n v="0"/>
    <m/>
    <m/>
    <n v="9432"/>
    <n v="12551"/>
    <n v="6666"/>
    <n v="7049"/>
    <n v="9091"/>
    <n v="10709"/>
    <n v="25189"/>
    <n v="1049.5416666666667"/>
    <n v="30309"/>
    <n v="1262.875"/>
    <n v="10299.008333333333"/>
    <n v="10369.308333333332"/>
  </r>
  <r>
    <x v="13"/>
    <s v="Sul Ross State University "/>
    <m/>
    <n v="228501"/>
    <x v="2"/>
    <m/>
    <m/>
    <n v="0"/>
    <m/>
    <n v="12644"/>
    <n v="11415"/>
    <n v="2439"/>
    <n v="2486"/>
    <n v="13095"/>
    <n v="11769"/>
    <n v="28178"/>
    <n v="939.26666666666665"/>
    <n v="25670"/>
    <n v="855.66666666666663"/>
    <n v="537"/>
    <n v="628"/>
    <n v="28178"/>
    <n v="25670"/>
    <m/>
    <m/>
    <m/>
    <m/>
    <m/>
    <m/>
    <m/>
    <m/>
    <n v="0"/>
    <n v="0"/>
    <n v="0"/>
    <n v="0"/>
    <m/>
    <m/>
    <n v="0"/>
    <n v="0"/>
    <m/>
    <m/>
    <n v="2478"/>
    <n v="2269"/>
    <n v="1797"/>
    <n v="1872"/>
    <n v="2242"/>
    <n v="2230"/>
    <n v="6517"/>
    <n v="271.54166666666669"/>
    <n v="6371"/>
    <n v="265.45833333333331"/>
    <n v="1210.8083333333334"/>
    <n v="1121.125"/>
  </r>
  <r>
    <x v="13"/>
    <s v="Tarleton State University"/>
    <m/>
    <n v="228529"/>
    <x v="2"/>
    <m/>
    <m/>
    <n v="0"/>
    <m/>
    <n v="123752"/>
    <n v="126922"/>
    <n v="34154"/>
    <n v="35040"/>
    <n v="136860"/>
    <n v="136127"/>
    <n v="294766"/>
    <n v="9825.5333333333328"/>
    <n v="298089"/>
    <n v="9936.2999999999993"/>
    <n v="0"/>
    <n v="0"/>
    <n v="294766"/>
    <n v="298089"/>
    <m/>
    <m/>
    <m/>
    <m/>
    <m/>
    <m/>
    <m/>
    <m/>
    <n v="0"/>
    <n v="0"/>
    <n v="0"/>
    <n v="0"/>
    <m/>
    <m/>
    <n v="0"/>
    <n v="0"/>
    <m/>
    <m/>
    <n v="11778"/>
    <n v="14141"/>
    <n v="9599"/>
    <n v="11081"/>
    <n v="12203"/>
    <n v="12510"/>
    <n v="33580"/>
    <n v="1399.1666666666667"/>
    <n v="37732"/>
    <n v="1572.1666666666667"/>
    <n v="11224.699999999999"/>
    <n v="11508.466666666665"/>
  </r>
  <r>
    <x v="13"/>
    <s v="Texas A&amp;M International University"/>
    <m/>
    <n v="226152"/>
    <x v="2"/>
    <m/>
    <m/>
    <n v="0"/>
    <m/>
    <n v="73238"/>
    <n v="77466"/>
    <n v="23149"/>
    <n v="15280"/>
    <n v="84816"/>
    <n v="80443"/>
    <n v="181203"/>
    <n v="6040.1"/>
    <n v="173189"/>
    <n v="5772.9666666666662"/>
    <n v="7920"/>
    <n v="7680"/>
    <n v="181203"/>
    <n v="173189"/>
    <m/>
    <m/>
    <m/>
    <m/>
    <m/>
    <m/>
    <m/>
    <m/>
    <n v="0"/>
    <n v="0"/>
    <n v="0"/>
    <n v="0"/>
    <m/>
    <m/>
    <n v="0"/>
    <n v="0"/>
    <m/>
    <m/>
    <n v="5654"/>
    <n v="9099"/>
    <n v="10819"/>
    <n v="10158"/>
    <n v="5678"/>
    <n v="5674"/>
    <n v="22151"/>
    <n v="922.95833333333337"/>
    <n v="24931"/>
    <n v="1038.7916666666667"/>
    <n v="6963.0583333333334"/>
    <n v="6811.7583333333332"/>
  </r>
  <r>
    <x v="13"/>
    <s v="Texas A&amp;M University-Commerce"/>
    <m/>
    <n v="224554"/>
    <x v="2"/>
    <m/>
    <m/>
    <n v="0"/>
    <m/>
    <n v="86644"/>
    <n v="82107"/>
    <n v="26367"/>
    <n v="21915"/>
    <n v="91977"/>
    <n v="80627"/>
    <n v="204988"/>
    <n v="6832.9333333333334"/>
    <n v="184649"/>
    <n v="6154.9666666666662"/>
    <n v="5468"/>
    <n v="5463"/>
    <n v="204988"/>
    <n v="184649"/>
    <m/>
    <m/>
    <m/>
    <m/>
    <m/>
    <m/>
    <m/>
    <m/>
    <n v="0"/>
    <n v="0"/>
    <n v="0"/>
    <n v="0"/>
    <m/>
    <m/>
    <n v="0"/>
    <n v="0"/>
    <m/>
    <m/>
    <n v="5838"/>
    <n v="23955"/>
    <n v="32927"/>
    <n v="17630"/>
    <n v="23072"/>
    <n v="22729"/>
    <n v="61837"/>
    <n v="2576.5416666666665"/>
    <n v="64314"/>
    <n v="2679.75"/>
    <n v="9409.4750000000004"/>
    <n v="8834.7166666666672"/>
  </r>
  <r>
    <x v="13"/>
    <s v="Texas A&amp;M University-Corpus Christi "/>
    <m/>
    <n v="224147"/>
    <x v="2"/>
    <m/>
    <m/>
    <n v="0"/>
    <m/>
    <n v="99390"/>
    <n v="89693"/>
    <n v="27482"/>
    <n v="25276"/>
    <n v="97477"/>
    <n v="92954"/>
    <n v="224349"/>
    <n v="7478.3"/>
    <n v="207923"/>
    <n v="6930.7666666666664"/>
    <n v="1482"/>
    <n v="917"/>
    <n v="224349"/>
    <n v="207923"/>
    <m/>
    <m/>
    <m/>
    <m/>
    <m/>
    <m/>
    <m/>
    <m/>
    <n v="0"/>
    <n v="0"/>
    <n v="0"/>
    <n v="0"/>
    <m/>
    <m/>
    <n v="0"/>
    <n v="0"/>
    <m/>
    <m/>
    <n v="15674"/>
    <n v="19579"/>
    <n v="14941"/>
    <n v="21079"/>
    <n v="11915"/>
    <n v="13482"/>
    <n v="42530"/>
    <n v="1772.0833333333333"/>
    <n v="54140"/>
    <n v="2255.8333333333335"/>
    <n v="9250.3833333333332"/>
    <n v="9186.6"/>
  </r>
  <r>
    <x v="13"/>
    <s v="Texas A&amp;M University-Kingsville"/>
    <m/>
    <n v="228705"/>
    <x v="2"/>
    <m/>
    <m/>
    <n v="0"/>
    <m/>
    <n v="63620"/>
    <n v="58927"/>
    <n v="11624"/>
    <n v="9305"/>
    <n v="67527"/>
    <n v="60908"/>
    <n v="142771"/>
    <n v="4759.0333333333338"/>
    <n v="129140"/>
    <n v="4304.666666666667"/>
    <n v="6202"/>
    <n v="3663"/>
    <n v="142771"/>
    <n v="129140"/>
    <m/>
    <m/>
    <m/>
    <m/>
    <m/>
    <m/>
    <m/>
    <m/>
    <n v="0"/>
    <n v="0"/>
    <n v="0"/>
    <n v="0"/>
    <m/>
    <m/>
    <n v="0"/>
    <n v="0"/>
    <m/>
    <m/>
    <n v="9486"/>
    <n v="10200"/>
    <n v="5761"/>
    <n v="6249"/>
    <n v="8870"/>
    <n v="9015"/>
    <n v="24117"/>
    <n v="1004.875"/>
    <n v="25464"/>
    <n v="1061"/>
    <n v="5763.9083333333338"/>
    <n v="5365.666666666667"/>
  </r>
  <r>
    <x v="13"/>
    <s v="Texas Southern University "/>
    <m/>
    <n v="229063"/>
    <x v="2"/>
    <m/>
    <m/>
    <n v="0"/>
    <m/>
    <n v="80828"/>
    <n v="64778"/>
    <n v="8548"/>
    <n v="7872"/>
    <n v="68291"/>
    <n v="76173"/>
    <n v="157667"/>
    <n v="5255.5666666666666"/>
    <n v="148823"/>
    <n v="4960.7666666666664"/>
    <n v="0"/>
    <n v="0"/>
    <n v="157667"/>
    <n v="148823"/>
    <m/>
    <m/>
    <m/>
    <m/>
    <m/>
    <m/>
    <m/>
    <m/>
    <n v="0"/>
    <n v="0"/>
    <n v="0"/>
    <n v="0"/>
    <m/>
    <m/>
    <n v="0"/>
    <n v="0"/>
    <m/>
    <m/>
    <n v="19551"/>
    <n v="18720"/>
    <n v="3715"/>
    <n v="3822"/>
    <n v="18669"/>
    <n v="18972"/>
    <n v="41935"/>
    <n v="1747.2916666666667"/>
    <n v="41514"/>
    <n v="1729.75"/>
    <n v="7002.8583333333336"/>
    <n v="6690.5166666666664"/>
  </r>
  <r>
    <x v="13"/>
    <s v="University of Houston-Clear Lake "/>
    <m/>
    <n v="225414"/>
    <x v="2"/>
    <m/>
    <m/>
    <n v="0"/>
    <m/>
    <n v="63458"/>
    <n v="64915"/>
    <n v="20677"/>
    <n v="20620"/>
    <n v="67145"/>
    <n v="67094"/>
    <n v="151280"/>
    <n v="5042.666666666667"/>
    <n v="152629"/>
    <n v="5087.6333333333332"/>
    <n v="0"/>
    <n v="0"/>
    <n v="151280"/>
    <n v="152629"/>
    <m/>
    <m/>
    <m/>
    <m/>
    <m/>
    <m/>
    <m/>
    <m/>
    <n v="0"/>
    <n v="0"/>
    <n v="0"/>
    <n v="0"/>
    <m/>
    <m/>
    <n v="0"/>
    <n v="0"/>
    <m/>
    <m/>
    <n v="17414"/>
    <n v="16260"/>
    <n v="10353"/>
    <n v="9564"/>
    <n v="13359"/>
    <n v="14313"/>
    <n v="41126"/>
    <n v="1713.5833333333333"/>
    <n v="40137"/>
    <n v="1672.375"/>
    <n v="6756.25"/>
    <n v="6760.0083333333332"/>
  </r>
  <r>
    <x v="13"/>
    <s v="University of Texas at Tyler"/>
    <m/>
    <n v="228802"/>
    <x v="2"/>
    <m/>
    <m/>
    <n v="0"/>
    <m/>
    <n v="74404"/>
    <n v="74187"/>
    <n v="24135"/>
    <n v="23005"/>
    <n v="81281"/>
    <n v="79333"/>
    <n v="179820"/>
    <n v="5994"/>
    <n v="176525"/>
    <n v="5884.166666666667"/>
    <n v="2969"/>
    <n v="3493"/>
    <n v="179820"/>
    <n v="176525"/>
    <m/>
    <m/>
    <m/>
    <m/>
    <m/>
    <m/>
    <m/>
    <m/>
    <n v="0"/>
    <n v="0"/>
    <n v="0"/>
    <n v="0"/>
    <m/>
    <m/>
    <n v="0"/>
    <n v="0"/>
    <m/>
    <m/>
    <n v="14292"/>
    <n v="14627"/>
    <n v="10787"/>
    <n v="10777"/>
    <n v="13775"/>
    <n v="13051"/>
    <n v="38854"/>
    <n v="1618.9166666666667"/>
    <n v="38455"/>
    <n v="1602.2916666666667"/>
    <n v="7612.916666666667"/>
    <n v="7486.4583333333339"/>
  </r>
  <r>
    <x v="13"/>
    <s v="University of Texas Permian Basin"/>
    <m/>
    <n v="229018"/>
    <x v="2"/>
    <m/>
    <m/>
    <n v="0"/>
    <m/>
    <n v="41240"/>
    <n v="43195"/>
    <n v="18791"/>
    <n v="19379"/>
    <n v="42710"/>
    <n v="38429"/>
    <n v="102741"/>
    <n v="3424.7"/>
    <n v="101003"/>
    <n v="3366.7666666666669"/>
    <n v="7036"/>
    <n v="5805"/>
    <n v="102741"/>
    <n v="101003"/>
    <m/>
    <m/>
    <m/>
    <m/>
    <m/>
    <m/>
    <m/>
    <m/>
    <n v="0"/>
    <n v="0"/>
    <n v="0"/>
    <n v="0"/>
    <m/>
    <m/>
    <n v="0"/>
    <n v="0"/>
    <m/>
    <m/>
    <n v="5449"/>
    <n v="6448"/>
    <n v="6702"/>
    <n v="7631"/>
    <n v="3830"/>
    <n v="3741"/>
    <n v="15981"/>
    <n v="665.875"/>
    <n v="17820"/>
    <n v="742.5"/>
    <n v="4090.5749999999998"/>
    <n v="4109.2666666666664"/>
  </r>
  <r>
    <x v="13"/>
    <s v="University of Texas-Rio Grande Valley"/>
    <m/>
    <n v="227368"/>
    <x v="2"/>
    <m/>
    <m/>
    <n v="0"/>
    <m/>
    <n v="287507"/>
    <n v="291473"/>
    <n v="99548"/>
    <n v="81963"/>
    <n v="335363"/>
    <n v="315031"/>
    <n v="722418"/>
    <n v="24080.6"/>
    <n v="688467"/>
    <n v="22948.9"/>
    <n v="21495"/>
    <n v="19258"/>
    <n v="722418"/>
    <n v="688467"/>
    <m/>
    <m/>
    <m/>
    <m/>
    <m/>
    <m/>
    <m/>
    <m/>
    <n v="0"/>
    <n v="0"/>
    <n v="0"/>
    <n v="0"/>
    <m/>
    <m/>
    <n v="0"/>
    <n v="0"/>
    <m/>
    <m/>
    <n v="27878"/>
    <n v="41780"/>
    <n v="27749"/>
    <n v="36553"/>
    <n v="33866"/>
    <n v="32465"/>
    <n v="89493"/>
    <n v="3728.875"/>
    <n v="110798"/>
    <n v="4616.583333333333"/>
    <n v="27809.474999999999"/>
    <n v="27565.483333333334"/>
  </r>
  <r>
    <x v="13"/>
    <s v="West Texas A&amp;M University"/>
    <m/>
    <n v="229814"/>
    <x v="2"/>
    <m/>
    <m/>
    <n v="0"/>
    <m/>
    <n v="80960"/>
    <n v="78587"/>
    <n v="15613"/>
    <n v="13481"/>
    <n v="90517"/>
    <n v="84987"/>
    <n v="187090"/>
    <n v="6236.333333333333"/>
    <n v="177055"/>
    <n v="5901.833333333333"/>
    <n v="0"/>
    <n v="0"/>
    <n v="187090"/>
    <n v="177055"/>
    <m/>
    <m/>
    <m/>
    <m/>
    <m/>
    <m/>
    <m/>
    <m/>
    <n v="0"/>
    <n v="0"/>
    <n v="0"/>
    <n v="0"/>
    <m/>
    <m/>
    <n v="0"/>
    <n v="0"/>
    <m/>
    <m/>
    <n v="14114"/>
    <n v="15200"/>
    <n v="8872"/>
    <n v="8222"/>
    <n v="15589"/>
    <n v="14529"/>
    <n v="38575"/>
    <n v="1607.2916666666667"/>
    <n v="37951"/>
    <n v="1581.2916666666667"/>
    <n v="7843.625"/>
    <n v="7483.125"/>
  </r>
  <r>
    <x v="13"/>
    <s v="Texas A&amp;M -Texarkana"/>
    <s v="Met the requirments for 4-Year 3 in 2021-22"/>
    <n v="224545"/>
    <x v="3"/>
    <m/>
    <m/>
    <n v="0"/>
    <m/>
    <n v="18651"/>
    <n v="18536"/>
    <n v="4916"/>
    <n v="3950"/>
    <n v="19946"/>
    <n v="18679"/>
    <n v="43513"/>
    <n v="1450.4333333333334"/>
    <n v="41165"/>
    <n v="1372.1666666666667"/>
    <n v="0"/>
    <n v="0"/>
    <n v="43513"/>
    <n v="41165"/>
    <m/>
    <m/>
    <m/>
    <m/>
    <m/>
    <m/>
    <m/>
    <m/>
    <n v="0"/>
    <n v="0"/>
    <n v="0"/>
    <n v="0"/>
    <m/>
    <m/>
    <n v="0"/>
    <n v="0"/>
    <m/>
    <m/>
    <n v="1829"/>
    <n v="2128"/>
    <n v="1490"/>
    <n v="1215"/>
    <n v="2209"/>
    <n v="2047"/>
    <n v="5528"/>
    <n v="230.33333333333334"/>
    <n v="5390"/>
    <n v="224.58333333333334"/>
    <n v="1680.7666666666667"/>
    <n v="1596.75"/>
  </r>
  <r>
    <x v="13"/>
    <s v="Texas A&amp;M University-Central Texas"/>
    <m/>
    <n v="483036"/>
    <x v="2"/>
    <m/>
    <m/>
    <n v="0"/>
    <m/>
    <n v="15868"/>
    <n v="16180"/>
    <n v="7476"/>
    <n v="5819"/>
    <n v="16096"/>
    <n v="14959"/>
    <n v="39440"/>
    <n v="1314.6666666666667"/>
    <n v="36958"/>
    <n v="1231.9333333333334"/>
    <n v="0"/>
    <n v="0"/>
    <n v="39440"/>
    <n v="36958"/>
    <m/>
    <m/>
    <m/>
    <m/>
    <m/>
    <m/>
    <m/>
    <m/>
    <n v="0"/>
    <n v="0"/>
    <n v="0"/>
    <n v="0"/>
    <m/>
    <m/>
    <n v="0"/>
    <n v="0"/>
    <m/>
    <m/>
    <n v="2739"/>
    <n v="3201"/>
    <n v="2039"/>
    <n v="1777"/>
    <n v="3113"/>
    <n v="2983"/>
    <n v="7891"/>
    <n v="328.79166666666669"/>
    <n v="7961"/>
    <n v="331.70833333333331"/>
    <n v="1643.4583333333335"/>
    <n v="1563.6416666666667"/>
  </r>
  <r>
    <x v="13"/>
    <s v="University of Houston-Downtown"/>
    <s v="Met the requirments for 4-Year 3 in 2021-22"/>
    <n v="225432"/>
    <x v="3"/>
    <m/>
    <m/>
    <n v="0"/>
    <m/>
    <n v="117046"/>
    <n v="125369"/>
    <n v="43063"/>
    <n v="42585"/>
    <n v="133433"/>
    <n v="127479"/>
    <n v="293542"/>
    <n v="9784.7333333333336"/>
    <n v="295433"/>
    <n v="9847.7666666666664"/>
    <n v="0"/>
    <n v="0"/>
    <n v="293542"/>
    <n v="295433"/>
    <m/>
    <m/>
    <m/>
    <m/>
    <m/>
    <m/>
    <m/>
    <m/>
    <n v="0"/>
    <n v="0"/>
    <n v="0"/>
    <n v="0"/>
    <m/>
    <m/>
    <n v="0"/>
    <n v="0"/>
    <m/>
    <m/>
    <n v="10531"/>
    <n v="10719"/>
    <n v="9875"/>
    <n v="9874"/>
    <n v="6930"/>
    <n v="6357"/>
    <n v="27336"/>
    <n v="1139"/>
    <n v="26950"/>
    <n v="1122.9166666666667"/>
    <n v="10923.733333333334"/>
    <n v="10970.683333333332"/>
  </r>
  <r>
    <x v="13"/>
    <s v="University of Houston-Victoria"/>
    <s v="Met the requirments for 4-Year 3 in 2021-22"/>
    <n v="225502"/>
    <x v="3"/>
    <m/>
    <m/>
    <n v="0"/>
    <m/>
    <n v="29993"/>
    <n v="32876"/>
    <n v="10030"/>
    <n v="9576"/>
    <n v="35153"/>
    <n v="28654"/>
    <n v="75176"/>
    <n v="2505.8666666666668"/>
    <n v="71106"/>
    <n v="2370.1999999999998"/>
    <n v="0"/>
    <n v="0"/>
    <n v="75176"/>
    <n v="71106"/>
    <m/>
    <m/>
    <m/>
    <m/>
    <m/>
    <m/>
    <m/>
    <m/>
    <n v="0"/>
    <n v="0"/>
    <n v="0"/>
    <n v="0"/>
    <m/>
    <m/>
    <n v="0"/>
    <n v="0"/>
    <m/>
    <m/>
    <n v="8243"/>
    <n v="8894"/>
    <n v="6216"/>
    <n v="5421"/>
    <n v="10109"/>
    <n v="6965"/>
    <n v="24568"/>
    <n v="1023.6666666666666"/>
    <n v="21280"/>
    <n v="886.66666666666663"/>
    <n v="3529.5333333333333"/>
    <n v="3256.8666666666663"/>
  </r>
  <r>
    <x v="13"/>
    <s v="Sul Ross State University-Rio Grande College"/>
    <s v="Met the requirments for 4-Year 4 in 2021-22"/>
    <s v="228501B"/>
    <x v="4"/>
    <m/>
    <m/>
    <n v="0"/>
    <m/>
    <n v="5351"/>
    <n v="5459"/>
    <n v="2877"/>
    <n v="2703"/>
    <n v="6086"/>
    <n v="5271"/>
    <n v="14314"/>
    <n v="477.13333333333333"/>
    <n v="13433"/>
    <n v="447.76666666666665"/>
    <n v="0"/>
    <n v="0"/>
    <n v="14314"/>
    <n v="13433"/>
    <m/>
    <m/>
    <m/>
    <m/>
    <m/>
    <m/>
    <m/>
    <m/>
    <n v="0"/>
    <n v="0"/>
    <n v="0"/>
    <n v="0"/>
    <m/>
    <m/>
    <n v="0"/>
    <n v="0"/>
    <m/>
    <m/>
    <n v="459"/>
    <n v="624"/>
    <n v="420"/>
    <n v="465"/>
    <n v="633"/>
    <n v="507"/>
    <n v="1512"/>
    <n v="63"/>
    <n v="1596"/>
    <n v="66.5"/>
    <n v="540.13333333333333"/>
    <n v="514.26666666666665"/>
  </r>
  <r>
    <x v="13"/>
    <s v="Texas A&amp;M University at Galveston"/>
    <s v="Met the requirments for 4-Year 4 in 2021-22"/>
    <n v="228714"/>
    <x v="4"/>
    <m/>
    <m/>
    <n v="0"/>
    <m/>
    <n v="22463"/>
    <n v="20341"/>
    <n v="4074"/>
    <n v="3297"/>
    <n v="24046"/>
    <n v="25966"/>
    <n v="50583"/>
    <n v="1686.1"/>
    <n v="49604"/>
    <n v="1653.4666666666667"/>
    <n v="0"/>
    <n v="0"/>
    <n v="50583"/>
    <n v="49604"/>
    <m/>
    <m/>
    <m/>
    <m/>
    <m/>
    <m/>
    <m/>
    <m/>
    <n v="0"/>
    <n v="0"/>
    <n v="0"/>
    <n v="0"/>
    <m/>
    <m/>
    <n v="0"/>
    <n v="0"/>
    <m/>
    <m/>
    <n v="1123"/>
    <n v="1283"/>
    <n v="510"/>
    <n v="606"/>
    <n v="1316"/>
    <n v="1441"/>
    <n v="2949"/>
    <n v="122.875"/>
    <n v="3330"/>
    <n v="138.75"/>
    <n v="1808.9749999999999"/>
    <n v="1792.2166666666667"/>
  </r>
  <r>
    <x v="13"/>
    <s v="Texas A&amp;M University-San Antonio"/>
    <s v="Met the requirments for 4-Year 4 in 2021-22"/>
    <n v="870501"/>
    <x v="3"/>
    <m/>
    <m/>
    <n v="0"/>
    <m/>
    <n v="56503"/>
    <n v="54692"/>
    <n v="17076"/>
    <n v="14981"/>
    <n v="61404"/>
    <n v="63429"/>
    <n v="134983"/>
    <n v="4499.4333333333334"/>
    <n v="133102"/>
    <n v="4436.7333333333336"/>
    <n v="784"/>
    <n v="1203"/>
    <n v="134983"/>
    <n v="133102"/>
    <m/>
    <m/>
    <m/>
    <m/>
    <m/>
    <m/>
    <m/>
    <m/>
    <n v="0"/>
    <n v="0"/>
    <n v="0"/>
    <n v="0"/>
    <m/>
    <m/>
    <n v="0"/>
    <n v="0"/>
    <m/>
    <m/>
    <n v="4161"/>
    <n v="3413"/>
    <n v="2748"/>
    <n v="2242"/>
    <n v="3804"/>
    <n v="2671"/>
    <n v="10713"/>
    <n v="446.375"/>
    <n v="8326"/>
    <n v="346.91666666666669"/>
    <n v="4945.8083333333334"/>
    <n v="4783.6500000000005"/>
  </r>
  <r>
    <x v="13"/>
    <s v="Brazosport College "/>
    <m/>
    <n v="223506"/>
    <x v="12"/>
    <m/>
    <m/>
    <n v="27932"/>
    <n v="25803"/>
    <n v="9121"/>
    <n v="10117"/>
    <n v="2926"/>
    <n v="2307"/>
    <n v="26840"/>
    <n v="28223"/>
    <n v="66819"/>
    <n v="2227.3000000000002"/>
    <n v="66450"/>
    <n v="2215"/>
    <n v="10576"/>
    <n v="10070"/>
    <n v="66819"/>
    <n v="66450"/>
    <n v="4811"/>
    <n v="4711"/>
    <n v="2728"/>
    <n v="5080"/>
    <n v="2184"/>
    <n v="5930"/>
    <n v="3546"/>
    <n v="4005"/>
    <n v="13269"/>
    <n v="14.743333333333334"/>
    <n v="19726"/>
    <n v="21.917777777777779"/>
    <m/>
    <m/>
    <n v="0"/>
    <n v="0"/>
    <m/>
    <m/>
    <m/>
    <m/>
    <m/>
    <m/>
    <m/>
    <m/>
    <n v="0"/>
    <n v="0"/>
    <n v="0"/>
    <n v="0"/>
    <n v="2242.0433333333335"/>
    <n v="2236.9177777777777"/>
  </r>
  <r>
    <x v="13"/>
    <s v="Midland College "/>
    <m/>
    <n v="226806"/>
    <x v="12"/>
    <m/>
    <m/>
    <n v="37771"/>
    <n v="37591"/>
    <n v="13772"/>
    <n v="9513"/>
    <n v="0"/>
    <n v="0"/>
    <n v="36179"/>
    <n v="39139"/>
    <n v="87722"/>
    <n v="2924.0666666666666"/>
    <n v="86243"/>
    <n v="2874.7666666666669"/>
    <n v="19854"/>
    <n v="22071"/>
    <n v="87722"/>
    <n v="86243"/>
    <n v="27908"/>
    <n v="17254"/>
    <n v="16060"/>
    <n v="13926"/>
    <n v="13895"/>
    <n v="33155"/>
    <n v="38088"/>
    <n v="31079"/>
    <n v="95951"/>
    <n v="106.61222222222223"/>
    <n v="95414"/>
    <n v="106.01555555555555"/>
    <m/>
    <m/>
    <n v="0"/>
    <n v="0"/>
    <m/>
    <m/>
    <m/>
    <m/>
    <m/>
    <m/>
    <m/>
    <m/>
    <n v="0"/>
    <n v="0"/>
    <n v="0"/>
    <n v="0"/>
    <n v="3030.6788888888887"/>
    <n v="2980.7822222222226"/>
  </r>
  <r>
    <x v="13"/>
    <s v="South Texas College"/>
    <m/>
    <n v="409315"/>
    <x v="12"/>
    <m/>
    <m/>
    <n v="270144"/>
    <n v="216567"/>
    <n v="70042"/>
    <n v="66317"/>
    <n v="0"/>
    <n v="0"/>
    <n v="251086"/>
    <n v="241381"/>
    <n v="591272"/>
    <n v="19709.066666666666"/>
    <n v="524265"/>
    <n v="17475.5"/>
    <n v="210479"/>
    <n v="169220"/>
    <n v="591272"/>
    <n v="524265"/>
    <n v="52314"/>
    <n v="62359"/>
    <n v="41310"/>
    <n v="39373"/>
    <n v="27105"/>
    <n v="31651"/>
    <n v="43786"/>
    <n v="54094"/>
    <n v="164515"/>
    <n v="182.79444444444445"/>
    <n v="187477"/>
    <n v="208.30777777777777"/>
    <m/>
    <m/>
    <n v="0"/>
    <n v="0"/>
    <m/>
    <m/>
    <m/>
    <m/>
    <m/>
    <m/>
    <m/>
    <m/>
    <n v="0"/>
    <n v="0"/>
    <n v="0"/>
    <n v="0"/>
    <n v="19891.861111111109"/>
    <n v="17683.807777777776"/>
  </r>
  <r>
    <x v="13"/>
    <s v="Amarillo College "/>
    <m/>
    <n v="222576"/>
    <x v="5"/>
    <m/>
    <m/>
    <n v="72096"/>
    <n v="67235"/>
    <n v="17951"/>
    <n v="17757"/>
    <n v="0"/>
    <n v="0"/>
    <n v="76821"/>
    <n v="75791"/>
    <n v="166868"/>
    <n v="5562.2666666666664"/>
    <n v="160783"/>
    <n v="5359.4333333333334"/>
    <n v="23416"/>
    <n v="23499"/>
    <n v="166868"/>
    <n v="160783"/>
    <n v="81838"/>
    <n v="34180"/>
    <n v="27967"/>
    <n v="57939"/>
    <n v="35190"/>
    <n v="64711"/>
    <n v="45276"/>
    <n v="72627"/>
    <n v="190271"/>
    <n v="211.41222222222223"/>
    <n v="229457"/>
    <n v="254.95222222222222"/>
    <m/>
    <m/>
    <n v="0"/>
    <n v="0"/>
    <m/>
    <m/>
    <m/>
    <m/>
    <m/>
    <m/>
    <m/>
    <m/>
    <n v="0"/>
    <n v="0"/>
    <n v="0"/>
    <n v="0"/>
    <n v="5773.6788888888887"/>
    <n v="5614.3855555555556"/>
  </r>
  <r>
    <x v="13"/>
    <s v="Austin Community College "/>
    <m/>
    <n v="222992"/>
    <x v="5"/>
    <m/>
    <m/>
    <n v="290435"/>
    <n v="284819"/>
    <n v="172353"/>
    <n v="162073"/>
    <n v="0"/>
    <n v="0"/>
    <n v="260152"/>
    <n v="227508"/>
    <n v="722940"/>
    <n v="24098"/>
    <n v="674400"/>
    <n v="22480"/>
    <n v="111260"/>
    <n v="102333"/>
    <n v="722940"/>
    <n v="674400"/>
    <n v="152220"/>
    <n v="118287"/>
    <n v="64190"/>
    <n v="94416"/>
    <n v="176016"/>
    <n v="262518"/>
    <n v="112469"/>
    <n v="161750"/>
    <n v="504895"/>
    <n v="560.99444444444441"/>
    <n v="636971"/>
    <n v="707.7455555555556"/>
    <m/>
    <m/>
    <n v="0"/>
    <n v="0"/>
    <m/>
    <m/>
    <m/>
    <m/>
    <m/>
    <m/>
    <m/>
    <m/>
    <n v="0"/>
    <n v="0"/>
    <n v="0"/>
    <n v="0"/>
    <n v="24658.994444444445"/>
    <n v="23187.745555555557"/>
  </r>
  <r>
    <x v="13"/>
    <s v="Blinn College"/>
    <m/>
    <n v="223427"/>
    <x v="5"/>
    <m/>
    <m/>
    <n v="175038"/>
    <n v="153683"/>
    <n v="38626"/>
    <n v="26195"/>
    <n v="17806"/>
    <n v="14512"/>
    <n v="176943"/>
    <n v="167473"/>
    <n v="408413"/>
    <n v="13613.766666666666"/>
    <n v="361863"/>
    <n v="12062.1"/>
    <n v="19375"/>
    <n v="17468"/>
    <n v="408413"/>
    <n v="361863"/>
    <n v="21290"/>
    <n v="17440"/>
    <n v="482"/>
    <n v="8676"/>
    <n v="8990"/>
    <n v="26222"/>
    <n v="22255"/>
    <n v="16177"/>
    <n v="53017"/>
    <n v="58.907777777777781"/>
    <n v="68515"/>
    <n v="76.12777777777778"/>
    <m/>
    <m/>
    <n v="0"/>
    <n v="0"/>
    <m/>
    <m/>
    <m/>
    <m/>
    <m/>
    <m/>
    <m/>
    <m/>
    <n v="0"/>
    <n v="0"/>
    <n v="0"/>
    <n v="0"/>
    <n v="13672.674444444445"/>
    <n v="12138.227777777778"/>
  </r>
  <r>
    <x v="13"/>
    <s v="Brookhaven College (DCCCD)"/>
    <m/>
    <n v="223524"/>
    <x v="5"/>
    <m/>
    <m/>
    <n v="79755"/>
    <m/>
    <n v="56213"/>
    <m/>
    <n v="0"/>
    <m/>
    <n v="0"/>
    <m/>
    <n v="135968"/>
    <n v="4532.2666666666664"/>
    <n v="0"/>
    <n v="0"/>
    <n v="13270"/>
    <m/>
    <n v="135968"/>
    <n v="0"/>
    <n v="32686"/>
    <m/>
    <n v="14456"/>
    <m/>
    <n v="14917"/>
    <m/>
    <n v="0"/>
    <m/>
    <n v="62059"/>
    <n v="68.954444444444448"/>
    <n v="0"/>
    <n v="0"/>
    <m/>
    <m/>
    <n v="0"/>
    <n v="0"/>
    <m/>
    <m/>
    <m/>
    <m/>
    <m/>
    <m/>
    <m/>
    <m/>
    <n v="0"/>
    <n v="0"/>
    <n v="0"/>
    <n v="0"/>
    <n v="4601.221111111111"/>
    <n v="0"/>
  </r>
  <r>
    <x v="13"/>
    <s v="Central Texas College "/>
    <m/>
    <n v="223816"/>
    <x v="5"/>
    <m/>
    <m/>
    <n v="89855"/>
    <n v="74599"/>
    <n v="46775"/>
    <n v="39089"/>
    <n v="6068"/>
    <n v="3773"/>
    <n v="58911"/>
    <n v="51295"/>
    <n v="201609"/>
    <n v="6720.3"/>
    <n v="168756"/>
    <n v="5625.2"/>
    <n v="34252"/>
    <n v="29156"/>
    <n v="201609"/>
    <n v="168756"/>
    <n v="70597"/>
    <n v="63153"/>
    <n v="52114"/>
    <n v="71413"/>
    <n v="69655"/>
    <n v="59547"/>
    <n v="75201"/>
    <n v="62987"/>
    <n v="267567"/>
    <n v="297.29666666666668"/>
    <n v="257100"/>
    <n v="285.66666666666669"/>
    <m/>
    <m/>
    <n v="0"/>
    <n v="0"/>
    <m/>
    <m/>
    <m/>
    <m/>
    <m/>
    <m/>
    <m/>
    <m/>
    <n v="0"/>
    <n v="0"/>
    <n v="0"/>
    <n v="0"/>
    <n v="7017.5966666666673"/>
    <n v="5910.8666666666668"/>
  </r>
  <r>
    <x v="13"/>
    <s v="Collin County Community College District"/>
    <m/>
    <n v="247834"/>
    <x v="5"/>
    <m/>
    <m/>
    <n v="267116"/>
    <n v="269204"/>
    <n v="77238"/>
    <n v="82211"/>
    <n v="0"/>
    <n v="0"/>
    <n v="296253"/>
    <n v="276033"/>
    <n v="640607"/>
    <n v="21353.566666666666"/>
    <n v="627448"/>
    <n v="20914.933333333334"/>
    <n v="99603"/>
    <n v="97950"/>
    <n v="640607"/>
    <n v="627448"/>
    <n v="144151"/>
    <n v="77377"/>
    <n v="66374"/>
    <n v="89609"/>
    <n v="88991"/>
    <n v="92172"/>
    <n v="135009"/>
    <n v="157505"/>
    <n v="434525"/>
    <n v="482.80555555555554"/>
    <n v="416663"/>
    <n v="462.95888888888891"/>
    <m/>
    <m/>
    <n v="0"/>
    <n v="0"/>
    <m/>
    <m/>
    <m/>
    <m/>
    <m/>
    <m/>
    <m/>
    <m/>
    <n v="0"/>
    <n v="0"/>
    <n v="0"/>
    <n v="0"/>
    <n v="21836.37222222222"/>
    <n v="21377.892222222225"/>
  </r>
  <r>
    <x v="13"/>
    <s v="Del Mar College "/>
    <m/>
    <n v="224350"/>
    <x v="5"/>
    <m/>
    <m/>
    <n v="85205"/>
    <n v="81394"/>
    <n v="16694"/>
    <n v="18075"/>
    <n v="18313"/>
    <n v="17152"/>
    <n v="72840"/>
    <n v="76419"/>
    <n v="193052"/>
    <n v="6435.0666666666666"/>
    <n v="193040"/>
    <n v="6434.666666666667"/>
    <n v="32179"/>
    <n v="31883"/>
    <n v="193052"/>
    <n v="193040"/>
    <n v="160894"/>
    <n v="195608"/>
    <n v="33572"/>
    <n v="87911"/>
    <n v="114067"/>
    <n v="118265"/>
    <n v="185493"/>
    <n v="141275"/>
    <n v="494026"/>
    <n v="548.91777777777781"/>
    <n v="543059"/>
    <n v="603.39888888888891"/>
    <m/>
    <m/>
    <n v="0"/>
    <n v="0"/>
    <m/>
    <m/>
    <m/>
    <m/>
    <m/>
    <m/>
    <m/>
    <m/>
    <n v="0"/>
    <n v="0"/>
    <n v="0"/>
    <n v="0"/>
    <n v="6983.9844444444443"/>
    <n v="7038.0655555555559"/>
  </r>
  <r>
    <x v="13"/>
    <s v="Eastfield College (DCCCD)"/>
    <m/>
    <n v="224572"/>
    <x v="5"/>
    <m/>
    <m/>
    <n v="112770"/>
    <m/>
    <n v="80845"/>
    <m/>
    <n v="0"/>
    <m/>
    <n v="0"/>
    <m/>
    <n v="193615"/>
    <n v="6453.833333333333"/>
    <n v="0"/>
    <n v="0"/>
    <n v="36729"/>
    <m/>
    <n v="193615"/>
    <n v="0"/>
    <n v="27167"/>
    <m/>
    <n v="14928"/>
    <m/>
    <n v="18238"/>
    <m/>
    <n v="0"/>
    <m/>
    <n v="60333"/>
    <n v="67.036666666666662"/>
    <n v="0"/>
    <n v="0"/>
    <m/>
    <m/>
    <n v="0"/>
    <n v="0"/>
    <m/>
    <m/>
    <m/>
    <m/>
    <m/>
    <m/>
    <m/>
    <m/>
    <n v="0"/>
    <n v="0"/>
    <n v="0"/>
    <n v="0"/>
    <n v="6520.87"/>
    <n v="0"/>
  </r>
  <r>
    <x v="13"/>
    <s v="El Centro College  (DCCCD)"/>
    <m/>
    <n v="224615"/>
    <x v="5"/>
    <m/>
    <m/>
    <n v="68199"/>
    <m/>
    <n v="39011"/>
    <m/>
    <n v="0"/>
    <m/>
    <n v="0"/>
    <m/>
    <n v="107210"/>
    <n v="3573.6666666666665"/>
    <n v="0"/>
    <n v="0"/>
    <n v="18254"/>
    <m/>
    <n v="107210"/>
    <n v="0"/>
    <n v="242746"/>
    <m/>
    <n v="115022"/>
    <m/>
    <n v="60844"/>
    <m/>
    <n v="0"/>
    <m/>
    <n v="418612"/>
    <n v="465.12444444444446"/>
    <n v="0"/>
    <n v="0"/>
    <m/>
    <m/>
    <n v="0"/>
    <n v="0"/>
    <m/>
    <m/>
    <m/>
    <m/>
    <m/>
    <m/>
    <m/>
    <m/>
    <n v="0"/>
    <n v="0"/>
    <n v="0"/>
    <n v="0"/>
    <n v="4038.7911111111111"/>
    <n v="0"/>
  </r>
  <r>
    <x v="13"/>
    <s v="El Paso County Community College District"/>
    <m/>
    <n v="224642"/>
    <x v="5"/>
    <m/>
    <m/>
    <n v="211599"/>
    <n v="179813"/>
    <n v="57973"/>
    <n v="45879"/>
    <n v="0"/>
    <n v="0"/>
    <n v="219969"/>
    <n v="194555"/>
    <n v="489541"/>
    <n v="16318.033333333333"/>
    <n v="420247"/>
    <n v="14008.233333333334"/>
    <n v="124321"/>
    <n v="118718"/>
    <n v="489541"/>
    <n v="420247"/>
    <n v="72307"/>
    <n v="35719"/>
    <n v="10852"/>
    <n v="29741"/>
    <n v="25009"/>
    <n v="60289"/>
    <n v="29514"/>
    <n v="51273"/>
    <n v="137682"/>
    <n v="152.97999999999999"/>
    <n v="177022"/>
    <n v="196.6911111111111"/>
    <m/>
    <m/>
    <n v="0"/>
    <n v="0"/>
    <m/>
    <m/>
    <m/>
    <m/>
    <m/>
    <m/>
    <m/>
    <m/>
    <n v="0"/>
    <n v="0"/>
    <n v="0"/>
    <n v="0"/>
    <n v="16471.013333333332"/>
    <n v="14204.924444444445"/>
  </r>
  <r>
    <x v="13"/>
    <s v="Houston Community College"/>
    <m/>
    <n v="225423"/>
    <x v="5"/>
    <m/>
    <m/>
    <n v="436694"/>
    <n v="380587"/>
    <n v="252453"/>
    <n v="226209"/>
    <n v="0"/>
    <n v="0"/>
    <n v="266027"/>
    <n v="259369"/>
    <n v="955174"/>
    <n v="31839.133333333335"/>
    <n v="866165"/>
    <n v="28872.166666666668"/>
    <n v="103429"/>
    <n v="114952"/>
    <n v="955174"/>
    <n v="866165"/>
    <n v="473804"/>
    <n v="279705"/>
    <n v="311931"/>
    <n v="275362"/>
    <n v="238983"/>
    <n v="357495"/>
    <n v="391025"/>
    <n v="492492"/>
    <n v="1415743"/>
    <n v="1573.0477777777778"/>
    <n v="1405054"/>
    <n v="1561.171111111111"/>
    <m/>
    <m/>
    <n v="0"/>
    <n v="0"/>
    <m/>
    <m/>
    <m/>
    <m/>
    <m/>
    <m/>
    <m/>
    <m/>
    <n v="0"/>
    <n v="0"/>
    <n v="0"/>
    <n v="0"/>
    <n v="33412.181111111116"/>
    <n v="30433.337777777779"/>
  </r>
  <r>
    <x v="13"/>
    <s v="Laredo College "/>
    <m/>
    <n v="226134"/>
    <x v="5"/>
    <m/>
    <m/>
    <n v="79173"/>
    <n v="86982"/>
    <n v="12516"/>
    <n v="18242"/>
    <n v="6061"/>
    <n v="6280"/>
    <n v="47641"/>
    <n v="71951"/>
    <n v="145391"/>
    <n v="4846.3666666666668"/>
    <n v="183455"/>
    <n v="6115.166666666667"/>
    <n v="29099"/>
    <n v="70282"/>
    <n v="145391"/>
    <n v="183455"/>
    <n v="16860"/>
    <n v="15783"/>
    <n v="8631"/>
    <n v="29868"/>
    <n v="19077"/>
    <n v="23197"/>
    <n v="41552"/>
    <n v="38911"/>
    <n v="86120"/>
    <n v="95.688888888888883"/>
    <n v="107759"/>
    <n v="119.73222222222222"/>
    <m/>
    <m/>
    <n v="0"/>
    <n v="0"/>
    <m/>
    <m/>
    <m/>
    <m/>
    <m/>
    <m/>
    <m/>
    <m/>
    <n v="0"/>
    <n v="0"/>
    <n v="0"/>
    <n v="0"/>
    <n v="4942.0555555555557"/>
    <n v="6234.8988888888889"/>
  </r>
  <r>
    <x v="13"/>
    <s v="Lone Star College System District"/>
    <m/>
    <n v="227182"/>
    <x v="5"/>
    <m/>
    <m/>
    <n v="539418"/>
    <n v="550601"/>
    <n v="256686"/>
    <n v="273996"/>
    <n v="0"/>
    <n v="0"/>
    <n v="440544"/>
    <n v="443961"/>
    <n v="1236648"/>
    <n v="41221.599999999999"/>
    <n v="1268558"/>
    <n v="42285.26666666667"/>
    <n v="207745"/>
    <n v="248743"/>
    <n v="1236648"/>
    <n v="1268558"/>
    <n v="67582"/>
    <n v="57434"/>
    <n v="10620"/>
    <n v="73987"/>
    <n v="53288"/>
    <n v="75756"/>
    <n v="84121"/>
    <n v="94801"/>
    <n v="215611"/>
    <n v="239.56777777777779"/>
    <n v="301978"/>
    <n v="335.5311111111111"/>
    <m/>
    <m/>
    <n v="0"/>
    <n v="0"/>
    <m/>
    <m/>
    <m/>
    <m/>
    <m/>
    <m/>
    <m/>
    <m/>
    <n v="0"/>
    <n v="0"/>
    <n v="0"/>
    <n v="0"/>
    <n v="41461.167777777773"/>
    <n v="42620.797777777778"/>
  </r>
  <r>
    <x v="13"/>
    <s v="McLennan Community College "/>
    <m/>
    <n v="226578"/>
    <x v="5"/>
    <m/>
    <m/>
    <n v="72494"/>
    <n v="63124"/>
    <n v="21619"/>
    <n v="17435"/>
    <n v="12119"/>
    <n v="10230"/>
    <n v="62084"/>
    <n v="60246"/>
    <n v="168316"/>
    <n v="5610.5333333333338"/>
    <n v="151035"/>
    <n v="5034.5"/>
    <n v="21894"/>
    <n v="19132"/>
    <n v="168316"/>
    <n v="151035"/>
    <n v="42310"/>
    <n v="32565"/>
    <n v="15686"/>
    <n v="27360"/>
    <n v="37933"/>
    <n v="44041"/>
    <n v="43200"/>
    <n v="28815"/>
    <n v="139129"/>
    <n v="154.58777777777777"/>
    <n v="132781"/>
    <n v="147.53444444444443"/>
    <m/>
    <m/>
    <n v="0"/>
    <n v="0"/>
    <m/>
    <m/>
    <m/>
    <m/>
    <m/>
    <m/>
    <m/>
    <m/>
    <n v="0"/>
    <n v="0"/>
    <n v="0"/>
    <n v="0"/>
    <n v="5765.1211111111115"/>
    <n v="5182.0344444444445"/>
  </r>
  <r>
    <x v="13"/>
    <s v="Mountain View College  (DCCCD)"/>
    <m/>
    <n v="226930"/>
    <x v="5"/>
    <m/>
    <m/>
    <n v="78668"/>
    <m/>
    <n v="41033"/>
    <m/>
    <n v="0"/>
    <m/>
    <n v="0"/>
    <m/>
    <n v="119701"/>
    <n v="3990.0333333333333"/>
    <n v="0"/>
    <n v="0"/>
    <n v="26408"/>
    <m/>
    <n v="119701"/>
    <n v="0"/>
    <n v="31500"/>
    <m/>
    <n v="13465"/>
    <m/>
    <n v="13576"/>
    <m/>
    <n v="0"/>
    <m/>
    <n v="58541"/>
    <n v="65.045555555555552"/>
    <n v="0"/>
    <n v="0"/>
    <m/>
    <m/>
    <n v="0"/>
    <n v="0"/>
    <m/>
    <m/>
    <m/>
    <m/>
    <m/>
    <m/>
    <m/>
    <m/>
    <n v="0"/>
    <n v="0"/>
    <n v="0"/>
    <n v="0"/>
    <n v="4055.0788888888887"/>
    <n v="0"/>
  </r>
  <r>
    <x v="13"/>
    <s v="Navarro College "/>
    <m/>
    <n v="227146"/>
    <x v="5"/>
    <m/>
    <m/>
    <n v="66967"/>
    <n v="59387"/>
    <n v="11002"/>
    <n v="9205"/>
    <n v="8939"/>
    <n v="7568"/>
    <n v="64917"/>
    <n v="58689"/>
    <n v="151825"/>
    <n v="5060.833333333333"/>
    <n v="134849"/>
    <n v="4494.9666666666662"/>
    <n v="37729"/>
    <n v="33560"/>
    <n v="151825"/>
    <n v="134849"/>
    <n v="34060"/>
    <n v="23112"/>
    <n v="19285"/>
    <n v="17581"/>
    <n v="61176"/>
    <n v="47545"/>
    <n v="37226"/>
    <n v="18790"/>
    <n v="151747"/>
    <n v="168.60777777777778"/>
    <n v="107028"/>
    <n v="118.92"/>
    <m/>
    <m/>
    <n v="0"/>
    <n v="0"/>
    <m/>
    <m/>
    <m/>
    <m/>
    <m/>
    <m/>
    <m/>
    <m/>
    <n v="0"/>
    <n v="0"/>
    <n v="0"/>
    <n v="0"/>
    <n v="5229.4411111111112"/>
    <n v="4613.8866666666663"/>
  </r>
  <r>
    <x v="13"/>
    <s v="North Central Texas Community College"/>
    <m/>
    <n v="224110"/>
    <x v="5"/>
    <m/>
    <m/>
    <n v="75454"/>
    <n v="66829"/>
    <n v="31024"/>
    <n v="25466"/>
    <n v="0"/>
    <n v="0"/>
    <n v="62006"/>
    <n v="58028"/>
    <n v="168484"/>
    <n v="5616.1333333333332"/>
    <n v="150323"/>
    <n v="5010.7666666666664"/>
    <n v="26088"/>
    <n v="19740"/>
    <n v="168484"/>
    <n v="150323"/>
    <n v="8698"/>
    <n v="7471"/>
    <n v="3772"/>
    <n v="7413"/>
    <n v="3798"/>
    <n v="4084"/>
    <n v="6705"/>
    <n v="3232"/>
    <n v="22973"/>
    <n v="25.525555555555556"/>
    <n v="22200"/>
    <n v="24.666666666666668"/>
    <m/>
    <m/>
    <n v="0"/>
    <n v="0"/>
    <m/>
    <m/>
    <m/>
    <m/>
    <m/>
    <m/>
    <m/>
    <m/>
    <n v="0"/>
    <n v="0"/>
    <n v="0"/>
    <n v="0"/>
    <n v="5641.6588888888891"/>
    <n v="5035.4333333333334"/>
  </r>
  <r>
    <x v="13"/>
    <s v="North Lake College (DCCCD)"/>
    <m/>
    <n v="227191"/>
    <x v="5"/>
    <m/>
    <m/>
    <n v="71451"/>
    <m/>
    <n v="52425"/>
    <m/>
    <n v="0"/>
    <m/>
    <n v="0"/>
    <m/>
    <n v="123876"/>
    <n v="4129.2"/>
    <n v="0"/>
    <n v="0"/>
    <n v="13178"/>
    <m/>
    <n v="123876"/>
    <n v="0"/>
    <n v="132919"/>
    <m/>
    <n v="20000"/>
    <m/>
    <n v="20698"/>
    <m/>
    <n v="0"/>
    <m/>
    <n v="173617"/>
    <n v="192.90777777777777"/>
    <n v="0"/>
    <n v="0"/>
    <m/>
    <m/>
    <n v="0"/>
    <n v="0"/>
    <m/>
    <m/>
    <m/>
    <m/>
    <m/>
    <m/>
    <m/>
    <m/>
    <n v="0"/>
    <n v="0"/>
    <n v="0"/>
    <n v="0"/>
    <n v="4322.1077777777773"/>
    <n v="0"/>
  </r>
  <r>
    <x v="13"/>
    <s v="Northwest Vista College (ACCD)"/>
    <m/>
    <n v="420398"/>
    <x v="5"/>
    <m/>
    <m/>
    <n v="118232"/>
    <n v="107461"/>
    <n v="37888"/>
    <n v="30566"/>
    <n v="0"/>
    <n v="0"/>
    <n v="130014"/>
    <n v="114164"/>
    <n v="286134"/>
    <n v="9537.7999999999993"/>
    <n v="252191"/>
    <n v="8406.3666666666668"/>
    <n v="43397"/>
    <n v="40553"/>
    <n v="286134"/>
    <n v="252191"/>
    <n v="14264"/>
    <n v="19446"/>
    <n v="6390"/>
    <n v="17064"/>
    <n v="19056"/>
    <n v="16834"/>
    <n v="16556"/>
    <n v="33324"/>
    <n v="56266"/>
    <n v="62.517777777777781"/>
    <n v="86668"/>
    <n v="96.297777777777782"/>
    <m/>
    <m/>
    <n v="0"/>
    <n v="0"/>
    <m/>
    <m/>
    <m/>
    <m/>
    <m/>
    <m/>
    <m/>
    <m/>
    <n v="0"/>
    <n v="0"/>
    <n v="0"/>
    <n v="0"/>
    <n v="9600.3177777777764"/>
    <n v="8502.6644444444446"/>
  </r>
  <r>
    <x v="13"/>
    <s v="Palo Alto College (ACCD)"/>
    <m/>
    <n v="246354"/>
    <x v="5"/>
    <m/>
    <m/>
    <n v="67722"/>
    <n v="61956"/>
    <n v="22327"/>
    <n v="16978"/>
    <n v="0"/>
    <n v="0"/>
    <n v="73085"/>
    <n v="66309"/>
    <n v="163134"/>
    <n v="5437.8"/>
    <n v="145243"/>
    <n v="4841.4333333333334"/>
    <n v="38070"/>
    <n v="37253"/>
    <n v="163134"/>
    <n v="145243"/>
    <n v="14826"/>
    <n v="10758"/>
    <n v="10919"/>
    <n v="13526"/>
    <n v="11456"/>
    <n v="11354"/>
    <n v="6427"/>
    <n v="16850"/>
    <n v="43628"/>
    <n v="48.475555555555559"/>
    <n v="52488"/>
    <n v="58.32"/>
    <m/>
    <m/>
    <n v="0"/>
    <n v="0"/>
    <m/>
    <m/>
    <m/>
    <m/>
    <m/>
    <m/>
    <m/>
    <m/>
    <n v="0"/>
    <n v="0"/>
    <n v="0"/>
    <n v="0"/>
    <n v="5486.2755555555559"/>
    <n v="4899.7533333333331"/>
  </r>
  <r>
    <x v="13"/>
    <s v="Richland College (DCCCD)"/>
    <m/>
    <n v="227766"/>
    <x v="5"/>
    <m/>
    <m/>
    <n v="141822"/>
    <m/>
    <n v="78958"/>
    <m/>
    <n v="0"/>
    <m/>
    <n v="0"/>
    <m/>
    <n v="220780"/>
    <n v="7359.333333333333"/>
    <n v="0"/>
    <n v="0"/>
    <n v="32442"/>
    <m/>
    <n v="220780"/>
    <n v="0"/>
    <n v="81457"/>
    <m/>
    <n v="54372"/>
    <m/>
    <n v="22428"/>
    <m/>
    <n v="0"/>
    <m/>
    <n v="158257"/>
    <n v="175.8411111111111"/>
    <n v="0"/>
    <n v="0"/>
    <m/>
    <m/>
    <n v="0"/>
    <n v="0"/>
    <m/>
    <m/>
    <m/>
    <m/>
    <m/>
    <m/>
    <m/>
    <m/>
    <n v="0"/>
    <n v="0"/>
    <n v="0"/>
    <n v="0"/>
    <n v="7535.1744444444439"/>
    <n v="0"/>
  </r>
  <r>
    <x v="13"/>
    <s v="San Antonio College (ACCD)"/>
    <m/>
    <n v="227924"/>
    <x v="5"/>
    <m/>
    <m/>
    <n v="130371"/>
    <n v="115374"/>
    <n v="42730"/>
    <n v="32882"/>
    <n v="0"/>
    <n v="0"/>
    <n v="130351"/>
    <n v="120451"/>
    <n v="303452"/>
    <n v="10115.066666666668"/>
    <n v="268707"/>
    <n v="8956.9"/>
    <n v="24701"/>
    <n v="23359"/>
    <n v="303452"/>
    <n v="268707"/>
    <n v="7372"/>
    <n v="5512"/>
    <n v="6576"/>
    <n v="9439"/>
    <n v="6624"/>
    <n v="5904"/>
    <n v="5070"/>
    <n v="11820"/>
    <n v="25642"/>
    <n v="28.49111111111111"/>
    <n v="32675"/>
    <n v="36.305555555555557"/>
    <m/>
    <m/>
    <n v="0"/>
    <n v="0"/>
    <m/>
    <m/>
    <m/>
    <m/>
    <m/>
    <m/>
    <m/>
    <m/>
    <n v="0"/>
    <n v="0"/>
    <n v="0"/>
    <n v="0"/>
    <n v="10143.557777777778"/>
    <n v="8993.2055555555544"/>
  </r>
  <r>
    <x v="13"/>
    <s v="San Jacinto College"/>
    <m/>
    <n v="227979"/>
    <x v="5"/>
    <m/>
    <m/>
    <n v="242491"/>
    <n v="234188"/>
    <n v="89936"/>
    <n v="84651"/>
    <n v="0"/>
    <n v="0"/>
    <n v="256587"/>
    <n v="256359"/>
    <n v="589014"/>
    <n v="19633.8"/>
    <n v="575198"/>
    <n v="19173.266666666666"/>
    <n v="90956"/>
    <n v="92661"/>
    <n v="589014"/>
    <n v="575198"/>
    <n v="61128"/>
    <n v="31605"/>
    <n v="8557"/>
    <n v="24231"/>
    <n v="16672"/>
    <n v="39544"/>
    <n v="31090"/>
    <n v="57986"/>
    <n v="117447"/>
    <n v="130.49666666666667"/>
    <n v="153366"/>
    <n v="170.40666666666667"/>
    <m/>
    <m/>
    <n v="0"/>
    <n v="0"/>
    <m/>
    <m/>
    <m/>
    <m/>
    <m/>
    <m/>
    <m/>
    <m/>
    <n v="0"/>
    <n v="0"/>
    <n v="0"/>
    <n v="0"/>
    <n v="19764.296666666665"/>
    <n v="19343.673333333332"/>
  </r>
  <r>
    <x v="13"/>
    <s v="South Plains College "/>
    <m/>
    <n v="228158"/>
    <x v="5"/>
    <m/>
    <m/>
    <n v="78310"/>
    <n v="72511"/>
    <n v="19209"/>
    <n v="19714"/>
    <n v="0"/>
    <n v="0"/>
    <n v="80920"/>
    <n v="81724"/>
    <n v="178439"/>
    <n v="5947.9666666666662"/>
    <n v="173949"/>
    <n v="5798.3"/>
    <n v="24701"/>
    <n v="26988"/>
    <n v="178439"/>
    <n v="173949"/>
    <n v="19232"/>
    <n v="13126"/>
    <n v="8255"/>
    <n v="13542"/>
    <n v="13180"/>
    <n v="17653"/>
    <n v="19631"/>
    <n v="22067"/>
    <n v="60298"/>
    <n v="66.997777777777785"/>
    <n v="66388"/>
    <n v="73.76444444444445"/>
    <m/>
    <m/>
    <n v="0"/>
    <n v="0"/>
    <m/>
    <m/>
    <m/>
    <m/>
    <m/>
    <m/>
    <m/>
    <m/>
    <n v="0"/>
    <n v="0"/>
    <n v="0"/>
    <n v="0"/>
    <n v="6014.9644444444439"/>
    <n v="5872.0644444444442"/>
  </r>
  <r>
    <x v="13"/>
    <s v="St. Philip's College (ACCD)"/>
    <m/>
    <n v="227854"/>
    <x v="5"/>
    <m/>
    <m/>
    <n v="82580"/>
    <n v="76777"/>
    <n v="24838"/>
    <n v="24334"/>
    <n v="0"/>
    <n v="0"/>
    <n v="76428"/>
    <n v="76048"/>
    <n v="183846"/>
    <n v="6128.2"/>
    <n v="177159"/>
    <n v="5905.3"/>
    <n v="41474"/>
    <n v="38709"/>
    <n v="183846"/>
    <n v="177159"/>
    <n v="30534"/>
    <n v="5724"/>
    <n v="9254"/>
    <n v="9156"/>
    <n v="8056"/>
    <n v="15306"/>
    <n v="8493"/>
    <n v="19742"/>
    <n v="56337"/>
    <n v="62.596666666666664"/>
    <n v="49928"/>
    <n v="55.475555555555559"/>
    <m/>
    <m/>
    <n v="0"/>
    <n v="0"/>
    <m/>
    <m/>
    <m/>
    <m/>
    <m/>
    <m/>
    <m/>
    <m/>
    <n v="0"/>
    <n v="0"/>
    <n v="0"/>
    <n v="0"/>
    <n v="6190.7966666666662"/>
    <n v="5960.7755555555559"/>
  </r>
  <r>
    <x v="13"/>
    <s v="Tarrant County College"/>
    <m/>
    <n v="228547"/>
    <x v="5"/>
    <m/>
    <m/>
    <n v="367816"/>
    <n v="351112"/>
    <n v="206272"/>
    <n v="174560"/>
    <n v="0"/>
    <n v="0"/>
    <n v="318185"/>
    <n v="252284"/>
    <n v="892273"/>
    <n v="29742.433333333334"/>
    <n v="777956"/>
    <n v="25931.866666666665"/>
    <n v="121026"/>
    <n v="109895"/>
    <n v="892273"/>
    <n v="777956"/>
    <n v="142215"/>
    <n v="102262"/>
    <n v="76805"/>
    <n v="116343"/>
    <n v="76082"/>
    <n v="129678"/>
    <n v="96718"/>
    <n v="142569"/>
    <n v="391820"/>
    <n v="435.35555555555555"/>
    <n v="490852"/>
    <n v="545.39111111111106"/>
    <m/>
    <m/>
    <n v="0"/>
    <n v="0"/>
    <m/>
    <m/>
    <m/>
    <m/>
    <m/>
    <m/>
    <m/>
    <m/>
    <n v="0"/>
    <n v="0"/>
    <n v="0"/>
    <n v="0"/>
    <n v="30177.788888888888"/>
    <n v="26477.257777777777"/>
  </r>
  <r>
    <x v="13"/>
    <s v="Trinity Valley Community College"/>
    <m/>
    <n v="225308"/>
    <x v="5"/>
    <m/>
    <m/>
    <n v="54084"/>
    <n v="45740"/>
    <n v="11319"/>
    <n v="18021"/>
    <n v="0"/>
    <n v="0"/>
    <n v="54207"/>
    <n v="47477"/>
    <n v="119610"/>
    <n v="3987"/>
    <n v="111238"/>
    <n v="3707.9333333333334"/>
    <n v="28008"/>
    <n v="32364"/>
    <n v="119610"/>
    <n v="111238"/>
    <n v="108186"/>
    <n v="70963"/>
    <n v="96114"/>
    <n v="79595"/>
    <n v="46116"/>
    <n v="36418"/>
    <n v="87630"/>
    <n v="72280"/>
    <n v="338046"/>
    <n v="375.60666666666668"/>
    <n v="259256"/>
    <n v="288.0622222222222"/>
    <m/>
    <m/>
    <n v="0"/>
    <n v="0"/>
    <m/>
    <m/>
    <m/>
    <m/>
    <m/>
    <m/>
    <m/>
    <m/>
    <n v="0"/>
    <n v="0"/>
    <n v="0"/>
    <n v="0"/>
    <n v="4362.6066666666666"/>
    <n v="3995.9955555555557"/>
  </r>
  <r>
    <x v="13"/>
    <s v="Tyler Junior College "/>
    <m/>
    <n v="229355"/>
    <x v="5"/>
    <m/>
    <m/>
    <n v="108603"/>
    <n v="105735"/>
    <n v="25210"/>
    <n v="19481"/>
    <n v="7522"/>
    <n v="6799"/>
    <n v="106585"/>
    <n v="106574"/>
    <n v="247920"/>
    <n v="8264"/>
    <n v="238589"/>
    <n v="7952.9666666666662"/>
    <n v="30619"/>
    <n v="30638"/>
    <n v="247920"/>
    <n v="238589"/>
    <n v="25303"/>
    <n v="25852"/>
    <n v="3538"/>
    <n v="28755"/>
    <n v="27128"/>
    <n v="42579"/>
    <n v="31938"/>
    <n v="22570"/>
    <n v="87907"/>
    <n v="97.674444444444447"/>
    <n v="119756"/>
    <n v="133.06222222222223"/>
    <m/>
    <m/>
    <n v="0"/>
    <n v="0"/>
    <m/>
    <m/>
    <m/>
    <m/>
    <m/>
    <m/>
    <m/>
    <m/>
    <n v="0"/>
    <n v="0"/>
    <n v="0"/>
    <n v="0"/>
    <n v="8361.6744444444448"/>
    <n v="8086.0288888888881"/>
  </r>
  <r>
    <x v="13"/>
    <s v="Alvin Community College "/>
    <m/>
    <n v="222567"/>
    <x v="6"/>
    <m/>
    <m/>
    <n v="42909"/>
    <n v="37580"/>
    <n v="17873"/>
    <n v="17276"/>
    <n v="0"/>
    <n v="0"/>
    <n v="40377"/>
    <n v="35325"/>
    <n v="101159"/>
    <n v="3371.9666666666667"/>
    <n v="90181"/>
    <n v="3006.0333333333333"/>
    <n v="31000"/>
    <n v="28270"/>
    <n v="101159"/>
    <n v="90181"/>
    <n v="22814"/>
    <n v="18116"/>
    <n v="4536"/>
    <n v="9796"/>
    <n v="9928"/>
    <n v="10477"/>
    <n v="17450"/>
    <n v="9308"/>
    <n v="54728"/>
    <n v="60.808888888888887"/>
    <n v="47697"/>
    <n v="52.99666666666667"/>
    <m/>
    <m/>
    <n v="0"/>
    <n v="0"/>
    <m/>
    <m/>
    <m/>
    <m/>
    <m/>
    <m/>
    <m/>
    <m/>
    <n v="0"/>
    <n v="0"/>
    <n v="0"/>
    <n v="0"/>
    <n v="3432.7755555555555"/>
    <n v="3059.0299999999997"/>
  </r>
  <r>
    <x v="13"/>
    <s v="Angelina College "/>
    <m/>
    <n v="222822"/>
    <x v="6"/>
    <m/>
    <m/>
    <n v="33392"/>
    <n v="31476"/>
    <n v="8127"/>
    <n v="7778"/>
    <n v="0"/>
    <n v="0"/>
    <n v="36131"/>
    <n v="34194"/>
    <n v="77650"/>
    <n v="2588.3333333333335"/>
    <n v="73448"/>
    <n v="2448.2666666666669"/>
    <n v="17817"/>
    <n v="18958"/>
    <n v="77650"/>
    <n v="73448"/>
    <n v="23143"/>
    <n v="45108"/>
    <n v="39697"/>
    <n v="29093"/>
    <n v="63699"/>
    <n v="47098"/>
    <n v="22529"/>
    <n v="18977"/>
    <n v="149068"/>
    <n v="165.63111111111112"/>
    <n v="140276"/>
    <n v="155.86222222222221"/>
    <m/>
    <m/>
    <n v="0"/>
    <n v="0"/>
    <m/>
    <m/>
    <m/>
    <m/>
    <m/>
    <m/>
    <m/>
    <m/>
    <n v="0"/>
    <n v="0"/>
    <n v="0"/>
    <n v="0"/>
    <n v="2753.9644444444448"/>
    <n v="2604.1288888888889"/>
  </r>
  <r>
    <x v="13"/>
    <s v="Cedar Valley College (DCCCD)"/>
    <m/>
    <n v="223773"/>
    <x v="6"/>
    <m/>
    <m/>
    <n v="60014"/>
    <m/>
    <n v="35867"/>
    <m/>
    <n v="0"/>
    <m/>
    <n v="0"/>
    <m/>
    <n v="95881"/>
    <n v="3196.0333333333333"/>
    <n v="0"/>
    <n v="0"/>
    <n v="13858"/>
    <m/>
    <n v="95881"/>
    <n v="0"/>
    <n v="45895"/>
    <m/>
    <n v="125379"/>
    <m/>
    <n v="48404"/>
    <m/>
    <n v="0"/>
    <m/>
    <n v="219678"/>
    <n v="244.08666666666667"/>
    <n v="0"/>
    <n v="0"/>
    <m/>
    <m/>
    <n v="0"/>
    <n v="0"/>
    <m/>
    <m/>
    <m/>
    <m/>
    <m/>
    <m/>
    <m/>
    <m/>
    <n v="0"/>
    <n v="0"/>
    <n v="0"/>
    <n v="0"/>
    <n v="3440.12"/>
    <n v="0"/>
  </r>
  <r>
    <x v="13"/>
    <s v="Cisco Junior College "/>
    <m/>
    <n v="223898"/>
    <x v="6"/>
    <m/>
    <m/>
    <n v="28502"/>
    <n v="26235"/>
    <n v="6632"/>
    <n v="6241"/>
    <n v="2720"/>
    <n v="2560"/>
    <n v="28293"/>
    <n v="26457"/>
    <n v="66147"/>
    <n v="2204.9"/>
    <n v="61493"/>
    <n v="2049.7666666666669"/>
    <n v="12466"/>
    <n v="11543"/>
    <n v="66147"/>
    <n v="61493"/>
    <n v="4228"/>
    <n v="80"/>
    <n v="1000"/>
    <n v="1120"/>
    <n v="3516"/>
    <n v="5414"/>
    <n v="3703"/>
    <n v="3124"/>
    <n v="12447"/>
    <n v="13.83"/>
    <n v="9738"/>
    <n v="10.82"/>
    <m/>
    <m/>
    <n v="0"/>
    <n v="0"/>
    <m/>
    <m/>
    <m/>
    <m/>
    <m/>
    <m/>
    <m/>
    <m/>
    <n v="0"/>
    <n v="0"/>
    <n v="0"/>
    <n v="0"/>
    <n v="2218.73"/>
    <n v="2060.586666666667"/>
  </r>
  <r>
    <x v="13"/>
    <s v="Coastal Bend College"/>
    <m/>
    <n v="223320"/>
    <x v="6"/>
    <m/>
    <m/>
    <n v="35600"/>
    <n v="27131"/>
    <n v="6559"/>
    <n v="5614"/>
    <n v="3445"/>
    <n v="3156"/>
    <n v="30785"/>
    <n v="28344"/>
    <n v="76389"/>
    <n v="2546.3000000000002"/>
    <n v="64245"/>
    <n v="2141.5"/>
    <n v="28242"/>
    <n v="23250"/>
    <n v="76389"/>
    <n v="64245"/>
    <n v="1678"/>
    <n v="52284"/>
    <n v="0"/>
    <n v="10038"/>
    <n v="6593"/>
    <n v="10548"/>
    <n v="49932"/>
    <n v="41636"/>
    <n v="58203"/>
    <n v="64.67"/>
    <n v="114506"/>
    <n v="127.22888888888889"/>
    <m/>
    <m/>
    <n v="0"/>
    <n v="0"/>
    <m/>
    <m/>
    <m/>
    <m/>
    <m/>
    <m/>
    <m/>
    <m/>
    <n v="0"/>
    <n v="0"/>
    <n v="0"/>
    <n v="0"/>
    <n v="2610.9700000000003"/>
    <n v="2268.7288888888888"/>
  </r>
  <r>
    <x v="13"/>
    <s v="College of the Mainland"/>
    <m/>
    <n v="226408"/>
    <x v="6"/>
    <m/>
    <m/>
    <n v="36237"/>
    <n v="31036"/>
    <n v="10632"/>
    <n v="9221"/>
    <n v="0"/>
    <n v="0"/>
    <n v="39016"/>
    <n v="35908"/>
    <n v="85885"/>
    <n v="2862.8333333333335"/>
    <n v="76165"/>
    <n v="2538.8333333333335"/>
    <n v="21807"/>
    <n v="19923"/>
    <n v="85885"/>
    <n v="76165"/>
    <n v="29949"/>
    <n v="30862"/>
    <n v="2382"/>
    <n v="11985"/>
    <n v="9690"/>
    <n v="18433"/>
    <n v="10069"/>
    <n v="14292"/>
    <n v="52090"/>
    <n v="57.87777777777778"/>
    <n v="75572"/>
    <n v="83.968888888888884"/>
    <m/>
    <m/>
    <n v="0"/>
    <n v="0"/>
    <m/>
    <m/>
    <m/>
    <m/>
    <m/>
    <m/>
    <m/>
    <m/>
    <n v="0"/>
    <n v="0"/>
    <n v="0"/>
    <n v="0"/>
    <n v="2920.7111111111112"/>
    <n v="2622.8022222222226"/>
  </r>
  <r>
    <x v="13"/>
    <s v="Grayson County College "/>
    <m/>
    <n v="225070"/>
    <x v="6"/>
    <m/>
    <m/>
    <n v="33036"/>
    <n v="29886"/>
    <n v="9891"/>
    <n v="7481"/>
    <n v="0"/>
    <n v="0"/>
    <n v="33893"/>
    <n v="33039"/>
    <n v="76820"/>
    <n v="2560.6666666666665"/>
    <n v="70406"/>
    <n v="2346.8666666666668"/>
    <n v="12370"/>
    <n v="14168"/>
    <n v="76820"/>
    <n v="70406"/>
    <n v="16399"/>
    <n v="11630"/>
    <n v="8230"/>
    <n v="11472"/>
    <n v="10718"/>
    <n v="10361"/>
    <n v="16229"/>
    <n v="12639"/>
    <n v="51576"/>
    <n v="57.306666666666665"/>
    <n v="46102"/>
    <n v="51.224444444444444"/>
    <m/>
    <m/>
    <n v="0"/>
    <n v="0"/>
    <m/>
    <m/>
    <m/>
    <m/>
    <m/>
    <m/>
    <m/>
    <m/>
    <n v="0"/>
    <n v="0"/>
    <n v="0"/>
    <n v="0"/>
    <n v="2617.9733333333334"/>
    <n v="2398.0911111111113"/>
  </r>
  <r>
    <x v="13"/>
    <s v="Hill College"/>
    <m/>
    <n v="225371"/>
    <x v="6"/>
    <m/>
    <m/>
    <n v="35967"/>
    <n v="32603"/>
    <n v="9619"/>
    <n v="8208"/>
    <n v="3450"/>
    <n v="2655"/>
    <n v="32839"/>
    <n v="30945"/>
    <n v="81875"/>
    <n v="2729.1666666666665"/>
    <n v="74411"/>
    <n v="2480.3666666666668"/>
    <n v="16219"/>
    <n v="16446"/>
    <n v="81875"/>
    <n v="74411"/>
    <n v="25286"/>
    <n v="19387"/>
    <n v="3046"/>
    <n v="12900"/>
    <n v="4342"/>
    <n v="16068"/>
    <n v="5068"/>
    <n v="8506"/>
    <n v="37742"/>
    <n v="41.935555555555553"/>
    <n v="56861"/>
    <n v="63.178888888888892"/>
    <m/>
    <m/>
    <n v="0"/>
    <n v="0"/>
    <m/>
    <m/>
    <m/>
    <m/>
    <m/>
    <m/>
    <m/>
    <m/>
    <n v="0"/>
    <n v="0"/>
    <n v="0"/>
    <n v="0"/>
    <n v="2771.1022222222223"/>
    <n v="2543.5455555555559"/>
  </r>
  <r>
    <x v="13"/>
    <s v="Howard College (HCJCD)"/>
    <m/>
    <n v="225520"/>
    <x v="6"/>
    <m/>
    <m/>
    <n v="25072"/>
    <n v="25016"/>
    <n v="4414"/>
    <n v="3392"/>
    <n v="2174"/>
    <n v="2079"/>
    <n v="28078"/>
    <n v="27578"/>
    <n v="59738"/>
    <n v="1991.2666666666667"/>
    <n v="58065"/>
    <n v="1935.5"/>
    <n v="15202"/>
    <n v="16449"/>
    <n v="59738"/>
    <n v="58065"/>
    <n v="112996"/>
    <n v="49956"/>
    <n v="14690"/>
    <n v="72869"/>
    <n v="31336"/>
    <n v="52394"/>
    <n v="40849"/>
    <n v="54973"/>
    <n v="199871"/>
    <n v="222.07888888888888"/>
    <n v="230192"/>
    <n v="255.76888888888888"/>
    <m/>
    <m/>
    <n v="0"/>
    <n v="0"/>
    <m/>
    <m/>
    <m/>
    <m/>
    <m/>
    <m/>
    <m/>
    <m/>
    <n v="0"/>
    <n v="0"/>
    <n v="0"/>
    <n v="0"/>
    <n v="2213.3455555555556"/>
    <n v="2191.2688888888888"/>
  </r>
  <r>
    <x v="13"/>
    <s v="Kilgore College "/>
    <m/>
    <n v="226019"/>
    <x v="6"/>
    <m/>
    <m/>
    <n v="62906"/>
    <n v="41432"/>
    <n v="7020"/>
    <n v="7061"/>
    <n v="0"/>
    <n v="0"/>
    <n v="50850"/>
    <n v="49348"/>
    <n v="120776"/>
    <n v="4025.8666666666668"/>
    <n v="97841"/>
    <n v="3261.3666666666668"/>
    <n v="18815"/>
    <n v="16074"/>
    <n v="120776"/>
    <n v="97841"/>
    <n v="94426"/>
    <n v="119021"/>
    <n v="32272"/>
    <n v="92885"/>
    <n v="119621"/>
    <n v="122419"/>
    <n v="116810"/>
    <n v="123524"/>
    <n v="363129"/>
    <n v="403.47666666666669"/>
    <n v="457849"/>
    <n v="508.7211111111111"/>
    <m/>
    <m/>
    <n v="0"/>
    <n v="0"/>
    <m/>
    <m/>
    <m/>
    <m/>
    <m/>
    <m/>
    <m/>
    <m/>
    <n v="0"/>
    <n v="0"/>
    <n v="0"/>
    <n v="0"/>
    <n v="4429.3433333333332"/>
    <n v="3770.0877777777778"/>
  </r>
  <r>
    <x v="13"/>
    <s v="Lamar Institute of Technology"/>
    <m/>
    <n v="441760"/>
    <x v="6"/>
    <m/>
    <m/>
    <n v="32004"/>
    <n v="33714"/>
    <n v="6842"/>
    <n v="6899"/>
    <n v="0"/>
    <n v="0"/>
    <n v="38512"/>
    <n v="38106"/>
    <n v="77358"/>
    <n v="2578.6"/>
    <n v="78719"/>
    <n v="2623.9666666666667"/>
    <n v="13239"/>
    <n v="16284"/>
    <n v="77358"/>
    <n v="78719"/>
    <n v="52880"/>
    <n v="49741"/>
    <n v="30582"/>
    <n v="96939"/>
    <n v="37281"/>
    <n v="86690"/>
    <n v="44733"/>
    <n v="75558"/>
    <n v="165476"/>
    <n v="183.86222222222221"/>
    <n v="308928"/>
    <n v="343.25333333333333"/>
    <m/>
    <m/>
    <n v="0"/>
    <n v="0"/>
    <m/>
    <m/>
    <m/>
    <m/>
    <m/>
    <m/>
    <m/>
    <m/>
    <n v="0"/>
    <n v="0"/>
    <n v="0"/>
    <n v="0"/>
    <n v="2762.462222222222"/>
    <n v="2967.2200000000003"/>
  </r>
  <r>
    <x v="13"/>
    <s v="Lee College "/>
    <m/>
    <n v="226204"/>
    <x v="6"/>
    <m/>
    <m/>
    <n v="60919"/>
    <n v="75452"/>
    <n v="31586"/>
    <n v="32566"/>
    <n v="0"/>
    <n v="0"/>
    <n v="37710"/>
    <n v="54036"/>
    <n v="130215"/>
    <n v="4340.5"/>
    <n v="162054"/>
    <n v="5401.8"/>
    <n v="21062"/>
    <n v="37111"/>
    <n v="130215"/>
    <n v="162054"/>
    <n v="16100"/>
    <n v="7139"/>
    <n v="407"/>
    <n v="5368"/>
    <n v="8345"/>
    <n v="8400"/>
    <n v="5000"/>
    <n v="8190"/>
    <n v="29852"/>
    <n v="33.168888888888887"/>
    <n v="29097"/>
    <n v="32.33"/>
    <m/>
    <m/>
    <n v="0"/>
    <n v="0"/>
    <m/>
    <m/>
    <m/>
    <m/>
    <m/>
    <m/>
    <m/>
    <m/>
    <n v="0"/>
    <n v="0"/>
    <n v="0"/>
    <n v="0"/>
    <n v="4373.6688888888893"/>
    <n v="5434.13"/>
  </r>
  <r>
    <x v="13"/>
    <s v="Northeast Texas Community College "/>
    <m/>
    <n v="227225"/>
    <x v="6"/>
    <m/>
    <m/>
    <n v="25503"/>
    <n v="23616"/>
    <n v="8126"/>
    <n v="7246"/>
    <n v="0"/>
    <n v="0"/>
    <n v="24893"/>
    <n v="25206"/>
    <n v="58522"/>
    <n v="1950.7333333333333"/>
    <n v="56068"/>
    <n v="1868.9333333333334"/>
    <n v="10041"/>
    <n v="10950"/>
    <n v="58522"/>
    <n v="56068"/>
    <n v="6647"/>
    <n v="6740"/>
    <n v="2944"/>
    <n v="5800"/>
    <n v="2486"/>
    <n v="6445"/>
    <n v="3957"/>
    <n v="8836"/>
    <n v="16034"/>
    <n v="17.815555555555555"/>
    <n v="27821"/>
    <n v="30.912222222222223"/>
    <m/>
    <m/>
    <n v="0"/>
    <n v="0"/>
    <m/>
    <m/>
    <m/>
    <m/>
    <m/>
    <m/>
    <m/>
    <m/>
    <n v="0"/>
    <n v="0"/>
    <n v="0"/>
    <n v="0"/>
    <n v="1968.548888888889"/>
    <n v="1899.8455555555556"/>
  </r>
  <r>
    <x v="13"/>
    <s v="Odessa College "/>
    <m/>
    <n v="227304"/>
    <x v="6"/>
    <m/>
    <m/>
    <n v="53441"/>
    <n v="54961"/>
    <n v="7288"/>
    <n v="7582"/>
    <n v="8169"/>
    <n v="7552"/>
    <n v="59196"/>
    <n v="67910"/>
    <n v="128094"/>
    <n v="4269.8"/>
    <n v="138005"/>
    <n v="4600.166666666667"/>
    <n v="34370"/>
    <n v="40922"/>
    <n v="128094"/>
    <n v="138005"/>
    <n v="36101"/>
    <n v="30288"/>
    <n v="22501"/>
    <n v="30867"/>
    <n v="25765"/>
    <n v="32327"/>
    <n v="25079"/>
    <n v="28450"/>
    <n v="109446"/>
    <n v="121.60666666666667"/>
    <n v="121932"/>
    <n v="135.47999999999999"/>
    <m/>
    <m/>
    <n v="0"/>
    <n v="0"/>
    <m/>
    <m/>
    <m/>
    <m/>
    <m/>
    <m/>
    <m/>
    <m/>
    <n v="0"/>
    <n v="0"/>
    <n v="0"/>
    <n v="0"/>
    <n v="4391.4066666666668"/>
    <n v="4735.6466666666665"/>
  </r>
  <r>
    <x v="13"/>
    <s v="Paris Junior College"/>
    <m/>
    <n v="227401"/>
    <x v="6"/>
    <m/>
    <m/>
    <n v="37329"/>
    <n v="32854"/>
    <n v="9958"/>
    <n v="10412"/>
    <n v="0"/>
    <n v="0"/>
    <n v="41626"/>
    <n v="39948"/>
    <n v="88913"/>
    <n v="2963.7666666666669"/>
    <n v="83214"/>
    <n v="2773.8"/>
    <n v="23484"/>
    <n v="23225"/>
    <n v="88913"/>
    <n v="83214"/>
    <n v="6389"/>
    <n v="11924"/>
    <n v="5245"/>
    <n v="9844"/>
    <n v="13803"/>
    <n v="11556"/>
    <n v="8647"/>
    <n v="17608"/>
    <n v="34084"/>
    <n v="37.871111111111112"/>
    <n v="50932"/>
    <n v="56.591111111111111"/>
    <m/>
    <m/>
    <n v="0"/>
    <n v="0"/>
    <m/>
    <m/>
    <m/>
    <m/>
    <m/>
    <m/>
    <m/>
    <m/>
    <n v="0"/>
    <n v="0"/>
    <n v="0"/>
    <n v="0"/>
    <n v="3001.637777777778"/>
    <n v="2830.3911111111115"/>
  </r>
  <r>
    <x v="13"/>
    <s v="Southwest Texas Junior College "/>
    <m/>
    <n v="228316"/>
    <x v="6"/>
    <m/>
    <m/>
    <n v="54242"/>
    <n v="49634"/>
    <n v="11952"/>
    <n v="11852"/>
    <n v="5258"/>
    <n v="4651"/>
    <n v="50094"/>
    <n v="42113"/>
    <n v="121546"/>
    <n v="4051.5333333333333"/>
    <n v="108250"/>
    <n v="3608.3333333333335"/>
    <n v="42354"/>
    <n v="40145"/>
    <n v="121546"/>
    <n v="108250"/>
    <n v="15092"/>
    <n v="20423"/>
    <n v="4650"/>
    <n v="19044"/>
    <n v="8606"/>
    <n v="17884"/>
    <n v="12128"/>
    <n v="20138"/>
    <n v="40476"/>
    <n v="44.973333333333336"/>
    <n v="77489"/>
    <n v="86.098888888888894"/>
    <m/>
    <m/>
    <n v="0"/>
    <n v="0"/>
    <m/>
    <m/>
    <m/>
    <m/>
    <m/>
    <m/>
    <m/>
    <m/>
    <n v="0"/>
    <n v="0"/>
    <n v="0"/>
    <n v="0"/>
    <n v="4096.5066666666662"/>
    <n v="3694.4322222222222"/>
  </r>
  <r>
    <x v="13"/>
    <s v="Temple College "/>
    <m/>
    <n v="228608"/>
    <x v="6"/>
    <m/>
    <m/>
    <n v="38725"/>
    <n v="38719"/>
    <n v="11492"/>
    <n v="18311"/>
    <n v="0"/>
    <n v="0"/>
    <n v="34876"/>
    <n v="28423"/>
    <n v="85093"/>
    <n v="2836.4333333333334"/>
    <n v="85453"/>
    <n v="2848.4333333333334"/>
    <n v="15971"/>
    <n v="15613"/>
    <n v="85093"/>
    <n v="85453"/>
    <n v="3080"/>
    <n v="18638"/>
    <n v="10560"/>
    <n v="3990"/>
    <n v="4978"/>
    <n v="11295"/>
    <n v="17138"/>
    <n v="31769"/>
    <n v="35756"/>
    <n v="39.728888888888889"/>
    <n v="65692"/>
    <n v="72.99111111111111"/>
    <m/>
    <m/>
    <n v="0"/>
    <n v="0"/>
    <m/>
    <m/>
    <m/>
    <m/>
    <m/>
    <m/>
    <m/>
    <m/>
    <n v="0"/>
    <n v="0"/>
    <n v="0"/>
    <n v="0"/>
    <n v="2876.1622222222222"/>
    <n v="2921.4244444444444"/>
  </r>
  <r>
    <x v="13"/>
    <s v="Texarkana College "/>
    <m/>
    <n v="228699"/>
    <x v="6"/>
    <m/>
    <m/>
    <n v="30551"/>
    <n v="26820"/>
    <n v="6841"/>
    <n v="5648"/>
    <n v="0"/>
    <n v="0"/>
    <n v="34257"/>
    <n v="31319"/>
    <n v="71649"/>
    <n v="2388.3000000000002"/>
    <n v="63787"/>
    <n v="2126.2333333333331"/>
    <n v="18514"/>
    <n v="19336"/>
    <n v="71649"/>
    <n v="63787"/>
    <n v="84998"/>
    <n v="14864"/>
    <n v="4657"/>
    <n v="46871"/>
    <n v="10150"/>
    <n v="52679"/>
    <n v="15523"/>
    <n v="53105"/>
    <n v="115328"/>
    <n v="128.14222222222222"/>
    <n v="167519"/>
    <n v="186.13222222222223"/>
    <m/>
    <m/>
    <n v="0"/>
    <n v="0"/>
    <m/>
    <m/>
    <m/>
    <m/>
    <m/>
    <m/>
    <m/>
    <m/>
    <n v="0"/>
    <n v="0"/>
    <n v="0"/>
    <n v="0"/>
    <n v="2516.4422222222224"/>
    <n v="2312.3655555555551"/>
  </r>
  <r>
    <x v="13"/>
    <s v="Texas Southmost College "/>
    <m/>
    <n v="227377"/>
    <x v="6"/>
    <m/>
    <m/>
    <n v="64456"/>
    <n v="63045"/>
    <n v="10761"/>
    <n v="10103"/>
    <n v="8315"/>
    <n v="6617"/>
    <n v="61364"/>
    <n v="53845"/>
    <n v="144896"/>
    <n v="4829.8666666666668"/>
    <n v="133610"/>
    <n v="4453.666666666667"/>
    <n v="52725"/>
    <n v="52008"/>
    <n v="144896"/>
    <n v="133610"/>
    <n v="16704"/>
    <n v="16304"/>
    <n v="19936"/>
    <n v="25664"/>
    <n v="10040"/>
    <n v="20228"/>
    <n v="13200"/>
    <n v="36680"/>
    <n v="59880"/>
    <n v="66.533333333333331"/>
    <n v="98876"/>
    <n v="109.86222222222223"/>
    <m/>
    <m/>
    <n v="0"/>
    <n v="0"/>
    <m/>
    <m/>
    <m/>
    <m/>
    <m/>
    <m/>
    <m/>
    <m/>
    <n v="0"/>
    <n v="0"/>
    <n v="0"/>
    <n v="0"/>
    <n v="4896.4000000000005"/>
    <n v="4563.528888888889"/>
  </r>
  <r>
    <x v="13"/>
    <s v="Texas State Technical College-Harlingen "/>
    <m/>
    <n v="229319"/>
    <x v="6"/>
    <m/>
    <m/>
    <n v="30839"/>
    <n v="28004"/>
    <n v="4452"/>
    <n v="16660"/>
    <n v="0"/>
    <n v="0"/>
    <n v="45140"/>
    <n v="28922"/>
    <n v="80431"/>
    <n v="2681.0333333333333"/>
    <n v="73586"/>
    <n v="2452.8666666666668"/>
    <n v="1329"/>
    <n v="853"/>
    <n v="80431"/>
    <n v="73586"/>
    <n v="8452"/>
    <n v="5990"/>
    <n v="2080"/>
    <n v="14206"/>
    <n v="5120"/>
    <n v="8265"/>
    <n v="10000"/>
    <n v="6880"/>
    <n v="25652"/>
    <n v="28.502222222222223"/>
    <n v="35341"/>
    <n v="39.267777777777781"/>
    <m/>
    <m/>
    <n v="0"/>
    <n v="0"/>
    <m/>
    <m/>
    <m/>
    <m/>
    <m/>
    <m/>
    <m/>
    <m/>
    <n v="0"/>
    <n v="0"/>
    <n v="0"/>
    <n v="0"/>
    <n v="2709.5355555555557"/>
    <n v="2492.1344444444444"/>
  </r>
  <r>
    <x v="13"/>
    <s v="Texas State Technical College-Waco"/>
    <m/>
    <n v="228680"/>
    <x v="6"/>
    <m/>
    <m/>
    <n v="35851"/>
    <n v="29578"/>
    <n v="1647"/>
    <n v="19264"/>
    <n v="0"/>
    <n v="0"/>
    <n v="51374"/>
    <n v="31295"/>
    <n v="88872"/>
    <n v="2962.4"/>
    <n v="80137"/>
    <n v="2671.2333333333331"/>
    <n v="1192"/>
    <n v="1107"/>
    <n v="88872"/>
    <n v="80137"/>
    <n v="0"/>
    <n v="1904"/>
    <n v="0"/>
    <n v="504"/>
    <n v="1400"/>
    <n v="0"/>
    <n v="0"/>
    <n v="0"/>
    <n v="1400"/>
    <n v="1.5555555555555556"/>
    <n v="2408"/>
    <n v="2.6755555555555555"/>
    <m/>
    <m/>
    <n v="0"/>
    <n v="0"/>
    <m/>
    <m/>
    <m/>
    <m/>
    <m/>
    <m/>
    <m/>
    <m/>
    <n v="0"/>
    <n v="0"/>
    <n v="0"/>
    <n v="0"/>
    <n v="2963.9555555555557"/>
    <n v="2673.9088888888887"/>
  </r>
  <r>
    <x v="13"/>
    <s v="Vernon College "/>
    <m/>
    <n v="229504"/>
    <x v="6"/>
    <m/>
    <m/>
    <n v="23349"/>
    <n v="20709"/>
    <n v="2467"/>
    <n v="1820"/>
    <n v="3912"/>
    <n v="3657"/>
    <n v="23765"/>
    <n v="19644"/>
    <n v="53493"/>
    <n v="1783.1"/>
    <n v="45830"/>
    <n v="1527.6666666666667"/>
    <n v="8957"/>
    <n v="7762"/>
    <n v="53493"/>
    <n v="45830"/>
    <n v="55757"/>
    <n v="48503"/>
    <n v="32096"/>
    <n v="36214"/>
    <n v="15016"/>
    <n v="29006"/>
    <n v="65616"/>
    <n v="60866"/>
    <n v="168485"/>
    <n v="187.20555555555555"/>
    <n v="174589"/>
    <n v="193.98777777777778"/>
    <m/>
    <m/>
    <n v="0"/>
    <n v="0"/>
    <m/>
    <m/>
    <m/>
    <m/>
    <m/>
    <m/>
    <m/>
    <m/>
    <n v="0"/>
    <n v="0"/>
    <n v="0"/>
    <n v="0"/>
    <n v="1970.3055555555554"/>
    <n v="1721.6544444444446"/>
  </r>
  <r>
    <x v="13"/>
    <s v="Victoria College "/>
    <m/>
    <n v="229540"/>
    <x v="6"/>
    <m/>
    <m/>
    <n v="24997"/>
    <n v="21311"/>
    <n v="7545"/>
    <n v="7113"/>
    <n v="0"/>
    <n v="0"/>
    <n v="24574"/>
    <n v="23112"/>
    <n v="57116"/>
    <n v="1903.8666666666666"/>
    <n v="51536"/>
    <n v="1717.8666666666666"/>
    <n v="6033"/>
    <n v="5709"/>
    <n v="57116"/>
    <n v="51536"/>
    <n v="28270"/>
    <n v="18346"/>
    <n v="13718"/>
    <n v="23076"/>
    <n v="14695"/>
    <n v="18619"/>
    <n v="31559"/>
    <n v="37857"/>
    <n v="88242"/>
    <n v="98.046666666666667"/>
    <n v="97898"/>
    <n v="108.77555555555556"/>
    <m/>
    <m/>
    <n v="0"/>
    <n v="0"/>
    <m/>
    <m/>
    <m/>
    <m/>
    <m/>
    <m/>
    <m/>
    <m/>
    <n v="0"/>
    <n v="0"/>
    <n v="0"/>
    <n v="0"/>
    <n v="2001.9133333333332"/>
    <n v="1826.642222222222"/>
  </r>
  <r>
    <x v="13"/>
    <s v="Weatherford College "/>
    <m/>
    <n v="229799"/>
    <x v="6"/>
    <m/>
    <m/>
    <n v="46080"/>
    <n v="41371"/>
    <n v="6740"/>
    <n v="10185"/>
    <n v="5813"/>
    <n v="0"/>
    <n v="46253"/>
    <n v="48339"/>
    <n v="104886"/>
    <n v="3496.2"/>
    <n v="99895"/>
    <n v="3329.8333333333335"/>
    <n v="17064"/>
    <n v="22342"/>
    <n v="104886"/>
    <n v="99895"/>
    <n v="25023"/>
    <n v="18283"/>
    <n v="10408"/>
    <n v="24970"/>
    <n v="26999"/>
    <n v="22748"/>
    <n v="14092"/>
    <n v="13461"/>
    <n v="76522"/>
    <n v="85.024444444444441"/>
    <n v="79462"/>
    <n v="88.291111111111107"/>
    <m/>
    <m/>
    <n v="0"/>
    <n v="0"/>
    <m/>
    <m/>
    <m/>
    <m/>
    <m/>
    <m/>
    <m/>
    <m/>
    <n v="0"/>
    <n v="0"/>
    <n v="0"/>
    <n v="0"/>
    <n v="3581.2244444444441"/>
    <n v="3418.1244444444446"/>
  </r>
  <r>
    <x v="13"/>
    <s v="Wharton County Junior College "/>
    <m/>
    <n v="229841"/>
    <x v="6"/>
    <m/>
    <m/>
    <n v="59528"/>
    <n v="50424"/>
    <n v="10245"/>
    <n v="14415"/>
    <n v="5883"/>
    <n v="0"/>
    <n v="57917"/>
    <n v="51723"/>
    <n v="133573"/>
    <n v="4452.4333333333334"/>
    <n v="116562"/>
    <n v="3885.4"/>
    <n v="6738"/>
    <n v="6099"/>
    <n v="133573"/>
    <n v="116562"/>
    <n v="7544"/>
    <n v="3854"/>
    <n v="2968"/>
    <n v="7006"/>
    <n v="8709"/>
    <n v="11766"/>
    <n v="7098"/>
    <n v="7378"/>
    <n v="26319"/>
    <n v="29.243333333333332"/>
    <n v="30004"/>
    <n v="33.337777777777781"/>
    <m/>
    <m/>
    <n v="0"/>
    <n v="0"/>
    <m/>
    <m/>
    <m/>
    <m/>
    <m/>
    <m/>
    <m/>
    <m/>
    <n v="0"/>
    <n v="0"/>
    <n v="0"/>
    <n v="0"/>
    <n v="4481.6766666666663"/>
    <n v="3918.7377777777779"/>
  </r>
  <r>
    <x v="13"/>
    <s v="Clarendon College "/>
    <m/>
    <n v="223922"/>
    <x v="7"/>
    <m/>
    <m/>
    <n v="13076"/>
    <n v="11375"/>
    <n v="844"/>
    <n v="2647"/>
    <n v="2476"/>
    <n v="653"/>
    <n v="12614"/>
    <n v="13279"/>
    <n v="29010"/>
    <n v="967"/>
    <n v="27954"/>
    <n v="931.8"/>
    <n v="7738"/>
    <n v="7354"/>
    <n v="29010"/>
    <n v="27954"/>
    <n v="1104"/>
    <n v="3776"/>
    <n v="0"/>
    <n v="2352"/>
    <n v="2376"/>
    <n v="1808"/>
    <n v="2552"/>
    <n v="6240"/>
    <n v="6032"/>
    <n v="6.7022222222222219"/>
    <n v="14176"/>
    <n v="15.751111111111111"/>
    <m/>
    <m/>
    <n v="0"/>
    <n v="0"/>
    <m/>
    <m/>
    <m/>
    <m/>
    <m/>
    <m/>
    <m/>
    <m/>
    <n v="0"/>
    <n v="0"/>
    <n v="0"/>
    <n v="0"/>
    <n v="973.70222222222219"/>
    <n v="947.55111111111103"/>
  </r>
  <r>
    <x v="13"/>
    <s v="Frank Phillips College "/>
    <m/>
    <n v="224891"/>
    <x v="7"/>
    <m/>
    <m/>
    <n v="11863"/>
    <n v="12987"/>
    <n v="1787"/>
    <n v="2301"/>
    <n v="1006"/>
    <n v="1039"/>
    <n v="13751"/>
    <n v="14577"/>
    <n v="28407"/>
    <n v="946.9"/>
    <n v="30904"/>
    <n v="1030.1333333333334"/>
    <n v="10545"/>
    <n v="11402"/>
    <n v="28407"/>
    <n v="30904"/>
    <n v="17525"/>
    <n v="11219"/>
    <n v="7898"/>
    <n v="12620"/>
    <n v="11312"/>
    <n v="14055"/>
    <n v="18493"/>
    <n v="16343"/>
    <n v="55228"/>
    <n v="61.364444444444445"/>
    <n v="54237"/>
    <n v="60.263333333333335"/>
    <m/>
    <m/>
    <n v="0"/>
    <n v="0"/>
    <m/>
    <m/>
    <m/>
    <m/>
    <m/>
    <m/>
    <m/>
    <m/>
    <n v="0"/>
    <n v="0"/>
    <n v="0"/>
    <n v="0"/>
    <n v="1008.2644444444444"/>
    <n v="1090.3966666666668"/>
  </r>
  <r>
    <x v="13"/>
    <s v="Galveston College "/>
    <m/>
    <n v="224961"/>
    <x v="7"/>
    <m/>
    <m/>
    <n v="18697"/>
    <n v="19018"/>
    <n v="3300"/>
    <n v="3675"/>
    <n v="4562"/>
    <n v="3363"/>
    <n v="18166"/>
    <n v="16443"/>
    <n v="44725"/>
    <n v="1490.8333333333333"/>
    <n v="42499"/>
    <n v="1416.6333333333334"/>
    <n v="6491"/>
    <n v="6163"/>
    <n v="44725"/>
    <n v="42499"/>
    <n v="24177"/>
    <n v="13374"/>
    <n v="432"/>
    <n v="5091"/>
    <n v="2028"/>
    <n v="4864"/>
    <n v="15463"/>
    <n v="11805"/>
    <n v="42100"/>
    <n v="46.777777777777779"/>
    <n v="35134"/>
    <n v="39.037777777777777"/>
    <m/>
    <m/>
    <n v="0"/>
    <n v="0"/>
    <m/>
    <m/>
    <m/>
    <m/>
    <m/>
    <m/>
    <m/>
    <m/>
    <n v="0"/>
    <n v="0"/>
    <n v="0"/>
    <n v="0"/>
    <n v="1537.6111111111111"/>
    <n v="1455.6711111111113"/>
  </r>
  <r>
    <x v="13"/>
    <s v="Lamar State College-Orange"/>
    <m/>
    <n v="226107"/>
    <x v="7"/>
    <m/>
    <m/>
    <n v="19031"/>
    <n v="18445"/>
    <n v="8765"/>
    <n v="6838"/>
    <n v="0"/>
    <n v="0"/>
    <n v="20531"/>
    <n v="20219"/>
    <n v="48327"/>
    <n v="1610.9"/>
    <n v="45502"/>
    <n v="1516.7333333333333"/>
    <n v="7072"/>
    <n v="8927"/>
    <n v="48327"/>
    <n v="45502"/>
    <n v="8783"/>
    <n v="4784"/>
    <n v="1768"/>
    <n v="10742"/>
    <n v="7206"/>
    <n v="14787"/>
    <n v="1931"/>
    <n v="9312"/>
    <n v="19688"/>
    <n v="21.875555555555554"/>
    <n v="39625"/>
    <n v="44.027777777777779"/>
    <m/>
    <m/>
    <n v="0"/>
    <n v="0"/>
    <m/>
    <m/>
    <m/>
    <m/>
    <m/>
    <m/>
    <m/>
    <m/>
    <n v="0"/>
    <n v="0"/>
    <n v="0"/>
    <n v="0"/>
    <n v="1632.7755555555557"/>
    <n v="1560.7611111111112"/>
  </r>
  <r>
    <x v="13"/>
    <s v="Lamar State College-Port Arthur"/>
    <m/>
    <n v="226116"/>
    <x v="7"/>
    <m/>
    <m/>
    <n v="22534"/>
    <n v="18892"/>
    <n v="8953"/>
    <n v="5999"/>
    <n v="0"/>
    <n v="0"/>
    <n v="22662"/>
    <n v="20934"/>
    <n v="54149"/>
    <n v="1804.9666666666667"/>
    <n v="45825"/>
    <n v="1527.5"/>
    <n v="10086"/>
    <n v="9766"/>
    <n v="54149"/>
    <n v="45825"/>
    <n v="36551"/>
    <n v="8560"/>
    <n v="3160"/>
    <n v="23768"/>
    <n v="7152"/>
    <n v="11000"/>
    <n v="24624"/>
    <n v="23160"/>
    <n v="71487"/>
    <n v="79.430000000000007"/>
    <n v="66488"/>
    <n v="73.87555555555555"/>
    <m/>
    <m/>
    <n v="0"/>
    <n v="0"/>
    <m/>
    <m/>
    <m/>
    <m/>
    <m/>
    <m/>
    <m/>
    <m/>
    <n v="0"/>
    <n v="0"/>
    <n v="0"/>
    <n v="0"/>
    <n v="1884.3966666666668"/>
    <n v="1601.3755555555556"/>
  </r>
  <r>
    <x v="13"/>
    <s v="Northeast Lakeview College (ACCD)"/>
    <m/>
    <n v="488730"/>
    <x v="6"/>
    <m/>
    <m/>
    <n v="47061"/>
    <n v="38530"/>
    <n v="10298"/>
    <n v="9181"/>
    <n v="0"/>
    <n v="0"/>
    <n v="44986"/>
    <n v="43223"/>
    <n v="102345"/>
    <n v="3411.5"/>
    <n v="90934"/>
    <n v="3031.1333333333332"/>
    <n v="13148"/>
    <n v="13626"/>
    <n v="102345"/>
    <n v="90934"/>
    <n v="5808"/>
    <n v="7008"/>
    <n v="3952"/>
    <n v="2080"/>
    <n v="2384"/>
    <n v="2864"/>
    <n v="3616"/>
    <n v="7694"/>
    <n v="15760"/>
    <n v="17.511111111111113"/>
    <n v="19646"/>
    <n v="21.828888888888891"/>
    <m/>
    <m/>
    <n v="0"/>
    <n v="0"/>
    <m/>
    <m/>
    <m/>
    <m/>
    <m/>
    <m/>
    <m/>
    <m/>
    <n v="0"/>
    <n v="0"/>
    <n v="0"/>
    <n v="0"/>
    <n v="3429.0111111111109"/>
    <n v="3052.962222222222"/>
  </r>
  <r>
    <x v="13"/>
    <s v="Panola College"/>
    <m/>
    <n v="227386"/>
    <x v="7"/>
    <m/>
    <m/>
    <n v="20595"/>
    <n v="21382"/>
    <n v="3321"/>
    <n v="2992"/>
    <n v="1908"/>
    <n v="2173"/>
    <n v="22918"/>
    <n v="22863"/>
    <n v="48742"/>
    <n v="1624.7333333333333"/>
    <n v="49410"/>
    <n v="1647"/>
    <n v="11241"/>
    <n v="12490"/>
    <n v="48742"/>
    <n v="49410"/>
    <n v="8826"/>
    <n v="11695"/>
    <n v="6434"/>
    <n v="8802"/>
    <n v="13645"/>
    <n v="10559"/>
    <n v="13291"/>
    <n v="9653"/>
    <n v="42196"/>
    <n v="46.884444444444448"/>
    <n v="40709"/>
    <n v="45.232222222222219"/>
    <m/>
    <m/>
    <n v="0"/>
    <n v="0"/>
    <m/>
    <m/>
    <m/>
    <m/>
    <m/>
    <m/>
    <m/>
    <m/>
    <n v="0"/>
    <n v="0"/>
    <n v="0"/>
    <n v="0"/>
    <n v="1671.6177777777777"/>
    <n v="1692.2322222222222"/>
  </r>
  <r>
    <x v="13"/>
    <s v="Ranger College "/>
    <m/>
    <n v="227687"/>
    <x v="7"/>
    <m/>
    <m/>
    <n v="19494"/>
    <n v="19651"/>
    <n v="3050"/>
    <n v="3004"/>
    <n v="931"/>
    <n v="730"/>
    <n v="21363"/>
    <n v="19835"/>
    <n v="44838"/>
    <n v="1494.6"/>
    <n v="43220"/>
    <n v="1440.6666666666667"/>
    <n v="13286"/>
    <n v="15057"/>
    <n v="44838"/>
    <n v="43220"/>
    <n v="20456"/>
    <n v="22080"/>
    <n v="20262"/>
    <n v="7030"/>
    <n v="8062"/>
    <n v="8800"/>
    <n v="5528"/>
    <n v="4500"/>
    <n v="54308"/>
    <n v="60.342222222222219"/>
    <n v="42410"/>
    <n v="47.12222222222222"/>
    <m/>
    <m/>
    <n v="0"/>
    <n v="0"/>
    <m/>
    <m/>
    <m/>
    <m/>
    <m/>
    <m/>
    <m/>
    <m/>
    <n v="0"/>
    <n v="0"/>
    <n v="0"/>
    <n v="0"/>
    <n v="1554.9422222222222"/>
    <n v="1487.788888888889"/>
  </r>
  <r>
    <x v="13"/>
    <s v="Southwest Collegiate Institute for the Deaf (HCJCD)"/>
    <m/>
    <n v="382911"/>
    <x v="7"/>
    <m/>
    <m/>
    <n v="627"/>
    <n v="633"/>
    <n v="0"/>
    <n v="19"/>
    <n v="0"/>
    <n v="0"/>
    <n v="469"/>
    <n v="507"/>
    <n v="1096"/>
    <n v="36.533333333333331"/>
    <n v="1159"/>
    <n v="38.633333333333333"/>
    <n v="15"/>
    <n v="36"/>
    <n v="1096"/>
    <n v="1159"/>
    <n v="0"/>
    <m/>
    <n v="0"/>
    <m/>
    <n v="0"/>
    <n v="800"/>
    <n v="0"/>
    <m/>
    <n v="0"/>
    <n v="0"/>
    <n v="800"/>
    <n v="0.88888888888888884"/>
    <m/>
    <m/>
    <n v="0"/>
    <n v="0"/>
    <m/>
    <m/>
    <m/>
    <m/>
    <m/>
    <m/>
    <m/>
    <m/>
    <n v="0"/>
    <n v="0"/>
    <n v="0"/>
    <n v="0"/>
    <n v="36.533333333333331"/>
    <n v="39.522222222222219"/>
  </r>
  <r>
    <x v="13"/>
    <s v="Texas State Technical College-Fort Bend"/>
    <m/>
    <s v="N/A"/>
    <x v="7"/>
    <m/>
    <m/>
    <n v="4525"/>
    <n v="5482"/>
    <n v="24"/>
    <n v="3275"/>
    <n v="0"/>
    <n v="0"/>
    <n v="7933"/>
    <n v="6259"/>
    <n v="12482"/>
    <n v="416.06666666666666"/>
    <n v="15016"/>
    <n v="500.53333333333336"/>
    <n v="247"/>
    <n v="318"/>
    <n v="12482"/>
    <n v="15016"/>
    <n v="0"/>
    <n v="800"/>
    <n v="0"/>
    <n v="640"/>
    <n v="460"/>
    <n v="800"/>
    <n v="0"/>
    <n v="400"/>
    <n v="460"/>
    <n v="0.51111111111111107"/>
    <n v="2640"/>
    <n v="2.9333333333333331"/>
    <m/>
    <m/>
    <n v="0"/>
    <n v="0"/>
    <m/>
    <m/>
    <m/>
    <m/>
    <m/>
    <m/>
    <m/>
    <m/>
    <n v="0"/>
    <n v="0"/>
    <n v="0"/>
    <n v="0"/>
    <n v="416.57777777777778"/>
    <n v="503.4666666666667"/>
  </r>
  <r>
    <x v="13"/>
    <s v="Texas State Technical College-Marshall"/>
    <m/>
    <n v="408394"/>
    <x v="7"/>
    <m/>
    <m/>
    <n v="4788"/>
    <n v="4213"/>
    <n v="312"/>
    <n v="3264"/>
    <n v="0"/>
    <n v="0"/>
    <n v="8025"/>
    <n v="5721"/>
    <n v="13125"/>
    <n v="437.5"/>
    <n v="13198"/>
    <n v="439.93333333333334"/>
    <n v="213"/>
    <n v="273"/>
    <n v="13125"/>
    <n v="13198"/>
    <n v="0"/>
    <n v="360"/>
    <n v="0"/>
    <n v="1200"/>
    <n v="0"/>
    <m/>
    <n v="0"/>
    <n v="1400"/>
    <n v="0"/>
    <n v="0"/>
    <n v="2960"/>
    <n v="3.2888888888888888"/>
    <m/>
    <m/>
    <n v="0"/>
    <n v="0"/>
    <m/>
    <m/>
    <m/>
    <m/>
    <m/>
    <m/>
    <m/>
    <m/>
    <n v="0"/>
    <n v="0"/>
    <n v="0"/>
    <n v="0"/>
    <n v="437.5"/>
    <n v="443.22222222222223"/>
  </r>
  <r>
    <x v="13"/>
    <s v="Texas State Technical College-North Texas"/>
    <m/>
    <s v="N/A"/>
    <x v="7"/>
    <m/>
    <m/>
    <n v="1958"/>
    <n v="2289"/>
    <n v="0"/>
    <n v="1665"/>
    <n v="0"/>
    <n v="0"/>
    <n v="3898"/>
    <n v="1998"/>
    <n v="5856"/>
    <n v="195.2"/>
    <n v="5952"/>
    <n v="198.4"/>
    <n v="235"/>
    <n v="169"/>
    <n v="5856"/>
    <n v="5952"/>
    <n v="0"/>
    <m/>
    <n v="0"/>
    <m/>
    <n v="0"/>
    <m/>
    <n v="0"/>
    <m/>
    <n v="0"/>
    <n v="0"/>
    <n v="0"/>
    <n v="0"/>
    <m/>
    <m/>
    <n v="0"/>
    <n v="0"/>
    <m/>
    <m/>
    <m/>
    <m/>
    <m/>
    <m/>
    <m/>
    <m/>
    <n v="0"/>
    <n v="0"/>
    <n v="0"/>
    <n v="0"/>
    <n v="195.2"/>
    <n v="198.4"/>
  </r>
  <r>
    <x v="13"/>
    <s v="Texas State Technical College-West Texas"/>
    <m/>
    <n v="229328"/>
    <x v="7"/>
    <m/>
    <m/>
    <n v="12263"/>
    <n v="10122"/>
    <n v="4785"/>
    <n v="6103"/>
    <n v="0"/>
    <n v="0"/>
    <n v="15799"/>
    <n v="10097"/>
    <n v="32847"/>
    <n v="1094.9000000000001"/>
    <n v="26322"/>
    <n v="877.4"/>
    <n v="1489"/>
    <n v="615"/>
    <n v="32847"/>
    <n v="26322"/>
    <n v="700"/>
    <n v="0"/>
    <n v="300"/>
    <n v="1440"/>
    <n v="800"/>
    <n v="0"/>
    <n v="480"/>
    <n v="840"/>
    <n v="2280"/>
    <n v="2.5333333333333332"/>
    <n v="2280"/>
    <n v="2.5333333333333332"/>
    <m/>
    <m/>
    <n v="0"/>
    <n v="0"/>
    <m/>
    <m/>
    <m/>
    <m/>
    <m/>
    <m/>
    <m/>
    <m/>
    <n v="0"/>
    <n v="0"/>
    <n v="0"/>
    <n v="0"/>
    <n v="1097.4333333333334"/>
    <n v="879.93333333333328"/>
  </r>
  <r>
    <x v="13"/>
    <s v="Western Texas College "/>
    <m/>
    <n v="229832"/>
    <x v="7"/>
    <m/>
    <m/>
    <n v="15536"/>
    <n v="12969"/>
    <n v="4643"/>
    <n v="3604"/>
    <n v="3381"/>
    <n v="2043"/>
    <n v="11865"/>
    <n v="12150"/>
    <n v="35425"/>
    <n v="1180.8333333333333"/>
    <n v="30766"/>
    <n v="1025.5333333333333"/>
    <n v="8616"/>
    <n v="8883"/>
    <n v="35425"/>
    <n v="30766"/>
    <n v="29459"/>
    <n v="15181"/>
    <n v="23188"/>
    <n v="15205"/>
    <n v="20288"/>
    <n v="7762"/>
    <n v="10868"/>
    <n v="25103"/>
    <n v="83803"/>
    <n v="93.114444444444445"/>
    <n v="63251"/>
    <n v="70.278888888888886"/>
    <m/>
    <m/>
    <n v="0"/>
    <n v="0"/>
    <m/>
    <m/>
    <m/>
    <m/>
    <m/>
    <m/>
    <m/>
    <m/>
    <n v="0"/>
    <n v="0"/>
    <n v="0"/>
    <n v="0"/>
    <n v="1273.9477777777777"/>
    <n v="1095.8122222222221"/>
  </r>
  <r>
    <x v="13"/>
    <s v="Alamo Community College District (ACCD)"/>
    <m/>
    <m/>
    <x v="14"/>
    <m/>
    <m/>
    <n v="445966"/>
    <m/>
    <n v="138081"/>
    <m/>
    <n v="0"/>
    <m/>
    <n v="454864"/>
    <m/>
    <n v="1038911"/>
    <n v="34630.366666666669"/>
    <n v="0"/>
    <n v="0"/>
    <n v="160790"/>
    <m/>
    <n v="1038911"/>
    <n v="0"/>
    <n v="72804"/>
    <m/>
    <n v="37091"/>
    <m/>
    <n v="47576"/>
    <m/>
    <n v="40162"/>
    <m/>
    <n v="197633"/>
    <n v="219.59222222222223"/>
    <n v="0"/>
    <n v="0"/>
    <m/>
    <m/>
    <n v="0"/>
    <n v="0"/>
    <m/>
    <m/>
    <m/>
    <m/>
    <m/>
    <m/>
    <m/>
    <m/>
    <n v="0"/>
    <n v="0"/>
    <n v="0"/>
    <n v="0"/>
    <n v="34849.95888888889"/>
    <n v="0"/>
  </r>
  <r>
    <x v="13"/>
    <s v="Dallas College"/>
    <m/>
    <n v="224615"/>
    <x v="14"/>
    <m/>
    <m/>
    <n v="612679"/>
    <n v="549203"/>
    <n v="384352"/>
    <n v="346711"/>
    <n v="0"/>
    <n v="0"/>
    <n v="0"/>
    <n v="396836"/>
    <n v="997031"/>
    <n v="33234.366666666669"/>
    <n v="1292750"/>
    <n v="43091.666666666664"/>
    <n v="154139"/>
    <m/>
    <n v="997031"/>
    <n v="0"/>
    <n v="594370"/>
    <n v="194232"/>
    <n v="357622"/>
    <n v="169685"/>
    <n v="199105"/>
    <n v="267944"/>
    <m/>
    <n v="332182"/>
    <n v="1151097"/>
    <n v="1278.9966666666667"/>
    <n v="964043"/>
    <n v="1071.1588888888889"/>
    <m/>
    <m/>
    <n v="0"/>
    <n v="0"/>
    <m/>
    <m/>
    <m/>
    <m/>
    <m/>
    <m/>
    <m/>
    <m/>
    <n v="0"/>
    <n v="0"/>
    <n v="0"/>
    <n v="0"/>
    <n v="34513.363333333335"/>
    <n v="44162.825555555552"/>
  </r>
  <r>
    <x v="13"/>
    <s v="Howard County Community/Junior College District (HCJCD)"/>
    <m/>
    <m/>
    <x v="14"/>
    <m/>
    <m/>
    <n v="25699"/>
    <m/>
    <n v="4414"/>
    <m/>
    <n v="2174"/>
    <m/>
    <n v="28547"/>
    <m/>
    <n v="60834"/>
    <n v="2027.8"/>
    <n v="0"/>
    <n v="0"/>
    <n v="15202"/>
    <m/>
    <n v="60834"/>
    <n v="0"/>
    <n v="112996"/>
    <m/>
    <n v="14690"/>
    <m/>
    <n v="31336"/>
    <m/>
    <n v="40849"/>
    <m/>
    <n v="199871"/>
    <n v="222.07888888888888"/>
    <n v="0"/>
    <n v="0"/>
    <m/>
    <m/>
    <n v="0"/>
    <n v="0"/>
    <m/>
    <m/>
    <m/>
    <m/>
    <m/>
    <m/>
    <m/>
    <m/>
    <n v="0"/>
    <n v="0"/>
    <n v="0"/>
    <n v="0"/>
    <n v="2249.8788888888889"/>
    <n v="0"/>
  </r>
  <r>
    <x v="13"/>
    <s v="University of North Texas at Dallas"/>
    <m/>
    <n v="484905"/>
    <x v="3"/>
    <m/>
    <m/>
    <n v="0"/>
    <m/>
    <n v="32598"/>
    <n v="34830"/>
    <n v="10503"/>
    <n v="10609"/>
    <n v="36674"/>
    <n v="35613"/>
    <n v="79775"/>
    <n v="2659.1666666666665"/>
    <n v="81052"/>
    <n v="2701.7333333333331"/>
    <n v="0"/>
    <n v="822"/>
    <n v="79775"/>
    <n v="81052"/>
    <m/>
    <m/>
    <m/>
    <m/>
    <m/>
    <m/>
    <m/>
    <m/>
    <n v="0"/>
    <n v="0"/>
    <n v="0"/>
    <n v="0"/>
    <m/>
    <m/>
    <n v="0"/>
    <n v="0"/>
    <m/>
    <m/>
    <n v="7270"/>
    <n v="7410"/>
    <n v="2683"/>
    <n v="2725"/>
    <n v="7314"/>
    <n v="7076"/>
    <n v="17267"/>
    <n v="719.45833333333337"/>
    <n v="17211"/>
    <n v="717.125"/>
    <n v="3378.625"/>
    <n v="3418.8583333333331"/>
  </r>
  <r>
    <x v="13"/>
    <s v="Alamo Community College District (ACCD)"/>
    <m/>
    <m/>
    <x v="15"/>
    <m/>
    <m/>
    <n v="398905"/>
    <m/>
    <n v="127783"/>
    <m/>
    <n v="0"/>
    <m/>
    <n v="409878"/>
    <m/>
    <n v="936566"/>
    <n v="31218.866666666665"/>
    <n v="0"/>
    <n v="0"/>
    <n v="147642"/>
    <m/>
    <n v="936566"/>
    <n v="0"/>
    <n v="66996"/>
    <m/>
    <n v="33139"/>
    <m/>
    <n v="45192"/>
    <m/>
    <n v="36546"/>
    <m/>
    <n v="181873"/>
    <n v="202.08111111111111"/>
    <n v="0"/>
    <n v="0"/>
    <m/>
    <m/>
    <n v="0"/>
    <n v="0"/>
    <m/>
    <m/>
    <m/>
    <m/>
    <m/>
    <m/>
    <m/>
    <m/>
    <n v="0"/>
    <n v="0"/>
    <n v="0"/>
    <n v="0"/>
    <n v="31420.947777777776"/>
    <n v="0"/>
  </r>
  <r>
    <x v="13"/>
    <s v="Dallas County Community College District (DCCCD)"/>
    <m/>
    <m/>
    <x v="15"/>
    <m/>
    <m/>
    <n v="552665"/>
    <m/>
    <n v="348485"/>
    <m/>
    <n v="0"/>
    <m/>
    <m/>
    <m/>
    <n v="901150"/>
    <n v="30038.333333333332"/>
    <n v="0"/>
    <n v="0"/>
    <n v="140281"/>
    <m/>
    <n v="901150"/>
    <n v="0"/>
    <n v="548475"/>
    <m/>
    <n v="232243"/>
    <m/>
    <n v="150701"/>
    <m/>
    <m/>
    <m/>
    <n v="931419"/>
    <n v="1034.9100000000001"/>
    <n v="0"/>
    <n v="0"/>
    <m/>
    <m/>
    <n v="0"/>
    <n v="0"/>
    <m/>
    <m/>
    <m/>
    <m/>
    <m/>
    <m/>
    <m/>
    <m/>
    <n v="0"/>
    <n v="0"/>
    <n v="0"/>
    <n v="0"/>
    <n v="31073.243333333332"/>
    <n v="0"/>
  </r>
  <r>
    <x v="13"/>
    <s v="Dallas County Community College District (DCCCD)"/>
    <m/>
    <m/>
    <x v="16"/>
    <m/>
    <m/>
    <n v="60014"/>
    <m/>
    <n v="35867"/>
    <m/>
    <n v="0"/>
    <m/>
    <m/>
    <m/>
    <n v="95881"/>
    <n v="3196.0333333333333"/>
    <n v="0"/>
    <n v="0"/>
    <n v="13858"/>
    <m/>
    <n v="95881"/>
    <n v="0"/>
    <n v="45895"/>
    <m/>
    <n v="125379"/>
    <m/>
    <n v="48404"/>
    <m/>
    <m/>
    <m/>
    <n v="219678"/>
    <n v="244.08666666666667"/>
    <n v="0"/>
    <n v="0"/>
    <m/>
    <m/>
    <n v="0"/>
    <n v="0"/>
    <m/>
    <m/>
    <m/>
    <m/>
    <m/>
    <m/>
    <m/>
    <m/>
    <n v="0"/>
    <n v="0"/>
    <n v="0"/>
    <n v="0"/>
    <n v="3440.12"/>
    <n v="0"/>
  </r>
  <r>
    <x v="13"/>
    <s v="Howard County Community/Junior College District (HCJCD)"/>
    <m/>
    <m/>
    <x v="16"/>
    <m/>
    <m/>
    <n v="25072"/>
    <m/>
    <n v="4414"/>
    <m/>
    <n v="2174"/>
    <m/>
    <n v="28078"/>
    <m/>
    <n v="59738"/>
    <n v="1991.2666666666667"/>
    <n v="0"/>
    <n v="0"/>
    <n v="15202"/>
    <m/>
    <n v="59738"/>
    <n v="0"/>
    <n v="112996"/>
    <m/>
    <n v="14690"/>
    <m/>
    <n v="31336"/>
    <m/>
    <n v="40849"/>
    <m/>
    <n v="199871"/>
    <n v="222.07888888888888"/>
    <n v="0"/>
    <n v="0"/>
    <m/>
    <m/>
    <n v="0"/>
    <n v="0"/>
    <m/>
    <m/>
    <m/>
    <m/>
    <m/>
    <m/>
    <m/>
    <m/>
    <n v="0"/>
    <n v="0"/>
    <n v="0"/>
    <n v="0"/>
    <n v="2213.3455555555556"/>
    <n v="0"/>
  </r>
  <r>
    <x v="13"/>
    <s v="Alamo Community College District (ACCD)"/>
    <m/>
    <m/>
    <x v="17"/>
    <m/>
    <m/>
    <n v="47061"/>
    <m/>
    <n v="10298"/>
    <m/>
    <n v="0"/>
    <m/>
    <n v="44986"/>
    <m/>
    <n v="102345"/>
    <n v="3411.5"/>
    <n v="0"/>
    <n v="0"/>
    <n v="13148"/>
    <m/>
    <n v="102345"/>
    <n v="0"/>
    <n v="5808"/>
    <m/>
    <n v="3952"/>
    <m/>
    <n v="2384"/>
    <m/>
    <n v="3616"/>
    <m/>
    <n v="15760"/>
    <n v="17.511111111111113"/>
    <n v="0"/>
    <n v="0"/>
    <m/>
    <m/>
    <n v="0"/>
    <n v="0"/>
    <m/>
    <m/>
    <m/>
    <m/>
    <m/>
    <m/>
    <m/>
    <m/>
    <n v="0"/>
    <n v="0"/>
    <n v="0"/>
    <n v="0"/>
    <n v="3429.0111111111109"/>
    <n v="0"/>
  </r>
  <r>
    <x v="13"/>
    <s v="Howard County Community/Junior College District (HCJCD)"/>
    <m/>
    <m/>
    <x v="17"/>
    <m/>
    <m/>
    <n v="627"/>
    <m/>
    <n v="0"/>
    <m/>
    <n v="0"/>
    <m/>
    <n v="469"/>
    <m/>
    <n v="1096"/>
    <n v="36.533333333333331"/>
    <n v="0"/>
    <n v="0"/>
    <n v="0"/>
    <m/>
    <n v="1096"/>
    <n v="0"/>
    <n v="0"/>
    <m/>
    <n v="0"/>
    <m/>
    <n v="0"/>
    <m/>
    <n v="0"/>
    <m/>
    <n v="0"/>
    <n v="0"/>
    <n v="0"/>
    <n v="0"/>
    <m/>
    <m/>
    <n v="0"/>
    <n v="0"/>
    <m/>
    <m/>
    <m/>
    <m/>
    <m/>
    <m/>
    <m/>
    <m/>
    <n v="0"/>
    <n v="0"/>
    <n v="0"/>
    <n v="0"/>
    <n v="36.533333333333331"/>
    <n v="0"/>
  </r>
  <r>
    <x v="13"/>
    <s v="Dallas College"/>
    <s v="Classification Corrected"/>
    <n v="224615"/>
    <x v="5"/>
    <m/>
    <m/>
    <m/>
    <m/>
    <m/>
    <m/>
    <m/>
    <m/>
    <n v="380470"/>
    <m/>
    <n v="380470"/>
    <n v="12682.333333333334"/>
    <n v="0"/>
    <n v="0"/>
    <n v="58234"/>
    <m/>
    <n v="380470"/>
    <n v="0"/>
    <m/>
    <m/>
    <m/>
    <m/>
    <m/>
    <m/>
    <n v="274467"/>
    <m/>
    <n v="274467"/>
    <n v="304.96333333333331"/>
    <n v="0"/>
    <n v="0"/>
    <m/>
    <m/>
    <n v="0"/>
    <n v="0"/>
    <m/>
    <m/>
    <m/>
    <m/>
    <m/>
    <m/>
    <m/>
    <m/>
    <n v="0"/>
    <n v="0"/>
    <n v="0"/>
    <n v="0"/>
    <n v="12987.296666666667"/>
    <n v="0"/>
  </r>
  <r>
    <x v="13"/>
    <s v="Texas State Technical College-Connect (Online Only)"/>
    <m/>
    <m/>
    <x v="7"/>
    <m/>
    <m/>
    <m/>
    <m/>
    <m/>
    <m/>
    <m/>
    <m/>
    <m/>
    <n v="18069"/>
    <n v="0"/>
    <n v="0"/>
    <n v="18069"/>
    <n v="602.29999999999995"/>
    <m/>
    <n v="772"/>
    <n v="0"/>
    <n v="18069"/>
    <m/>
    <m/>
    <m/>
    <m/>
    <m/>
    <m/>
    <m/>
    <m/>
    <n v="0"/>
    <n v="0"/>
    <n v="0"/>
    <n v="0"/>
    <m/>
    <m/>
    <n v="0"/>
    <n v="0"/>
    <m/>
    <m/>
    <m/>
    <m/>
    <m/>
    <m/>
    <m/>
    <m/>
    <n v="0"/>
    <n v="0"/>
    <n v="0"/>
    <n v="0"/>
    <n v="0"/>
    <n v="602.29999999999995"/>
  </r>
  <r>
    <x v="14"/>
    <s v="George Mason University "/>
    <m/>
    <n v="232186"/>
    <x v="0"/>
    <m/>
    <m/>
    <m/>
    <m/>
    <n v="338616"/>
    <n v="333698.5"/>
    <n v="61816"/>
    <n v="75208"/>
    <n v="358793.5"/>
    <n v="349496"/>
    <n v="759225.5"/>
    <n v="25307.516666666666"/>
    <n v="758402.5"/>
    <n v="25280.083333333332"/>
    <n v="14501"/>
    <n v="9106"/>
    <n v="759225.5"/>
    <n v="758402.5"/>
    <m/>
    <m/>
    <m/>
    <m/>
    <m/>
    <m/>
    <m/>
    <m/>
    <n v="0"/>
    <n v="0"/>
    <n v="0"/>
    <n v="0"/>
    <m/>
    <m/>
    <n v="0"/>
    <n v="0"/>
    <m/>
    <m/>
    <n v="73957.5"/>
    <n v="77535.5"/>
    <n v="20589"/>
    <n v="23903.5"/>
    <n v="78565"/>
    <n v="82193.5"/>
    <n v="173111.5"/>
    <n v="7212.979166666667"/>
    <n v="183632.5"/>
    <n v="7651.354166666667"/>
    <n v="32520.495833333334"/>
    <n v="32931.4375"/>
  </r>
  <r>
    <x v="14"/>
    <s v="Old Dominion University "/>
    <m/>
    <n v="232982"/>
    <x v="0"/>
    <m/>
    <m/>
    <m/>
    <m/>
    <n v="213104"/>
    <n v="209229"/>
    <n v="58936"/>
    <n v="54261"/>
    <n v="238597"/>
    <n v="224501"/>
    <n v="510637"/>
    <n v="17021.233333333334"/>
    <n v="487991"/>
    <n v="16266.366666666667"/>
    <n v="65"/>
    <n v="117"/>
    <n v="510637"/>
    <n v="487991"/>
    <m/>
    <m/>
    <m/>
    <m/>
    <m/>
    <m/>
    <m/>
    <m/>
    <n v="0"/>
    <n v="0"/>
    <n v="0"/>
    <n v="0"/>
    <m/>
    <m/>
    <n v="0"/>
    <n v="0"/>
    <m/>
    <m/>
    <n v="25608"/>
    <n v="28257"/>
    <n v="14425"/>
    <n v="14815"/>
    <n v="28230"/>
    <n v="29337"/>
    <n v="68263"/>
    <n v="2844.2916666666665"/>
    <n v="72409"/>
    <n v="3017.0416666666665"/>
    <n v="19865.525000000001"/>
    <n v="19283.408333333333"/>
  </r>
  <r>
    <x v="14"/>
    <s v="University of Virginia"/>
    <m/>
    <n v="234076"/>
    <x v="0"/>
    <m/>
    <m/>
    <m/>
    <m/>
    <n v="238263.5"/>
    <n v="249910.5"/>
    <n v="21095.5"/>
    <n v="21829"/>
    <n v="243065"/>
    <n v="247913"/>
    <n v="502424"/>
    <n v="16747.466666666667"/>
    <n v="519652.5"/>
    <n v="17321.75"/>
    <n v="0"/>
    <n v="0"/>
    <n v="502424"/>
    <n v="519652.5"/>
    <m/>
    <m/>
    <m/>
    <m/>
    <m/>
    <m/>
    <m/>
    <m/>
    <n v="0"/>
    <n v="0"/>
    <n v="0"/>
    <n v="0"/>
    <m/>
    <m/>
    <n v="0"/>
    <n v="0"/>
    <m/>
    <m/>
    <n v="91879.5"/>
    <n v="89564.5"/>
    <n v="18107"/>
    <n v="20514"/>
    <n v="90925"/>
    <n v="96474"/>
    <n v="200911.5"/>
    <n v="8371.3125"/>
    <n v="206552.5"/>
    <n v="8606.3541666666661"/>
    <n v="25118.779166666667"/>
    <n v="25928.104166666664"/>
  </r>
  <r>
    <x v="14"/>
    <s v="Virginia Commonwealth University"/>
    <m/>
    <n v="234030"/>
    <x v="0"/>
    <m/>
    <m/>
    <m/>
    <m/>
    <n v="282686.5"/>
    <n v="274390.5"/>
    <n v="43550"/>
    <n v="37763"/>
    <n v="296965"/>
    <n v="290714.5"/>
    <n v="623201.5"/>
    <n v="20773.383333333335"/>
    <n v="602868"/>
    <n v="20095.599999999999"/>
    <n v="3808"/>
    <n v="107"/>
    <n v="623201.5"/>
    <n v="602868"/>
    <m/>
    <m/>
    <m/>
    <m/>
    <m/>
    <m/>
    <m/>
    <m/>
    <n v="0"/>
    <n v="0"/>
    <n v="0"/>
    <n v="0"/>
    <m/>
    <m/>
    <n v="0"/>
    <n v="0"/>
    <m/>
    <m/>
    <n v="57930.5"/>
    <n v="60283.5"/>
    <n v="14310"/>
    <n v="16577.5"/>
    <n v="61909.5"/>
    <n v="62126.5"/>
    <n v="134150"/>
    <n v="5589.583333333333"/>
    <n v="138987.5"/>
    <n v="5791.145833333333"/>
    <n v="26362.966666666667"/>
    <n v="25886.745833333331"/>
  </r>
  <r>
    <x v="14"/>
    <s v="Virginia Tech "/>
    <m/>
    <n v="233921"/>
    <x v="0"/>
    <m/>
    <m/>
    <m/>
    <m/>
    <n v="434732"/>
    <n v="440153"/>
    <n v="27925"/>
    <n v="35952"/>
    <n v="459631"/>
    <n v="450665"/>
    <n v="922288"/>
    <n v="30742.933333333334"/>
    <n v="926770"/>
    <n v="30892.333333333332"/>
    <n v="0"/>
    <n v="0"/>
    <n v="922288"/>
    <n v="926770"/>
    <m/>
    <m/>
    <m/>
    <m/>
    <m/>
    <m/>
    <m/>
    <m/>
    <n v="0"/>
    <n v="0"/>
    <n v="0"/>
    <n v="0"/>
    <m/>
    <m/>
    <n v="0"/>
    <n v="0"/>
    <m/>
    <m/>
    <n v="68103"/>
    <n v="67913"/>
    <n v="6393"/>
    <n v="7250"/>
    <n v="69235"/>
    <n v="75529"/>
    <n v="143731"/>
    <n v="5988.791666666667"/>
    <n v="150692"/>
    <n v="6278.833333333333"/>
    <n v="36731.724999999999"/>
    <n v="37171.166666666664"/>
  </r>
  <r>
    <x v="14"/>
    <s v="William &amp; Mary"/>
    <m/>
    <n v="231624"/>
    <x v="1"/>
    <m/>
    <m/>
    <m/>
    <m/>
    <n v="85585.3"/>
    <n v="86306.8"/>
    <n v="7589"/>
    <n v="7921"/>
    <n v="89426"/>
    <n v="91856.7"/>
    <n v="182600.3"/>
    <n v="6086.6766666666663"/>
    <n v="186084.5"/>
    <n v="6202.8166666666666"/>
    <n v="0"/>
    <n v="0"/>
    <n v="182600.3"/>
    <n v="186084.5"/>
    <m/>
    <m/>
    <m/>
    <m/>
    <m/>
    <m/>
    <m/>
    <m/>
    <n v="0"/>
    <n v="0"/>
    <n v="0"/>
    <n v="0"/>
    <m/>
    <m/>
    <n v="0"/>
    <n v="0"/>
    <m/>
    <m/>
    <n v="27017"/>
    <n v="29203.5"/>
    <n v="5967"/>
    <n v="7402.5"/>
    <n v="29149.5"/>
    <n v="30753"/>
    <n v="62133.5"/>
    <n v="2588.8958333333335"/>
    <n v="67359"/>
    <n v="2806.625"/>
    <n v="8675.5725000000002"/>
    <n v="9009.4416666666657"/>
  </r>
  <r>
    <x v="14"/>
    <s v="James Madison University"/>
    <s v="Met the requirments for 4-Year 2 in 2021-22"/>
    <n v="232423"/>
    <x v="2"/>
    <m/>
    <m/>
    <m/>
    <m/>
    <n v="268849"/>
    <n v="268744"/>
    <n v="33098"/>
    <n v="41133"/>
    <n v="287318"/>
    <n v="287810"/>
    <n v="589265"/>
    <n v="19642.166666666668"/>
    <n v="597687"/>
    <n v="19922.900000000001"/>
    <n v="2642"/>
    <n v="1550"/>
    <n v="589265"/>
    <n v="597687"/>
    <m/>
    <m/>
    <m/>
    <m/>
    <m/>
    <m/>
    <m/>
    <m/>
    <n v="0"/>
    <n v="0"/>
    <n v="0"/>
    <n v="0"/>
    <m/>
    <m/>
    <n v="0"/>
    <n v="0"/>
    <m/>
    <m/>
    <n v="13087"/>
    <n v="13945"/>
    <n v="6886"/>
    <n v="6949"/>
    <n v="15588"/>
    <n v="16479"/>
    <n v="35561"/>
    <n v="1481.7083333333333"/>
    <n v="37373"/>
    <n v="1557.2083333333333"/>
    <n v="21123.875"/>
    <n v="21480.108333333334"/>
  </r>
  <r>
    <x v="14"/>
    <s v="Longwood University "/>
    <m/>
    <n v="232566"/>
    <x v="4"/>
    <m/>
    <m/>
    <m/>
    <m/>
    <n v="50265"/>
    <n v="48073"/>
    <n v="7770"/>
    <n v="7003"/>
    <n v="51540"/>
    <n v="46461"/>
    <n v="109575"/>
    <n v="3652.5"/>
    <n v="101537"/>
    <n v="3384.5666666666666"/>
    <n v="3790"/>
    <n v="3031"/>
    <n v="109575"/>
    <n v="101537"/>
    <m/>
    <m/>
    <m/>
    <m/>
    <m/>
    <m/>
    <m/>
    <m/>
    <n v="0"/>
    <n v="0"/>
    <n v="0"/>
    <n v="0"/>
    <m/>
    <m/>
    <n v="0"/>
    <n v="0"/>
    <m/>
    <m/>
    <n v="4082"/>
    <n v="6825"/>
    <n v="4360"/>
    <n v="5878"/>
    <n v="6111"/>
    <n v="7661"/>
    <n v="14553"/>
    <n v="606.375"/>
    <n v="20364"/>
    <n v="848.5"/>
    <n v="4258.875"/>
    <n v="4233.0666666666666"/>
  </r>
  <r>
    <x v="14"/>
    <s v="Norfolk State University "/>
    <m/>
    <n v="232937"/>
    <x v="3"/>
    <m/>
    <m/>
    <m/>
    <m/>
    <n v="64911"/>
    <n v="59311"/>
    <n v="4564"/>
    <n v="5396"/>
    <n v="67327"/>
    <n v="68650"/>
    <n v="136802"/>
    <n v="4560.0666666666666"/>
    <n v="133357"/>
    <n v="4445.2333333333336"/>
    <n v="106"/>
    <n v="61"/>
    <n v="136802"/>
    <n v="133357"/>
    <m/>
    <m/>
    <m/>
    <m/>
    <m/>
    <m/>
    <m/>
    <m/>
    <n v="0"/>
    <n v="0"/>
    <n v="0"/>
    <n v="0"/>
    <m/>
    <m/>
    <n v="0"/>
    <n v="0"/>
    <m/>
    <m/>
    <n v="4145"/>
    <n v="4052"/>
    <n v="204"/>
    <n v="412"/>
    <n v="4124"/>
    <n v="3709"/>
    <n v="8473"/>
    <n v="353.04166666666669"/>
    <n v="8173"/>
    <n v="340.54166666666669"/>
    <n v="4913.1083333333336"/>
    <n v="4785.7750000000005"/>
  </r>
  <r>
    <x v="14"/>
    <s v="Radford University"/>
    <m/>
    <n v="233277"/>
    <x v="2"/>
    <m/>
    <m/>
    <m/>
    <m/>
    <n v="105583"/>
    <n v="90896"/>
    <n v="9226"/>
    <n v="8953"/>
    <n v="104755"/>
    <n v="92331"/>
    <n v="219564"/>
    <n v="7318.8"/>
    <n v="192180"/>
    <n v="6406"/>
    <n v="356"/>
    <n v="364"/>
    <n v="219564"/>
    <n v="192180"/>
    <m/>
    <m/>
    <m/>
    <m/>
    <m/>
    <m/>
    <m/>
    <m/>
    <n v="0"/>
    <n v="0"/>
    <n v="0"/>
    <n v="0"/>
    <m/>
    <m/>
    <n v="0"/>
    <n v="0"/>
    <m/>
    <m/>
    <n v="14714"/>
    <n v="14305"/>
    <n v="9974"/>
    <n v="8775.4"/>
    <n v="16028"/>
    <n v="13776.8"/>
    <n v="40716"/>
    <n v="1696.5"/>
    <n v="36857.199999999997"/>
    <n v="1535.7166666666665"/>
    <n v="9015.2999999999993"/>
    <n v="7941.7166666666662"/>
  </r>
  <r>
    <x v="14"/>
    <s v="University of Mary Washington "/>
    <m/>
    <n v="232681"/>
    <x v="4"/>
    <m/>
    <m/>
    <m/>
    <m/>
    <n v="53521"/>
    <n v="50569"/>
    <n v="5827"/>
    <n v="4809"/>
    <n v="55814"/>
    <n v="48917"/>
    <n v="115162"/>
    <n v="3838.7333333333331"/>
    <n v="104295"/>
    <n v="3476.5"/>
    <n v="25"/>
    <n v="27"/>
    <n v="115162"/>
    <n v="104295"/>
    <m/>
    <m/>
    <m/>
    <m/>
    <m/>
    <m/>
    <m/>
    <m/>
    <n v="0"/>
    <n v="0"/>
    <n v="0"/>
    <n v="0"/>
    <m/>
    <m/>
    <n v="0"/>
    <n v="0"/>
    <m/>
    <m/>
    <n v="2060.6"/>
    <n v="1967.8"/>
    <n v="735"/>
    <n v="705"/>
    <n v="2375"/>
    <n v="2460"/>
    <n v="5170.6000000000004"/>
    <n v="215.44166666666669"/>
    <n v="5132.8"/>
    <n v="213.86666666666667"/>
    <n v="4054.1749999999997"/>
    <n v="3690.3666666666668"/>
  </r>
  <r>
    <x v="14"/>
    <s v="Virginia State University "/>
    <m/>
    <n v="234155"/>
    <x v="2"/>
    <m/>
    <m/>
    <m/>
    <m/>
    <n v="55669"/>
    <n v="49207"/>
    <n v="3038"/>
    <n v="4261"/>
    <n v="54988"/>
    <n v="56127"/>
    <n v="113695"/>
    <n v="3789.8333333333335"/>
    <n v="109595"/>
    <n v="3653.1666666666665"/>
    <n v="0"/>
    <n v="0"/>
    <n v="113695"/>
    <n v="109595"/>
    <m/>
    <m/>
    <m/>
    <m/>
    <m/>
    <m/>
    <m/>
    <m/>
    <n v="0"/>
    <n v="0"/>
    <n v="0"/>
    <n v="0"/>
    <m/>
    <m/>
    <n v="0"/>
    <n v="0"/>
    <m/>
    <m/>
    <n v="2608"/>
    <n v="3284"/>
    <n v="270"/>
    <n v="382"/>
    <n v="3138"/>
    <n v="3105"/>
    <n v="6016"/>
    <n v="250.66666666666666"/>
    <n v="6771"/>
    <n v="282.125"/>
    <n v="4040.5"/>
    <n v="3935.2916666666665"/>
  </r>
  <r>
    <x v="14"/>
    <s v="Christopher Newport University"/>
    <m/>
    <n v="231712"/>
    <x v="4"/>
    <m/>
    <m/>
    <m/>
    <m/>
    <n v="66741"/>
    <n v="65430"/>
    <n v="2278"/>
    <n v="1257"/>
    <n v="70308"/>
    <n v="65543"/>
    <n v="139327"/>
    <n v="4644.2333333333336"/>
    <n v="132230"/>
    <n v="4407.666666666667"/>
    <n v="129"/>
    <n v="288"/>
    <n v="139327"/>
    <n v="132230"/>
    <m/>
    <m/>
    <m/>
    <m/>
    <m/>
    <m/>
    <m/>
    <m/>
    <n v="0"/>
    <n v="0"/>
    <n v="0"/>
    <n v="0"/>
    <m/>
    <m/>
    <n v="0"/>
    <n v="0"/>
    <m/>
    <m/>
    <n v="982"/>
    <n v="1294"/>
    <n v="464"/>
    <n v="502"/>
    <n v="1330"/>
    <n v="1455"/>
    <n v="2776"/>
    <n v="115.66666666666667"/>
    <n v="3251"/>
    <n v="135.45833333333334"/>
    <n v="4759.9000000000005"/>
    <n v="4543.125"/>
  </r>
  <r>
    <x v="14"/>
    <s v="University of Virginia's College at Wise"/>
    <s v="Was University of Virginia's College Wise"/>
    <n v="233897"/>
    <x v="11"/>
    <m/>
    <m/>
    <m/>
    <m/>
    <n v="19625"/>
    <n v="18909"/>
    <n v="6180"/>
    <n v="7946"/>
    <n v="20016"/>
    <n v="19720"/>
    <n v="45821"/>
    <n v="1527.3666666666666"/>
    <n v="46575"/>
    <n v="1552.5"/>
    <n v="0"/>
    <n v="27"/>
    <n v="45821"/>
    <n v="46575"/>
    <m/>
    <m/>
    <m/>
    <m/>
    <m/>
    <m/>
    <m/>
    <m/>
    <n v="0"/>
    <n v="0"/>
    <n v="0"/>
    <n v="0"/>
    <m/>
    <m/>
    <n v="0"/>
    <n v="0"/>
    <m/>
    <m/>
    <m/>
    <m/>
    <m/>
    <m/>
    <m/>
    <m/>
    <n v="0"/>
    <n v="0"/>
    <n v="0"/>
    <n v="0"/>
    <n v="1527.3666666666666"/>
    <n v="1552.5"/>
  </r>
  <r>
    <x v="14"/>
    <s v="J.S. Reynolds Community College"/>
    <m/>
    <n v="232414"/>
    <x v="5"/>
    <m/>
    <m/>
    <m/>
    <m/>
    <n v="67243"/>
    <n v="59962"/>
    <n v="23872"/>
    <n v="24465"/>
    <n v="66657"/>
    <n v="61888"/>
    <n v="157772"/>
    <n v="5259.0666666666666"/>
    <n v="146315"/>
    <n v="4877.166666666667"/>
    <n v="39787"/>
    <n v="43274"/>
    <n v="157772"/>
    <n v="146315"/>
    <m/>
    <m/>
    <m/>
    <m/>
    <m/>
    <m/>
    <m/>
    <m/>
    <n v="0"/>
    <n v="0"/>
    <n v="0"/>
    <n v="0"/>
    <m/>
    <m/>
    <n v="0"/>
    <n v="0"/>
    <m/>
    <m/>
    <m/>
    <m/>
    <m/>
    <m/>
    <m/>
    <m/>
    <n v="0"/>
    <n v="0"/>
    <n v="0"/>
    <n v="0"/>
    <n v="5259.0666666666666"/>
    <n v="4877.166666666667"/>
  </r>
  <r>
    <x v="14"/>
    <s v="Brightpoint Community College"/>
    <s v="Was John Tyler Community College"/>
    <n v="232450"/>
    <x v="5"/>
    <m/>
    <m/>
    <m/>
    <m/>
    <n v="70027"/>
    <n v="64377"/>
    <n v="17990"/>
    <n v="20072"/>
    <n v="70932"/>
    <n v="64944"/>
    <n v="158949"/>
    <n v="5298.3"/>
    <n v="149393"/>
    <n v="4979.7666666666664"/>
    <n v="59783"/>
    <n v="56228"/>
    <n v="158949"/>
    <n v="149393"/>
    <m/>
    <m/>
    <m/>
    <m/>
    <m/>
    <m/>
    <m/>
    <m/>
    <n v="0"/>
    <n v="0"/>
    <n v="0"/>
    <n v="0"/>
    <m/>
    <m/>
    <n v="0"/>
    <n v="0"/>
    <m/>
    <m/>
    <m/>
    <m/>
    <m/>
    <m/>
    <m/>
    <m/>
    <n v="0"/>
    <n v="0"/>
    <n v="0"/>
    <n v="0"/>
    <n v="5298.3"/>
    <n v="4979.7666666666664"/>
  </r>
  <r>
    <x v="14"/>
    <s v="Northern Virginia Community College "/>
    <m/>
    <n v="232946"/>
    <x v="5"/>
    <m/>
    <m/>
    <m/>
    <m/>
    <n v="374636"/>
    <n v="369606"/>
    <n v="122506"/>
    <n v="167809"/>
    <n v="426201"/>
    <n v="391883"/>
    <n v="923343"/>
    <n v="30778.1"/>
    <n v="929298"/>
    <n v="30976.6"/>
    <n v="201989"/>
    <n v="215237"/>
    <n v="923343"/>
    <n v="929298"/>
    <m/>
    <m/>
    <m/>
    <m/>
    <m/>
    <m/>
    <m/>
    <m/>
    <n v="0"/>
    <n v="0"/>
    <n v="0"/>
    <n v="0"/>
    <m/>
    <m/>
    <n v="0"/>
    <n v="0"/>
    <m/>
    <m/>
    <m/>
    <m/>
    <m/>
    <m/>
    <m/>
    <m/>
    <n v="0"/>
    <n v="0"/>
    <n v="0"/>
    <n v="0"/>
    <n v="30778.1"/>
    <n v="30976.6"/>
  </r>
  <r>
    <x v="14"/>
    <s v="Virginia Peninsula Community College"/>
    <s v="Reclassifed: Met the criteria for Two-Year 2 in 2019-20 and 2020-21 and 2021-22 Was Thomas Nelson"/>
    <n v="233754"/>
    <x v="6"/>
    <m/>
    <m/>
    <m/>
    <m/>
    <n v="60181"/>
    <n v="51651"/>
    <n v="18219"/>
    <n v="17700"/>
    <n v="53945"/>
    <n v="49083"/>
    <n v="132345"/>
    <n v="4411.5"/>
    <n v="118434"/>
    <n v="3947.8"/>
    <n v="36327"/>
    <n v="36672"/>
    <n v="132345"/>
    <n v="118434"/>
    <m/>
    <m/>
    <m/>
    <m/>
    <m/>
    <m/>
    <m/>
    <m/>
    <n v="0"/>
    <n v="0"/>
    <n v="0"/>
    <n v="0"/>
    <m/>
    <m/>
    <n v="0"/>
    <n v="0"/>
    <m/>
    <m/>
    <m/>
    <m/>
    <m/>
    <m/>
    <m/>
    <m/>
    <n v="0"/>
    <n v="0"/>
    <n v="0"/>
    <n v="0"/>
    <n v="4411.5"/>
    <n v="3947.8"/>
  </r>
  <r>
    <x v="14"/>
    <s v="Tidewater Community College "/>
    <m/>
    <n v="233772"/>
    <x v="5"/>
    <m/>
    <m/>
    <m/>
    <m/>
    <n v="152829"/>
    <n v="135962"/>
    <n v="57152"/>
    <n v="46677"/>
    <n v="149370"/>
    <n v="143075"/>
    <n v="359351"/>
    <n v="11978.366666666667"/>
    <n v="325714"/>
    <n v="10857.133333333333"/>
    <n v="43263"/>
    <n v="44847"/>
    <n v="359351"/>
    <n v="325714"/>
    <m/>
    <m/>
    <m/>
    <m/>
    <m/>
    <m/>
    <m/>
    <m/>
    <n v="0"/>
    <n v="0"/>
    <n v="0"/>
    <n v="0"/>
    <m/>
    <m/>
    <n v="0"/>
    <n v="0"/>
    <m/>
    <m/>
    <m/>
    <m/>
    <m/>
    <m/>
    <m/>
    <m/>
    <n v="0"/>
    <n v="0"/>
    <n v="0"/>
    <n v="0"/>
    <n v="11978.366666666667"/>
    <n v="10857.133333333333"/>
  </r>
  <r>
    <x v="14"/>
    <s v="Blue Ridge Community College "/>
    <s v="Met the criteria for Two-Year 3  in 2021-22"/>
    <n v="231536"/>
    <x v="6"/>
    <m/>
    <m/>
    <m/>
    <m/>
    <n v="27836"/>
    <n v="24201"/>
    <n v="7729"/>
    <n v="8187"/>
    <n v="29392"/>
    <n v="27495"/>
    <n v="64957"/>
    <n v="2165.2333333333331"/>
    <n v="59883"/>
    <n v="1996.1"/>
    <n v="16901"/>
    <n v="15623"/>
    <n v="64957"/>
    <n v="59883"/>
    <m/>
    <m/>
    <m/>
    <m/>
    <m/>
    <m/>
    <m/>
    <m/>
    <n v="0"/>
    <n v="0"/>
    <n v="0"/>
    <n v="0"/>
    <m/>
    <m/>
    <n v="0"/>
    <n v="0"/>
    <m/>
    <m/>
    <m/>
    <m/>
    <m/>
    <m/>
    <m/>
    <m/>
    <n v="0"/>
    <n v="0"/>
    <n v="0"/>
    <n v="0"/>
    <n v="2165.2333333333331"/>
    <n v="1996.1"/>
  </r>
  <r>
    <x v="14"/>
    <s v="Central Virginia Community College "/>
    <m/>
    <n v="231697"/>
    <x v="6"/>
    <m/>
    <m/>
    <m/>
    <m/>
    <n v="28531"/>
    <n v="25997"/>
    <n v="7022"/>
    <n v="6670"/>
    <n v="29219"/>
    <n v="28495"/>
    <n v="64772"/>
    <n v="2159.0666666666666"/>
    <n v="61162"/>
    <n v="2038.7333333333333"/>
    <n v="39776"/>
    <n v="37053"/>
    <n v="64772"/>
    <n v="61162"/>
    <m/>
    <m/>
    <m/>
    <m/>
    <m/>
    <m/>
    <m/>
    <m/>
    <n v="0"/>
    <n v="0"/>
    <n v="0"/>
    <n v="0"/>
    <m/>
    <m/>
    <n v="0"/>
    <n v="0"/>
    <m/>
    <m/>
    <m/>
    <m/>
    <m/>
    <m/>
    <m/>
    <m/>
    <n v="0"/>
    <n v="0"/>
    <n v="0"/>
    <n v="0"/>
    <n v="2159.0666666666666"/>
    <n v="2038.7333333333333"/>
  </r>
  <r>
    <x v="14"/>
    <s v="Germanna Community College"/>
    <m/>
    <n v="232195"/>
    <x v="6"/>
    <m/>
    <m/>
    <m/>
    <m/>
    <n v="56244"/>
    <n v="58255"/>
    <n v="16762"/>
    <n v="21358"/>
    <n v="62972"/>
    <n v="61491"/>
    <n v="135978"/>
    <n v="4532.6000000000004"/>
    <n v="141104"/>
    <n v="4703.4666666666662"/>
    <n v="32196"/>
    <n v="33826"/>
    <n v="135978"/>
    <n v="141104"/>
    <m/>
    <m/>
    <m/>
    <m/>
    <m/>
    <m/>
    <m/>
    <m/>
    <n v="0"/>
    <n v="0"/>
    <n v="0"/>
    <n v="0"/>
    <m/>
    <m/>
    <n v="0"/>
    <n v="0"/>
    <m/>
    <m/>
    <m/>
    <m/>
    <m/>
    <m/>
    <m/>
    <m/>
    <n v="0"/>
    <n v="0"/>
    <n v="0"/>
    <n v="0"/>
    <n v="4532.6000000000004"/>
    <n v="4703.4666666666662"/>
  </r>
  <r>
    <x v="14"/>
    <s v="Laurel Ridge Community College"/>
    <s v="Was Lord Fairfax Community College"/>
    <n v="232575"/>
    <x v="6"/>
    <m/>
    <m/>
    <m/>
    <m/>
    <n v="49731"/>
    <n v="44031"/>
    <n v="11116"/>
    <n v="12899"/>
    <n v="54685"/>
    <n v="50147"/>
    <n v="115532"/>
    <n v="3851.0666666666666"/>
    <n v="107077"/>
    <n v="3569.2333333333331"/>
    <n v="71645"/>
    <n v="70536"/>
    <n v="115532"/>
    <n v="107077"/>
    <m/>
    <m/>
    <m/>
    <m/>
    <m/>
    <m/>
    <m/>
    <m/>
    <n v="0"/>
    <n v="0"/>
    <n v="0"/>
    <n v="0"/>
    <m/>
    <m/>
    <n v="0"/>
    <n v="0"/>
    <m/>
    <m/>
    <m/>
    <m/>
    <m/>
    <m/>
    <m/>
    <m/>
    <n v="0"/>
    <n v="0"/>
    <n v="0"/>
    <n v="0"/>
    <n v="3851.0666666666666"/>
    <n v="3569.2333333333331"/>
  </r>
  <r>
    <x v="14"/>
    <s v="New River Community College "/>
    <m/>
    <n v="232867"/>
    <x v="6"/>
    <m/>
    <m/>
    <m/>
    <m/>
    <n v="33438"/>
    <n v="30771"/>
    <n v="6903"/>
    <n v="7726"/>
    <n v="38427"/>
    <n v="36360"/>
    <n v="78768"/>
    <n v="2625.6"/>
    <n v="74857"/>
    <n v="2495.2333333333331"/>
    <n v="41209"/>
    <n v="43179"/>
    <n v="78768"/>
    <n v="74857"/>
    <m/>
    <m/>
    <m/>
    <m/>
    <m/>
    <m/>
    <m/>
    <m/>
    <n v="0"/>
    <n v="0"/>
    <n v="0"/>
    <n v="0"/>
    <m/>
    <m/>
    <n v="0"/>
    <n v="0"/>
    <m/>
    <m/>
    <m/>
    <m/>
    <m/>
    <m/>
    <m/>
    <m/>
    <n v="0"/>
    <n v="0"/>
    <n v="0"/>
    <n v="0"/>
    <n v="2625.6"/>
    <n v="2495.2333333333331"/>
  </r>
  <r>
    <x v="14"/>
    <s v="Piedmont Virginia Community College "/>
    <m/>
    <n v="233116"/>
    <x v="6"/>
    <m/>
    <m/>
    <m/>
    <m/>
    <n v="34142"/>
    <n v="32400"/>
    <n v="8871"/>
    <n v="9421"/>
    <n v="39052"/>
    <n v="38061"/>
    <n v="82065"/>
    <n v="2735.5"/>
    <n v="79882"/>
    <n v="2662.7333333333331"/>
    <n v="38320"/>
    <n v="36011"/>
    <n v="82065"/>
    <n v="79882"/>
    <m/>
    <m/>
    <m/>
    <m/>
    <m/>
    <m/>
    <m/>
    <m/>
    <n v="0"/>
    <n v="0"/>
    <n v="0"/>
    <n v="0"/>
    <m/>
    <m/>
    <n v="0"/>
    <n v="0"/>
    <m/>
    <m/>
    <m/>
    <m/>
    <m/>
    <m/>
    <m/>
    <m/>
    <n v="0"/>
    <n v="0"/>
    <n v="0"/>
    <n v="0"/>
    <n v="2735.5"/>
    <n v="2662.7333333333331"/>
  </r>
  <r>
    <x v="14"/>
    <s v="Southside Virginia Community College"/>
    <s v="Reclassifed Met the criteria for Two-Year 3 in 2019-20 and 2020-21, and 2021-22"/>
    <n v="233639"/>
    <x v="7"/>
    <m/>
    <m/>
    <m/>
    <m/>
    <n v="26537"/>
    <n v="25257"/>
    <n v="4747"/>
    <n v="4639"/>
    <n v="28458"/>
    <n v="26413"/>
    <n v="59742"/>
    <n v="1991.4"/>
    <n v="56309"/>
    <n v="1876.9666666666667"/>
    <n v="50331"/>
    <n v="47386"/>
    <n v="59742"/>
    <n v="56309"/>
    <m/>
    <m/>
    <m/>
    <m/>
    <m/>
    <m/>
    <m/>
    <m/>
    <n v="0"/>
    <n v="0"/>
    <n v="0"/>
    <n v="0"/>
    <m/>
    <m/>
    <n v="0"/>
    <n v="0"/>
    <m/>
    <m/>
    <m/>
    <m/>
    <m/>
    <m/>
    <m/>
    <m/>
    <n v="0"/>
    <n v="0"/>
    <n v="0"/>
    <n v="0"/>
    <n v="1991.4"/>
    <n v="1876.9666666666667"/>
  </r>
  <r>
    <x v="14"/>
    <s v="Virginia Western Community College "/>
    <m/>
    <n v="233949"/>
    <x v="6"/>
    <m/>
    <m/>
    <m/>
    <m/>
    <n v="44231"/>
    <n v="42513"/>
    <n v="10632"/>
    <n v="10242"/>
    <n v="48259"/>
    <n v="46850"/>
    <n v="103122"/>
    <n v="3437.4"/>
    <n v="99605"/>
    <n v="3320.1666666666665"/>
    <n v="39688"/>
    <n v="38241"/>
    <n v="103122"/>
    <n v="99605"/>
    <m/>
    <m/>
    <m/>
    <m/>
    <m/>
    <m/>
    <m/>
    <m/>
    <n v="0"/>
    <n v="0"/>
    <n v="0"/>
    <n v="0"/>
    <m/>
    <m/>
    <n v="0"/>
    <n v="0"/>
    <m/>
    <m/>
    <m/>
    <m/>
    <m/>
    <m/>
    <m/>
    <m/>
    <n v="0"/>
    <n v="0"/>
    <n v="0"/>
    <n v="0"/>
    <n v="3437.4"/>
    <n v="3320.1666666666665"/>
  </r>
  <r>
    <x v="14"/>
    <s v="Mountain Gateway Community College"/>
    <s v="Was D.S. Lancaster Community College "/>
    <n v="231873"/>
    <x v="7"/>
    <m/>
    <m/>
    <m/>
    <m/>
    <n v="7919"/>
    <n v="8628"/>
    <n v="1331"/>
    <n v="1620"/>
    <n v="9406"/>
    <n v="9155"/>
    <n v="18656"/>
    <n v="621.86666666666667"/>
    <n v="19403"/>
    <n v="646.76666666666665"/>
    <n v="10447"/>
    <n v="11990"/>
    <n v="18656"/>
    <n v="19403"/>
    <m/>
    <m/>
    <m/>
    <m/>
    <m/>
    <m/>
    <m/>
    <m/>
    <n v="0"/>
    <n v="0"/>
    <n v="0"/>
    <n v="0"/>
    <m/>
    <m/>
    <n v="0"/>
    <n v="0"/>
    <m/>
    <m/>
    <m/>
    <m/>
    <m/>
    <m/>
    <m/>
    <m/>
    <n v="0"/>
    <n v="0"/>
    <n v="0"/>
    <n v="0"/>
    <n v="621.86666666666667"/>
    <n v="646.76666666666665"/>
  </r>
  <r>
    <x v="14"/>
    <s v="Danville Community College "/>
    <m/>
    <n v="231882"/>
    <x v="7"/>
    <m/>
    <m/>
    <m/>
    <m/>
    <n v="21827"/>
    <n v="18205"/>
    <n v="5707"/>
    <n v="5458"/>
    <n v="21954"/>
    <n v="20467"/>
    <n v="49488"/>
    <n v="1649.6"/>
    <n v="44130"/>
    <n v="1471"/>
    <n v="25445"/>
    <n v="23579"/>
    <n v="49488"/>
    <n v="44130"/>
    <m/>
    <m/>
    <m/>
    <m/>
    <m/>
    <m/>
    <m/>
    <m/>
    <n v="0"/>
    <n v="0"/>
    <n v="0"/>
    <n v="0"/>
    <m/>
    <m/>
    <n v="0"/>
    <n v="0"/>
    <m/>
    <m/>
    <m/>
    <m/>
    <m/>
    <m/>
    <m/>
    <m/>
    <n v="0"/>
    <n v="0"/>
    <n v="0"/>
    <n v="0"/>
    <n v="1649.6"/>
    <n v="1471"/>
  </r>
  <r>
    <x v="14"/>
    <s v="Eastern Shore Community College"/>
    <m/>
    <n v="232052"/>
    <x v="7"/>
    <m/>
    <m/>
    <m/>
    <m/>
    <n v="5460"/>
    <n v="5184"/>
    <n v="783"/>
    <n v="1023"/>
    <n v="5939"/>
    <n v="5517"/>
    <n v="12182"/>
    <n v="406.06666666666666"/>
    <n v="11724"/>
    <n v="390.8"/>
    <n v="6484"/>
    <n v="6863"/>
    <n v="12182"/>
    <n v="11724"/>
    <m/>
    <m/>
    <m/>
    <m/>
    <m/>
    <m/>
    <m/>
    <m/>
    <n v="0"/>
    <n v="0"/>
    <n v="0"/>
    <n v="0"/>
    <m/>
    <m/>
    <n v="0"/>
    <n v="0"/>
    <m/>
    <m/>
    <m/>
    <m/>
    <m/>
    <m/>
    <m/>
    <m/>
    <n v="0"/>
    <n v="0"/>
    <n v="0"/>
    <n v="0"/>
    <n v="406.06666666666666"/>
    <n v="390.8"/>
  </r>
  <r>
    <x v="14"/>
    <s v="Mountain Empire Community College"/>
    <m/>
    <n v="232788"/>
    <x v="7"/>
    <m/>
    <m/>
    <m/>
    <m/>
    <n v="18368"/>
    <n v="18242"/>
    <n v="5334"/>
    <n v="5776"/>
    <n v="21535"/>
    <n v="19667"/>
    <n v="45237"/>
    <n v="1507.9"/>
    <n v="43685"/>
    <n v="1456.1666666666667"/>
    <n v="24553"/>
    <n v="24556"/>
    <n v="45237"/>
    <n v="43685"/>
    <m/>
    <m/>
    <m/>
    <m/>
    <m/>
    <m/>
    <m/>
    <m/>
    <n v="0"/>
    <n v="0"/>
    <n v="0"/>
    <n v="0"/>
    <m/>
    <m/>
    <n v="0"/>
    <n v="0"/>
    <m/>
    <m/>
    <m/>
    <m/>
    <m/>
    <m/>
    <m/>
    <m/>
    <n v="0"/>
    <n v="0"/>
    <n v="0"/>
    <n v="0"/>
    <n v="1507.9"/>
    <n v="1456.1666666666667"/>
  </r>
  <r>
    <x v="14"/>
    <s v="Patrick &amp; Henry Community College"/>
    <s v="Was  Patrick Henry Community College"/>
    <n v="233019"/>
    <x v="7"/>
    <m/>
    <m/>
    <m/>
    <m/>
    <n v="19699"/>
    <n v="18130"/>
    <n v="4288"/>
    <n v="3750"/>
    <n v="22098"/>
    <n v="20657"/>
    <n v="46085"/>
    <n v="1536.1666666666667"/>
    <n v="42537"/>
    <n v="1417.9"/>
    <n v="22866"/>
    <n v="20128"/>
    <n v="46085"/>
    <n v="42537"/>
    <m/>
    <m/>
    <m/>
    <m/>
    <m/>
    <m/>
    <m/>
    <m/>
    <n v="0"/>
    <n v="0"/>
    <n v="0"/>
    <n v="0"/>
    <m/>
    <m/>
    <n v="0"/>
    <n v="0"/>
    <m/>
    <m/>
    <m/>
    <m/>
    <m/>
    <m/>
    <m/>
    <m/>
    <n v="0"/>
    <n v="0"/>
    <n v="0"/>
    <n v="0"/>
    <n v="1536.1666666666667"/>
    <n v="1417.9"/>
  </r>
  <r>
    <x v="14"/>
    <s v="Paul D. Camp Community College"/>
    <m/>
    <n v="233037"/>
    <x v="7"/>
    <m/>
    <m/>
    <m/>
    <m/>
    <n v="10120"/>
    <n v="9521"/>
    <n v="2808"/>
    <n v="2700"/>
    <n v="10008"/>
    <n v="9826"/>
    <n v="22936"/>
    <n v="764.5333333333333"/>
    <n v="22047"/>
    <n v="734.9"/>
    <n v="16213"/>
    <n v="15918"/>
    <n v="22936"/>
    <n v="22047"/>
    <m/>
    <m/>
    <m/>
    <m/>
    <m/>
    <m/>
    <m/>
    <m/>
    <n v="0"/>
    <n v="0"/>
    <n v="0"/>
    <n v="0"/>
    <m/>
    <m/>
    <n v="0"/>
    <n v="0"/>
    <m/>
    <m/>
    <m/>
    <m/>
    <m/>
    <m/>
    <m/>
    <m/>
    <n v="0"/>
    <n v="0"/>
    <n v="0"/>
    <n v="0"/>
    <n v="764.5333333333333"/>
    <n v="734.9"/>
  </r>
  <r>
    <x v="14"/>
    <s v="Rappahannock Community College"/>
    <m/>
    <n v="233310"/>
    <x v="7"/>
    <m/>
    <m/>
    <m/>
    <m/>
    <n v="20326"/>
    <n v="17985"/>
    <n v="5351"/>
    <n v="5601"/>
    <n v="22233"/>
    <n v="21610"/>
    <n v="47910"/>
    <n v="1597"/>
    <n v="45196"/>
    <n v="1506.5333333333333"/>
    <n v="39608"/>
    <n v="39114"/>
    <n v="47910"/>
    <n v="45196"/>
    <m/>
    <m/>
    <m/>
    <m/>
    <m/>
    <m/>
    <m/>
    <m/>
    <n v="0"/>
    <n v="0"/>
    <n v="0"/>
    <n v="0"/>
    <m/>
    <m/>
    <n v="0"/>
    <n v="0"/>
    <m/>
    <m/>
    <m/>
    <m/>
    <m/>
    <m/>
    <m/>
    <m/>
    <n v="0"/>
    <n v="0"/>
    <n v="0"/>
    <n v="0"/>
    <n v="1597"/>
    <n v="1506.5333333333333"/>
  </r>
  <r>
    <x v="14"/>
    <s v="Richard Bland College "/>
    <m/>
    <n v="233338"/>
    <x v="7"/>
    <m/>
    <m/>
    <m/>
    <m/>
    <n v="16391"/>
    <n v="13244"/>
    <n v="1221"/>
    <n v="1215"/>
    <n v="19236"/>
    <n v="18087"/>
    <n v="36848"/>
    <n v="1228.2666666666667"/>
    <n v="32546"/>
    <n v="1084.8666666666666"/>
    <n v="25605"/>
    <n v="25516"/>
    <n v="36848"/>
    <n v="32546"/>
    <m/>
    <m/>
    <m/>
    <m/>
    <m/>
    <m/>
    <m/>
    <m/>
    <n v="0"/>
    <n v="0"/>
    <n v="0"/>
    <n v="0"/>
    <m/>
    <m/>
    <n v="0"/>
    <n v="0"/>
    <m/>
    <m/>
    <m/>
    <m/>
    <m/>
    <m/>
    <m/>
    <m/>
    <n v="0"/>
    <n v="0"/>
    <n v="0"/>
    <n v="0"/>
    <n v="1228.2666666666667"/>
    <n v="1084.8666666666666"/>
  </r>
  <r>
    <x v="14"/>
    <s v="Southwest Virginia Community College "/>
    <m/>
    <n v="233648"/>
    <x v="7"/>
    <m/>
    <m/>
    <m/>
    <m/>
    <n v="20190"/>
    <n v="20560"/>
    <n v="6103"/>
    <n v="6221"/>
    <n v="22421"/>
    <n v="21465"/>
    <n v="48714"/>
    <n v="1623.8"/>
    <n v="48246"/>
    <n v="1608.2"/>
    <n v="17697"/>
    <n v="15734"/>
    <n v="48714"/>
    <n v="48246"/>
    <m/>
    <m/>
    <m/>
    <m/>
    <m/>
    <m/>
    <m/>
    <m/>
    <n v="0"/>
    <n v="0"/>
    <n v="0"/>
    <n v="0"/>
    <m/>
    <m/>
    <n v="0"/>
    <n v="0"/>
    <m/>
    <m/>
    <m/>
    <m/>
    <m/>
    <m/>
    <m/>
    <m/>
    <n v="0"/>
    <n v="0"/>
    <n v="0"/>
    <n v="0"/>
    <n v="1623.8"/>
    <n v="1608.2"/>
  </r>
  <r>
    <x v="14"/>
    <s v="Virginia Highlands Community College "/>
    <m/>
    <n v="233903"/>
    <x v="7"/>
    <m/>
    <m/>
    <m/>
    <m/>
    <n v="18506"/>
    <n v="17616"/>
    <n v="3777"/>
    <n v="4328"/>
    <n v="19702"/>
    <n v="22831"/>
    <n v="41985"/>
    <n v="1399.5"/>
    <n v="44775"/>
    <n v="1492.5"/>
    <n v="18509"/>
    <n v="19249"/>
    <n v="41985"/>
    <n v="44775"/>
    <m/>
    <m/>
    <m/>
    <m/>
    <m/>
    <m/>
    <m/>
    <m/>
    <n v="0"/>
    <n v="0"/>
    <n v="0"/>
    <n v="0"/>
    <m/>
    <m/>
    <n v="0"/>
    <n v="0"/>
    <m/>
    <m/>
    <m/>
    <m/>
    <m/>
    <m/>
    <m/>
    <m/>
    <n v="0"/>
    <n v="0"/>
    <n v="0"/>
    <n v="0"/>
    <n v="1399.5"/>
    <n v="1492.5"/>
  </r>
  <r>
    <x v="14"/>
    <s v="Wytheville Community College "/>
    <m/>
    <n v="234377"/>
    <x v="7"/>
    <m/>
    <m/>
    <m/>
    <m/>
    <n v="19675"/>
    <n v="18006.5"/>
    <n v="4281"/>
    <n v="5002"/>
    <n v="20131"/>
    <n v="18543"/>
    <n v="44087"/>
    <n v="1469.5666666666666"/>
    <n v="41551.5"/>
    <n v="1385.05"/>
    <n v="25010"/>
    <n v="22970"/>
    <n v="44087"/>
    <n v="41551.5"/>
    <m/>
    <m/>
    <m/>
    <m/>
    <m/>
    <m/>
    <m/>
    <m/>
    <n v="0"/>
    <n v="0"/>
    <n v="0"/>
    <n v="0"/>
    <m/>
    <m/>
    <n v="0"/>
    <n v="0"/>
    <m/>
    <m/>
    <m/>
    <m/>
    <m/>
    <m/>
    <m/>
    <m/>
    <n v="0"/>
    <n v="0"/>
    <n v="0"/>
    <n v="0"/>
    <n v="1469.5666666666666"/>
    <n v="1385.05"/>
  </r>
  <r>
    <x v="14"/>
    <s v="All Community Colleges except R. Bland"/>
    <m/>
    <s v="All CC - Bland"/>
    <x v="14"/>
    <m/>
    <m/>
    <m/>
    <m/>
    <n v="1187696"/>
    <n v="1117060.5"/>
    <n v="353284"/>
    <n v="399344"/>
    <n v="1272996"/>
    <n v="1195923"/>
    <n v="2813976"/>
    <n v="93799.2"/>
    <n v="2712327.5"/>
    <n v="90410.916666666672"/>
    <n v="918047"/>
    <n v="918214"/>
    <n v="2813976"/>
    <n v="2712327.5"/>
    <m/>
    <m/>
    <m/>
    <m/>
    <m/>
    <m/>
    <m/>
    <m/>
    <n v="0"/>
    <n v="0"/>
    <n v="0"/>
    <n v="0"/>
    <m/>
    <m/>
    <n v="0"/>
    <n v="0"/>
    <m/>
    <m/>
    <m/>
    <m/>
    <m/>
    <m/>
    <m/>
    <m/>
    <n v="0"/>
    <n v="0"/>
    <n v="0"/>
    <n v="0"/>
    <n v="93799.2"/>
    <n v="90410.916666666672"/>
  </r>
  <r>
    <x v="14"/>
    <m/>
    <m/>
    <m/>
    <x v="15"/>
    <m/>
    <m/>
    <m/>
    <m/>
    <n v="724916"/>
    <n v="681558"/>
    <n v="239739"/>
    <n v="276723"/>
    <n v="767105"/>
    <n v="710873"/>
    <n v="1731760"/>
    <n v="57725.333333333336"/>
    <n v="1669154"/>
    <n v="55638.466666666667"/>
    <n v="381149"/>
    <n v="396258"/>
    <n v="1731760"/>
    <n v="1669154"/>
    <m/>
    <m/>
    <m/>
    <m/>
    <m/>
    <m/>
    <m/>
    <m/>
    <n v="0"/>
    <n v="0"/>
    <n v="0"/>
    <n v="0"/>
    <m/>
    <m/>
    <n v="0"/>
    <n v="0"/>
    <m/>
    <m/>
    <m/>
    <m/>
    <m/>
    <m/>
    <m/>
    <m/>
    <n v="0"/>
    <n v="0"/>
    <n v="0"/>
    <n v="0"/>
    <n v="57725.333333333336"/>
    <n v="55638.466666666667"/>
  </r>
  <r>
    <x v="14"/>
    <m/>
    <m/>
    <m/>
    <x v="16"/>
    <m/>
    <m/>
    <m/>
    <m/>
    <n v="300690"/>
    <n v="283425"/>
    <n v="73782"/>
    <n v="81142"/>
    <n v="330464"/>
    <n v="315312"/>
    <n v="704936"/>
    <n v="23497.866666666665"/>
    <n v="679879"/>
    <n v="22662.633333333335"/>
    <n v="330066"/>
    <n v="321855"/>
    <n v="704936"/>
    <n v="679879"/>
    <m/>
    <m/>
    <m/>
    <m/>
    <m/>
    <m/>
    <m/>
    <m/>
    <n v="0"/>
    <n v="0"/>
    <n v="0"/>
    <n v="0"/>
    <m/>
    <m/>
    <n v="0"/>
    <n v="0"/>
    <m/>
    <m/>
    <m/>
    <m/>
    <m/>
    <m/>
    <m/>
    <m/>
    <n v="0"/>
    <n v="0"/>
    <n v="0"/>
    <n v="0"/>
    <n v="23497.866666666665"/>
    <n v="22662.633333333335"/>
  </r>
  <r>
    <x v="14"/>
    <s v="Richard Bland College B"/>
    <m/>
    <s v="233338"/>
    <x v="17"/>
    <m/>
    <m/>
    <m/>
    <m/>
    <n v="16391"/>
    <n v="13244"/>
    <n v="1221"/>
    <n v="1215"/>
    <n v="19236"/>
    <n v="18087"/>
    <n v="36848"/>
    <n v="1228.2666666666667"/>
    <n v="32546"/>
    <n v="1084.8666666666666"/>
    <n v="25605"/>
    <n v="25516"/>
    <n v="36848"/>
    <n v="32546"/>
    <m/>
    <m/>
    <m/>
    <m/>
    <m/>
    <m/>
    <m/>
    <m/>
    <n v="0"/>
    <n v="0"/>
    <n v="0"/>
    <n v="0"/>
    <m/>
    <m/>
    <n v="0"/>
    <n v="0"/>
    <m/>
    <m/>
    <m/>
    <m/>
    <m/>
    <m/>
    <m/>
    <m/>
    <n v="0"/>
    <n v="0"/>
    <n v="0"/>
    <n v="0"/>
    <n v="1228.2666666666667"/>
    <n v="1084.8666666666666"/>
  </r>
  <r>
    <x v="14"/>
    <m/>
    <m/>
    <m/>
    <x v="17"/>
    <m/>
    <m/>
    <m/>
    <m/>
    <n v="162090"/>
    <n v="152077.5"/>
    <n v="39763"/>
    <n v="41479"/>
    <n v="175427"/>
    <n v="169738"/>
    <n v="377280"/>
    <n v="12576"/>
    <n v="363294.5"/>
    <n v="12109.816666666668"/>
    <n v="206832"/>
    <n v="200101"/>
    <n v="377280"/>
    <n v="363294.5"/>
    <m/>
    <m/>
    <m/>
    <m/>
    <m/>
    <m/>
    <m/>
    <m/>
    <n v="0"/>
    <n v="0"/>
    <n v="0"/>
    <n v="0"/>
    <m/>
    <m/>
    <n v="0"/>
    <n v="0"/>
    <m/>
    <m/>
    <m/>
    <m/>
    <m/>
    <m/>
    <m/>
    <m/>
    <n v="0"/>
    <n v="0"/>
    <n v="0"/>
    <n v="0"/>
    <n v="12576"/>
    <n v="12109.816666666668"/>
  </r>
  <r>
    <x v="15"/>
    <s v="West Virginia University"/>
    <m/>
    <n v="238032"/>
    <x v="0"/>
    <s v="sem"/>
    <s v="sem"/>
    <m/>
    <m/>
    <n v="271478"/>
    <n v="256934"/>
    <n v="37080"/>
    <n v="31748"/>
    <n v="287589"/>
    <n v="273263"/>
    <n v="596147"/>
    <n v="19871.566666666666"/>
    <n v="561945"/>
    <n v="18731.5"/>
    <n v="6214"/>
    <n v="5820"/>
    <n v="596147"/>
    <n v="561945"/>
    <m/>
    <m/>
    <m/>
    <m/>
    <m/>
    <m/>
    <m/>
    <m/>
    <n v="0"/>
    <n v="0"/>
    <n v="0"/>
    <n v="0"/>
    <m/>
    <m/>
    <n v="0"/>
    <n v="0"/>
    <m/>
    <m/>
    <n v="38737"/>
    <n v="39269"/>
    <n v="11941"/>
    <n v="12459"/>
    <n v="40479"/>
    <n v="40737"/>
    <n v="91157"/>
    <n v="3798.2083333333335"/>
    <n v="92465"/>
    <n v="3852.7083333333335"/>
    <n v="23669.774999999998"/>
    <n v="22584.208333333332"/>
  </r>
  <r>
    <x v="15"/>
    <s v="Marshall University "/>
    <m/>
    <n v="237525"/>
    <x v="2"/>
    <s v="sem"/>
    <s v="sem"/>
    <m/>
    <m/>
    <n v="108351"/>
    <n v="101682"/>
    <n v="11380"/>
    <n v="10564"/>
    <n v="116225"/>
    <n v="107138"/>
    <n v="235956"/>
    <n v="7865.2"/>
    <n v="219384"/>
    <n v="7312.8"/>
    <n v="12750"/>
    <n v="8077"/>
    <n v="235956"/>
    <n v="219384"/>
    <m/>
    <m/>
    <m/>
    <m/>
    <m/>
    <m/>
    <m/>
    <m/>
    <n v="0"/>
    <n v="0"/>
    <n v="0"/>
    <n v="0"/>
    <m/>
    <m/>
    <n v="0"/>
    <n v="0"/>
    <m/>
    <m/>
    <n v="26812"/>
    <n v="26074"/>
    <n v="11737"/>
    <n v="12620"/>
    <n v="25073"/>
    <n v="24214"/>
    <n v="63622"/>
    <n v="2650.9166666666665"/>
    <n v="62908"/>
    <n v="2621.1666666666665"/>
    <n v="10516.116666666667"/>
    <n v="9933.9666666666672"/>
  </r>
  <r>
    <x v="15"/>
    <s v="Concord University "/>
    <m/>
    <n v="237330"/>
    <x v="4"/>
    <s v="sem"/>
    <s v="sem"/>
    <m/>
    <m/>
    <n v="19692"/>
    <n v="18749"/>
    <n v="2052"/>
    <n v="2059"/>
    <n v="21668"/>
    <n v="20286"/>
    <n v="43412"/>
    <n v="1447.0666666666666"/>
    <n v="41094"/>
    <n v="1369.8"/>
    <n v="244"/>
    <n v="240"/>
    <n v="43412"/>
    <n v="41094"/>
    <m/>
    <m/>
    <m/>
    <m/>
    <m/>
    <m/>
    <m/>
    <m/>
    <n v="0"/>
    <n v="0"/>
    <n v="0"/>
    <n v="0"/>
    <m/>
    <m/>
    <n v="0"/>
    <n v="0"/>
    <m/>
    <m/>
    <n v="2183"/>
    <n v="2443"/>
    <n v="2181"/>
    <n v="2652"/>
    <n v="2203"/>
    <n v="2445"/>
    <n v="6567"/>
    <n v="273.625"/>
    <n v="7540"/>
    <n v="314.16666666666669"/>
    <n v="1720.6916666666666"/>
    <n v="1683.9666666666667"/>
  </r>
  <r>
    <x v="15"/>
    <s v="Fairmont State University"/>
    <s v="Met the Requirment for Four-Year 4 in 2021-22"/>
    <n v="237367"/>
    <x v="4"/>
    <s v="sem"/>
    <s v="sem"/>
    <m/>
    <m/>
    <n v="42507"/>
    <n v="40432"/>
    <n v="3997"/>
    <n v="3695"/>
    <n v="48023"/>
    <n v="42058"/>
    <n v="94527"/>
    <n v="3150.9"/>
    <n v="86185"/>
    <n v="2872.8333333333335"/>
    <n v="1632"/>
    <n v="2127"/>
    <n v="94527"/>
    <n v="86185"/>
    <m/>
    <m/>
    <m/>
    <m/>
    <m/>
    <m/>
    <m/>
    <m/>
    <n v="0"/>
    <n v="0"/>
    <n v="0"/>
    <n v="0"/>
    <m/>
    <m/>
    <n v="0"/>
    <n v="0"/>
    <m/>
    <m/>
    <n v="1568"/>
    <n v="1716"/>
    <n v="686"/>
    <n v="906"/>
    <n v="1894"/>
    <n v="2017"/>
    <n v="4148"/>
    <n v="172.83333333333334"/>
    <n v="4639"/>
    <n v="193.29166666666666"/>
    <n v="3323.7333333333336"/>
    <n v="3066.125"/>
  </r>
  <r>
    <x v="15"/>
    <s v="Shepherd University "/>
    <m/>
    <n v="237792"/>
    <x v="4"/>
    <s v="sem"/>
    <s v="sem"/>
    <m/>
    <m/>
    <n v="35331.5"/>
    <n v="32420.5"/>
    <n v="3458"/>
    <n v="3340"/>
    <n v="36641.5"/>
    <n v="32813"/>
    <n v="75431"/>
    <n v="2514.3666666666668"/>
    <n v="68573.5"/>
    <n v="2285.7833333333333"/>
    <n v="1998"/>
    <n v="1662"/>
    <n v="75431"/>
    <n v="68573.5"/>
    <m/>
    <m/>
    <m/>
    <m/>
    <m/>
    <m/>
    <m/>
    <m/>
    <n v="0"/>
    <n v="0"/>
    <n v="0"/>
    <n v="0"/>
    <m/>
    <m/>
    <n v="0"/>
    <n v="0"/>
    <m/>
    <m/>
    <n v="3316"/>
    <n v="5443"/>
    <n v="4609"/>
    <n v="6868"/>
    <n v="3403"/>
    <n v="4585"/>
    <n v="11328"/>
    <n v="472"/>
    <n v="16896"/>
    <n v="704"/>
    <n v="2986.3666666666668"/>
    <n v="2989.7833333333333"/>
  </r>
  <r>
    <x v="15"/>
    <s v="West Liberty University"/>
    <s v="Reclassifed: Met the criteria for Four-Year 4 in 2019-20 2020-21, and 2021-22"/>
    <n v="237932"/>
    <x v="3"/>
    <s v="sem"/>
    <s v="sem"/>
    <m/>
    <m/>
    <n v="27859"/>
    <n v="25776"/>
    <n v="1976"/>
    <n v="1594"/>
    <n v="30114"/>
    <n v="27263"/>
    <n v="59949"/>
    <n v="1998.3"/>
    <n v="54633"/>
    <n v="1821.1"/>
    <n v="1822"/>
    <n v="1659"/>
    <n v="59949"/>
    <n v="54633"/>
    <m/>
    <m/>
    <m/>
    <m/>
    <m/>
    <m/>
    <m/>
    <m/>
    <n v="0"/>
    <n v="0"/>
    <n v="0"/>
    <n v="0"/>
    <m/>
    <m/>
    <n v="0"/>
    <n v="0"/>
    <m/>
    <m/>
    <n v="2750"/>
    <n v="3285"/>
    <n v="1784"/>
    <n v="1794"/>
    <n v="2820"/>
    <n v="2950"/>
    <n v="7354"/>
    <n v="306.41666666666669"/>
    <n v="8029"/>
    <n v="334.54166666666669"/>
    <n v="2304.7166666666667"/>
    <n v="2155.6416666666664"/>
  </r>
  <r>
    <x v="15"/>
    <s v="Bluefield State University"/>
    <m/>
    <n v="237215"/>
    <x v="11"/>
    <s v="sem"/>
    <s v="sem"/>
    <m/>
    <m/>
    <n v="14666"/>
    <n v="13536"/>
    <n v="1250"/>
    <n v="863"/>
    <n v="15617"/>
    <n v="16441"/>
    <n v="31533"/>
    <n v="1051.0999999999999"/>
    <n v="30840"/>
    <n v="1028"/>
    <n v="643"/>
    <n v="820"/>
    <n v="31533"/>
    <n v="30840"/>
    <m/>
    <m/>
    <m/>
    <m/>
    <m/>
    <m/>
    <m/>
    <m/>
    <n v="0"/>
    <n v="0"/>
    <n v="0"/>
    <n v="0"/>
    <m/>
    <m/>
    <n v="0"/>
    <n v="0"/>
    <m/>
    <m/>
    <m/>
    <m/>
    <m/>
    <m/>
    <m/>
    <m/>
    <n v="0"/>
    <n v="0"/>
    <n v="0"/>
    <n v="0"/>
    <n v="1051.0999999999999"/>
    <n v="1028"/>
  </r>
  <r>
    <x v="15"/>
    <s v="Glenville State University "/>
    <m/>
    <n v="237385"/>
    <x v="11"/>
    <s v="sem"/>
    <s v="sem"/>
    <m/>
    <m/>
    <n v="16171"/>
    <n v="15726"/>
    <n v="1475"/>
    <n v="1920"/>
    <n v="19242"/>
    <n v="17909"/>
    <n v="36888"/>
    <n v="1229.5999999999999"/>
    <n v="35555"/>
    <n v="1185.1666666666667"/>
    <n v="4372"/>
    <n v="4283"/>
    <n v="36888"/>
    <n v="35555"/>
    <m/>
    <m/>
    <m/>
    <m/>
    <m/>
    <m/>
    <m/>
    <m/>
    <n v="0"/>
    <n v="0"/>
    <n v="0"/>
    <n v="0"/>
    <m/>
    <m/>
    <n v="0"/>
    <n v="0"/>
    <m/>
    <m/>
    <m/>
    <m/>
    <m/>
    <m/>
    <m/>
    <m/>
    <n v="0"/>
    <n v="0"/>
    <n v="0"/>
    <n v="0"/>
    <n v="1229.5999999999999"/>
    <n v="1185.1666666666667"/>
  </r>
  <r>
    <x v="15"/>
    <s v="West Virginia State University "/>
    <s v="Reclassifed: Met the criteria for Four-Year 4 in 2019-20 2020-21, and 2021-22"/>
    <n v="237899"/>
    <x v="3"/>
    <s v="sem"/>
    <s v="sem"/>
    <m/>
    <m/>
    <n v="30502"/>
    <n v="25787"/>
    <n v="1690"/>
    <n v="1239"/>
    <n v="32825"/>
    <n v="30110"/>
    <n v="65017"/>
    <n v="2167.2333333333331"/>
    <n v="57136"/>
    <n v="1904.5333333333333"/>
    <n v="16722"/>
    <n v="17678"/>
    <n v="65017"/>
    <n v="57136"/>
    <m/>
    <m/>
    <m/>
    <m/>
    <m/>
    <m/>
    <m/>
    <m/>
    <n v="0"/>
    <n v="0"/>
    <n v="0"/>
    <n v="0"/>
    <m/>
    <m/>
    <n v="0"/>
    <n v="0"/>
    <m/>
    <m/>
    <n v="888"/>
    <n v="1159"/>
    <n v="483"/>
    <n v="704"/>
    <n v="1004"/>
    <n v="1157"/>
    <n v="2375"/>
    <n v="98.958333333333329"/>
    <n v="3020"/>
    <n v="125.83333333333333"/>
    <n v="2266.1916666666666"/>
    <n v="2030.3666666666666"/>
  </r>
  <r>
    <x v="15"/>
    <s v="West Virginia University Institute of Technology"/>
    <m/>
    <n v="237950"/>
    <x v="11"/>
    <s v="sem"/>
    <s v="sem"/>
    <m/>
    <m/>
    <n v="18971"/>
    <n v="17341"/>
    <n v="1199"/>
    <n v="1103"/>
    <n v="19292"/>
    <n v="18736"/>
    <n v="39462"/>
    <n v="1315.4"/>
    <n v="37180"/>
    <n v="1239.3333333333333"/>
    <n v="4003"/>
    <n v="4015"/>
    <n v="39462"/>
    <n v="37180"/>
    <m/>
    <m/>
    <m/>
    <m/>
    <m/>
    <m/>
    <m/>
    <m/>
    <n v="0"/>
    <n v="0"/>
    <n v="0"/>
    <n v="0"/>
    <m/>
    <m/>
    <n v="0"/>
    <n v="0"/>
    <m/>
    <m/>
    <m/>
    <m/>
    <m/>
    <m/>
    <m/>
    <m/>
    <n v="0"/>
    <n v="0"/>
    <n v="0"/>
    <n v="0"/>
    <n v="1315.4"/>
    <n v="1239.3333333333333"/>
  </r>
  <r>
    <x v="15"/>
    <s v="Potomac State College of West Virginia University"/>
    <m/>
    <n v="237701"/>
    <x v="12"/>
    <s v="sem"/>
    <s v="sem"/>
    <m/>
    <m/>
    <n v="14896"/>
    <n v="14241"/>
    <n v="1311"/>
    <n v="1256"/>
    <n v="15481"/>
    <n v="15048"/>
    <n v="31688"/>
    <n v="1056.2666666666667"/>
    <n v="30545"/>
    <n v="1018.1666666666666"/>
    <n v="2252"/>
    <n v="1938"/>
    <n v="31688"/>
    <n v="30545"/>
    <m/>
    <m/>
    <m/>
    <m/>
    <m/>
    <m/>
    <m/>
    <m/>
    <n v="0"/>
    <n v="0"/>
    <n v="0"/>
    <n v="0"/>
    <m/>
    <m/>
    <n v="0"/>
    <n v="0"/>
    <m/>
    <m/>
    <m/>
    <m/>
    <m/>
    <m/>
    <m/>
    <m/>
    <n v="0"/>
    <n v="0"/>
    <n v="0"/>
    <n v="0"/>
    <n v="1056.2666666666667"/>
    <n v="1018.1666666666666"/>
  </r>
  <r>
    <x v="15"/>
    <s v="West Virginia University at Parkersburg"/>
    <m/>
    <n v="237686"/>
    <x v="12"/>
    <s v="sem"/>
    <s v="sem"/>
    <m/>
    <m/>
    <n v="24231"/>
    <n v="22328"/>
    <n v="4213"/>
    <n v="3385"/>
    <n v="25609"/>
    <n v="23091"/>
    <n v="54053"/>
    <n v="1801.7666666666667"/>
    <n v="48804"/>
    <n v="1626.8"/>
    <n v="9737"/>
    <n v="8874"/>
    <n v="54053"/>
    <n v="48804"/>
    <m/>
    <m/>
    <m/>
    <m/>
    <m/>
    <m/>
    <m/>
    <m/>
    <n v="0"/>
    <n v="0"/>
    <n v="0"/>
    <n v="0"/>
    <m/>
    <m/>
    <n v="0"/>
    <n v="0"/>
    <m/>
    <m/>
    <m/>
    <m/>
    <m/>
    <m/>
    <m/>
    <m/>
    <n v="0"/>
    <n v="0"/>
    <n v="0"/>
    <n v="0"/>
    <n v="1801.7666666666667"/>
    <n v="1626.8"/>
  </r>
  <r>
    <x v="15"/>
    <s v="Blue Ridge Community &amp; Technical College"/>
    <s v="Met the criteria for Two-Year 3 in 2020-21, and 2021-22"/>
    <n v="446774"/>
    <x v="6"/>
    <s v="sem"/>
    <s v="sem"/>
    <m/>
    <m/>
    <n v="27181.1"/>
    <n v="18121"/>
    <n v="3226"/>
    <n v="2972"/>
    <n v="20445.3"/>
    <n v="18717"/>
    <n v="50852.399999999994"/>
    <n v="1695.0799999999997"/>
    <n v="39810"/>
    <n v="1327"/>
    <n v="7811.1"/>
    <n v="7077"/>
    <n v="50852.399999999994"/>
    <n v="39810"/>
    <m/>
    <m/>
    <m/>
    <m/>
    <m/>
    <m/>
    <m/>
    <m/>
    <n v="0"/>
    <n v="0"/>
    <n v="0"/>
    <n v="0"/>
    <m/>
    <m/>
    <n v="0"/>
    <n v="0"/>
    <m/>
    <m/>
    <m/>
    <m/>
    <m/>
    <m/>
    <m/>
    <m/>
    <n v="0"/>
    <n v="0"/>
    <n v="0"/>
    <n v="0"/>
    <n v="1695.0799999999997"/>
    <n v="1327"/>
  </r>
  <r>
    <x v="15"/>
    <s v="BridgeValley Community &amp; Technical College"/>
    <m/>
    <n v="484932"/>
    <x v="7"/>
    <s v="sem"/>
    <s v="sem"/>
    <m/>
    <m/>
    <n v="16917"/>
    <n v="16331"/>
    <n v="1199"/>
    <n v="1388"/>
    <n v="18667"/>
    <n v="17422"/>
    <n v="36783"/>
    <n v="1226.0999999999999"/>
    <n v="35141"/>
    <n v="1171.3666666666666"/>
    <n v="39"/>
    <n v="92"/>
    <n v="36783"/>
    <n v="35141"/>
    <m/>
    <m/>
    <m/>
    <m/>
    <m/>
    <m/>
    <m/>
    <m/>
    <n v="0"/>
    <n v="0"/>
    <n v="0"/>
    <n v="0"/>
    <m/>
    <m/>
    <n v="0"/>
    <n v="0"/>
    <m/>
    <m/>
    <m/>
    <m/>
    <m/>
    <m/>
    <m/>
    <m/>
    <n v="0"/>
    <n v="0"/>
    <n v="0"/>
    <n v="0"/>
    <n v="1226.0999999999999"/>
    <n v="1171.3666666666666"/>
  </r>
  <r>
    <x v="15"/>
    <s v="Eastern West Virginia Community &amp; Technical College"/>
    <m/>
    <n v="438708"/>
    <x v="7"/>
    <s v="sem"/>
    <s v="sem"/>
    <m/>
    <m/>
    <n v="3204"/>
    <n v="2637"/>
    <n v="380"/>
    <n v="261"/>
    <n v="3012"/>
    <n v="2852"/>
    <n v="6596"/>
    <n v="219.86666666666667"/>
    <n v="5750"/>
    <n v="191.66666666666666"/>
    <n v="1586"/>
    <n v="1364"/>
    <n v="6596"/>
    <n v="5750"/>
    <m/>
    <m/>
    <m/>
    <m/>
    <m/>
    <m/>
    <m/>
    <m/>
    <n v="0"/>
    <n v="0"/>
    <n v="0"/>
    <n v="0"/>
    <m/>
    <m/>
    <n v="0"/>
    <n v="0"/>
    <m/>
    <m/>
    <m/>
    <m/>
    <m/>
    <m/>
    <m/>
    <m/>
    <n v="0"/>
    <n v="0"/>
    <n v="0"/>
    <n v="0"/>
    <n v="219.86666666666667"/>
    <n v="191.66666666666666"/>
  </r>
  <r>
    <x v="15"/>
    <s v="Mountwest Community &amp; Technical College"/>
    <m/>
    <n v="444954"/>
    <x v="7"/>
    <s v="sem"/>
    <s v="sem"/>
    <m/>
    <m/>
    <n v="16851"/>
    <n v="12476"/>
    <n v="2201"/>
    <n v="1839"/>
    <n v="14657"/>
    <n v="13405"/>
    <n v="33709"/>
    <n v="1123.6333333333334"/>
    <n v="27720"/>
    <n v="924"/>
    <n v="2330"/>
    <n v="1129"/>
    <n v="33709"/>
    <n v="27720"/>
    <m/>
    <m/>
    <m/>
    <m/>
    <m/>
    <m/>
    <m/>
    <m/>
    <n v="0"/>
    <n v="0"/>
    <n v="0"/>
    <n v="0"/>
    <m/>
    <m/>
    <n v="0"/>
    <n v="0"/>
    <m/>
    <m/>
    <m/>
    <m/>
    <m/>
    <m/>
    <m/>
    <m/>
    <n v="0"/>
    <n v="0"/>
    <n v="0"/>
    <n v="0"/>
    <n v="1123.6333333333334"/>
    <n v="924"/>
  </r>
  <r>
    <x v="15"/>
    <s v="New River Community &amp; Technical College"/>
    <m/>
    <n v="447582"/>
    <x v="7"/>
    <s v="sem"/>
    <s v="sem"/>
    <m/>
    <m/>
    <n v="11625"/>
    <n v="10186"/>
    <n v="2523"/>
    <n v="2170"/>
    <n v="11263"/>
    <n v="11253"/>
    <n v="25411"/>
    <n v="847.0333333333333"/>
    <n v="23609"/>
    <n v="786.9666666666667"/>
    <n v="2141"/>
    <n v="2111"/>
    <n v="25411"/>
    <n v="23609"/>
    <m/>
    <m/>
    <m/>
    <m/>
    <m/>
    <m/>
    <m/>
    <m/>
    <n v="0"/>
    <n v="0"/>
    <n v="0"/>
    <n v="0"/>
    <m/>
    <m/>
    <n v="0"/>
    <n v="0"/>
    <m/>
    <m/>
    <m/>
    <m/>
    <m/>
    <m/>
    <m/>
    <m/>
    <n v="0"/>
    <n v="0"/>
    <n v="0"/>
    <n v="0"/>
    <n v="847.0333333333333"/>
    <n v="786.9666666666667"/>
  </r>
  <r>
    <x v="15"/>
    <s v="Pierpont Community &amp; Technical College"/>
    <m/>
    <n v="443492"/>
    <x v="7"/>
    <s v="sem"/>
    <s v="sem"/>
    <m/>
    <m/>
    <n v="16020"/>
    <n v="14418"/>
    <n v="1583"/>
    <n v="1718"/>
    <n v="17976"/>
    <n v="16266"/>
    <n v="35579"/>
    <n v="1185.9666666666667"/>
    <n v="32402"/>
    <n v="1080.0666666666666"/>
    <n v="4116"/>
    <n v="4184"/>
    <n v="35579"/>
    <n v="32402"/>
    <m/>
    <m/>
    <m/>
    <m/>
    <m/>
    <m/>
    <m/>
    <m/>
    <n v="0"/>
    <n v="0"/>
    <n v="0"/>
    <n v="0"/>
    <m/>
    <m/>
    <n v="0"/>
    <n v="0"/>
    <m/>
    <m/>
    <m/>
    <m/>
    <m/>
    <m/>
    <m/>
    <m/>
    <n v="0"/>
    <n v="0"/>
    <n v="0"/>
    <n v="0"/>
    <n v="1185.9666666666667"/>
    <n v="1080.0666666666666"/>
  </r>
  <r>
    <x v="15"/>
    <s v="Southern West Virginia Community &amp; Technical College "/>
    <m/>
    <n v="237817"/>
    <x v="7"/>
    <s v="sem"/>
    <s v="sem"/>
    <m/>
    <m/>
    <n v="14980"/>
    <n v="14219"/>
    <n v="801"/>
    <n v="634"/>
    <n v="17626"/>
    <n v="16173"/>
    <n v="33407"/>
    <n v="1113.5666666666666"/>
    <n v="31026"/>
    <n v="1034.2"/>
    <n v="1419"/>
    <n v="2015"/>
    <n v="33407"/>
    <n v="31026"/>
    <m/>
    <m/>
    <m/>
    <m/>
    <m/>
    <m/>
    <m/>
    <m/>
    <n v="0"/>
    <n v="0"/>
    <n v="0"/>
    <n v="0"/>
    <m/>
    <m/>
    <n v="0"/>
    <n v="0"/>
    <m/>
    <m/>
    <m/>
    <m/>
    <m/>
    <m/>
    <m/>
    <m/>
    <n v="0"/>
    <n v="0"/>
    <n v="0"/>
    <n v="0"/>
    <n v="1113.5666666666666"/>
    <n v="1034.2"/>
  </r>
  <r>
    <x v="15"/>
    <s v="West Virginia Northern Community College"/>
    <m/>
    <n v="238014"/>
    <x v="7"/>
    <s v="sem"/>
    <s v="sem"/>
    <m/>
    <m/>
    <n v="12589"/>
    <n v="11345"/>
    <n v="2349"/>
    <n v="2295"/>
    <n v="12927"/>
    <n v="11360"/>
    <n v="27865"/>
    <n v="928.83333333333337"/>
    <n v="25000"/>
    <n v="833.33333333333337"/>
    <n v="3684"/>
    <n v="3202"/>
    <n v="27865"/>
    <n v="25000"/>
    <m/>
    <m/>
    <m/>
    <m/>
    <m/>
    <m/>
    <m/>
    <m/>
    <n v="0"/>
    <n v="0"/>
    <n v="0"/>
    <n v="0"/>
    <m/>
    <m/>
    <n v="0"/>
    <n v="0"/>
    <m/>
    <m/>
    <m/>
    <m/>
    <m/>
    <m/>
    <m/>
    <m/>
    <n v="0"/>
    <n v="0"/>
    <n v="0"/>
    <n v="0"/>
    <n v="928.83333333333337"/>
    <n v="833.3333333333333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828EFEA-C3D5-4164-B025-8D73DBF6F6CF}" name="PivotTable3" cacheId="902" dataOnRows="1" applyNumberFormats="0" applyBorderFormats="0" applyFontFormats="0" applyPatternFormats="0" applyAlignmentFormats="0" applyWidthHeightFormats="1" dataCaption="Data" updatedVersion="8" minRefreshableVersion="3" asteriskTotals="1" showMemberPropertyTips="0" useAutoFormatting="1" colGrandTotals="0" itemPrintTitles="1" createdVersion="3" indent="0" compact="0" compactData="0" gridDropZones="1">
  <location ref="A3:AC124" firstHeaderRow="1" firstDataRow="3" firstDataCol="2"/>
  <pivotFields count="47">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21">
        <item x="0"/>
        <item x="1"/>
        <item x="2"/>
        <item x="3"/>
        <item x="4"/>
        <item x="11"/>
        <item x="12"/>
        <item x="5"/>
        <item x="6"/>
        <item x="7"/>
        <item x="14"/>
        <item x="8"/>
        <item x="9"/>
        <item m="1" x="18"/>
        <item x="10"/>
        <item m="1" x="19"/>
        <item x="15"/>
        <item x="16"/>
        <item x="17"/>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11">
        <item n="Four-Year" x="2"/>
        <item n="Two-Year" x="3"/>
        <item x="1"/>
        <item n="Technical" x="4"/>
        <item x="0"/>
        <item x="5"/>
        <item x="6"/>
        <item x="7"/>
        <item x="8"/>
        <item x="9"/>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43"/>
    <field x="4"/>
  </colFields>
  <colItems count="27">
    <i>
      <x/>
      <x/>
    </i>
    <i r="1">
      <x v="1"/>
    </i>
    <i r="1">
      <x v="2"/>
    </i>
    <i r="1">
      <x v="3"/>
    </i>
    <i r="1">
      <x v="4"/>
    </i>
    <i r="1">
      <x v="5"/>
    </i>
    <i t="default">
      <x/>
    </i>
    <i>
      <x v="1"/>
      <x v="6"/>
    </i>
    <i r="1">
      <x v="7"/>
    </i>
    <i r="1">
      <x v="8"/>
    </i>
    <i r="1">
      <x v="9"/>
    </i>
    <i t="default">
      <x v="1"/>
    </i>
    <i>
      <x v="2"/>
      <x v="10"/>
    </i>
    <i t="default">
      <x v="2"/>
    </i>
    <i>
      <x v="3"/>
      <x v="11"/>
    </i>
    <i r="1">
      <x v="12"/>
    </i>
    <i t="default">
      <x v="3"/>
    </i>
    <i>
      <x v="4"/>
      <x v="14"/>
    </i>
    <i t="default">
      <x v="4"/>
    </i>
    <i>
      <x v="6"/>
      <x v="16"/>
    </i>
    <i t="default">
      <x v="6"/>
    </i>
    <i>
      <x v="7"/>
      <x v="17"/>
    </i>
    <i t="default">
      <x v="7"/>
    </i>
    <i>
      <x v="8"/>
      <x v="18"/>
    </i>
    <i t="default">
      <x v="8"/>
    </i>
    <i>
      <x v="9"/>
      <x v="19"/>
    </i>
    <i t="default">
      <x v="9"/>
    </i>
  </colItems>
  <dataFields count="7">
    <dataField name="Sum of Old-Total UGH" fld="44" baseField="0" baseItem="0" numFmtId="3"/>
    <dataField name="Sum of Old-Total HSH" fld="45" baseField="0" baseItem="0" numFmtId="3"/>
    <dataField name="Sum of Old-HS % of Total" fld="42" baseField="0" baseItem="0" numFmtId="3"/>
    <dataField name="Sum of New-Total UGH" fld="40" baseField="0" baseItem="0" numFmtId="3"/>
    <dataField name="Sum of New-Total HSH" fld="39" baseField="0" baseItem="0" numFmtId="3"/>
    <dataField name="Sum of New-HS % of Total" fld="41" baseField="0" baseItem="0" numFmtId="3"/>
    <dataField name=" HS Percentage-point Change" fld="46" baseField="0" baseItem="0" numFmtId="3"/>
  </dataFields>
  <formats count="259">
    <format dxfId="667">
      <pivotArea dataOnly="0" labelOnly="1" outline="0" fieldPosition="0">
        <references count="1">
          <reference field="0" count="1">
            <x v="4"/>
          </reference>
        </references>
      </pivotArea>
    </format>
    <format dxfId="666">
      <pivotArea type="all" dataOnly="0" outline="0" fieldPosition="0"/>
    </format>
    <format dxfId="665">
      <pivotArea dataOnly="0" labelOnly="1" outline="0" fieldPosition="0">
        <references count="2">
          <reference field="4294967294" count="1">
            <x v="0"/>
          </reference>
          <reference field="0" count="1" selected="0">
            <x v="4"/>
          </reference>
        </references>
      </pivotArea>
    </format>
    <format dxfId="664">
      <pivotArea dataOnly="0" labelOnly="1" outline="0" fieldPosition="0">
        <references count="2">
          <reference field="4294967294" count="1">
            <x v="2"/>
          </reference>
          <reference field="0" count="1" selected="0">
            <x v="4"/>
          </reference>
        </references>
      </pivotArea>
    </format>
    <format dxfId="663">
      <pivotArea dataOnly="0" labelOnly="1" outline="0" fieldPosition="0">
        <references count="2">
          <reference field="4294967294" count="1">
            <x v="5"/>
          </reference>
          <reference field="0" count="1" selected="0">
            <x v="4"/>
          </reference>
        </references>
      </pivotArea>
    </format>
    <format dxfId="662">
      <pivotArea field="0" grandRow="1" outline="0" collapsedLevelsAreSubtotals="1" axis="axisRow" fieldPosition="0">
        <references count="1">
          <reference field="4294967294" count="1" selected="0">
            <x v="2"/>
          </reference>
        </references>
      </pivotArea>
    </format>
    <format dxfId="661">
      <pivotArea field="0" grandRow="1" outline="0" collapsedLevelsAreSubtotals="1" axis="axisRow" fieldPosition="0">
        <references count="1">
          <reference field="4294967294" count="1" selected="0">
            <x v="2"/>
          </reference>
        </references>
      </pivotArea>
    </format>
    <format dxfId="660">
      <pivotArea field="43" grandRow="1" outline="0" collapsedLevelsAreSubtotals="1" axis="axisCol" fieldPosition="0">
        <references count="3">
          <reference field="4294967294" count="1" selected="0">
            <x v="5"/>
          </reference>
          <reference field="4" count="1" selected="0">
            <x v="3"/>
          </reference>
          <reference field="43" count="1" selected="0">
            <x v="0"/>
          </reference>
        </references>
      </pivotArea>
    </format>
    <format dxfId="659">
      <pivotArea outline="0" collapsedLevelsAreSubtotals="1" fieldPosition="0">
        <references count="4">
          <reference field="4294967294" count="1" selected="0">
            <x v="2"/>
          </reference>
          <reference field="0" count="1" selected="0">
            <x v="4"/>
          </reference>
          <reference field="4" count="1" selected="0">
            <x v="3"/>
          </reference>
          <reference field="43" count="1" selected="0">
            <x v="0"/>
          </reference>
        </references>
      </pivotArea>
    </format>
    <format dxfId="658">
      <pivotArea field="0" dataOnly="0" labelOnly="1" grandRow="1" outline="0" axis="axisRow" fieldPosition="0">
        <references count="1">
          <reference field="4294967294" count="1" selected="0">
            <x v="0"/>
          </reference>
        </references>
      </pivotArea>
    </format>
    <format dxfId="657">
      <pivotArea field="0" dataOnly="0" labelOnly="1" grandRow="1" outline="0" axis="axisRow" fieldPosition="0">
        <references count="1">
          <reference field="4294967294" count="1" selected="0">
            <x v="1"/>
          </reference>
        </references>
      </pivotArea>
    </format>
    <format dxfId="656">
      <pivotArea field="0" dataOnly="0" labelOnly="1" grandRow="1" outline="0" axis="axisRow" fieldPosition="0">
        <references count="1">
          <reference field="4294967294" count="1" selected="0">
            <x v="2"/>
          </reference>
        </references>
      </pivotArea>
    </format>
    <format dxfId="655">
      <pivotArea field="0" dataOnly="0" labelOnly="1" grandRow="1" outline="0" axis="axisRow" fieldPosition="0">
        <references count="1">
          <reference field="4294967294" count="1" selected="0">
            <x v="3"/>
          </reference>
        </references>
      </pivotArea>
    </format>
    <format dxfId="654">
      <pivotArea field="0" dataOnly="0" labelOnly="1" grandRow="1" outline="0" axis="axisRow" fieldPosition="0">
        <references count="1">
          <reference field="4294967294" count="1" selected="0">
            <x v="4"/>
          </reference>
        </references>
      </pivotArea>
    </format>
    <format dxfId="653">
      <pivotArea field="0" dataOnly="0" labelOnly="1" grandRow="1" outline="0" axis="axisRow" fieldPosition="0">
        <references count="1">
          <reference field="4294967294" count="1" selected="0">
            <x v="5"/>
          </reference>
        </references>
      </pivotArea>
    </format>
    <format dxfId="652">
      <pivotArea field="0" dataOnly="0" labelOnly="1" grandRow="1" outline="0" axis="axisRow" fieldPosition="0">
        <references count="1">
          <reference field="4294967294" count="1" selected="0">
            <x v="6"/>
          </reference>
        </references>
      </pivotArea>
    </format>
    <format dxfId="651">
      <pivotArea field="43" grandRow="1" outline="0" collapsedLevelsAreSubtotals="1" axis="axisCol" fieldPosition="0">
        <references count="3">
          <reference field="4294967294" count="1" selected="0">
            <x v="6"/>
          </reference>
          <reference field="4" count="1" selected="0">
            <x v="0"/>
          </reference>
          <reference field="43" count="1" selected="0">
            <x v="0"/>
          </reference>
        </references>
      </pivotArea>
    </format>
    <format dxfId="650">
      <pivotArea field="43" grandRow="1" outline="0" collapsedLevelsAreSubtotals="1" axis="axisCol" fieldPosition="0">
        <references count="3">
          <reference field="4294967294" count="1" selected="0">
            <x v="6"/>
          </reference>
          <reference field="4" count="5" selected="0">
            <x v="1"/>
            <x v="2"/>
            <x v="3"/>
            <x v="4"/>
            <x v="5"/>
          </reference>
          <reference field="43" count="1" selected="0">
            <x v="0"/>
          </reference>
        </references>
      </pivotArea>
    </format>
    <format dxfId="649">
      <pivotArea field="43" grandRow="1" outline="0" collapsedLevelsAreSubtotals="1" axis="axisCol" fieldPosition="0">
        <references count="2">
          <reference field="4294967294" count="1" selected="0">
            <x v="6"/>
          </reference>
          <reference field="43" count="1" selected="0" defaultSubtotal="1">
            <x v="0"/>
          </reference>
        </references>
      </pivotArea>
    </format>
    <format dxfId="648">
      <pivotArea field="43" grandRow="1" outline="0" collapsedLevelsAreSubtotals="1" axis="axisCol" fieldPosition="0">
        <references count="2">
          <reference field="4294967294" count="1" selected="0">
            <x v="6"/>
          </reference>
          <reference field="43" count="3" selected="0" defaultSubtotal="1">
            <x v="1"/>
            <x v="3"/>
            <x v="4"/>
          </reference>
        </references>
      </pivotArea>
    </format>
    <format dxfId="647">
      <pivotArea field="0" dataOnly="0" labelOnly="1" grandRow="1" outline="0" axis="axisRow" fieldPosition="0">
        <references count="1">
          <reference field="4294967294" count="1" selected="0">
            <x v="0"/>
          </reference>
        </references>
      </pivotArea>
    </format>
    <format dxfId="646">
      <pivotArea field="0" dataOnly="0" labelOnly="1" grandRow="1" outline="0" axis="axisRow" fieldPosition="0">
        <references count="1">
          <reference field="4294967294" count="1" selected="0">
            <x v="1"/>
          </reference>
        </references>
      </pivotArea>
    </format>
    <format dxfId="645">
      <pivotArea field="0" dataOnly="0" labelOnly="1" grandRow="1" outline="0" axis="axisRow" fieldPosition="0">
        <references count="1">
          <reference field="4294967294" count="1" selected="0">
            <x v="2"/>
          </reference>
        </references>
      </pivotArea>
    </format>
    <format dxfId="644">
      <pivotArea field="0" dataOnly="0" labelOnly="1" grandRow="1" outline="0" axis="axisRow" fieldPosition="0">
        <references count="1">
          <reference field="4294967294" count="1" selected="0">
            <x v="3"/>
          </reference>
        </references>
      </pivotArea>
    </format>
    <format dxfId="643">
      <pivotArea field="0" dataOnly="0" labelOnly="1" grandRow="1" outline="0" axis="axisRow" fieldPosition="0">
        <references count="1">
          <reference field="4294967294" count="1" selected="0">
            <x v="4"/>
          </reference>
        </references>
      </pivotArea>
    </format>
    <format dxfId="642">
      <pivotArea field="0" dataOnly="0" labelOnly="1" grandRow="1" outline="0" axis="axisRow" fieldPosition="0">
        <references count="1">
          <reference field="4294967294" count="1" selected="0">
            <x v="5"/>
          </reference>
        </references>
      </pivotArea>
    </format>
    <format dxfId="641">
      <pivotArea field="0" dataOnly="0" labelOnly="1" grandRow="1" outline="0" axis="axisRow" fieldPosition="0">
        <references count="1">
          <reference field="4294967294" count="1" selected="0">
            <x v="6"/>
          </reference>
        </references>
      </pivotArea>
    </format>
    <format dxfId="640">
      <pivotArea field="43" grandRow="1" outline="0" collapsedLevelsAreSubtotals="1" axis="axisCol" fieldPosition="0">
        <references count="3">
          <reference field="4294967294" count="1" selected="0">
            <x v="6"/>
          </reference>
          <reference field="4" count="2" selected="0">
            <x v="12"/>
            <x v="13"/>
          </reference>
          <reference field="43" count="1" selected="0">
            <x v="3"/>
          </reference>
        </references>
      </pivotArea>
    </format>
    <format dxfId="639">
      <pivotArea field="43" grandRow="1" outline="0" collapsedLevelsAreSubtotals="1" axis="axisCol" fieldPosition="0">
        <references count="2">
          <reference field="4294967294" count="1" selected="0">
            <x v="6"/>
          </reference>
          <reference field="43" count="1" selected="0" defaultSubtotal="1">
            <x v="3"/>
          </reference>
        </references>
      </pivotArea>
    </format>
    <format dxfId="638">
      <pivotArea field="43" grandRow="1" outline="0" collapsedLevelsAreSubtotals="1" axis="axisCol" fieldPosition="0">
        <references count="2">
          <reference field="4294967294" count="1" selected="0">
            <x v="6"/>
          </reference>
          <reference field="43" count="1" selected="0" defaultSubtotal="1">
            <x v="4"/>
          </reference>
        </references>
      </pivotArea>
    </format>
    <format dxfId="637">
      <pivotArea field="43" grandRow="1" outline="0" collapsedLevelsAreSubtotals="1" axis="axisCol" fieldPosition="0">
        <references count="2">
          <reference field="4294967294" count="1" selected="0">
            <x v="6"/>
          </reference>
          <reference field="43" count="2" selected="0" defaultSubtotal="1">
            <x v="0"/>
            <x v="1"/>
          </reference>
        </references>
      </pivotArea>
    </format>
    <format dxfId="636">
      <pivotArea field="43" grandRow="1" outline="0" collapsedLevelsAreSubtotals="1" axis="axisCol" fieldPosition="0">
        <references count="3">
          <reference field="4294967294" count="1" selected="0">
            <x v="6"/>
          </reference>
          <reference field="4" count="1" selected="0">
            <x v="11"/>
          </reference>
          <reference field="43" count="1" selected="0">
            <x v="3"/>
          </reference>
        </references>
      </pivotArea>
    </format>
    <format dxfId="635">
      <pivotArea outline="0" collapsedLevelsAreSubtotals="1" fieldPosition="0">
        <references count="1">
          <reference field="43" count="3" selected="0" defaultSubtotal="1">
            <x v="0"/>
            <x v="1"/>
            <x v="3"/>
          </reference>
        </references>
      </pivotArea>
    </format>
    <format dxfId="634">
      <pivotArea field="0" grandRow="1" outline="0" collapsedLevelsAreSubtotals="1" axis="axisRow" fieldPosition="0">
        <references count="1">
          <reference field="4294967294" count="1" selected="0">
            <x v="6"/>
          </reference>
        </references>
      </pivotArea>
    </format>
    <format dxfId="633">
      <pivotArea field="0" dataOnly="0" labelOnly="1" grandRow="1" outline="0" offset="IV256" axis="axisRow" fieldPosition="0">
        <references count="1">
          <reference field="4294967294" count="1" selected="0">
            <x v="0"/>
          </reference>
        </references>
      </pivotArea>
    </format>
    <format dxfId="632">
      <pivotArea field="0" dataOnly="0" labelOnly="1" grandRow="1" outline="0" offset="IV256" axis="axisRow" fieldPosition="0">
        <references count="1">
          <reference field="4294967294" count="1" selected="0">
            <x v="1"/>
          </reference>
        </references>
      </pivotArea>
    </format>
    <format dxfId="631">
      <pivotArea field="0" dataOnly="0" labelOnly="1" grandRow="1" outline="0" offset="IV256" axis="axisRow" fieldPosition="0">
        <references count="1">
          <reference field="4294967294" count="1" selected="0">
            <x v="2"/>
          </reference>
        </references>
      </pivotArea>
    </format>
    <format dxfId="630">
      <pivotArea field="0" dataOnly="0" labelOnly="1" grandRow="1" outline="0" offset="IV256" axis="axisRow" fieldPosition="0">
        <references count="1">
          <reference field="4294967294" count="1" selected="0">
            <x v="3"/>
          </reference>
        </references>
      </pivotArea>
    </format>
    <format dxfId="629">
      <pivotArea field="0" dataOnly="0" labelOnly="1" grandRow="1" outline="0" offset="IV256" axis="axisRow" fieldPosition="0">
        <references count="1">
          <reference field="4294967294" count="1" selected="0">
            <x v="4"/>
          </reference>
        </references>
      </pivotArea>
    </format>
    <format dxfId="628">
      <pivotArea field="0" dataOnly="0" labelOnly="1" grandRow="1" outline="0" offset="IV256" axis="axisRow" fieldPosition="0">
        <references count="1">
          <reference field="4294967294" count="1" selected="0">
            <x v="5"/>
          </reference>
        </references>
      </pivotArea>
    </format>
    <format dxfId="627">
      <pivotArea field="0" dataOnly="0" labelOnly="1" grandRow="1" outline="0" offset="IV256" axis="axisRow" fieldPosition="0">
        <references count="1">
          <reference field="4294967294" count="1" selected="0">
            <x v="6"/>
          </reference>
        </references>
      </pivotArea>
    </format>
    <format dxfId="626">
      <pivotArea outline="0" collapsedLevelsAreSubtotals="1" fieldPosition="0">
        <references count="3">
          <reference field="4294967294" count="1" selected="0">
            <x v="2"/>
          </reference>
          <reference field="0" count="1" selected="0">
            <x v="4"/>
          </reference>
          <reference field="43" count="3" selected="0" defaultSubtotal="1">
            <x v="0"/>
            <x v="1"/>
            <x v="2"/>
          </reference>
        </references>
      </pivotArea>
    </format>
    <format dxfId="625">
      <pivotArea outline="0" collapsedLevelsAreSubtotals="1" fieldPosition="0">
        <references count="4">
          <reference field="4294967294" count="1" selected="0">
            <x v="2"/>
          </reference>
          <reference field="0" count="1" selected="0">
            <x v="4"/>
          </reference>
          <reference field="4" count="1" selected="0">
            <x v="11"/>
          </reference>
          <reference field="43" count="1" selected="0">
            <x v="3"/>
          </reference>
        </references>
      </pivotArea>
    </format>
    <format dxfId="624">
      <pivotArea outline="0" collapsedLevelsAreSubtotals="1" fieldPosition="0">
        <references count="3">
          <reference field="4294967294" count="2" selected="0">
            <x v="5"/>
            <x v="6"/>
          </reference>
          <reference field="0" count="1" selected="0">
            <x v="4"/>
          </reference>
          <reference field="43" count="3" selected="0" defaultSubtotal="1">
            <x v="0"/>
            <x v="1"/>
            <x v="2"/>
          </reference>
        </references>
      </pivotArea>
    </format>
    <format dxfId="623">
      <pivotArea outline="0" collapsedLevelsAreSubtotals="1" fieldPosition="0">
        <references count="4">
          <reference field="4294967294" count="2" selected="0">
            <x v="5"/>
            <x v="6"/>
          </reference>
          <reference field="0" count="1" selected="0">
            <x v="4"/>
          </reference>
          <reference field="4" count="1" selected="0">
            <x v="11"/>
          </reference>
          <reference field="43" count="1" selected="0">
            <x v="3"/>
          </reference>
        </references>
      </pivotArea>
    </format>
    <format dxfId="622">
      <pivotArea outline="0" collapsedLevelsAreSubtotals="1" fieldPosition="0">
        <references count="2">
          <reference field="4" count="1" selected="0">
            <x v="12"/>
          </reference>
          <reference field="43" count="1" selected="0">
            <x v="3"/>
          </reference>
        </references>
      </pivotArea>
    </format>
    <format dxfId="621">
      <pivotArea outline="0" collapsedLevelsAreSubtotals="1" fieldPosition="0">
        <references count="1">
          <reference field="43" count="1" selected="0" defaultSubtotal="1">
            <x v="3"/>
          </reference>
        </references>
      </pivotArea>
    </format>
    <format dxfId="620">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619">
      <pivotArea outline="0" collapsedLevelsAreSubtotals="1" fieldPosition="0">
        <references count="4">
          <reference field="4294967294" count="1" selected="0">
            <x v="6"/>
          </reference>
          <reference field="0" count="1" selected="0">
            <x v="4"/>
          </reference>
          <reference field="4" count="2" selected="0">
            <x v="6"/>
            <x v="7"/>
          </reference>
          <reference field="43" count="1" selected="0">
            <x v="1"/>
          </reference>
        </references>
      </pivotArea>
    </format>
    <format dxfId="618">
      <pivotArea outline="0" collapsedLevelsAreSubtotals="1" fieldPosition="0">
        <references count="4">
          <reference field="4294967294" count="1" selected="0">
            <x v="6"/>
          </reference>
          <reference field="0" count="1" selected="0">
            <x v="5"/>
          </reference>
          <reference field="4" count="2" selected="0">
            <x v="8"/>
            <x v="9"/>
          </reference>
          <reference field="43" count="1" selected="0">
            <x v="1"/>
          </reference>
        </references>
      </pivotArea>
    </format>
    <format dxfId="617">
      <pivotArea outline="0" collapsedLevelsAreSubtotals="1" fieldPosition="0">
        <references count="4">
          <reference field="4294967294" count="1" selected="0">
            <x v="6"/>
          </reference>
          <reference field="0" count="1" selected="0">
            <x v="10"/>
          </reference>
          <reference field="4" count="1" selected="0">
            <x v="8"/>
          </reference>
          <reference field="43" count="1" selected="0">
            <x v="1"/>
          </reference>
        </references>
      </pivotArea>
    </format>
    <format dxfId="616">
      <pivotArea outline="0" collapsedLevelsAreSubtotals="1" fieldPosition="0">
        <references count="4">
          <reference field="4294967294" count="1" selected="0">
            <x v="6"/>
          </reference>
          <reference field="0" count="1" selected="0">
            <x v="13"/>
          </reference>
          <reference field="4" count="1" selected="0">
            <x v="10"/>
          </reference>
          <reference field="43" count="1" selected="0">
            <x v="2"/>
          </reference>
        </references>
      </pivotArea>
    </format>
    <format dxfId="615">
      <pivotArea outline="0" collapsedLevelsAreSubtotals="1" fieldPosition="0">
        <references count="4">
          <reference field="4294967294" count="1" selected="0">
            <x v="6"/>
          </reference>
          <reference field="0" count="1" selected="0">
            <x v="14"/>
          </reference>
          <reference field="4" count="1" selected="0">
            <x v="10"/>
          </reference>
          <reference field="43" count="1" selected="0">
            <x v="2"/>
          </reference>
        </references>
      </pivotArea>
    </format>
    <format dxfId="614">
      <pivotArea field="0" dataOnly="0" labelOnly="1" grandRow="1" outline="0" offset="A256" axis="axisRow" fieldPosition="0">
        <references count="1">
          <reference field="4294967294" count="1" selected="0">
            <x v="0"/>
          </reference>
        </references>
      </pivotArea>
    </format>
    <format dxfId="613">
      <pivotArea field="0" dataOnly="0" labelOnly="1" grandRow="1" outline="0" offset="A256" axis="axisRow" fieldPosition="0">
        <references count="1">
          <reference field="4294967294" count="1" selected="0">
            <x v="1"/>
          </reference>
        </references>
      </pivotArea>
    </format>
    <format dxfId="612">
      <pivotArea field="0" dataOnly="0" labelOnly="1" grandRow="1" outline="0" offset="A256" axis="axisRow" fieldPosition="0">
        <references count="1">
          <reference field="4294967294" count="1" selected="0">
            <x v="2"/>
          </reference>
        </references>
      </pivotArea>
    </format>
    <format dxfId="611">
      <pivotArea field="0" dataOnly="0" labelOnly="1" grandRow="1" outline="0" offset="A256" axis="axisRow" fieldPosition="0">
        <references count="1">
          <reference field="4294967294" count="1" selected="0">
            <x v="3"/>
          </reference>
        </references>
      </pivotArea>
    </format>
    <format dxfId="610">
      <pivotArea field="0" dataOnly="0" labelOnly="1" grandRow="1" outline="0" offset="A256" axis="axisRow" fieldPosition="0">
        <references count="1">
          <reference field="4294967294" count="1" selected="0">
            <x v="4"/>
          </reference>
        </references>
      </pivotArea>
    </format>
    <format dxfId="609">
      <pivotArea field="0" dataOnly="0" labelOnly="1" grandRow="1" outline="0" offset="A256" axis="axisRow" fieldPosition="0">
        <references count="1">
          <reference field="4294967294" count="1" selected="0">
            <x v="5"/>
          </reference>
        </references>
      </pivotArea>
    </format>
    <format dxfId="608">
      <pivotArea field="0" dataOnly="0" labelOnly="1" grandRow="1" outline="0" offset="A256" axis="axisRow" fieldPosition="0">
        <references count="1">
          <reference field="4294967294" count="1" selected="0">
            <x v="6"/>
          </reference>
        </references>
      </pivotArea>
    </format>
    <format dxfId="607">
      <pivotArea field="43" grandRow="1" outline="0" collapsedLevelsAreSubtotals="1" axis="axisCol" fieldPosition="0">
        <references count="2">
          <reference field="4294967294" count="7" selected="0">
            <x v="0"/>
            <x v="1"/>
            <x v="2"/>
            <x v="3"/>
            <x v="4"/>
            <x v="5"/>
            <x v="6"/>
          </reference>
          <reference field="43" count="4" selected="0" defaultSubtotal="1">
            <x v="0"/>
            <x v="1"/>
            <x v="2"/>
            <x v="3"/>
          </reference>
        </references>
      </pivotArea>
    </format>
    <format dxfId="606">
      <pivotArea field="0" dataOnly="0" labelOnly="1" grandRow="1" outline="0" axis="axisRow" fieldPosition="0">
        <references count="1">
          <reference field="4294967294" count="1" selected="0">
            <x v="0"/>
          </reference>
        </references>
      </pivotArea>
    </format>
    <format dxfId="605">
      <pivotArea field="0" dataOnly="0" labelOnly="1" grandRow="1" outline="0" axis="axisRow" fieldPosition="0">
        <references count="1">
          <reference field="4294967294" count="1" selected="0">
            <x v="1"/>
          </reference>
        </references>
      </pivotArea>
    </format>
    <format dxfId="604">
      <pivotArea field="0" dataOnly="0" labelOnly="1" grandRow="1" outline="0" axis="axisRow" fieldPosition="0">
        <references count="1">
          <reference field="4294967294" count="1" selected="0">
            <x v="2"/>
          </reference>
        </references>
      </pivotArea>
    </format>
    <format dxfId="603">
      <pivotArea field="0" dataOnly="0" labelOnly="1" grandRow="1" outline="0" axis="axisRow" fieldPosition="0">
        <references count="1">
          <reference field="4294967294" count="1" selected="0">
            <x v="3"/>
          </reference>
        </references>
      </pivotArea>
    </format>
    <format dxfId="602">
      <pivotArea field="0" dataOnly="0" labelOnly="1" grandRow="1" outline="0" axis="axisRow" fieldPosition="0">
        <references count="1">
          <reference field="4294967294" count="1" selected="0">
            <x v="4"/>
          </reference>
        </references>
      </pivotArea>
    </format>
    <format dxfId="601">
      <pivotArea field="0" dataOnly="0" labelOnly="1" grandRow="1" outline="0" axis="axisRow" fieldPosition="0">
        <references count="1">
          <reference field="4294967294" count="1" selected="0">
            <x v="5"/>
          </reference>
        </references>
      </pivotArea>
    </format>
    <format dxfId="600">
      <pivotArea field="0" dataOnly="0" labelOnly="1" grandRow="1" outline="0" axis="axisRow" fieldPosition="0">
        <references count="1">
          <reference field="4294967294" count="1" selected="0">
            <x v="6"/>
          </reference>
        </references>
      </pivotArea>
    </format>
    <format dxfId="599">
      <pivotArea outline="0" collapsedLevelsAreSubtotals="1" fieldPosition="0">
        <references count="3">
          <reference field="4294967294" count="7" selected="0">
            <x v="0"/>
            <x v="1"/>
            <x v="2"/>
            <x v="3"/>
            <x v="4"/>
            <x v="5"/>
            <x v="6"/>
          </reference>
          <reference field="0" count="1" selected="0">
            <x v="12"/>
          </reference>
          <reference field="43" count="4" selected="0" defaultSubtotal="1">
            <x v="5"/>
            <x v="6"/>
            <x v="7"/>
            <x v="8"/>
          </reference>
        </references>
      </pivotArea>
    </format>
    <format dxfId="598">
      <pivotArea outline="0" collapsedLevelsAreSubtotals="1" fieldPosition="0">
        <references count="4">
          <reference field="4294967294" count="1" selected="0">
            <x v="6"/>
          </reference>
          <reference field="0" count="1" selected="0">
            <x v="6"/>
          </reference>
          <reference field="4" count="4" selected="0">
            <x v="2"/>
            <x v="3"/>
            <x v="4"/>
            <x v="5"/>
          </reference>
          <reference field="43" count="1" selected="0">
            <x v="0"/>
          </reference>
        </references>
      </pivotArea>
    </format>
    <format dxfId="597">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596">
      <pivotArea outline="0" collapsedLevelsAreSubtotals="1" fieldPosition="0">
        <references count="4">
          <reference field="4294967294" count="1" selected="0">
            <x v="5"/>
          </reference>
          <reference field="0" count="1" selected="0">
            <x v="1"/>
          </reference>
          <reference field="4" count="1" selected="0">
            <x v="0"/>
          </reference>
          <reference field="43" count="1" selected="0">
            <x v="0"/>
          </reference>
        </references>
      </pivotArea>
    </format>
    <format dxfId="595">
      <pivotArea outline="0" collapsedLevelsAreSubtotals="1" fieldPosition="0">
        <references count="4">
          <reference field="4294967294" count="1" selected="0">
            <x v="5"/>
          </reference>
          <reference field="0" count="1" selected="0">
            <x v="9"/>
          </reference>
          <reference field="4" count="1" selected="0">
            <x v="0"/>
          </reference>
          <reference field="43" count="1" selected="0">
            <x v="0"/>
          </reference>
        </references>
      </pivotArea>
    </format>
    <format dxfId="594">
      <pivotArea outline="0" collapsedLevelsAreSubtotals="1" fieldPosition="0">
        <references count="4">
          <reference field="4294967294" count="1" selected="0">
            <x v="5"/>
          </reference>
          <reference field="0" count="1" selected="0">
            <x v="13"/>
          </reference>
          <reference field="4" count="1" selected="0">
            <x v="0"/>
          </reference>
          <reference field="43" count="1" selected="0">
            <x v="0"/>
          </reference>
        </references>
      </pivotArea>
    </format>
    <format dxfId="593">
      <pivotArea outline="0" collapsedLevelsAreSubtotals="1" fieldPosition="0">
        <references count="4">
          <reference field="4294967294" count="1" selected="0">
            <x v="5"/>
          </reference>
          <reference field="0" count="1" selected="0">
            <x v="14"/>
          </reference>
          <reference field="4" count="1" selected="0">
            <x v="3"/>
          </reference>
          <reference field="43" count="1" selected="0">
            <x v="0"/>
          </reference>
        </references>
      </pivotArea>
    </format>
    <format dxfId="592">
      <pivotArea outline="0" collapsedLevelsAreSubtotals="1" fieldPosition="0">
        <references count="4">
          <reference field="4294967294" count="1" selected="0">
            <x v="5"/>
          </reference>
          <reference field="0" count="1" selected="0">
            <x v="14"/>
          </reference>
          <reference field="4" count="1" selected="0">
            <x v="4"/>
          </reference>
          <reference field="43" count="1" selected="0">
            <x v="0"/>
          </reference>
        </references>
      </pivotArea>
    </format>
    <format dxfId="591">
      <pivotArea outline="0" collapsedLevelsAreSubtotals="1" fieldPosition="0">
        <references count="4">
          <reference field="4294967294" count="1" selected="0">
            <x v="5"/>
          </reference>
          <reference field="0" count="1" selected="0">
            <x v="14"/>
          </reference>
          <reference field="4" count="1" selected="0">
            <x v="5"/>
          </reference>
          <reference field="43" count="1" selected="0">
            <x v="0"/>
          </reference>
        </references>
      </pivotArea>
    </format>
    <format dxfId="590">
      <pivotArea outline="0" collapsedLevelsAreSubtotals="1" fieldPosition="0">
        <references count="4">
          <reference field="4294967294" count="1" selected="0">
            <x v="5"/>
          </reference>
          <reference field="0" count="1" selected="0">
            <x v="15"/>
          </reference>
          <reference field="4" count="1" selected="0">
            <x v="4"/>
          </reference>
          <reference field="43" count="1" selected="0">
            <x v="0"/>
          </reference>
        </references>
      </pivotArea>
    </format>
    <format dxfId="589">
      <pivotArea outline="0" collapsedLevelsAreSubtotals="1" fieldPosition="0">
        <references count="4">
          <reference field="4294967294" count="1" selected="0">
            <x v="2"/>
          </reference>
          <reference field="0" count="1" selected="0">
            <x v="15"/>
          </reference>
          <reference field="4" count="1" selected="0">
            <x v="4"/>
          </reference>
          <reference field="43" count="1" selected="0">
            <x v="0"/>
          </reference>
        </references>
      </pivotArea>
    </format>
    <format dxfId="588">
      <pivotArea outline="0" collapsedLevelsAreSubtotals="1" fieldPosition="0">
        <references count="3">
          <reference field="4294967294" count="7" selected="0">
            <x v="0"/>
            <x v="1"/>
            <x v="2"/>
            <x v="3"/>
            <x v="4"/>
            <x v="5"/>
            <x v="6"/>
          </reference>
          <reference field="0" count="0" selected="0"/>
          <reference field="43" count="4" selected="0" defaultSubtotal="1">
            <x v="0"/>
            <x v="1"/>
            <x v="2"/>
            <x v="3"/>
          </reference>
        </references>
      </pivotArea>
    </format>
    <format dxfId="587">
      <pivotArea field="43" type="button" dataOnly="0" labelOnly="1" outline="0" axis="axisCol" fieldPosition="0"/>
    </format>
    <format dxfId="586">
      <pivotArea field="4" type="button" dataOnly="0" labelOnly="1" outline="0" axis="axisCol" fieldPosition="1"/>
    </format>
    <format dxfId="585">
      <pivotArea type="topRight" dataOnly="0" labelOnly="1" outline="0" fieldPosition="0"/>
    </format>
    <format dxfId="584">
      <pivotArea dataOnly="0" labelOnly="1" outline="0" fieldPosition="0">
        <references count="1">
          <reference field="43" count="4">
            <x v="0"/>
            <x v="1"/>
            <x v="2"/>
            <x v="3"/>
          </reference>
        </references>
      </pivotArea>
    </format>
    <format dxfId="583">
      <pivotArea dataOnly="0" labelOnly="1" outline="0" fieldPosition="0">
        <references count="1">
          <reference field="43" count="4" defaultSubtotal="1">
            <x v="0"/>
            <x v="1"/>
            <x v="2"/>
            <x v="3"/>
          </reference>
        </references>
      </pivotArea>
    </format>
    <format dxfId="582">
      <pivotArea dataOnly="0" labelOnly="1" outline="0" fieldPosition="0">
        <references count="2">
          <reference field="4" count="6">
            <x v="0"/>
            <x v="1"/>
            <x v="2"/>
            <x v="3"/>
            <x v="4"/>
            <x v="5"/>
          </reference>
          <reference field="43" count="1" selected="0">
            <x v="0"/>
          </reference>
        </references>
      </pivotArea>
    </format>
    <format dxfId="581">
      <pivotArea dataOnly="0" labelOnly="1" outline="0" fieldPosition="0">
        <references count="2">
          <reference field="4" count="4">
            <x v="6"/>
            <x v="7"/>
            <x v="8"/>
            <x v="9"/>
          </reference>
          <reference field="43" count="1" selected="0">
            <x v="1"/>
          </reference>
        </references>
      </pivotArea>
    </format>
    <format dxfId="580">
      <pivotArea dataOnly="0" labelOnly="1" outline="0" fieldPosition="0">
        <references count="2">
          <reference field="4" count="1">
            <x v="10"/>
          </reference>
          <reference field="43" count="1" selected="0">
            <x v="2"/>
          </reference>
        </references>
      </pivotArea>
    </format>
    <format dxfId="579">
      <pivotArea dataOnly="0" labelOnly="1" outline="0" fieldPosition="0">
        <references count="2">
          <reference field="4" count="2">
            <x v="11"/>
            <x v="12"/>
          </reference>
          <reference field="43" count="1" selected="0">
            <x v="3"/>
          </reference>
        </references>
      </pivotArea>
    </format>
    <format dxfId="578">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577">
      <pivotArea outline="0" collapsedLevelsAreSubtotals="1" fieldPosition="0">
        <references count="4">
          <reference field="4294967294" count="1" selected="0">
            <x v="6"/>
          </reference>
          <reference field="0" count="1" selected="0">
            <x v="1"/>
          </reference>
          <reference field="4" count="1" selected="0">
            <x v="9"/>
          </reference>
          <reference field="43" count="1" selected="0">
            <x v="1"/>
          </reference>
        </references>
      </pivotArea>
    </format>
    <format dxfId="576">
      <pivotArea outline="0" collapsedLevelsAreSubtotals="1" fieldPosition="0">
        <references count="4">
          <reference field="4294967294" count="1" selected="0">
            <x v="6"/>
          </reference>
          <reference field="0" count="1" selected="0">
            <x v="1"/>
          </reference>
          <reference field="4" count="1" selected="0">
            <x v="8"/>
          </reference>
          <reference field="43" count="1" selected="0">
            <x v="1"/>
          </reference>
        </references>
      </pivotArea>
    </format>
    <format dxfId="575">
      <pivotArea outline="0" collapsedLevelsAreSubtotals="1" fieldPosition="0">
        <references count="4">
          <reference field="4294967294" count="1" selected="0">
            <x v="6"/>
          </reference>
          <reference field="0" count="1" selected="0">
            <x v="1"/>
          </reference>
          <reference field="4" count="1" selected="0">
            <x v="7"/>
          </reference>
          <reference field="43" count="1" selected="0">
            <x v="1"/>
          </reference>
        </references>
      </pivotArea>
    </format>
    <format dxfId="574">
      <pivotArea outline="0" collapsedLevelsAreSubtotals="1" fieldPosition="0">
        <references count="4">
          <reference field="4294967294" count="1" selected="0">
            <x v="6"/>
          </reference>
          <reference field="0" count="1" selected="0">
            <x v="6"/>
          </reference>
          <reference field="4" count="2" selected="0">
            <x v="8"/>
            <x v="9"/>
          </reference>
          <reference field="43" count="1" selected="0">
            <x v="1"/>
          </reference>
        </references>
      </pivotArea>
    </format>
    <format dxfId="573">
      <pivotArea outline="0" collapsedLevelsAreSubtotals="1" fieldPosition="0">
        <references count="4">
          <reference field="4294967294" count="1" selected="0">
            <x v="6"/>
          </reference>
          <reference field="0" count="1" selected="0">
            <x v="6"/>
          </reference>
          <reference field="4" count="1" selected="0">
            <x v="2"/>
          </reference>
          <reference field="43" count="1" selected="0">
            <x v="0"/>
          </reference>
        </references>
      </pivotArea>
    </format>
    <format dxfId="572">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571">
      <pivotArea outline="0" collapsedLevelsAreSubtotals="1" fieldPosition="0">
        <references count="4">
          <reference field="4294967294" count="1" selected="0">
            <x v="6"/>
          </reference>
          <reference field="0" count="1" selected="0">
            <x v="11"/>
          </reference>
          <reference field="4" count="1" selected="0">
            <x v="8"/>
          </reference>
          <reference field="43" count="1" selected="0">
            <x v="1"/>
          </reference>
        </references>
      </pivotArea>
    </format>
    <format dxfId="570">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569">
      <pivotArea outline="0" collapsedLevelsAreSubtotals="1" fieldPosition="0">
        <references count="4">
          <reference field="4294967294" count="1" selected="0">
            <x v="6"/>
          </reference>
          <reference field="0" count="1" selected="0">
            <x v="13"/>
          </reference>
          <reference field="4" count="1" selected="0">
            <x v="9"/>
          </reference>
          <reference field="43" count="1" selected="0">
            <x v="1"/>
          </reference>
        </references>
      </pivotArea>
    </format>
    <format dxfId="568">
      <pivotArea outline="0" collapsedLevelsAreSubtotals="1" fieldPosition="0">
        <references count="4">
          <reference field="4294967294" count="1" selected="0">
            <x v="6"/>
          </reference>
          <reference field="0" count="1" selected="0">
            <x v="14"/>
          </reference>
          <reference field="4" count="2" selected="0">
            <x v="8"/>
            <x v="9"/>
          </reference>
          <reference field="43" count="1" selected="0">
            <x v="1"/>
          </reference>
        </references>
      </pivotArea>
    </format>
    <format dxfId="567">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566">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565">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564">
      <pivotArea outline="0" collapsedLevelsAreSubtotals="1" fieldPosition="0">
        <references count="1">
          <reference field="43" count="4" selected="0" defaultSubtotal="1">
            <x v="0"/>
            <x v="1"/>
            <x v="2"/>
            <x v="3"/>
          </reference>
        </references>
      </pivotArea>
    </format>
    <format dxfId="563">
      <pivotArea type="origin" dataOnly="0" labelOnly="1" outline="0" fieldPosition="0"/>
    </format>
    <format dxfId="562">
      <pivotArea field="43" type="button" dataOnly="0" labelOnly="1" outline="0" axis="axisCol" fieldPosition="0"/>
    </format>
    <format dxfId="561">
      <pivotArea field="4" type="button" dataOnly="0" labelOnly="1" outline="0" axis="axisCol" fieldPosition="1"/>
    </format>
    <format dxfId="560">
      <pivotArea type="topRight" dataOnly="0" labelOnly="1" outline="0" offset="A1:O1" fieldPosition="0"/>
    </format>
    <format dxfId="559">
      <pivotArea field="0" type="button" dataOnly="0" labelOnly="1" outline="0" axis="axisRow" fieldPosition="0"/>
    </format>
    <format dxfId="558">
      <pivotArea field="-2" type="button" dataOnly="0" labelOnly="1" outline="0" axis="axisRow" fieldPosition="1"/>
    </format>
    <format dxfId="557">
      <pivotArea dataOnly="0" labelOnly="1" outline="0" fieldPosition="0">
        <references count="1">
          <reference field="0" count="0"/>
        </references>
      </pivotArea>
    </format>
    <format dxfId="556">
      <pivotArea field="0" dataOnly="0" labelOnly="1" grandRow="1" outline="0" axis="axisRow" fieldPosition="0">
        <references count="1">
          <reference field="4294967294" count="1" selected="0">
            <x v="0"/>
          </reference>
        </references>
      </pivotArea>
    </format>
    <format dxfId="555">
      <pivotArea field="0" dataOnly="0" labelOnly="1" grandRow="1" outline="0" axis="axisRow" fieldPosition="0">
        <references count="1">
          <reference field="4294967294" count="1" selected="0">
            <x v="1"/>
          </reference>
        </references>
      </pivotArea>
    </format>
    <format dxfId="554">
      <pivotArea field="0" dataOnly="0" labelOnly="1" grandRow="1" outline="0" axis="axisRow" fieldPosition="0">
        <references count="1">
          <reference field="4294967294" count="1" selected="0">
            <x v="2"/>
          </reference>
        </references>
      </pivotArea>
    </format>
    <format dxfId="553">
      <pivotArea field="0" dataOnly="0" labelOnly="1" grandRow="1" outline="0" axis="axisRow" fieldPosition="0">
        <references count="1">
          <reference field="4294967294" count="1" selected="0">
            <x v="3"/>
          </reference>
        </references>
      </pivotArea>
    </format>
    <format dxfId="552">
      <pivotArea field="0" dataOnly="0" labelOnly="1" grandRow="1" outline="0" axis="axisRow" fieldPosition="0">
        <references count="1">
          <reference field="4294967294" count="1" selected="0">
            <x v="4"/>
          </reference>
        </references>
      </pivotArea>
    </format>
    <format dxfId="551">
      <pivotArea field="0" dataOnly="0" labelOnly="1" grandRow="1" outline="0" axis="axisRow" fieldPosition="0">
        <references count="1">
          <reference field="4294967294" count="1" selected="0">
            <x v="5"/>
          </reference>
        </references>
      </pivotArea>
    </format>
    <format dxfId="550">
      <pivotArea field="0" dataOnly="0" labelOnly="1" grandRow="1" outline="0" axis="axisRow" fieldPosition="0">
        <references count="1">
          <reference field="4294967294" count="1" selected="0">
            <x v="6"/>
          </reference>
        </references>
      </pivotArea>
    </format>
    <format dxfId="549">
      <pivotArea field="0" dataOnly="0" labelOnly="1" grandRow="1" outline="0" axis="axisRow" fieldPosition="0">
        <references count="1">
          <reference field="4294967294" count="1" selected="0">
            <x v="0"/>
          </reference>
        </references>
      </pivotArea>
    </format>
    <format dxfId="548">
      <pivotArea field="0" dataOnly="0" labelOnly="1" grandRow="1" outline="0" axis="axisRow" fieldPosition="0">
        <references count="1">
          <reference field="4294967294" count="1" selected="0">
            <x v="1"/>
          </reference>
        </references>
      </pivotArea>
    </format>
    <format dxfId="547">
      <pivotArea field="0" dataOnly="0" labelOnly="1" grandRow="1" outline="0" axis="axisRow" fieldPosition="0">
        <references count="1">
          <reference field="4294967294" count="1" selected="0">
            <x v="2"/>
          </reference>
        </references>
      </pivotArea>
    </format>
    <format dxfId="546">
      <pivotArea field="0" dataOnly="0" labelOnly="1" grandRow="1" outline="0" axis="axisRow" fieldPosition="0">
        <references count="1">
          <reference field="4294967294" count="1" selected="0">
            <x v="3"/>
          </reference>
        </references>
      </pivotArea>
    </format>
    <format dxfId="545">
      <pivotArea field="0" dataOnly="0" labelOnly="1" grandRow="1" outline="0" axis="axisRow" fieldPosition="0">
        <references count="1">
          <reference field="4294967294" count="1" selected="0">
            <x v="4"/>
          </reference>
        </references>
      </pivotArea>
    </format>
    <format dxfId="544">
      <pivotArea field="0" dataOnly="0" labelOnly="1" grandRow="1" outline="0" axis="axisRow" fieldPosition="0">
        <references count="1">
          <reference field="4294967294" count="1" selected="0">
            <x v="5"/>
          </reference>
        </references>
      </pivotArea>
    </format>
    <format dxfId="543">
      <pivotArea field="0" dataOnly="0" labelOnly="1" grandRow="1" outline="0" axis="axisRow" fieldPosition="0">
        <references count="1">
          <reference field="4294967294" count="1" selected="0">
            <x v="6"/>
          </reference>
        </references>
      </pivotArea>
    </format>
    <format dxfId="542">
      <pivotArea field="0" dataOnly="0" labelOnly="1" grandRow="1" outline="0" axis="axisRow" fieldPosition="0">
        <references count="1">
          <reference field="4294967294" count="1" selected="0">
            <x v="0"/>
          </reference>
        </references>
      </pivotArea>
    </format>
    <format dxfId="541">
      <pivotArea field="0" dataOnly="0" labelOnly="1" grandRow="1" outline="0" axis="axisRow" fieldPosition="0">
        <references count="1">
          <reference field="4294967294" count="1" selected="0">
            <x v="1"/>
          </reference>
        </references>
      </pivotArea>
    </format>
    <format dxfId="540">
      <pivotArea field="0" dataOnly="0" labelOnly="1" grandRow="1" outline="0" axis="axisRow" fieldPosition="0">
        <references count="1">
          <reference field="4294967294" count="1" selected="0">
            <x v="2"/>
          </reference>
        </references>
      </pivotArea>
    </format>
    <format dxfId="539">
      <pivotArea field="0" dataOnly="0" labelOnly="1" grandRow="1" outline="0" axis="axisRow" fieldPosition="0">
        <references count="1">
          <reference field="4294967294" count="1" selected="0">
            <x v="3"/>
          </reference>
        </references>
      </pivotArea>
    </format>
    <format dxfId="538">
      <pivotArea field="0" dataOnly="0" labelOnly="1" grandRow="1" outline="0" axis="axisRow" fieldPosition="0">
        <references count="1">
          <reference field="4294967294" count="1" selected="0">
            <x v="4"/>
          </reference>
        </references>
      </pivotArea>
    </format>
    <format dxfId="537">
      <pivotArea field="0" dataOnly="0" labelOnly="1" grandRow="1" outline="0" axis="axisRow" fieldPosition="0">
        <references count="1">
          <reference field="4294967294" count="1" selected="0">
            <x v="5"/>
          </reference>
        </references>
      </pivotArea>
    </format>
    <format dxfId="536">
      <pivotArea field="0" dataOnly="0" labelOnly="1" grandRow="1" outline="0" axis="axisRow" fieldPosition="0">
        <references count="1">
          <reference field="4294967294" count="1" selected="0">
            <x v="6"/>
          </reference>
        </references>
      </pivotArea>
    </format>
    <format dxfId="535">
      <pivotArea field="0" dataOnly="0" labelOnly="1" grandRow="1" outline="0" axis="axisRow" fieldPosition="0">
        <references count="1">
          <reference field="4294967294" count="1" selected="0">
            <x v="0"/>
          </reference>
        </references>
      </pivotArea>
    </format>
    <format dxfId="534">
      <pivotArea field="0" dataOnly="0" labelOnly="1" grandRow="1" outline="0" axis="axisRow" fieldPosition="0">
        <references count="1">
          <reference field="4294967294" count="1" selected="0">
            <x v="1"/>
          </reference>
        </references>
      </pivotArea>
    </format>
    <format dxfId="533">
      <pivotArea field="0" dataOnly="0" labelOnly="1" grandRow="1" outline="0" axis="axisRow" fieldPosition="0">
        <references count="1">
          <reference field="4294967294" count="1" selected="0">
            <x v="2"/>
          </reference>
        </references>
      </pivotArea>
    </format>
    <format dxfId="532">
      <pivotArea field="0" dataOnly="0" labelOnly="1" grandRow="1" outline="0" axis="axisRow" fieldPosition="0">
        <references count="1">
          <reference field="4294967294" count="1" selected="0">
            <x v="3"/>
          </reference>
        </references>
      </pivotArea>
    </format>
    <format dxfId="531">
      <pivotArea field="0" dataOnly="0" labelOnly="1" grandRow="1" outline="0" axis="axisRow" fieldPosition="0">
        <references count="1">
          <reference field="4294967294" count="1" selected="0">
            <x v="4"/>
          </reference>
        </references>
      </pivotArea>
    </format>
    <format dxfId="530">
      <pivotArea field="0" dataOnly="0" labelOnly="1" grandRow="1" outline="0" axis="axisRow" fieldPosition="0">
        <references count="1">
          <reference field="4294967294" count="1" selected="0">
            <x v="5"/>
          </reference>
        </references>
      </pivotArea>
    </format>
    <format dxfId="529">
      <pivotArea field="0" dataOnly="0" labelOnly="1" grandRow="1" outline="0" axis="axisRow" fieldPosition="0">
        <references count="1">
          <reference field="4294967294" count="1" selected="0">
            <x v="6"/>
          </reference>
        </references>
      </pivotArea>
    </format>
    <format dxfId="528">
      <pivotArea field="0" dataOnly="0" labelOnly="1" grandRow="1" outline="0" axis="axisRow" fieldPosition="0">
        <references count="1">
          <reference field="4294967294" count="1" selected="0">
            <x v="0"/>
          </reference>
        </references>
      </pivotArea>
    </format>
    <format dxfId="527">
      <pivotArea field="0" dataOnly="0" labelOnly="1" grandRow="1" outline="0" axis="axisRow" fieldPosition="0">
        <references count="1">
          <reference field="4294967294" count="1" selected="0">
            <x v="1"/>
          </reference>
        </references>
      </pivotArea>
    </format>
    <format dxfId="526">
      <pivotArea field="0" dataOnly="0" labelOnly="1" grandRow="1" outline="0" axis="axisRow" fieldPosition="0">
        <references count="1">
          <reference field="4294967294" count="1" selected="0">
            <x v="2"/>
          </reference>
        </references>
      </pivotArea>
    </format>
    <format dxfId="525">
      <pivotArea field="0" dataOnly="0" labelOnly="1" grandRow="1" outline="0" axis="axisRow" fieldPosition="0">
        <references count="1">
          <reference field="4294967294" count="1" selected="0">
            <x v="3"/>
          </reference>
        </references>
      </pivotArea>
    </format>
    <format dxfId="524">
      <pivotArea field="0" dataOnly="0" labelOnly="1" grandRow="1" outline="0" axis="axisRow" fieldPosition="0">
        <references count="1">
          <reference field="4294967294" count="1" selected="0">
            <x v="4"/>
          </reference>
        </references>
      </pivotArea>
    </format>
    <format dxfId="523">
      <pivotArea field="0" dataOnly="0" labelOnly="1" grandRow="1" outline="0" axis="axisRow" fieldPosition="0">
        <references count="1">
          <reference field="4294967294" count="1" selected="0">
            <x v="5"/>
          </reference>
        </references>
      </pivotArea>
    </format>
    <format dxfId="522">
      <pivotArea field="0" dataOnly="0" labelOnly="1" grandRow="1" outline="0" axis="axisRow" fieldPosition="0">
        <references count="1">
          <reference field="4294967294" count="1" selected="0">
            <x v="6"/>
          </reference>
        </references>
      </pivotArea>
    </format>
    <format dxfId="521">
      <pivotArea field="0" dataOnly="0" labelOnly="1" grandRow="1" outline="0" axis="axisRow" fieldPosition="0">
        <references count="1">
          <reference field="4294967294" count="1" selected="0">
            <x v="0"/>
          </reference>
        </references>
      </pivotArea>
    </format>
    <format dxfId="520">
      <pivotArea field="0" dataOnly="0" labelOnly="1" grandRow="1" outline="0" axis="axisRow" fieldPosition="0">
        <references count="1">
          <reference field="4294967294" count="1" selected="0">
            <x v="1"/>
          </reference>
        </references>
      </pivotArea>
    </format>
    <format dxfId="519">
      <pivotArea field="0" dataOnly="0" labelOnly="1" grandRow="1" outline="0" axis="axisRow" fieldPosition="0">
        <references count="1">
          <reference field="4294967294" count="1" selected="0">
            <x v="2"/>
          </reference>
        </references>
      </pivotArea>
    </format>
    <format dxfId="518">
      <pivotArea field="0" dataOnly="0" labelOnly="1" grandRow="1" outline="0" axis="axisRow" fieldPosition="0">
        <references count="1">
          <reference field="4294967294" count="1" selected="0">
            <x v="3"/>
          </reference>
        </references>
      </pivotArea>
    </format>
    <format dxfId="517">
      <pivotArea field="0" dataOnly="0" labelOnly="1" grandRow="1" outline="0" axis="axisRow" fieldPosition="0">
        <references count="1">
          <reference field="4294967294" count="1" selected="0">
            <x v="4"/>
          </reference>
        </references>
      </pivotArea>
    </format>
    <format dxfId="516">
      <pivotArea field="0" dataOnly="0" labelOnly="1" grandRow="1" outline="0" axis="axisRow" fieldPosition="0">
        <references count="1">
          <reference field="4294967294" count="1" selected="0">
            <x v="5"/>
          </reference>
        </references>
      </pivotArea>
    </format>
    <format dxfId="515">
      <pivotArea field="0" dataOnly="0" labelOnly="1" grandRow="1" outline="0" axis="axisRow" fieldPosition="0">
        <references count="1">
          <reference field="4294967294" count="1" selected="0">
            <x v="6"/>
          </reference>
        </references>
      </pivotArea>
    </format>
    <format dxfId="514">
      <pivotArea field="0" dataOnly="0" labelOnly="1" grandRow="1" outline="0" axis="axisRow" fieldPosition="0">
        <references count="1">
          <reference field="4294967294" count="1" selected="0">
            <x v="0"/>
          </reference>
        </references>
      </pivotArea>
    </format>
    <format dxfId="513">
      <pivotArea field="0" dataOnly="0" labelOnly="1" grandRow="1" outline="0" axis="axisRow" fieldPosition="0">
        <references count="1">
          <reference field="4294967294" count="1" selected="0">
            <x v="1"/>
          </reference>
        </references>
      </pivotArea>
    </format>
    <format dxfId="512">
      <pivotArea field="0" dataOnly="0" labelOnly="1" grandRow="1" outline="0" axis="axisRow" fieldPosition="0">
        <references count="1">
          <reference field="4294967294" count="1" selected="0">
            <x v="2"/>
          </reference>
        </references>
      </pivotArea>
    </format>
    <format dxfId="511">
      <pivotArea field="0" dataOnly="0" labelOnly="1" grandRow="1" outline="0" axis="axisRow" fieldPosition="0">
        <references count="1">
          <reference field="4294967294" count="1" selected="0">
            <x v="3"/>
          </reference>
        </references>
      </pivotArea>
    </format>
    <format dxfId="510">
      <pivotArea field="0" dataOnly="0" labelOnly="1" grandRow="1" outline="0" axis="axisRow" fieldPosition="0">
        <references count="1">
          <reference field="4294967294" count="1" selected="0">
            <x v="4"/>
          </reference>
        </references>
      </pivotArea>
    </format>
    <format dxfId="509">
      <pivotArea field="0" dataOnly="0" labelOnly="1" grandRow="1" outline="0" axis="axisRow" fieldPosition="0">
        <references count="1">
          <reference field="4294967294" count="1" selected="0">
            <x v="5"/>
          </reference>
        </references>
      </pivotArea>
    </format>
    <format dxfId="508">
      <pivotArea field="0" dataOnly="0" labelOnly="1" grandRow="1" outline="0" axis="axisRow" fieldPosition="0">
        <references count="1">
          <reference field="4294967294" count="1" selected="0">
            <x v="6"/>
          </reference>
        </references>
      </pivotArea>
    </format>
    <format dxfId="507">
      <pivotArea dataOnly="0" labelOnly="1" outline="0" fieldPosition="0">
        <references count="2">
          <reference field="4294967294" count="7">
            <x v="0"/>
            <x v="1"/>
            <x v="2"/>
            <x v="3"/>
            <x v="4"/>
            <x v="5"/>
            <x v="6"/>
          </reference>
          <reference field="0" count="1" selected="0">
            <x v="0"/>
          </reference>
        </references>
      </pivotArea>
    </format>
    <format dxfId="506">
      <pivotArea dataOnly="0" labelOnly="1" outline="0" fieldPosition="0">
        <references count="2">
          <reference field="4294967294" count="7">
            <x v="0"/>
            <x v="1"/>
            <x v="2"/>
            <x v="3"/>
            <x v="4"/>
            <x v="5"/>
            <x v="6"/>
          </reference>
          <reference field="0" count="1" selected="0">
            <x v="1"/>
          </reference>
        </references>
      </pivotArea>
    </format>
    <format dxfId="505">
      <pivotArea dataOnly="0" labelOnly="1" outline="0" fieldPosition="0">
        <references count="2">
          <reference field="4294967294" count="7">
            <x v="0"/>
            <x v="1"/>
            <x v="2"/>
            <x v="3"/>
            <x v="4"/>
            <x v="5"/>
            <x v="6"/>
          </reference>
          <reference field="0" count="1" selected="0">
            <x v="2"/>
          </reference>
        </references>
      </pivotArea>
    </format>
    <format dxfId="504">
      <pivotArea dataOnly="0" labelOnly="1" outline="0" fieldPosition="0">
        <references count="2">
          <reference field="4294967294" count="7">
            <x v="0"/>
            <x v="1"/>
            <x v="2"/>
            <x v="3"/>
            <x v="4"/>
            <x v="5"/>
            <x v="6"/>
          </reference>
          <reference field="0" count="1" selected="0">
            <x v="3"/>
          </reference>
        </references>
      </pivotArea>
    </format>
    <format dxfId="503">
      <pivotArea dataOnly="0" labelOnly="1" outline="0" fieldPosition="0">
        <references count="2">
          <reference field="4294967294" count="7">
            <x v="0"/>
            <x v="1"/>
            <x v="2"/>
            <x v="3"/>
            <x v="4"/>
            <x v="5"/>
            <x v="6"/>
          </reference>
          <reference field="0" count="1" selected="0">
            <x v="4"/>
          </reference>
        </references>
      </pivotArea>
    </format>
    <format dxfId="502">
      <pivotArea dataOnly="0" labelOnly="1" outline="0" fieldPosition="0">
        <references count="2">
          <reference field="4294967294" count="7">
            <x v="0"/>
            <x v="1"/>
            <x v="2"/>
            <x v="3"/>
            <x v="4"/>
            <x v="5"/>
            <x v="6"/>
          </reference>
          <reference field="0" count="1" selected="0">
            <x v="5"/>
          </reference>
        </references>
      </pivotArea>
    </format>
    <format dxfId="501">
      <pivotArea dataOnly="0" labelOnly="1" outline="0" fieldPosition="0">
        <references count="2">
          <reference field="4294967294" count="7">
            <x v="0"/>
            <x v="1"/>
            <x v="2"/>
            <x v="3"/>
            <x v="4"/>
            <x v="5"/>
            <x v="6"/>
          </reference>
          <reference field="0" count="1" selected="0">
            <x v="6"/>
          </reference>
        </references>
      </pivotArea>
    </format>
    <format dxfId="500">
      <pivotArea dataOnly="0" labelOnly="1" outline="0" fieldPosition="0">
        <references count="2">
          <reference field="4294967294" count="7">
            <x v="0"/>
            <x v="1"/>
            <x v="2"/>
            <x v="3"/>
            <x v="4"/>
            <x v="5"/>
            <x v="6"/>
          </reference>
          <reference field="0" count="1" selected="0">
            <x v="7"/>
          </reference>
        </references>
      </pivotArea>
    </format>
    <format dxfId="499">
      <pivotArea dataOnly="0" labelOnly="1" outline="0" fieldPosition="0">
        <references count="2">
          <reference field="4294967294" count="7">
            <x v="0"/>
            <x v="1"/>
            <x v="2"/>
            <x v="3"/>
            <x v="4"/>
            <x v="5"/>
            <x v="6"/>
          </reference>
          <reference field="0" count="1" selected="0">
            <x v="8"/>
          </reference>
        </references>
      </pivotArea>
    </format>
    <format dxfId="498">
      <pivotArea dataOnly="0" labelOnly="1" outline="0" fieldPosition="0">
        <references count="2">
          <reference field="4294967294" count="7">
            <x v="0"/>
            <x v="1"/>
            <x v="2"/>
            <x v="3"/>
            <x v="4"/>
            <x v="5"/>
            <x v="6"/>
          </reference>
          <reference field="0" count="1" selected="0">
            <x v="9"/>
          </reference>
        </references>
      </pivotArea>
    </format>
    <format dxfId="497">
      <pivotArea dataOnly="0" labelOnly="1" outline="0" fieldPosition="0">
        <references count="2">
          <reference field="4294967294" count="7">
            <x v="0"/>
            <x v="1"/>
            <x v="2"/>
            <x v="3"/>
            <x v="4"/>
            <x v="5"/>
            <x v="6"/>
          </reference>
          <reference field="0" count="1" selected="0">
            <x v="10"/>
          </reference>
        </references>
      </pivotArea>
    </format>
    <format dxfId="496">
      <pivotArea dataOnly="0" labelOnly="1" outline="0" fieldPosition="0">
        <references count="2">
          <reference field="4294967294" count="7">
            <x v="0"/>
            <x v="1"/>
            <x v="2"/>
            <x v="3"/>
            <x v="4"/>
            <x v="5"/>
            <x v="6"/>
          </reference>
          <reference field="0" count="1" selected="0">
            <x v="11"/>
          </reference>
        </references>
      </pivotArea>
    </format>
    <format dxfId="495">
      <pivotArea dataOnly="0" labelOnly="1" outline="0" fieldPosition="0">
        <references count="2">
          <reference field="4294967294" count="7">
            <x v="0"/>
            <x v="1"/>
            <x v="2"/>
            <x v="3"/>
            <x v="4"/>
            <x v="5"/>
            <x v="6"/>
          </reference>
          <reference field="0" count="1" selected="0">
            <x v="12"/>
          </reference>
        </references>
      </pivotArea>
    </format>
    <format dxfId="494">
      <pivotArea dataOnly="0" labelOnly="1" outline="0" fieldPosition="0">
        <references count="2">
          <reference field="4294967294" count="7">
            <x v="0"/>
            <x v="1"/>
            <x v="2"/>
            <x v="3"/>
            <x v="4"/>
            <x v="5"/>
            <x v="6"/>
          </reference>
          <reference field="0" count="1" selected="0">
            <x v="13"/>
          </reference>
        </references>
      </pivotArea>
    </format>
    <format dxfId="493">
      <pivotArea dataOnly="0" labelOnly="1" outline="0" fieldPosition="0">
        <references count="2">
          <reference field="4294967294" count="7">
            <x v="0"/>
            <x v="1"/>
            <x v="2"/>
            <x v="3"/>
            <x v="4"/>
            <x v="5"/>
            <x v="6"/>
          </reference>
          <reference field="0" count="1" selected="0">
            <x v="14"/>
          </reference>
        </references>
      </pivotArea>
    </format>
    <format dxfId="492">
      <pivotArea dataOnly="0" labelOnly="1" outline="0" fieldPosition="0">
        <references count="2">
          <reference field="4294967294" count="7">
            <x v="0"/>
            <x v="1"/>
            <x v="2"/>
            <x v="3"/>
            <x v="4"/>
            <x v="5"/>
            <x v="6"/>
          </reference>
          <reference field="0" count="1" selected="0">
            <x v="15"/>
          </reference>
        </references>
      </pivotArea>
    </format>
    <format dxfId="491">
      <pivotArea dataOnly="0" labelOnly="1" outline="0" fieldPosition="0">
        <references count="1">
          <reference field="43" count="4">
            <x v="0"/>
            <x v="1"/>
            <x v="2"/>
            <x v="3"/>
          </reference>
        </references>
      </pivotArea>
    </format>
    <format dxfId="490">
      <pivotArea dataOnly="0" labelOnly="1" outline="0" fieldPosition="0">
        <references count="1">
          <reference field="43" count="4" defaultSubtotal="1">
            <x v="0"/>
            <x v="1"/>
            <x v="2"/>
            <x v="3"/>
          </reference>
        </references>
      </pivotArea>
    </format>
    <format dxfId="489">
      <pivotArea dataOnly="0" labelOnly="1" outline="0" fieldPosition="0">
        <references count="2">
          <reference field="4" count="6">
            <x v="0"/>
            <x v="1"/>
            <x v="2"/>
            <x v="3"/>
            <x v="4"/>
            <x v="5"/>
          </reference>
          <reference field="43" count="1" selected="0">
            <x v="0"/>
          </reference>
        </references>
      </pivotArea>
    </format>
    <format dxfId="488">
      <pivotArea dataOnly="0" labelOnly="1" outline="0" fieldPosition="0">
        <references count="2">
          <reference field="4" count="4">
            <x v="6"/>
            <x v="7"/>
            <x v="8"/>
            <x v="9"/>
          </reference>
          <reference field="43" count="1" selected="0">
            <x v="1"/>
          </reference>
        </references>
      </pivotArea>
    </format>
    <format dxfId="487">
      <pivotArea dataOnly="0" labelOnly="1" outline="0" fieldPosition="0">
        <references count="2">
          <reference field="4" count="1">
            <x v="10"/>
          </reference>
          <reference field="43" count="1" selected="0">
            <x v="2"/>
          </reference>
        </references>
      </pivotArea>
    </format>
    <format dxfId="486">
      <pivotArea dataOnly="0" labelOnly="1" outline="0" fieldPosition="0">
        <references count="2">
          <reference field="4" count="2">
            <x v="11"/>
            <x v="12"/>
          </reference>
          <reference field="43" count="1" selected="0">
            <x v="3"/>
          </reference>
        </references>
      </pivotArea>
    </format>
    <format dxfId="485">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484">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483">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482">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481">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480">
      <pivotArea outline="0" collapsedLevelsAreSubtotals="1" fieldPosition="0">
        <references count="4">
          <reference field="4294967294" count="1" selected="0">
            <x v="5"/>
          </reference>
          <reference field="0" count="1" selected="0">
            <x v="5"/>
          </reference>
          <reference field="4" count="1" selected="0">
            <x v="9"/>
          </reference>
          <reference field="43" count="1" selected="0">
            <x v="1"/>
          </reference>
        </references>
      </pivotArea>
    </format>
    <format dxfId="479">
      <pivotArea outline="0" collapsedLevelsAreSubtotals="1" fieldPosition="0">
        <references count="4">
          <reference field="4294967294" count="1" selected="0">
            <x v="5"/>
          </reference>
          <reference field="0" count="1" selected="0">
            <x v="5"/>
          </reference>
          <reference field="4" count="1" selected="0">
            <x v="8"/>
          </reference>
          <reference field="43" count="1" selected="0">
            <x v="1"/>
          </reference>
        </references>
      </pivotArea>
    </format>
    <format dxfId="478">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477">
      <pivotArea outline="0" collapsedLevelsAreSubtotals="1" fieldPosition="0">
        <references count="4">
          <reference field="4294967294" count="1" selected="0">
            <x v="5"/>
          </reference>
          <reference field="0" count="1" selected="0">
            <x v="6"/>
          </reference>
          <reference field="4" count="1" selected="0">
            <x v="11"/>
          </reference>
          <reference field="43" count="1" selected="0">
            <x v="3"/>
          </reference>
        </references>
      </pivotArea>
    </format>
    <format dxfId="476">
      <pivotArea outline="0" collapsedLevelsAreSubtotals="1" fieldPosition="0">
        <references count="4">
          <reference field="4294967294" count="1" selected="0">
            <x v="2"/>
          </reference>
          <reference field="0" count="1" selected="0">
            <x v="10"/>
          </reference>
          <reference field="4" count="1" selected="0">
            <x v="9"/>
          </reference>
          <reference field="43" count="1" selected="0">
            <x v="1"/>
          </reference>
        </references>
      </pivotArea>
    </format>
    <format dxfId="475">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474">
      <pivotArea outline="0" collapsedLevelsAreSubtotals="1" fieldPosition="0">
        <references count="4">
          <reference field="4294967294" count="1" selected="0">
            <x v="5"/>
          </reference>
          <reference field="0" count="1" selected="0">
            <x v="11"/>
          </reference>
          <reference field="4" count="1" selected="0">
            <x v="9"/>
          </reference>
          <reference field="43" count="1" selected="0">
            <x v="1"/>
          </reference>
        </references>
      </pivotArea>
    </format>
    <format dxfId="473">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472">
      <pivotArea outline="0" collapsedLevelsAreSubtotals="1" fieldPosition="0">
        <references count="4">
          <reference field="4294967294" count="1" selected="0">
            <x v="5"/>
          </reference>
          <reference field="0" count="1" selected="0">
            <x v="14"/>
          </reference>
          <reference field="4" count="1" selected="0">
            <x v="10"/>
          </reference>
          <reference field="43" count="1" selected="0">
            <x v="2"/>
          </reference>
        </references>
      </pivotArea>
    </format>
    <format dxfId="471">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470">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469">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468">
      <pivotArea outline="0" collapsedLevelsAreSubtotals="1" fieldPosition="0">
        <references count="4">
          <reference field="4294967294" count="1" selected="0">
            <x v="5"/>
          </reference>
          <reference field="0" count="1" selected="0">
            <x v="5"/>
          </reference>
          <reference field="4" count="2" selected="0">
            <x v="8"/>
            <x v="9"/>
          </reference>
          <reference field="43" count="1" selected="0">
            <x v="1"/>
          </reference>
        </references>
      </pivotArea>
    </format>
    <format dxfId="467">
      <pivotArea outline="0" collapsedLevelsAreSubtotals="1" fieldPosition="0">
        <references count="4">
          <reference field="4294967294" count="1" selected="0">
            <x v="6"/>
          </reference>
          <reference field="0" count="1" selected="0">
            <x v="5"/>
          </reference>
          <reference field="4" count="1" selected="0">
            <x v="9"/>
          </reference>
          <reference field="43" count="1" selected="0">
            <x v="1"/>
          </reference>
        </references>
      </pivotArea>
    </format>
    <format dxfId="466">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465">
      <pivotArea outline="0" collapsedLevelsAreSubtotals="1" fieldPosition="0">
        <references count="4">
          <reference field="4294967294" count="1" selected="0">
            <x v="6"/>
          </reference>
          <reference field="0" count="1" selected="0">
            <x v="6"/>
          </reference>
          <reference field="4" count="1" selected="0">
            <x v="9"/>
          </reference>
          <reference field="43" count="1" selected="0">
            <x v="1"/>
          </reference>
        </references>
      </pivotArea>
    </format>
    <format dxfId="464">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463">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462">
      <pivotArea outline="0" collapsedLevelsAreSubtotals="1" fieldPosition="0">
        <references count="1">
          <reference field="43" count="4" selected="0" defaultSubtotal="1">
            <x v="0"/>
            <x v="1"/>
            <x v="2"/>
            <x v="3"/>
          </reference>
        </references>
      </pivotArea>
    </format>
    <format dxfId="461">
      <pivotArea dataOnly="0" labelOnly="1" outline="0" offset="IV256" fieldPosition="0">
        <references count="1">
          <reference field="43" count="1" defaultSubtotal="1">
            <x v="0"/>
          </reference>
        </references>
      </pivotArea>
    </format>
    <format dxfId="460">
      <pivotArea dataOnly="0" labelOnly="1" outline="0" offset="IV256" fieldPosition="0">
        <references count="1">
          <reference field="43" count="1" defaultSubtotal="1">
            <x v="1"/>
          </reference>
        </references>
      </pivotArea>
    </format>
    <format dxfId="459">
      <pivotArea dataOnly="0" labelOnly="1" outline="0" offset="IV256" fieldPosition="0">
        <references count="1">
          <reference field="43" count="1" defaultSubtotal="1">
            <x v="2"/>
          </reference>
        </references>
      </pivotArea>
    </format>
    <format dxfId="458">
      <pivotArea dataOnly="0" labelOnly="1" outline="0" offset="IV256" fieldPosition="0">
        <references count="1">
          <reference field="43" count="1" defaultSubtotal="1">
            <x v="3"/>
          </reference>
        </references>
      </pivotArea>
    </format>
    <format dxfId="457">
      <pivotArea dataOnly="0" labelOnly="1" outline="0" fieldPosition="0">
        <references count="2">
          <reference field="4" count="6">
            <x v="0"/>
            <x v="1"/>
            <x v="2"/>
            <x v="3"/>
            <x v="4"/>
            <x v="5"/>
          </reference>
          <reference field="43" count="1" selected="0">
            <x v="0"/>
          </reference>
        </references>
      </pivotArea>
    </format>
    <format dxfId="456">
      <pivotArea dataOnly="0" labelOnly="1" outline="0" fieldPosition="0">
        <references count="2">
          <reference field="4" count="4">
            <x v="6"/>
            <x v="7"/>
            <x v="8"/>
            <x v="9"/>
          </reference>
          <reference field="43" count="1" selected="0">
            <x v="1"/>
          </reference>
        </references>
      </pivotArea>
    </format>
    <format dxfId="455">
      <pivotArea dataOnly="0" labelOnly="1" outline="0" fieldPosition="0">
        <references count="2">
          <reference field="4" count="1">
            <x v="10"/>
          </reference>
          <reference field="43" count="1" selected="0">
            <x v="2"/>
          </reference>
        </references>
      </pivotArea>
    </format>
    <format dxfId="454">
      <pivotArea dataOnly="0" labelOnly="1" outline="0" fieldPosition="0">
        <references count="2">
          <reference field="4" count="2">
            <x v="11"/>
            <x v="12"/>
          </reference>
          <reference field="43" count="1" selected="0">
            <x v="3"/>
          </reference>
        </references>
      </pivotArea>
    </format>
    <format dxfId="453">
      <pivotArea outline="0" collapsedLevelsAreSubtotals="1" fieldPosition="0">
        <references count="4">
          <reference field="4294967294" count="1" selected="0">
            <x v="6"/>
          </reference>
          <reference field="0" count="1" selected="0">
            <x v="1"/>
          </reference>
          <reference field="4" count="1" selected="0">
            <x v="1"/>
          </reference>
          <reference field="43" count="1" selected="0">
            <x v="0"/>
          </reference>
        </references>
      </pivotArea>
    </format>
    <format dxfId="452">
      <pivotArea outline="0" collapsedLevelsAreSubtotals="1" fieldPosition="0">
        <references count="4">
          <reference field="4294967294" count="1" selected="0">
            <x v="6"/>
          </reference>
          <reference field="0" count="1" selected="0">
            <x v="1"/>
          </reference>
          <reference field="4" count="1" selected="0">
            <x v="4"/>
          </reference>
          <reference field="43" count="1" selected="0">
            <x v="0"/>
          </reference>
        </references>
      </pivotArea>
    </format>
    <format dxfId="451">
      <pivotArea outline="0" collapsedLevelsAreSubtotals="1" fieldPosition="0">
        <references count="4">
          <reference field="4294967294" count="1" selected="0">
            <x v="6"/>
          </reference>
          <reference field="0" count="1" selected="0">
            <x v="1"/>
          </reference>
          <reference field="4" count="1" selected="0">
            <x v="5"/>
          </reference>
          <reference field="43" count="1" selected="0">
            <x v="0"/>
          </reference>
        </references>
      </pivotArea>
    </format>
    <format dxfId="450">
      <pivotArea outline="0" collapsedLevelsAreSubtotals="1" fieldPosition="0">
        <references count="4">
          <reference field="4294967294" count="1" selected="0">
            <x v="2"/>
          </reference>
          <reference field="0" count="1" selected="0">
            <x v="1"/>
          </reference>
          <reference field="4" count="1" selected="0">
            <x v="1"/>
          </reference>
          <reference field="43" count="1" selected="0">
            <x v="0"/>
          </reference>
        </references>
      </pivotArea>
    </format>
    <format dxfId="449">
      <pivotArea outline="0" collapsedLevelsAreSubtotals="1" fieldPosition="0">
        <references count="4">
          <reference field="4294967294" count="1" selected="0">
            <x v="5"/>
          </reference>
          <reference field="0" count="1" selected="0">
            <x v="1"/>
          </reference>
          <reference field="4" count="1" selected="0">
            <x v="1"/>
          </reference>
          <reference field="43" count="1" selected="0">
            <x v="0"/>
          </reference>
        </references>
      </pivotArea>
    </format>
    <format dxfId="448">
      <pivotArea outline="0" collapsedLevelsAreSubtotals="1" fieldPosition="0">
        <references count="4">
          <reference field="4294967294" count="1" selected="0">
            <x v="5"/>
          </reference>
          <reference field="0" count="1" selected="0">
            <x v="1"/>
          </reference>
          <reference field="4" count="1" selected="0">
            <x v="4"/>
          </reference>
          <reference field="43" count="1" selected="0">
            <x v="0"/>
          </reference>
        </references>
      </pivotArea>
    </format>
    <format dxfId="447">
      <pivotArea outline="0" collapsedLevelsAreSubtotals="1" fieldPosition="0">
        <references count="4">
          <reference field="4294967294" count="1" selected="0">
            <x v="5"/>
          </reference>
          <reference field="0" count="1" selected="0">
            <x v="1"/>
          </reference>
          <reference field="4" count="1" selected="0">
            <x v="8"/>
          </reference>
          <reference field="43" count="1" selected="0">
            <x v="1"/>
          </reference>
        </references>
      </pivotArea>
    </format>
    <format dxfId="446">
      <pivotArea outline="0" collapsedLevelsAreSubtotals="1" fieldPosition="0">
        <references count="4">
          <reference field="4294967294" count="1" selected="0">
            <x v="2"/>
          </reference>
          <reference field="0" count="1" selected="0">
            <x v="1"/>
          </reference>
          <reference field="4" count="1" selected="0">
            <x v="9"/>
          </reference>
          <reference field="43" count="1" selected="0">
            <x v="1"/>
          </reference>
        </references>
      </pivotArea>
    </format>
    <format dxfId="445">
      <pivotArea outline="0" collapsedLevelsAreSubtotals="1" fieldPosition="0">
        <references count="4">
          <reference field="4294967294" count="1" selected="0">
            <x v="5"/>
          </reference>
          <reference field="0" count="1" selected="0">
            <x v="1"/>
          </reference>
          <reference field="4" count="1" selected="0">
            <x v="9"/>
          </reference>
          <reference field="43" count="1" selected="0">
            <x v="1"/>
          </reference>
        </references>
      </pivotArea>
    </format>
    <format dxfId="444">
      <pivotArea outline="0" collapsedLevelsAreSubtotals="1" fieldPosition="0">
        <references count="4">
          <reference field="4294967294" count="1" selected="0">
            <x v="2"/>
          </reference>
          <reference field="0" count="1" selected="0">
            <x v="3"/>
          </reference>
          <reference field="4" count="1" selected="0">
            <x v="8"/>
          </reference>
          <reference field="43" count="1" selected="0">
            <x v="1"/>
          </reference>
        </references>
      </pivotArea>
    </format>
    <format dxfId="443">
      <pivotArea outline="0" collapsedLevelsAreSubtotals="1" fieldPosition="0">
        <references count="4">
          <reference field="4294967294" count="1" selected="0">
            <x v="5"/>
          </reference>
          <reference field="0" count="1" selected="0">
            <x v="3"/>
          </reference>
          <reference field="4" count="1" selected="0">
            <x v="8"/>
          </reference>
          <reference field="43" count="1" selected="0">
            <x v="1"/>
          </reference>
        </references>
      </pivotArea>
    </format>
    <format dxfId="442">
      <pivotArea outline="0" collapsedLevelsAreSubtotals="1" fieldPosition="0">
        <references count="4">
          <reference field="4294967294" count="1" selected="0">
            <x v="6"/>
          </reference>
          <reference field="0" count="1" selected="0">
            <x v="3"/>
          </reference>
          <reference field="4" count="1" selected="0">
            <x v="8"/>
          </reference>
          <reference field="43" count="1" selected="0">
            <x v="1"/>
          </reference>
        </references>
      </pivotArea>
    </format>
    <format dxfId="441">
      <pivotArea outline="0" collapsedLevelsAreSubtotals="1" fieldPosition="0">
        <references count="4">
          <reference field="4294967294" count="1" selected="0">
            <x v="6"/>
          </reference>
          <reference field="0" count="1" selected="0">
            <x v="4"/>
          </reference>
          <reference field="4" count="1" selected="0">
            <x v="8"/>
          </reference>
          <reference field="43" count="1" selected="0">
            <x v="1"/>
          </reference>
        </references>
      </pivotArea>
    </format>
    <format dxfId="440">
      <pivotArea outline="0" collapsedLevelsAreSubtotals="1" fieldPosition="0">
        <references count="4">
          <reference field="4294967294" count="1" selected="0">
            <x v="6"/>
          </reference>
          <reference field="0" count="1" selected="0">
            <x v="4"/>
          </reference>
          <reference field="4" count="1" selected="0">
            <x v="11"/>
          </reference>
          <reference field="43" count="1" selected="0">
            <x v="3"/>
          </reference>
        </references>
      </pivotArea>
    </format>
    <format dxfId="439">
      <pivotArea outline="0" collapsedLevelsAreSubtotals="1" fieldPosition="0">
        <references count="4">
          <reference field="4294967294" count="1" selected="0">
            <x v="6"/>
          </reference>
          <reference field="0" count="1" selected="0">
            <x v="5"/>
          </reference>
          <reference field="4" count="1" selected="0">
            <x v="11"/>
          </reference>
          <reference field="43" count="1" selected="0">
            <x v="3"/>
          </reference>
        </references>
      </pivotArea>
    </format>
    <format dxfId="438">
      <pivotArea outline="0" collapsedLevelsAreSubtotals="1" fieldPosition="0">
        <references count="4">
          <reference field="4294967294" count="1" selected="0">
            <x v="6"/>
          </reference>
          <reference field="0" count="1" selected="0">
            <x v="6"/>
          </reference>
          <reference field="4" count="1" selected="0">
            <x v="5"/>
          </reference>
          <reference field="43" count="1" selected="0">
            <x v="0"/>
          </reference>
        </references>
      </pivotArea>
    </format>
    <format dxfId="437">
      <pivotArea outline="0" collapsedLevelsAreSubtotals="1" fieldPosition="0">
        <references count="4">
          <reference field="4294967294" count="1" selected="0">
            <x v="2"/>
          </reference>
          <reference field="0" count="1" selected="0">
            <x v="6"/>
          </reference>
          <reference field="4" count="1" selected="0">
            <x v="5"/>
          </reference>
          <reference field="43" count="1" selected="0">
            <x v="0"/>
          </reference>
        </references>
      </pivotArea>
    </format>
    <format dxfId="436">
      <pivotArea outline="0" collapsedLevelsAreSubtotals="1" fieldPosition="0">
        <references count="4">
          <reference field="4294967294" count="1" selected="0">
            <x v="5"/>
          </reference>
          <reference field="0" count="1" selected="0">
            <x v="6"/>
          </reference>
          <reference field="4" count="1" selected="0">
            <x v="5"/>
          </reference>
          <reference field="43" count="1" selected="0">
            <x v="0"/>
          </reference>
        </references>
      </pivotArea>
    </format>
    <format dxfId="435">
      <pivotArea outline="0" collapsedLevelsAreSubtotals="1" fieldPosition="0">
        <references count="4">
          <reference field="4294967294" count="1" selected="0">
            <x v="2"/>
          </reference>
          <reference field="0" count="1" selected="0">
            <x v="6"/>
          </reference>
          <reference field="4" count="1" selected="0">
            <x v="9"/>
          </reference>
          <reference field="43" count="1" selected="0">
            <x v="1"/>
          </reference>
        </references>
      </pivotArea>
    </format>
    <format dxfId="434">
      <pivotArea outline="0" collapsedLevelsAreSubtotals="1" fieldPosition="0">
        <references count="4">
          <reference field="4294967294" count="1" selected="0">
            <x v="5"/>
          </reference>
          <reference field="0" count="1" selected="0">
            <x v="6"/>
          </reference>
          <reference field="4" count="1" selected="0">
            <x v="9"/>
          </reference>
          <reference field="43" count="1" selected="0">
            <x v="1"/>
          </reference>
        </references>
      </pivotArea>
    </format>
    <format dxfId="433">
      <pivotArea outline="0" collapsedLevelsAreSubtotals="1" fieldPosition="0">
        <references count="4">
          <reference field="4294967294" count="1" selected="0">
            <x v="6"/>
          </reference>
          <reference field="0" count="1" selected="0">
            <x v="9"/>
          </reference>
          <reference field="4" count="1" selected="0">
            <x v="3"/>
          </reference>
          <reference field="43" count="1" selected="0">
            <x v="0"/>
          </reference>
        </references>
      </pivotArea>
    </format>
    <format dxfId="432">
      <pivotArea outline="0" collapsedLevelsAreSubtotals="1" fieldPosition="0">
        <references count="4">
          <reference field="4294967294" count="1" selected="0">
            <x v="6"/>
          </reference>
          <reference field="0" count="1" selected="0">
            <x v="9"/>
          </reference>
          <reference field="4" count="1" selected="0">
            <x v="8"/>
          </reference>
          <reference field="43" count="1" selected="0">
            <x v="1"/>
          </reference>
        </references>
      </pivotArea>
    </format>
    <format dxfId="431">
      <pivotArea outline="0" collapsedLevelsAreSubtotals="1" fieldPosition="0">
        <references count="4">
          <reference field="4294967294" count="1" selected="0">
            <x v="6"/>
          </reference>
          <reference field="0" count="1" selected="0">
            <x v="9"/>
          </reference>
          <reference field="4" count="1" selected="0">
            <x v="9"/>
          </reference>
          <reference field="43" count="1" selected="0">
            <x v="1"/>
          </reference>
        </references>
      </pivotArea>
    </format>
    <format dxfId="430">
      <pivotArea outline="0" collapsedLevelsAreSubtotals="1" fieldPosition="0">
        <references count="4">
          <reference field="4294967294" count="1" selected="0">
            <x v="2"/>
          </reference>
          <reference field="0" count="1" selected="0">
            <x v="11"/>
          </reference>
          <reference field="4" count="1" selected="0">
            <x v="4"/>
          </reference>
          <reference field="43" count="1" selected="0">
            <x v="0"/>
          </reference>
        </references>
      </pivotArea>
    </format>
    <format dxfId="429">
      <pivotArea outline="0" collapsedLevelsAreSubtotals="1" fieldPosition="0">
        <references count="4">
          <reference field="4294967294" count="1" selected="0">
            <x v="5"/>
          </reference>
          <reference field="0" count="1" selected="0">
            <x v="11"/>
          </reference>
          <reference field="4" count="1" selected="0">
            <x v="4"/>
          </reference>
          <reference field="43" count="1" selected="0">
            <x v="0"/>
          </reference>
        </references>
      </pivotArea>
    </format>
    <format dxfId="428">
      <pivotArea outline="0" collapsedLevelsAreSubtotals="1" fieldPosition="0">
        <references count="4">
          <reference field="4294967294" count="1" selected="0">
            <x v="6"/>
          </reference>
          <reference field="0" count="1" selected="0">
            <x v="11"/>
          </reference>
          <reference field="4" count="1" selected="0">
            <x v="5"/>
          </reference>
          <reference field="43" count="1" selected="0">
            <x v="0"/>
          </reference>
        </references>
      </pivotArea>
    </format>
    <format dxfId="427">
      <pivotArea outline="0" collapsedLevelsAreSubtotals="1" fieldPosition="0">
        <references count="4">
          <reference field="4294967294" count="1" selected="0">
            <x v="6"/>
          </reference>
          <reference field="0" count="1" selected="0">
            <x v="11"/>
          </reference>
          <reference field="4" count="1" selected="0">
            <x v="9"/>
          </reference>
          <reference field="43" count="1" selected="0">
            <x v="1"/>
          </reference>
        </references>
      </pivotArea>
    </format>
    <format dxfId="426">
      <pivotArea outline="0" collapsedLevelsAreSubtotals="1" fieldPosition="0">
        <references count="4">
          <reference field="4294967294" count="1" selected="0">
            <x v="5"/>
          </reference>
          <reference field="0" count="1" selected="0">
            <x v="12"/>
          </reference>
          <reference field="4" count="1" selected="0">
            <x v="0"/>
          </reference>
          <reference field="43" count="1" selected="0">
            <x v="0"/>
          </reference>
        </references>
      </pivotArea>
    </format>
    <format dxfId="425">
      <pivotArea outline="0" collapsedLevelsAreSubtotals="1" fieldPosition="0">
        <references count="4">
          <reference field="4294967294" count="1" selected="0">
            <x v="6"/>
          </reference>
          <reference field="0" count="1" selected="0">
            <x v="12"/>
          </reference>
          <reference field="4" count="1" selected="0">
            <x v="0"/>
          </reference>
          <reference field="43" count="1" selected="0">
            <x v="0"/>
          </reference>
        </references>
      </pivotArea>
    </format>
    <format dxfId="424">
      <pivotArea outline="0" collapsedLevelsAreSubtotals="1" fieldPosition="0">
        <references count="4">
          <reference field="4294967294" count="1" selected="0">
            <x v="2"/>
          </reference>
          <reference field="0" count="1" selected="0">
            <x v="13"/>
          </reference>
          <reference field="4" count="1" selected="0">
            <x v="2"/>
          </reference>
          <reference field="43" count="1" selected="0">
            <x v="0"/>
          </reference>
        </references>
      </pivotArea>
    </format>
    <format dxfId="423">
      <pivotArea outline="0" collapsedLevelsAreSubtotals="1" fieldPosition="0">
        <references count="4">
          <reference field="4294967294" count="1" selected="0">
            <x v="5"/>
          </reference>
          <reference field="0" count="1" selected="0">
            <x v="13"/>
          </reference>
          <reference field="4" count="1" selected="0">
            <x v="2"/>
          </reference>
          <reference field="43" count="1" selected="0">
            <x v="0"/>
          </reference>
        </references>
      </pivotArea>
    </format>
    <format dxfId="422">
      <pivotArea outline="0" collapsedLevelsAreSubtotals="1" fieldPosition="0">
        <references count="4">
          <reference field="4294967294" count="1" selected="0">
            <x v="2"/>
          </reference>
          <reference field="0" count="1" selected="0">
            <x v="13"/>
          </reference>
          <reference field="4" count="1" selected="0">
            <x v="6"/>
          </reference>
          <reference field="43" count="1" selected="0">
            <x v="1"/>
          </reference>
        </references>
      </pivotArea>
    </format>
    <format dxfId="421">
      <pivotArea outline="0" collapsedLevelsAreSubtotals="1" fieldPosition="0">
        <references count="4">
          <reference field="4294967294" count="1" selected="0">
            <x v="5"/>
          </reference>
          <reference field="0" count="1" selected="0">
            <x v="13"/>
          </reference>
          <reference field="4" count="1" selected="0">
            <x v="6"/>
          </reference>
          <reference field="43" count="1" selected="0">
            <x v="1"/>
          </reference>
        </references>
      </pivotArea>
    </format>
    <format dxfId="420">
      <pivotArea outline="0" collapsedLevelsAreSubtotals="1" fieldPosition="0">
        <references count="4">
          <reference field="4294967294" count="1" selected="0">
            <x v="6"/>
          </reference>
          <reference field="0" count="1" selected="0">
            <x v="13"/>
          </reference>
          <reference field="4" count="1" selected="0">
            <x v="6"/>
          </reference>
          <reference field="43" count="1" selected="0">
            <x v="1"/>
          </reference>
        </references>
      </pivotArea>
    </format>
    <format dxfId="419">
      <pivotArea outline="0" collapsedLevelsAreSubtotals="1" fieldPosition="0">
        <references count="4">
          <reference field="4294967294" count="1" selected="0">
            <x v="6"/>
          </reference>
          <reference field="0" count="1" selected="0">
            <x v="14"/>
          </reference>
          <reference field="4" count="1" selected="0">
            <x v="8"/>
          </reference>
          <reference field="43" count="1" selected="0">
            <x v="1"/>
          </reference>
        </references>
      </pivotArea>
    </format>
    <format dxfId="418">
      <pivotArea outline="0" collapsedLevelsAreSubtotals="1" fieldPosition="0">
        <references count="4">
          <reference field="4294967294" count="1" selected="0">
            <x v="6"/>
          </reference>
          <reference field="0" count="1" selected="0">
            <x v="14"/>
          </reference>
          <reference field="4" count="1" selected="0">
            <x v="9"/>
          </reference>
          <reference field="43" count="1" selected="0">
            <x v="1"/>
          </reference>
        </references>
      </pivotArea>
    </format>
    <format dxfId="417">
      <pivotArea outline="0" collapsedLevelsAreSubtotals="1" fieldPosition="0">
        <references count="4">
          <reference field="4294967294" count="1" selected="0">
            <x v="2"/>
          </reference>
          <reference field="0" count="1" selected="0">
            <x v="1"/>
          </reference>
          <reference field="4" count="1" selected="0">
            <x v="5"/>
          </reference>
          <reference field="43" count="1" selected="0">
            <x v="0"/>
          </reference>
        </references>
      </pivotArea>
    </format>
    <format dxfId="416">
      <pivotArea outline="0" collapsedLevelsAreSubtotals="1" fieldPosition="0">
        <references count="4">
          <reference field="4294967294" count="1" selected="0">
            <x v="5"/>
          </reference>
          <reference field="0" count="1" selected="0">
            <x v="1"/>
          </reference>
          <reference field="4" count="1" selected="0">
            <x v="5"/>
          </reference>
          <reference field="43" count="1" selected="0">
            <x v="0"/>
          </reference>
        </references>
      </pivotArea>
    </format>
    <format dxfId="415">
      <pivotArea outline="0" fieldPosition="0">
        <references count="4">
          <reference field="4294967294" count="1" selected="0">
            <x v="2"/>
          </reference>
          <reference field="0" count="1" selected="0">
            <x v="14"/>
          </reference>
          <reference field="4" count="2" selected="0">
            <x v="8"/>
            <x v="9"/>
          </reference>
          <reference field="43" count="1" selected="0">
            <x v="1"/>
          </reference>
        </references>
      </pivotArea>
    </format>
    <format dxfId="414">
      <pivotArea outline="0" fieldPosition="0">
        <references count="4">
          <reference field="4294967294" count="1" selected="0">
            <x v="5"/>
          </reference>
          <reference field="0" count="1" selected="0">
            <x v="14"/>
          </reference>
          <reference field="4" count="2" selected="0">
            <x v="8"/>
            <x v="9"/>
          </reference>
          <reference field="43" count="1" selected="0">
            <x v="1"/>
          </reference>
        </references>
      </pivotArea>
    </format>
    <format dxfId="413">
      <pivotArea outline="0" fieldPosition="0">
        <references count="4">
          <reference field="4294967294" count="1" selected="0">
            <x v="5"/>
          </reference>
          <reference field="0" count="1" selected="0">
            <x v="9"/>
          </reference>
          <reference field="4" count="2" selected="0">
            <x v="8"/>
            <x v="9"/>
          </reference>
          <reference field="43" count="1" selected="0">
            <x v="1"/>
          </reference>
        </references>
      </pivotArea>
    </format>
    <format dxfId="412">
      <pivotArea outline="0" fieldPosition="0">
        <references count="4">
          <reference field="4294967294" count="1" selected="0">
            <x v="2"/>
          </reference>
          <reference field="0" count="1" selected="0">
            <x v="9"/>
          </reference>
          <reference field="4" count="2" selected="0">
            <x v="8"/>
            <x v="9"/>
          </reference>
          <reference field="43" count="1" selected="0">
            <x v="1"/>
          </reference>
        </references>
      </pivotArea>
    </format>
    <format dxfId="411">
      <pivotArea outline="0" fieldPosition="0">
        <references count="4">
          <reference field="4294967294" count="1" selected="0">
            <x v="2"/>
          </reference>
          <reference field="0" count="1" selected="0">
            <x v="1"/>
          </reference>
          <reference field="4" count="1" selected="0">
            <x v="4"/>
          </reference>
          <reference field="43" count="1" selected="0">
            <x v="0"/>
          </reference>
        </references>
      </pivotArea>
    </format>
    <format dxfId="410">
      <pivotArea outline="0" fieldPosition="0">
        <references count="3">
          <reference field="4294967294" count="1" selected="0">
            <x v="2"/>
          </reference>
          <reference field="0" count="1" selected="0">
            <x v="1"/>
          </reference>
          <reference field="43" count="1" selected="0" defaultSubtotal="1">
            <x v="1"/>
          </reference>
        </references>
      </pivotArea>
    </format>
    <format dxfId="409">
      <pivotArea outline="0" fieldPosition="0">
        <references count="4">
          <reference field="4294967294" count="1" selected="0">
            <x v="2"/>
          </reference>
          <reference field="0" count="1" selected="0">
            <x v="1"/>
          </reference>
          <reference field="4" count="1" selected="0">
            <x v="8"/>
          </reference>
          <reference field="43"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AFACAD7-475B-488B-B4E4-83C7C61E9923}" name="PivotTable3" cacheId="906" dataOnRows="1" applyNumberFormats="0" applyBorderFormats="0" applyFontFormats="0" applyPatternFormats="0" applyAlignmentFormats="0" applyWidthHeightFormats="1" dataCaption="Values" updatedVersion="8" minRefreshableVersion="3" useAutoFormatting="1" itemPrintTitles="1" createdVersion="6" indent="0" outline="1" outlineData="1">
  <location ref="A2:AD208" firstHeaderRow="1" firstDataRow="3" firstDataCol="2"/>
  <pivotFields count="58">
    <pivotField axis="axisRow" outline="0" subtotalTop="0" showAll="0">
      <items count="17">
        <item x="0"/>
        <item x="1"/>
        <item x="2"/>
        <item x="3"/>
        <item x="4"/>
        <item x="5"/>
        <item x="6"/>
        <item x="7"/>
        <item x="8"/>
        <item x="9"/>
        <item x="10"/>
        <item x="11"/>
        <item x="12"/>
        <item x="13"/>
        <item x="14"/>
        <item x="15"/>
        <item t="default"/>
      </items>
    </pivotField>
    <pivotField subtotalTop="0" showAll="0"/>
    <pivotField subtotalTop="0" showAll="0"/>
    <pivotField subtotalTop="0" showAll="0"/>
    <pivotField axis="axisCol" outline="0" subtotalTop="0" showAll="0" includeNewItemsInFilter="1">
      <items count="20">
        <item x="0"/>
        <item x="1"/>
        <item x="2"/>
        <item x="3"/>
        <item x="4"/>
        <item x="11"/>
        <item x="12"/>
        <item x="5"/>
        <item x="6"/>
        <item x="7"/>
        <item x="14"/>
        <item x="8"/>
        <item x="9"/>
        <item m="1" x="18"/>
        <item x="15"/>
        <item x="16"/>
        <item x="17"/>
        <item x="13"/>
        <item x="1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subtotalTop="0" showAll="0"/>
    <pivotField dataField="1"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dataField="1" numFmtId="3" subtotalTop="0" showAll="0"/>
    <pivotField dataField="1" subtotalTop="0" showAll="0"/>
    <pivotField dataField="1" dragToRow="0" dragToCol="0" dragToPage="0" showAll="0" defaultSubtotal="0"/>
    <pivotField axis="axisCol" subtotalCaption="? Total" outline="0" showAll="0" includeNewItemsInFilter="1">
      <items count="11">
        <item n="Four-Year" x="5"/>
        <item n="Two-Year" x="6"/>
        <item x="0"/>
        <item n="Technical" x="7"/>
        <item x="1"/>
        <item x="2"/>
        <item x="3"/>
        <item x="4"/>
        <item x="8"/>
        <item x="9"/>
        <item t="default"/>
      </items>
    </pivotField>
    <pivotField dataField="1" dragToRow="0" dragToCol="0" dragToPage="0" showAll="0" defaultSubtotal="0"/>
    <pivotField dataField="1" dragToRow="0" dragToCol="0" dragToPage="0" showAll="0" defaultSubtotal="0"/>
    <pivotField dataField="1" dragToRow="0" dragToCol="0" dragToPage="0" showAll="0" defaultSubtotal="0"/>
  </pivotFields>
  <rowFields count="2">
    <field x="0"/>
    <field x="-2"/>
  </rowFields>
  <rowItems count="204">
    <i>
      <x/>
      <x/>
    </i>
    <i r="1" i="1">
      <x v="1"/>
    </i>
    <i r="1" i="2">
      <x v="2"/>
    </i>
    <i r="1" i="3">
      <x v="3"/>
    </i>
    <i r="1" i="4">
      <x v="4"/>
    </i>
    <i r="1" i="5">
      <x v="5"/>
    </i>
    <i r="1" i="6">
      <x v="6"/>
    </i>
    <i r="1" i="7">
      <x v="7"/>
    </i>
    <i r="1" i="8">
      <x v="8"/>
    </i>
    <i r="1" i="9">
      <x v="9"/>
    </i>
    <i r="1" i="10">
      <x v="10"/>
    </i>
    <i r="1" i="11">
      <x v="11"/>
    </i>
    <i>
      <x v="1"/>
      <x/>
    </i>
    <i r="1" i="1">
      <x v="1"/>
    </i>
    <i r="1" i="2">
      <x v="2"/>
    </i>
    <i r="1" i="3">
      <x v="3"/>
    </i>
    <i r="1" i="4">
      <x v="4"/>
    </i>
    <i r="1" i="5">
      <x v="5"/>
    </i>
    <i r="1" i="6">
      <x v="6"/>
    </i>
    <i r="1" i="7">
      <x v="7"/>
    </i>
    <i r="1" i="8">
      <x v="8"/>
    </i>
    <i r="1" i="9">
      <x v="9"/>
    </i>
    <i r="1" i="10">
      <x v="10"/>
    </i>
    <i r="1" i="11">
      <x v="11"/>
    </i>
    <i>
      <x v="2"/>
      <x/>
    </i>
    <i r="1" i="1">
      <x v="1"/>
    </i>
    <i r="1" i="2">
      <x v="2"/>
    </i>
    <i r="1" i="3">
      <x v="3"/>
    </i>
    <i r="1" i="4">
      <x v="4"/>
    </i>
    <i r="1" i="5">
      <x v="5"/>
    </i>
    <i r="1" i="6">
      <x v="6"/>
    </i>
    <i r="1" i="7">
      <x v="7"/>
    </i>
    <i r="1" i="8">
      <x v="8"/>
    </i>
    <i r="1" i="9">
      <x v="9"/>
    </i>
    <i r="1" i="10">
      <x v="10"/>
    </i>
    <i r="1" i="11">
      <x v="11"/>
    </i>
    <i>
      <x v="3"/>
      <x/>
    </i>
    <i r="1" i="1">
      <x v="1"/>
    </i>
    <i r="1" i="2">
      <x v="2"/>
    </i>
    <i r="1" i="3">
      <x v="3"/>
    </i>
    <i r="1" i="4">
      <x v="4"/>
    </i>
    <i r="1" i="5">
      <x v="5"/>
    </i>
    <i r="1" i="6">
      <x v="6"/>
    </i>
    <i r="1" i="7">
      <x v="7"/>
    </i>
    <i r="1" i="8">
      <x v="8"/>
    </i>
    <i r="1" i="9">
      <x v="9"/>
    </i>
    <i r="1" i="10">
      <x v="10"/>
    </i>
    <i r="1" i="11">
      <x v="11"/>
    </i>
    <i>
      <x v="4"/>
      <x/>
    </i>
    <i r="1" i="1">
      <x v="1"/>
    </i>
    <i r="1" i="2">
      <x v="2"/>
    </i>
    <i r="1" i="3">
      <x v="3"/>
    </i>
    <i r="1" i="4">
      <x v="4"/>
    </i>
    <i r="1" i="5">
      <x v="5"/>
    </i>
    <i r="1" i="6">
      <x v="6"/>
    </i>
    <i r="1" i="7">
      <x v="7"/>
    </i>
    <i r="1" i="8">
      <x v="8"/>
    </i>
    <i r="1" i="9">
      <x v="9"/>
    </i>
    <i r="1" i="10">
      <x v="10"/>
    </i>
    <i r="1" i="11">
      <x v="11"/>
    </i>
    <i>
      <x v="5"/>
      <x/>
    </i>
    <i r="1" i="1">
      <x v="1"/>
    </i>
    <i r="1" i="2">
      <x v="2"/>
    </i>
    <i r="1" i="3">
      <x v="3"/>
    </i>
    <i r="1" i="4">
      <x v="4"/>
    </i>
    <i r="1" i="5">
      <x v="5"/>
    </i>
    <i r="1" i="6">
      <x v="6"/>
    </i>
    <i r="1" i="7">
      <x v="7"/>
    </i>
    <i r="1" i="8">
      <x v="8"/>
    </i>
    <i r="1" i="9">
      <x v="9"/>
    </i>
    <i r="1" i="10">
      <x v="10"/>
    </i>
    <i r="1" i="11">
      <x v="11"/>
    </i>
    <i>
      <x v="6"/>
      <x/>
    </i>
    <i r="1" i="1">
      <x v="1"/>
    </i>
    <i r="1" i="2">
      <x v="2"/>
    </i>
    <i r="1" i="3">
      <x v="3"/>
    </i>
    <i r="1" i="4">
      <x v="4"/>
    </i>
    <i r="1" i="5">
      <x v="5"/>
    </i>
    <i r="1" i="6">
      <x v="6"/>
    </i>
    <i r="1" i="7">
      <x v="7"/>
    </i>
    <i r="1" i="8">
      <x v="8"/>
    </i>
    <i r="1" i="9">
      <x v="9"/>
    </i>
    <i r="1" i="10">
      <x v="10"/>
    </i>
    <i r="1" i="11">
      <x v="11"/>
    </i>
    <i>
      <x v="7"/>
      <x/>
    </i>
    <i r="1" i="1">
      <x v="1"/>
    </i>
    <i r="1" i="2">
      <x v="2"/>
    </i>
    <i r="1" i="3">
      <x v="3"/>
    </i>
    <i r="1" i="4">
      <x v="4"/>
    </i>
    <i r="1" i="5">
      <x v="5"/>
    </i>
    <i r="1" i="6">
      <x v="6"/>
    </i>
    <i r="1" i="7">
      <x v="7"/>
    </i>
    <i r="1" i="8">
      <x v="8"/>
    </i>
    <i r="1" i="9">
      <x v="9"/>
    </i>
    <i r="1" i="10">
      <x v="10"/>
    </i>
    <i r="1" i="11">
      <x v="11"/>
    </i>
    <i>
      <x v="8"/>
      <x/>
    </i>
    <i r="1" i="1">
      <x v="1"/>
    </i>
    <i r="1" i="2">
      <x v="2"/>
    </i>
    <i r="1" i="3">
      <x v="3"/>
    </i>
    <i r="1" i="4">
      <x v="4"/>
    </i>
    <i r="1" i="5">
      <x v="5"/>
    </i>
    <i r="1" i="6">
      <x v="6"/>
    </i>
    <i r="1" i="7">
      <x v="7"/>
    </i>
    <i r="1" i="8">
      <x v="8"/>
    </i>
    <i r="1" i="9">
      <x v="9"/>
    </i>
    <i r="1" i="10">
      <x v="10"/>
    </i>
    <i r="1" i="11">
      <x v="11"/>
    </i>
    <i>
      <x v="9"/>
      <x/>
    </i>
    <i r="1" i="1">
      <x v="1"/>
    </i>
    <i r="1" i="2">
      <x v="2"/>
    </i>
    <i r="1" i="3">
      <x v="3"/>
    </i>
    <i r="1" i="4">
      <x v="4"/>
    </i>
    <i r="1" i="5">
      <x v="5"/>
    </i>
    <i r="1" i="6">
      <x v="6"/>
    </i>
    <i r="1" i="7">
      <x v="7"/>
    </i>
    <i r="1" i="8">
      <x v="8"/>
    </i>
    <i r="1" i="9">
      <x v="9"/>
    </i>
    <i r="1" i="10">
      <x v="10"/>
    </i>
    <i r="1" i="11">
      <x v="11"/>
    </i>
    <i>
      <x v="10"/>
      <x/>
    </i>
    <i r="1" i="1">
      <x v="1"/>
    </i>
    <i r="1" i="2">
      <x v="2"/>
    </i>
    <i r="1" i="3">
      <x v="3"/>
    </i>
    <i r="1" i="4">
      <x v="4"/>
    </i>
    <i r="1" i="5">
      <x v="5"/>
    </i>
    <i r="1" i="6">
      <x v="6"/>
    </i>
    <i r="1" i="7">
      <x v="7"/>
    </i>
    <i r="1" i="8">
      <x v="8"/>
    </i>
    <i r="1" i="9">
      <x v="9"/>
    </i>
    <i r="1" i="10">
      <x v="10"/>
    </i>
    <i r="1" i="11">
      <x v="11"/>
    </i>
    <i>
      <x v="11"/>
      <x/>
    </i>
    <i r="1" i="1">
      <x v="1"/>
    </i>
    <i r="1" i="2">
      <x v="2"/>
    </i>
    <i r="1" i="3">
      <x v="3"/>
    </i>
    <i r="1" i="4">
      <x v="4"/>
    </i>
    <i r="1" i="5">
      <x v="5"/>
    </i>
    <i r="1" i="6">
      <x v="6"/>
    </i>
    <i r="1" i="7">
      <x v="7"/>
    </i>
    <i r="1" i="8">
      <x v="8"/>
    </i>
    <i r="1" i="9">
      <x v="9"/>
    </i>
    <i r="1" i="10">
      <x v="10"/>
    </i>
    <i r="1" i="11">
      <x v="11"/>
    </i>
    <i>
      <x v="12"/>
      <x/>
    </i>
    <i r="1" i="1">
      <x v="1"/>
    </i>
    <i r="1" i="2">
      <x v="2"/>
    </i>
    <i r="1" i="3">
      <x v="3"/>
    </i>
    <i r="1" i="4">
      <x v="4"/>
    </i>
    <i r="1" i="5">
      <x v="5"/>
    </i>
    <i r="1" i="6">
      <x v="6"/>
    </i>
    <i r="1" i="7">
      <x v="7"/>
    </i>
    <i r="1" i="8">
      <x v="8"/>
    </i>
    <i r="1" i="9">
      <x v="9"/>
    </i>
    <i r="1" i="10">
      <x v="10"/>
    </i>
    <i r="1" i="11">
      <x v="11"/>
    </i>
    <i>
      <x v="13"/>
      <x/>
    </i>
    <i r="1" i="1">
      <x v="1"/>
    </i>
    <i r="1" i="2">
      <x v="2"/>
    </i>
    <i r="1" i="3">
      <x v="3"/>
    </i>
    <i r="1" i="4">
      <x v="4"/>
    </i>
    <i r="1" i="5">
      <x v="5"/>
    </i>
    <i r="1" i="6">
      <x v="6"/>
    </i>
    <i r="1" i="7">
      <x v="7"/>
    </i>
    <i r="1" i="8">
      <x v="8"/>
    </i>
    <i r="1" i="9">
      <x v="9"/>
    </i>
    <i r="1" i="10">
      <x v="10"/>
    </i>
    <i r="1" i="11">
      <x v="11"/>
    </i>
    <i>
      <x v="14"/>
      <x/>
    </i>
    <i r="1" i="1">
      <x v="1"/>
    </i>
    <i r="1" i="2">
      <x v="2"/>
    </i>
    <i r="1" i="3">
      <x v="3"/>
    </i>
    <i r="1" i="4">
      <x v="4"/>
    </i>
    <i r="1" i="5">
      <x v="5"/>
    </i>
    <i r="1" i="6">
      <x v="6"/>
    </i>
    <i r="1" i="7">
      <x v="7"/>
    </i>
    <i r="1" i="8">
      <x v="8"/>
    </i>
    <i r="1" i="9">
      <x v="9"/>
    </i>
    <i r="1" i="10">
      <x v="10"/>
    </i>
    <i r="1" i="11">
      <x v="11"/>
    </i>
    <i>
      <x v="15"/>
      <x/>
    </i>
    <i r="1" i="1">
      <x v="1"/>
    </i>
    <i r="1" i="2">
      <x v="2"/>
    </i>
    <i r="1" i="3">
      <x v="3"/>
    </i>
    <i r="1" i="4">
      <x v="4"/>
    </i>
    <i r="1" i="5">
      <x v="5"/>
    </i>
    <i r="1" i="6">
      <x v="6"/>
    </i>
    <i r="1" i="7">
      <x v="7"/>
    </i>
    <i r="1" i="8">
      <x v="8"/>
    </i>
    <i r="1" i="9">
      <x v="9"/>
    </i>
    <i r="1" i="10">
      <x v="10"/>
    </i>
    <i r="1" i="11">
      <x v="11"/>
    </i>
    <i t="grand">
      <x/>
    </i>
    <i t="grand" i="1">
      <x/>
    </i>
    <i t="grand" i="2">
      <x/>
    </i>
    <i t="grand" i="3">
      <x/>
    </i>
    <i t="grand" i="4">
      <x/>
    </i>
    <i t="grand" i="5">
      <x/>
    </i>
    <i t="grand" i="6">
      <x/>
    </i>
    <i t="grand" i="7">
      <x/>
    </i>
    <i t="grand" i="8">
      <x/>
    </i>
    <i t="grand" i="9">
      <x/>
    </i>
    <i t="grand" i="10">
      <x/>
    </i>
    <i t="grand" i="11">
      <x/>
    </i>
  </rowItems>
  <colFields count="2">
    <field x="54"/>
    <field x="4"/>
  </colFields>
  <colItems count="28">
    <i>
      <x/>
      <x/>
    </i>
    <i r="1">
      <x v="1"/>
    </i>
    <i r="1">
      <x v="2"/>
    </i>
    <i r="1">
      <x v="3"/>
    </i>
    <i r="1">
      <x v="4"/>
    </i>
    <i r="1">
      <x v="5"/>
    </i>
    <i t="default">
      <x/>
    </i>
    <i>
      <x v="1"/>
      <x v="6"/>
    </i>
    <i r="1">
      <x v="7"/>
    </i>
    <i r="1">
      <x v="8"/>
    </i>
    <i r="1">
      <x v="9"/>
    </i>
    <i t="default">
      <x v="1"/>
    </i>
    <i>
      <x v="2"/>
      <x v="10"/>
    </i>
    <i t="default">
      <x v="2"/>
    </i>
    <i>
      <x v="3"/>
      <x v="11"/>
    </i>
    <i r="1">
      <x v="12"/>
    </i>
    <i t="default">
      <x v="3"/>
    </i>
    <i>
      <x v="5"/>
      <x v="14"/>
    </i>
    <i t="default">
      <x v="5"/>
    </i>
    <i>
      <x v="6"/>
      <x v="15"/>
    </i>
    <i t="default">
      <x v="6"/>
    </i>
    <i>
      <x v="7"/>
      <x v="16"/>
    </i>
    <i t="default">
      <x v="7"/>
    </i>
    <i>
      <x v="8"/>
      <x v="17"/>
    </i>
    <i t="default">
      <x v="8"/>
    </i>
    <i>
      <x v="9"/>
      <x v="18"/>
    </i>
    <i t="default">
      <x v="9"/>
    </i>
    <i t="grand">
      <x/>
    </i>
  </colItems>
  <dataFields count="12">
    <dataField name="Sum of Old-Total Undg SCH FTE" fld="16" baseField="0" baseItem="0" numFmtId="3"/>
    <dataField name="Sum of New-Total Undg SCH FTE" fld="18" baseField="0" baseItem="0" numFmtId="3"/>
    <dataField name="Sum of % Change Undergrad SCH FTE" fld="57" baseField="0" baseItem="0" numFmtId="3"/>
    <dataField name="Sum of Old-Total Undg CH FTE" fld="32" baseField="0" baseItem="0" numFmtId="3"/>
    <dataField name="Sum of New-Total Undg CH FTE" fld="34" baseField="0" baseItem="0" numFmtId="3"/>
    <dataField name="Sum of % Change Undergrad CH FTE" fld="56" baseField="0" baseItem="0" numFmtId="3"/>
    <dataField name="Sum of Old-Total Grad FTE" fld="48" baseField="0" baseItem="0" numFmtId="3"/>
    <dataField name="Sum of New-Total Grad FTE" fld="50" baseField="0" baseItem="0" numFmtId="3"/>
    <dataField name="Sum of % Change Graduate FTE" fld="55" baseField="0" baseItem="0" numFmtId="3"/>
    <dataField name="Sum of Old Grand Total FTE" fld="51" baseField="0" baseItem="0" numFmtId="3"/>
    <dataField name="Sum of New Grand Total FTE" fld="52" baseField="0" baseItem="0" numFmtId="3"/>
    <dataField name="Sum of % Change Grand Total FTE" fld="53" baseField="0" baseItem="0" numFmtId="3"/>
  </dataFields>
  <formats count="14">
    <format dxfId="681">
      <pivotArea field="54" grandRow="1" outline="0" collapsedLevelsAreSubtotals="1" axis="axisCol" fieldPosition="0">
        <references count="3">
          <reference field="4294967294" count="1" selected="0">
            <x v="5"/>
          </reference>
          <reference field="4" count="1" selected="0">
            <x v="6"/>
          </reference>
          <reference field="54" count="1" selected="0">
            <x v="1"/>
          </reference>
        </references>
      </pivotArea>
    </format>
    <format dxfId="680">
      <pivotArea field="54" grandRow="1" outline="0" collapsedLevelsAreSubtotals="1" axis="axisCol" fieldPosition="0">
        <references count="3">
          <reference field="4294967294" count="1" selected="0">
            <x v="5"/>
          </reference>
          <reference field="4" count="1" selected="0">
            <x v="10"/>
          </reference>
          <reference field="54" count="1" selected="0">
            <x v="2"/>
          </reference>
        </references>
      </pivotArea>
    </format>
    <format dxfId="679">
      <pivotArea collapsedLevelsAreSubtotals="1" fieldPosition="0">
        <references count="4">
          <reference field="4294967294" count="1">
            <x v="5"/>
          </reference>
          <reference field="0" count="1" selected="0">
            <x v="13"/>
          </reference>
          <reference field="4" count="1" selected="0">
            <x v="6"/>
          </reference>
          <reference field="54" count="1" selected="0">
            <x v="1"/>
          </reference>
        </references>
      </pivotArea>
    </format>
    <format dxfId="678">
      <pivotArea collapsedLevelsAreSubtotals="1" fieldPosition="0">
        <references count="4">
          <reference field="4294967294" count="1">
            <x v="5"/>
          </reference>
          <reference field="0" count="1" selected="0">
            <x v="13"/>
          </reference>
          <reference field="4" count="1" selected="0">
            <x v="8"/>
          </reference>
          <reference field="54" count="1" selected="0">
            <x v="1"/>
          </reference>
        </references>
      </pivotArea>
    </format>
    <format dxfId="677">
      <pivotArea collapsedLevelsAreSubtotals="1" fieldPosition="0">
        <references count="4">
          <reference field="4294967294" count="1">
            <x v="8"/>
          </reference>
          <reference field="0" count="1" selected="0">
            <x v="9"/>
          </reference>
          <reference field="4" count="1" selected="0">
            <x v="3"/>
          </reference>
          <reference field="54" count="1" selected="0">
            <x v="0"/>
          </reference>
        </references>
      </pivotArea>
    </format>
    <format dxfId="676">
      <pivotArea collapsedLevelsAreSubtotals="1" fieldPosition="0">
        <references count="4">
          <reference field="4294967294" count="1">
            <x v="8"/>
          </reference>
          <reference field="0" count="1" selected="0">
            <x v="8"/>
          </reference>
          <reference field="4" count="1" selected="0">
            <x v="4"/>
          </reference>
          <reference field="54" count="1" selected="0">
            <x v="0"/>
          </reference>
        </references>
      </pivotArea>
    </format>
    <format dxfId="675">
      <pivotArea collapsedLevelsAreSubtotals="1" fieldPosition="0">
        <references count="4">
          <reference field="4294967294" count="1">
            <x v="8"/>
          </reference>
          <reference field="0" count="1" selected="0">
            <x v="6"/>
          </reference>
          <reference field="4" count="1" selected="0">
            <x v="4"/>
          </reference>
          <reference field="54" count="1" selected="0">
            <x v="0"/>
          </reference>
        </references>
      </pivotArea>
    </format>
    <format dxfId="674">
      <pivotArea collapsedLevelsAreSubtotals="1" fieldPosition="0">
        <references count="4">
          <reference field="4294967294" count="1">
            <x v="11"/>
          </reference>
          <reference field="0" count="1" selected="0">
            <x v="6"/>
          </reference>
          <reference field="4" count="1" selected="0">
            <x v="4"/>
          </reference>
          <reference field="54" count="1" selected="0">
            <x v="0"/>
          </reference>
        </references>
      </pivotArea>
    </format>
    <format dxfId="673">
      <pivotArea collapsedLevelsAreSubtotals="1" fieldPosition="0">
        <references count="4">
          <reference field="4294967294" count="1">
            <x v="8"/>
          </reference>
          <reference field="0" count="1" selected="0">
            <x v="6"/>
          </reference>
          <reference field="4" count="1" selected="0">
            <x v="3"/>
          </reference>
          <reference field="54" count="1" selected="0">
            <x v="0"/>
          </reference>
        </references>
      </pivotArea>
    </format>
    <format dxfId="672">
      <pivotArea collapsedLevelsAreSubtotals="1" fieldPosition="0">
        <references count="4">
          <reference field="4294967294" count="1">
            <x v="8"/>
          </reference>
          <reference field="0" count="1" selected="0">
            <x v="4"/>
          </reference>
          <reference field="4" count="1" selected="0">
            <x v="4"/>
          </reference>
          <reference field="54" count="1" selected="0">
            <x v="0"/>
          </reference>
        </references>
      </pivotArea>
    </format>
    <format dxfId="671">
      <pivotArea collapsedLevelsAreSubtotals="1" fieldPosition="0">
        <references count="4">
          <reference field="4294967294" count="1">
            <x v="8"/>
          </reference>
          <reference field="0" count="1" selected="0">
            <x v="2"/>
          </reference>
          <reference field="4" count="1" selected="0">
            <x v="2"/>
          </reference>
          <reference field="54" count="1" selected="0">
            <x v="0"/>
          </reference>
        </references>
      </pivotArea>
    </format>
    <format dxfId="670">
      <pivotArea collapsedLevelsAreSubtotals="1" fieldPosition="0">
        <references count="4">
          <reference field="4294967294" count="1">
            <x v="11"/>
          </reference>
          <reference field="0" count="1" selected="0">
            <x v="4"/>
          </reference>
          <reference field="4" count="1" selected="0">
            <x v="7"/>
          </reference>
          <reference field="54" count="1" selected="0">
            <x v="1"/>
          </reference>
        </references>
      </pivotArea>
    </format>
    <format dxfId="669">
      <pivotArea collapsedLevelsAreSubtotals="1" fieldPosition="0">
        <references count="4">
          <reference field="4294967294" count="1">
            <x v="11"/>
          </reference>
          <reference field="0" count="1" selected="0">
            <x v="5"/>
          </reference>
          <reference field="4" count="1" selected="0">
            <x v="7"/>
          </reference>
          <reference field="54" count="1" selected="0">
            <x v="1"/>
          </reference>
        </references>
      </pivotArea>
    </format>
    <format dxfId="668">
      <pivotArea collapsedLevelsAreSubtotals="1" fieldPosition="0">
        <references count="4">
          <reference field="4294967294" count="1">
            <x v="2"/>
          </reference>
          <reference field="0" count="1" selected="0">
            <x v="4"/>
          </reference>
          <reference field="4" count="1" selected="0">
            <x v="7"/>
          </reference>
          <reference field="54"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ual07_5" connectionId="1" xr16:uid="{44B9661F-CD40-4D16-88A9-60BBC4B7BF0B}"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ual07_1" connectionId="1" xr16:uid="{AFB892CA-FB3A-4D42-B71B-F8C40645A949}"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SCH15ug1" connectionId="2" xr16:uid="{240AB046-274D-4D72-88B5-5C5A26DA5EAE}"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ual07_3" connectionId="1" xr16:uid="{4712915F-4140-4F42-9703-84A1697842CF}"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SCH15ug1_1" connectionId="3" xr16:uid="{FEC7F0B7-A6D5-4337-8ED1-FEF48E4AA55A}"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ual07_4" connectionId="1" xr16:uid="{0B0CABF2-984C-429D-B4F6-54B4C74E0BE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queryTable" Target="../queryTables/queryTable4.xml"/><Relationship Id="rId5" Type="http://schemas.openxmlformats.org/officeDocument/2006/relationships/queryTable" Target="../queryTables/queryTable3.xml"/><Relationship Id="rId4" Type="http://schemas.openxmlformats.org/officeDocument/2006/relationships/queryTable" Target="../queryTables/queryTable2.xml"/><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16"/>
  </sheetPr>
  <dimension ref="A1:CJ244"/>
  <sheetViews>
    <sheetView showZeros="0" view="pageBreakPreview" topLeftCell="A189" zoomScale="80" zoomScaleNormal="80" zoomScaleSheetLayoutView="80" workbookViewId="0">
      <selection activeCell="BC144" sqref="BC1:BD1048576"/>
    </sheetView>
  </sheetViews>
  <sheetFormatPr defaultColWidth="9.33203125" defaultRowHeight="12.75"/>
  <cols>
    <col min="1" max="1" width="16.83203125" style="1" customWidth="1"/>
    <col min="2" max="2" width="12.1640625" style="1" customWidth="1"/>
    <col min="3" max="3" width="12" style="1" customWidth="1"/>
    <col min="4" max="4" width="12.1640625" style="1" customWidth="1"/>
    <col min="5" max="5" width="11.6640625" style="1" customWidth="1"/>
    <col min="6" max="6" width="12.83203125" style="1" customWidth="1"/>
    <col min="7" max="7" width="11.6640625" style="1" customWidth="1"/>
    <col min="8" max="8" width="11.83203125" style="1" customWidth="1"/>
    <col min="9" max="9" width="11.6640625" style="1" customWidth="1"/>
    <col min="10" max="10" width="11.1640625" style="1" customWidth="1"/>
    <col min="11" max="11" width="11.6640625" style="1" customWidth="1"/>
    <col min="12" max="12" width="9" style="1" customWidth="1"/>
    <col min="13" max="13" width="9.6640625" style="1" customWidth="1"/>
    <col min="14" max="14" width="12.1640625" style="1" bestFit="1" customWidth="1"/>
    <col min="15" max="15" width="9.6640625" style="1" customWidth="1"/>
    <col min="16" max="16" width="12" style="1" hidden="1" customWidth="1"/>
    <col min="17" max="17" width="12.33203125" style="1" hidden="1" customWidth="1"/>
    <col min="18" max="18" width="14.6640625" style="1" hidden="1" customWidth="1"/>
    <col min="19" max="19" width="15.6640625" style="1" hidden="1" customWidth="1"/>
    <col min="20" max="20" width="13.6640625" style="1" hidden="1" customWidth="1"/>
    <col min="21" max="21" width="13.83203125" style="1" hidden="1" customWidth="1"/>
    <col min="22" max="22" width="12.33203125" style="1" hidden="1" customWidth="1"/>
    <col min="23" max="23" width="12.83203125" style="1" hidden="1" customWidth="1"/>
    <col min="24" max="24" width="11.33203125" style="1" hidden="1" customWidth="1"/>
    <col min="25" max="26" width="13.33203125" style="1" hidden="1" customWidth="1"/>
    <col min="27" max="27" width="12.1640625" style="1" hidden="1" customWidth="1"/>
    <col min="28" max="28" width="12.5" style="1" hidden="1" customWidth="1"/>
    <col min="29" max="29" width="16.33203125" style="1" hidden="1" customWidth="1"/>
    <col min="30" max="30" width="9.83203125" style="1" hidden="1" customWidth="1"/>
    <col min="31" max="31" width="11.5" style="1" hidden="1" customWidth="1"/>
    <col min="32" max="32" width="10.83203125" style="1" hidden="1" customWidth="1"/>
    <col min="33" max="33" width="10" style="1" hidden="1" customWidth="1"/>
    <col min="34" max="34" width="11.1640625" style="1" hidden="1" customWidth="1"/>
    <col min="35" max="35" width="13.1640625" style="1" hidden="1" customWidth="1"/>
    <col min="36" max="36" width="13.5" style="1" hidden="1" customWidth="1"/>
    <col min="37" max="37" width="9.5" style="1" hidden="1" customWidth="1"/>
    <col min="38" max="38" width="12.5" style="1" hidden="1" customWidth="1"/>
    <col min="39" max="39" width="10" style="1" hidden="1" customWidth="1"/>
    <col min="40" max="40" width="11.5" style="1" hidden="1" customWidth="1"/>
    <col min="41" max="41" width="13.5" style="1" hidden="1" customWidth="1"/>
    <col min="42" max="42" width="12" style="1" hidden="1" customWidth="1"/>
    <col min="43" max="43" width="13" style="1" hidden="1" customWidth="1"/>
    <col min="44" max="44" width="17.5" style="1" hidden="1" customWidth="1"/>
    <col min="45" max="45" width="9.5" style="1" hidden="1" customWidth="1"/>
    <col min="46" max="46" width="11" style="1" hidden="1" customWidth="1"/>
    <col min="47" max="48" width="0" style="1" hidden="1" customWidth="1"/>
    <col min="49" max="49" width="11.1640625" style="1" hidden="1" customWidth="1"/>
    <col min="50" max="50" width="0" style="1" hidden="1" customWidth="1"/>
    <col min="51" max="52" width="15.1640625" style="1" hidden="1" customWidth="1"/>
    <col min="53" max="56" width="0" style="1" hidden="1" customWidth="1"/>
    <col min="57" max="57" width="12.33203125" style="1" customWidth="1"/>
    <col min="58" max="16384" width="9.33203125" style="1"/>
  </cols>
  <sheetData>
    <row r="1" spans="1:50" ht="18">
      <c r="A1" s="116" t="s">
        <v>673</v>
      </c>
      <c r="B1" s="117"/>
      <c r="C1" s="117"/>
      <c r="D1" s="117"/>
      <c r="E1" s="117"/>
      <c r="F1" s="117"/>
      <c r="G1" s="117"/>
      <c r="H1" s="117"/>
      <c r="I1" s="117"/>
      <c r="J1" s="117"/>
      <c r="K1" s="117"/>
      <c r="L1" s="117"/>
      <c r="M1" s="117"/>
      <c r="N1" s="118"/>
      <c r="O1" s="119"/>
    </row>
    <row r="2" spans="1:50" ht="13.5" customHeight="1">
      <c r="A2" s="120"/>
      <c r="B2" s="120"/>
      <c r="C2" s="120"/>
      <c r="D2" s="120"/>
      <c r="E2" s="120"/>
      <c r="F2" s="120"/>
      <c r="G2" s="120"/>
      <c r="H2" s="120"/>
      <c r="I2" s="120"/>
      <c r="J2" s="120"/>
      <c r="K2" s="120"/>
      <c r="L2" s="120"/>
      <c r="M2" s="120"/>
      <c r="N2" s="121"/>
      <c r="O2" s="119"/>
    </row>
    <row r="3" spans="1:50" ht="15.75">
      <c r="A3" s="122" t="s">
        <v>674</v>
      </c>
      <c r="B3" s="119"/>
      <c r="C3" s="119"/>
      <c r="D3" s="119"/>
      <c r="E3" s="119"/>
      <c r="F3" s="119"/>
      <c r="G3" s="119"/>
      <c r="H3" s="119"/>
      <c r="I3" s="119"/>
      <c r="J3" s="119"/>
      <c r="K3" s="119"/>
      <c r="L3" s="119"/>
      <c r="M3" s="119"/>
      <c r="N3" s="119"/>
      <c r="O3" s="121"/>
    </row>
    <row r="4" spans="1:50" ht="15.75">
      <c r="A4" s="122" t="s">
        <v>937</v>
      </c>
      <c r="B4" s="119"/>
      <c r="C4" s="119"/>
      <c r="D4" s="119"/>
      <c r="E4" s="119"/>
      <c r="F4" s="119"/>
      <c r="G4" s="119"/>
      <c r="H4" s="119"/>
      <c r="I4" s="119"/>
      <c r="J4" s="119"/>
      <c r="K4" s="119"/>
      <c r="L4" s="119"/>
      <c r="M4" s="119"/>
      <c r="N4" s="123"/>
      <c r="O4" s="119"/>
    </row>
    <row r="5" spans="1:50" ht="12.75" customHeight="1">
      <c r="Q5" s="3" t="s">
        <v>675</v>
      </c>
      <c r="AI5" s="61" t="s">
        <v>676</v>
      </c>
      <c r="AR5" s="61" t="s">
        <v>676</v>
      </c>
    </row>
    <row r="6" spans="1:50" ht="15" customHeight="1">
      <c r="A6" s="124"/>
      <c r="B6" s="125" t="s">
        <v>667</v>
      </c>
      <c r="C6" s="126"/>
      <c r="D6" s="126"/>
      <c r="E6" s="126"/>
      <c r="F6" s="126"/>
      <c r="G6" s="126"/>
      <c r="H6" s="127"/>
      <c r="I6" s="128"/>
      <c r="J6" s="128"/>
      <c r="K6" s="128"/>
      <c r="L6" s="128"/>
      <c r="M6" s="128"/>
      <c r="N6" s="128"/>
      <c r="O6" s="128"/>
      <c r="Q6" s="61" t="s">
        <v>677</v>
      </c>
      <c r="AI6" s="4" t="s">
        <v>678</v>
      </c>
      <c r="AR6" s="4" t="s">
        <v>678</v>
      </c>
    </row>
    <row r="7" spans="1:50" ht="17.25" customHeight="1">
      <c r="A7" s="129"/>
      <c r="B7" s="130">
        <v>1</v>
      </c>
      <c r="C7" s="119"/>
      <c r="D7" s="131">
        <v>2</v>
      </c>
      <c r="E7" s="119"/>
      <c r="F7" s="131">
        <v>3</v>
      </c>
      <c r="G7" s="119"/>
      <c r="H7" s="131">
        <v>4</v>
      </c>
      <c r="I7" s="132"/>
      <c r="J7" s="131">
        <v>5</v>
      </c>
      <c r="K7" s="132"/>
      <c r="L7" s="131">
        <v>6</v>
      </c>
      <c r="M7" s="132"/>
      <c r="N7" s="131" t="s">
        <v>679</v>
      </c>
      <c r="O7" s="132"/>
      <c r="P7" s="133"/>
      <c r="Q7" s="134"/>
      <c r="R7" s="134" t="s">
        <v>680</v>
      </c>
      <c r="S7" s="134"/>
      <c r="T7" s="135">
        <v>2</v>
      </c>
      <c r="U7" s="134"/>
      <c r="V7" s="135">
        <v>3</v>
      </c>
      <c r="W7" s="134"/>
      <c r="X7" s="135">
        <v>4</v>
      </c>
      <c r="Y7" s="134"/>
      <c r="Z7" s="135">
        <v>5</v>
      </c>
      <c r="AA7" s="134"/>
      <c r="AB7" s="135">
        <v>6</v>
      </c>
      <c r="AC7" s="134"/>
      <c r="AD7" s="135" t="s">
        <v>681</v>
      </c>
      <c r="AE7" s="134"/>
      <c r="AI7" s="136" t="s">
        <v>680</v>
      </c>
      <c r="AJ7" s="136">
        <v>2</v>
      </c>
      <c r="AK7" s="136">
        <v>3</v>
      </c>
      <c r="AL7" s="136">
        <v>4</v>
      </c>
      <c r="AM7" s="136">
        <v>5</v>
      </c>
      <c r="AN7" s="136">
        <v>6</v>
      </c>
      <c r="AO7" s="136" t="s">
        <v>679</v>
      </c>
      <c r="AR7" s="136" t="s">
        <v>680</v>
      </c>
      <c r="AS7" s="136">
        <v>2</v>
      </c>
      <c r="AT7" s="136">
        <v>3</v>
      </c>
      <c r="AU7" s="136">
        <v>4</v>
      </c>
      <c r="AV7" s="136">
        <v>5</v>
      </c>
      <c r="AW7" s="136">
        <v>6</v>
      </c>
      <c r="AX7" s="136" t="s">
        <v>679</v>
      </c>
    </row>
    <row r="8" spans="1:50" ht="77.25" customHeight="1">
      <c r="A8" s="137"/>
      <c r="B8" s="138" t="s">
        <v>682</v>
      </c>
      <c r="C8" s="139" t="s">
        <v>683</v>
      </c>
      <c r="D8" s="140" t="s">
        <v>682</v>
      </c>
      <c r="E8" s="139" t="s">
        <v>683</v>
      </c>
      <c r="F8" s="140" t="s">
        <v>682</v>
      </c>
      <c r="G8" s="139" t="s">
        <v>683</v>
      </c>
      <c r="H8" s="140" t="s">
        <v>682</v>
      </c>
      <c r="I8" s="139" t="s">
        <v>683</v>
      </c>
      <c r="J8" s="140" t="s">
        <v>682</v>
      </c>
      <c r="K8" s="139" t="s">
        <v>683</v>
      </c>
      <c r="L8" s="140" t="s">
        <v>682</v>
      </c>
      <c r="M8" s="139" t="s">
        <v>683</v>
      </c>
      <c r="N8" s="140" t="s">
        <v>682</v>
      </c>
      <c r="O8" s="139" t="s">
        <v>683</v>
      </c>
      <c r="P8" s="133"/>
      <c r="Q8" s="141"/>
      <c r="R8" s="142" t="s">
        <v>684</v>
      </c>
      <c r="S8" s="142" t="s">
        <v>685</v>
      </c>
      <c r="T8" s="143" t="s">
        <v>684</v>
      </c>
      <c r="U8" s="142" t="s">
        <v>685</v>
      </c>
      <c r="V8" s="143" t="s">
        <v>684</v>
      </c>
      <c r="W8" s="142" t="s">
        <v>685</v>
      </c>
      <c r="X8" s="143" t="s">
        <v>684</v>
      </c>
      <c r="Y8" s="142" t="s">
        <v>685</v>
      </c>
      <c r="Z8" s="143" t="s">
        <v>684</v>
      </c>
      <c r="AA8" s="142" t="s">
        <v>685</v>
      </c>
      <c r="AB8" s="143" t="s">
        <v>684</v>
      </c>
      <c r="AC8" s="142" t="s">
        <v>685</v>
      </c>
      <c r="AD8" s="143" t="s">
        <v>684</v>
      </c>
      <c r="AE8" s="142" t="s">
        <v>685</v>
      </c>
      <c r="AI8" s="144" t="s">
        <v>686</v>
      </c>
      <c r="AJ8" s="144" t="s">
        <v>686</v>
      </c>
      <c r="AK8" s="144" t="s">
        <v>686</v>
      </c>
      <c r="AL8" s="144" t="s">
        <v>686</v>
      </c>
      <c r="AM8" s="144" t="s">
        <v>686</v>
      </c>
      <c r="AN8" s="144" t="s">
        <v>686</v>
      </c>
      <c r="AO8" s="144" t="s">
        <v>686</v>
      </c>
      <c r="AR8" s="144" t="s">
        <v>686</v>
      </c>
      <c r="AS8" s="144" t="s">
        <v>686</v>
      </c>
      <c r="AT8" s="144" t="s">
        <v>686</v>
      </c>
      <c r="AU8" s="144" t="s">
        <v>686</v>
      </c>
      <c r="AV8" s="144" t="s">
        <v>686</v>
      </c>
      <c r="AW8" s="144" t="s">
        <v>686</v>
      </c>
      <c r="AX8" s="144" t="s">
        <v>686</v>
      </c>
    </row>
    <row r="9" spans="1:50" ht="15" customHeight="1">
      <c r="A9" s="1" t="s">
        <v>687</v>
      </c>
      <c r="B9" s="145">
        <f>+GETPIVOTDATA("Sum of New-Total Undg SCH FTE",'FTE Pivot for regular counts'!$A$2,"Category",1,"Category2","Group1")</f>
        <v>840084</v>
      </c>
      <c r="C9" s="146"/>
      <c r="D9" s="147">
        <f>+GETPIVOTDATA("Sum of New-Total Undg SCH FTE",'FTE Pivot for regular counts'!$A$2,"Category",2,"Category2","Four-Year")</f>
        <v>201892.23333333337</v>
      </c>
      <c r="E9" s="146"/>
      <c r="F9" s="148">
        <f>+GETPIVOTDATA("Sum of New-Total Undg SCH FTE",'FTE Pivot for regular counts'!$A$2,"Category",3,"Category2","Four-Year")</f>
        <v>472153.88333333336</v>
      </c>
      <c r="G9" s="146"/>
      <c r="H9" s="148">
        <f>+GETPIVOTDATA("Sum of New-Total Undg SCH FTE",'FTE Pivot for regular counts'!$A$2,"Category",4,"Category2","Four-Year")</f>
        <v>148027.4</v>
      </c>
      <c r="I9" s="146"/>
      <c r="J9" s="148">
        <f>+GETPIVOTDATA("Sum of New-Total Undg SCH FTE",'FTE Pivot for regular counts'!$A$2,"Category",5,"Category2","Four-Year")</f>
        <v>55671.666666666664</v>
      </c>
      <c r="K9" s="146"/>
      <c r="L9" s="148">
        <f>+GETPIVOTDATA("Sum of New-Total Undg SCH FTE",'FTE Pivot for regular counts'!$A$2,"Category",6,"Category2","Four-Year")</f>
        <v>51325.316666666673</v>
      </c>
      <c r="M9" s="146"/>
      <c r="N9" s="148">
        <f>+GETPIVOTDATA("Sum of New-Total Undg SCH FTE",'FTE Pivot for regular counts'!$A$2,"Category2","Four-Year")</f>
        <v>1769154.5</v>
      </c>
      <c r="O9" s="146"/>
      <c r="Q9" s="1" t="s">
        <v>687</v>
      </c>
      <c r="R9" s="149"/>
      <c r="S9" s="150">
        <f>(C9-R9)*100</f>
        <v>0</v>
      </c>
      <c r="T9" s="151"/>
      <c r="U9" s="150">
        <f>(E9-T9)*100</f>
        <v>0</v>
      </c>
      <c r="V9" s="151"/>
      <c r="W9" s="150">
        <f>(G9-V9)*100</f>
        <v>0</v>
      </c>
      <c r="X9" s="151"/>
      <c r="Y9" s="150">
        <f>(I9-X9)*100</f>
        <v>0</v>
      </c>
      <c r="Z9" s="151"/>
      <c r="AA9" s="150">
        <f>(K9-Z9)*100</f>
        <v>0</v>
      </c>
      <c r="AB9" s="151"/>
      <c r="AC9" s="150">
        <f>(M9-AB9)*100</f>
        <v>0</v>
      </c>
      <c r="AD9" s="151"/>
      <c r="AE9" s="150">
        <f>(O9-AD9)*100</f>
        <v>0</v>
      </c>
      <c r="AF9" s="1" t="s">
        <v>687</v>
      </c>
      <c r="AH9" s="152" t="s">
        <v>687</v>
      </c>
      <c r="AQ9" s="152" t="s">
        <v>687</v>
      </c>
    </row>
    <row r="10" spans="1:50" ht="12.75" customHeight="1">
      <c r="B10" s="153"/>
      <c r="C10" s="154" t="s">
        <v>756</v>
      </c>
      <c r="D10" s="155"/>
      <c r="E10" s="154" t="s">
        <v>757</v>
      </c>
      <c r="F10" s="155"/>
      <c r="G10" s="154" t="s">
        <v>758</v>
      </c>
      <c r="H10" s="155"/>
      <c r="I10" s="154" t="s">
        <v>759</v>
      </c>
      <c r="J10" s="155"/>
      <c r="K10" s="154" t="s">
        <v>760</v>
      </c>
      <c r="L10" s="155"/>
      <c r="M10" s="154" t="s">
        <v>761</v>
      </c>
      <c r="N10" s="155"/>
      <c r="O10" s="154" t="s">
        <v>762</v>
      </c>
      <c r="R10" s="156" t="s">
        <v>688</v>
      </c>
      <c r="S10" s="157"/>
      <c r="T10" s="158" t="s">
        <v>689</v>
      </c>
      <c r="U10" s="157"/>
      <c r="V10" s="158" t="s">
        <v>690</v>
      </c>
      <c r="W10" s="157"/>
      <c r="X10" s="158" t="s">
        <v>691</v>
      </c>
      <c r="Y10" s="157"/>
      <c r="Z10" s="158" t="s">
        <v>692</v>
      </c>
      <c r="AA10" s="157"/>
      <c r="AB10" s="158" t="s">
        <v>693</v>
      </c>
      <c r="AC10" s="157"/>
      <c r="AD10" s="158" t="s">
        <v>694</v>
      </c>
      <c r="AE10" s="157"/>
      <c r="AH10" s="152"/>
      <c r="AQ10" s="152"/>
    </row>
    <row r="11" spans="1:50" ht="15" customHeight="1">
      <c r="A11" s="1" t="s">
        <v>695</v>
      </c>
      <c r="B11" s="159">
        <f>+GETPIVOTDATA("Sum of New-Total Undg SCH FTE",'FTE Pivot for regular counts'!$A$2,"State","AL","Category",1,"Category2","Four-Year")</f>
        <v>63148.03333333334</v>
      </c>
      <c r="C11" s="160">
        <f>+GETPIVOTDATA("Sum of New-HS % of Total",'Pivot-HS Student % of Undergrad'!$A$3,"State","AL","Category",1,"Category2","Four-Year")</f>
        <v>7.2905506861387645E-3</v>
      </c>
      <c r="D11" s="148">
        <f>+GETPIVOTDATA("Sum of New-Total Undg SCH FTE",'FTE Pivot for regular counts'!$A$2,"State","AL","Category",2,"Category2","Four-Year")</f>
        <v>14299.066666666666</v>
      </c>
      <c r="E11" s="160">
        <f>+GETPIVOTDATA("Sum of New-HS % of Total",'Pivot-HS Student % of Undergrad'!$A$3,"State","AL","Category",2,"Category2","Four-Year")</f>
        <v>5.85119774717231E-3</v>
      </c>
      <c r="F11" s="148">
        <f>+GETPIVOTDATA("Sum of New-Total Undg SCH FTE",'FTE Pivot for regular counts'!$A$2,"State","AL","Category",3,"Category2","Four-Year")</f>
        <v>29378.600000000002</v>
      </c>
      <c r="G11" s="160">
        <f>+GETPIVOTDATA("Sum of New-HS % of Total",'Pivot-HS Student % of Undergrad'!$A$3,"State","AL","Category",3,"Category2","Four-Year")</f>
        <v>1.612738523959617E-2</v>
      </c>
      <c r="H11" s="148">
        <f>+GETPIVOTDATA("Sum of New-Total Undg SCH FTE",'FTE Pivot for regular counts'!$A$2,"State","AL","Category",4,"Category2","Four-Year")</f>
        <v>5201.3999999999996</v>
      </c>
      <c r="I11" s="160">
        <f>+GETPIVOTDATA("Sum of New-HS % of Total",'Pivot-HS Student % of Undergrad'!$A$3,"State","AL","Category",4,"Category2","Four-Year")</f>
        <v>2.5634124146063238E-3</v>
      </c>
      <c r="J11" s="148">
        <f>+GETPIVOTDATA("Sum of New-Total Undg SCH FTE",'FTE Pivot for regular counts'!$A$2,"State","AL","Category",5,"Category2","Four-Year")</f>
        <v>4093.3666666666668</v>
      </c>
      <c r="K11" s="160">
        <f>+GETPIVOTDATA("Sum of New-HS % of Total",'Pivot-HS Student % of Undergrad'!$A$3,"State","AL","Category",5,"Category2","Four-Year")</f>
        <v>1.3843535476095472E-3</v>
      </c>
      <c r="L11" s="148">
        <f>+GETPIVOTDATA("Sum of New-Total Undg SCH FTE",'FTE Pivot for regular counts'!$A$2,"State","AL","Category",6,"Category2","Four-Year")</f>
        <v>0</v>
      </c>
      <c r="M11" s="160">
        <f>+GETPIVOTDATA("Sum of New-HS % of Total",'Pivot-HS Student % of Undergrad'!$A$3,"State","AL","Category",6,"Category2","Four-Year")</f>
        <v>0</v>
      </c>
      <c r="N11" s="148">
        <f>+GETPIVOTDATA("Sum of New-Total Undg SCH FTE",'FTE Pivot for regular counts'!$A$2,"State","AL","Category2","Four-Year")</f>
        <v>116120.46666666667</v>
      </c>
      <c r="O11" s="160">
        <f>+GETPIVOTDATA("Sum of New-HS % of Total",'Pivot-HS Student % of Undergrad'!$A$3,"State","AL","Category2","Group1")</f>
        <v>8.9193155485373359E-3</v>
      </c>
      <c r="Q11" s="1" t="s">
        <v>695</v>
      </c>
      <c r="R11" s="161">
        <f>+GETPIVOTDATA("Sum of Old-HS % of Total",'Pivot-HS Student % of Undergrad'!$A$3,"State","AL","Category",1,"Category2","Four-Year")</f>
        <v>7.112174162770709E-3</v>
      </c>
      <c r="S11" s="162">
        <f>(C11-R11)*100</f>
        <v>1.7837652336805555E-2</v>
      </c>
      <c r="T11" s="151">
        <f>+GETPIVOTDATA("Sum of Old-HS % of Total",'Pivot-HS Student % of Undergrad'!$A$3,"State","AL","Category",2,"Category2","Four-Year")</f>
        <v>3.922653768249084E-3</v>
      </c>
      <c r="U11" s="162">
        <f t="shared" ref="U11:U29" si="0">(E11-T11)*100</f>
        <v>0.19285439789232259</v>
      </c>
      <c r="V11" s="151">
        <f>GETPIVOTDATA("Sum of Old-HS % of Total",'Pivot-HS Student % of Undergrad'!$A$3,"State","AL","Category",3,"Category2","Four-Year")</f>
        <v>1.3324444726622435E-2</v>
      </c>
      <c r="W11" s="162">
        <f t="shared" ref="W11:W29" si="1">(G11-V11)*100</f>
        <v>0.2802940512973735</v>
      </c>
      <c r="X11" s="151">
        <f>+GETPIVOTDATA("Sum of Old-HS % of Total",'Pivot-HS Student % of Undergrad'!$A$3,"State","AL","Category",4,"Category2","Four-Year")</f>
        <v>1.452868261746901E-3</v>
      </c>
      <c r="Y11" s="162">
        <f t="shared" ref="Y11:Y29" si="2">(I11-X11)*100</f>
        <v>0.11105441528594229</v>
      </c>
      <c r="Z11" s="151">
        <f>+GETPIVOTDATA("Sum of Old-HS % of Total",'Pivot-HS Student % of Undergrad'!$A$3,"State","AL","Category",5,"Category2","Four-Year")</f>
        <v>1.7830912675658056E-3</v>
      </c>
      <c r="AA11" s="162">
        <f t="shared" ref="AA11:AA29" si="3">(K11-Z11)*100</f>
        <v>-3.9873771995625834E-2</v>
      </c>
      <c r="AB11" s="151">
        <f>+GETPIVOTDATA("Sum of Old-HS % of Total",'Pivot-HS Student % of Undergrad'!$A$3,"State","AL","Category",6,"Category2","Four-Year")</f>
        <v>0</v>
      </c>
      <c r="AC11" s="162">
        <f t="shared" ref="AC11:AC29" si="4">(M11-AB11)*100</f>
        <v>0</v>
      </c>
      <c r="AD11" s="151">
        <f>+GETPIVOTDATA("Sum of Old-HS % of Total",'Pivot-HS Student % of Undergrad'!$A$3,"State","AL","Category2","Four-Year")</f>
        <v>7.8672586828802352E-3</v>
      </c>
      <c r="AE11" s="162">
        <f t="shared" ref="AE11:AE29" si="5">(O11-AD11)*100</f>
        <v>0.10520568656571007</v>
      </c>
      <c r="AF11" s="1" t="s">
        <v>695</v>
      </c>
      <c r="AH11" s="152" t="s">
        <v>695</v>
      </c>
      <c r="AI11" s="163">
        <f>C11*100</f>
        <v>0.72905506861387648</v>
      </c>
      <c r="AJ11" s="163">
        <f>E11*100</f>
        <v>0.58511977471723098</v>
      </c>
      <c r="AK11" s="163">
        <f>G11*100</f>
        <v>1.612738523959617</v>
      </c>
      <c r="AL11" s="163">
        <f>I11*100</f>
        <v>0.25634124146063236</v>
      </c>
      <c r="AM11" s="163">
        <f>K11*100</f>
        <v>0.13843535476095473</v>
      </c>
      <c r="AN11" s="163">
        <f>M11*100</f>
        <v>0</v>
      </c>
      <c r="AO11" s="163">
        <f>O11*100</f>
        <v>0.89193155485373354</v>
      </c>
      <c r="AQ11" s="152" t="s">
        <v>695</v>
      </c>
      <c r="AR11" s="163">
        <f>R11*100</f>
        <v>0.71121741627707091</v>
      </c>
      <c r="AS11" s="163">
        <f>T11*100</f>
        <v>0.39226537682490842</v>
      </c>
      <c r="AT11" s="163">
        <f>V11*100</f>
        <v>1.3324444726622435</v>
      </c>
      <c r="AU11" s="163">
        <f>X11*100</f>
        <v>0.1452868261746901</v>
      </c>
      <c r="AV11" s="163">
        <f>Z11*100</f>
        <v>0.17830912675658056</v>
      </c>
      <c r="AW11" s="163">
        <f>AB11*100</f>
        <v>0</v>
      </c>
      <c r="AX11" s="163">
        <f>AD11*100</f>
        <v>0.78672586828802349</v>
      </c>
    </row>
    <row r="12" spans="1:50" ht="15" customHeight="1">
      <c r="A12" s="1" t="s">
        <v>696</v>
      </c>
      <c r="B12" s="159">
        <f>+GETPIVOTDATA("Sum of New-Total Undg SCH FTE",'FTE Pivot for regular counts'!$A$2,"State","AR","Category",1,"Category2","Four-Year")</f>
        <v>22192.799999999999</v>
      </c>
      <c r="C12" s="160">
        <f>+GETPIVOTDATA("Sum of New-HS % of Total",'Pivot-HS Student % of Undergrad'!$A$3,"State","AR","Category",1,"Category2","Four-Year")</f>
        <v>1.74230681422203E-4</v>
      </c>
      <c r="D12" s="148">
        <f>+GETPIVOTDATA("Sum of New-Total Undg SCH FTE",'FTE Pivot for regular counts'!$A$2,"State","AR","Category",2,"Category2","Four-Year")</f>
        <v>4920.3666666666668</v>
      </c>
      <c r="E12" s="160">
        <f>+GETPIVOTDATA("Sum of New-HS % of Total",'Pivot-HS Student % of Undergrad'!$A$3,"State","AR","Category",2,"Category2","Four-Year")</f>
        <v>6.1052360596432514E-2</v>
      </c>
      <c r="F12" s="148">
        <f>+GETPIVOTDATA("Sum of New-Total Undg SCH FTE",'FTE Pivot for regular counts'!$A$2,"State","AR","Category",3,"Category2","Four-Year")</f>
        <v>22155.766666666666</v>
      </c>
      <c r="G12" s="160">
        <f>+GETPIVOTDATA("Sum of New-HS % of Total",'Pivot-HS Student % of Undergrad'!$A$3,"State","AR","Category",3,"Category2","Four-Year")</f>
        <v>4.7367652966195405E-2</v>
      </c>
      <c r="H12" s="148">
        <f>+GETPIVOTDATA("Sum of New-Total Undg SCH FTE",'FTE Pivot for regular counts'!$A$2,"State","AR","Category",4,"Category2","Four-Year")</f>
        <v>7313.7333333333336</v>
      </c>
      <c r="I12" s="160">
        <f>+GETPIVOTDATA("Sum of New-HS % of Total",'Pivot-HS Student % of Undergrad'!$A$3,"State","AR","Category",4,"Category2","Four-Year")</f>
        <v>2.4469946949118554E-2</v>
      </c>
      <c r="J12" s="148">
        <f>+GETPIVOTDATA("Sum of New-Total Undg SCH FTE",'FTE Pivot for regular counts'!$A$2,"State","AR","Category",5,"Category2","Four-Year")</f>
        <v>0</v>
      </c>
      <c r="K12" s="160">
        <f>+GETPIVOTDATA("Sum of New-HS % of Total",'Pivot-HS Student % of Undergrad'!$A$3,"State","AR","Category",5,"Category2","Four-Year")</f>
        <v>0</v>
      </c>
      <c r="L12" s="148">
        <f>+GETPIVOTDATA("Sum of New-Total Undg SCH FTE",'FTE Pivot for regular counts'!$A$2,"State","AR","Category",6,"Category2","Four-Year")</f>
        <v>6526.8333333333339</v>
      </c>
      <c r="M12" s="160">
        <f>+GETPIVOTDATA("Sum of New-HS % of Total",'Pivot-HS Student % of Undergrad'!$A$3,"State","AR","Category",6,"Category2","Four-Year")</f>
        <v>7.5207476826434458E-2</v>
      </c>
      <c r="N12" s="148">
        <f>+GETPIVOTDATA("Sum of New-Total Undg SCH FTE",'FTE Pivot for regular counts'!$A$2,"State","AR","Category2","Four-Year")</f>
        <v>63109.500000000007</v>
      </c>
      <c r="O12" s="160">
        <f>+GETPIVOTDATA("Sum of New-HS % of Total",'Pivot-HS Student % of Undergrad'!$A$3,"State","AR","Category2","Group1")</f>
        <v>3.2064374882809506E-2</v>
      </c>
      <c r="Q12" s="1" t="s">
        <v>696</v>
      </c>
      <c r="R12" s="161">
        <f>+GETPIVOTDATA("Sum of Old-HS % of Total",'Pivot-HS Student % of Undergrad'!$A$3,"State","AR","Category",1,"Category2","Four-Year")</f>
        <v>1.6203516163007373E-4</v>
      </c>
      <c r="S12" s="164">
        <f>(C12-R12)*100</f>
        <v>1.2195519792129262E-3</v>
      </c>
      <c r="T12" s="151">
        <f>+GETPIVOTDATA("Sum of Old-HS % of Total",'Pivot-HS Student % of Undergrad'!$A$3,"State","AR","Category",2,"Category2","Four-Year")</f>
        <v>6.0077028022263272E-2</v>
      </c>
      <c r="U12" s="162">
        <f t="shared" si="0"/>
        <v>9.7533257416924229E-2</v>
      </c>
      <c r="V12" s="151">
        <f>+GETPIVOTDATA("Sum of Old-HS % of Total",'Pivot-HS Student % of Undergrad'!$A$3,"State","AR","Category",3,"Category2","Four-Year")</f>
        <v>4.700293290969082E-2</v>
      </c>
      <c r="W12" s="162">
        <f t="shared" si="1"/>
        <v>3.6472005650458467E-2</v>
      </c>
      <c r="X12" s="151">
        <f>+GETPIVOTDATA("Sum of Old-HS % of Total",'Pivot-HS Student % of Undergrad'!$A$3,"State","AR","Category",4,"Category2","Four-Year")</f>
        <v>3.319138481696831E-2</v>
      </c>
      <c r="Y12" s="162">
        <f t="shared" si="2"/>
        <v>-0.87214378678497562</v>
      </c>
      <c r="Z12" s="151">
        <f>+GETPIVOTDATA("Sum of Old-HS % of Total",'Pivot-HS Student % of Undergrad'!$A$3,"State","AR","Category",5,"Category2","Four-Year")</f>
        <v>0</v>
      </c>
      <c r="AA12" s="162">
        <f t="shared" si="3"/>
        <v>0</v>
      </c>
      <c r="AB12" s="151">
        <f>+GETPIVOTDATA("Sum of Old-HS % of Total",'Pivot-HS Student % of Undergrad'!$A$3,"State","AR","Category",6,"Category2","Four-Year")</f>
        <v>7.559155830313366E-2</v>
      </c>
      <c r="AC12" s="162">
        <f t="shared" si="4"/>
        <v>-3.8408147669920234E-2</v>
      </c>
      <c r="AD12" s="151">
        <f>+GETPIVOTDATA("Sum of Old-HS % of Total",'Pivot-HS Student % of Undergrad'!$A$3,"State","AR","Category2","Four-Year")</f>
        <v>3.4064870001383286E-2</v>
      </c>
      <c r="AE12" s="162">
        <f t="shared" si="5"/>
        <v>-0.20004951185737807</v>
      </c>
      <c r="AF12" s="1" t="s">
        <v>696</v>
      </c>
      <c r="AH12" s="152" t="s">
        <v>696</v>
      </c>
      <c r="AI12" s="163">
        <f t="shared" ref="AI12:AI29" si="6">C12*100</f>
        <v>1.7423068142220298E-2</v>
      </c>
      <c r="AJ12" s="163">
        <f t="shared" ref="AJ12:AJ29" si="7">E12*100</f>
        <v>6.1052360596432518</v>
      </c>
      <c r="AK12" s="163">
        <f t="shared" ref="AK12:AK29" si="8">G12*100</f>
        <v>4.7367652966195406</v>
      </c>
      <c r="AL12" s="163">
        <f t="shared" ref="AL12:AL29" si="9">I12*100</f>
        <v>2.4469946949118553</v>
      </c>
      <c r="AM12" s="163">
        <f t="shared" ref="AM12:AM29" si="10">K12*100</f>
        <v>0</v>
      </c>
      <c r="AN12" s="163">
        <f t="shared" ref="AN12:AN29" si="11">M12*100</f>
        <v>7.5207476826434458</v>
      </c>
      <c r="AO12" s="163">
        <f t="shared" ref="AO12:AO29" si="12">O12*100</f>
        <v>3.2064374882809505</v>
      </c>
      <c r="AQ12" s="152" t="s">
        <v>696</v>
      </c>
      <c r="AR12" s="163">
        <f t="shared" ref="AR12:AR29" si="13">R12*100</f>
        <v>1.6203516163007373E-2</v>
      </c>
      <c r="AS12" s="163">
        <f t="shared" ref="AS12:AS29" si="14">T12*100</f>
        <v>6.0077028022263272</v>
      </c>
      <c r="AT12" s="163">
        <f t="shared" ref="AT12:AT29" si="15">V12*100</f>
        <v>4.700293290969082</v>
      </c>
      <c r="AU12" s="163">
        <f t="shared" ref="AU12:AU29" si="16">X12*100</f>
        <v>3.319138481696831</v>
      </c>
      <c r="AV12" s="163">
        <f t="shared" ref="AV12:AV29" si="17">Z12*100</f>
        <v>0</v>
      </c>
      <c r="AW12" s="163">
        <f t="shared" ref="AW12:AW29" si="18">AB12*100</f>
        <v>7.5591558303133661</v>
      </c>
      <c r="AX12" s="163">
        <f t="shared" ref="AX12:AX29" si="19">AD12*100</f>
        <v>3.4064870001383287</v>
      </c>
    </row>
    <row r="13" spans="1:50" ht="15" customHeight="1">
      <c r="A13" s="1" t="s">
        <v>697</v>
      </c>
      <c r="B13" s="159">
        <f>+GETPIVOTDATA("Sum of New-Total Undg SCH FTE",'FTE Pivot for regular counts'!$A$2,"State","DE","Category",1,"Category2","Four-Year")</f>
        <v>19861</v>
      </c>
      <c r="C13" s="160">
        <f>+GETPIVOTDATA("Sum of New-HS % of Total",'Pivot-HS Student % of Undergrad'!$A$3,"State","DE","Category",1,"Category2","Four-Year")</f>
        <v>0</v>
      </c>
      <c r="D13" s="148">
        <f>+GETPIVOTDATA("Sum of New-Total Undg SCH FTE",'FTE Pivot for regular counts'!$A$2,"State","DE","Category",2,"Category2","Four-Year")</f>
        <v>0</v>
      </c>
      <c r="E13" s="160">
        <f>+GETPIVOTDATA("Sum of New-HS % of Total",'Pivot-HS Student % of Undergrad'!$A$3,"State","DE","Category",2,"Category2","Four-Year")</f>
        <v>0</v>
      </c>
      <c r="F13" s="148">
        <f>+GETPIVOTDATA("Sum of New-Total Undg SCH FTE",'FTE Pivot for regular counts'!$A$2,"State","DE","Category",3,"Category2","Four-Year")</f>
        <v>4299.5333333333338</v>
      </c>
      <c r="G13" s="160">
        <f>+GETPIVOTDATA("Sum of New-HS % of Total",'Pivot-HS Student % of Undergrad'!$A$3,"State","DE","Category",3,"Category2","Four-Year")</f>
        <v>0</v>
      </c>
      <c r="H13" s="148">
        <f>+GETPIVOTDATA("Sum of New-Total Undg SCH FTE",'FTE Pivot for regular counts'!$A$2,"State","DE","Category",4,"Category2","Four-Year")</f>
        <v>0</v>
      </c>
      <c r="I13" s="160">
        <f>GETPIVOTDATA("Sum of New-HS % of Total",'Pivot-HS Student % of Undergrad'!$A$3,"State","DE","Category",4,"Category2","Four-Year")</f>
        <v>0</v>
      </c>
      <c r="J13" s="148">
        <f>+GETPIVOTDATA("Sum of New-Total Undg SCH FTE",'FTE Pivot for regular counts'!$A$2,"State","DE","Category",5,"Category2","Four-Year")</f>
        <v>0</v>
      </c>
      <c r="K13" s="160">
        <f>+GETPIVOTDATA("Sum of New-HS % of Total",'Pivot-HS Student % of Undergrad'!$A$3,"State","DE","Category",5,"Category2","Four-Year")</f>
        <v>0</v>
      </c>
      <c r="L13" s="148">
        <f>+GETPIVOTDATA("Sum of New-Total Undg SCH FTE",'FTE Pivot for regular counts'!$A$2,"State","DE","Category",6,"Category2","Four-Year")</f>
        <v>0</v>
      </c>
      <c r="M13" s="160">
        <f>+GETPIVOTDATA("Sum of New-HS % of Total",'Pivot-HS Student % of Undergrad'!$A$3,"State","DE","Category",6,"Category2","Four-Year")</f>
        <v>0</v>
      </c>
      <c r="N13" s="148">
        <f>+GETPIVOTDATA("Sum of New-Total Undg SCH FTE",'FTE Pivot for regular counts'!$A$2,"State","DE","Category2","Four-Year")</f>
        <v>24160.533333333333</v>
      </c>
      <c r="O13" s="160">
        <f>+GETPIVOTDATA("Sum of New-HS % of Total",'Pivot-HS Student % of Undergrad'!$A$3,"State","DE","Category2","Group1")</f>
        <v>0</v>
      </c>
      <c r="Q13" s="1" t="s">
        <v>697</v>
      </c>
      <c r="R13" s="161">
        <f>+GETPIVOTDATA("Sum of Old-HS % of Total",'Pivot-HS Student % of Undergrad'!$A$3,"State","DE","Category",1,"Category2","Four-Year")</f>
        <v>0</v>
      </c>
      <c r="S13" s="162">
        <f>(C13-R13)*100</f>
        <v>0</v>
      </c>
      <c r="T13" s="151">
        <f>+GETPIVOTDATA("Sum of Old-HS % of Total",'Pivot-HS Student % of Undergrad'!$A$3,"State","DE","Category",2,"Category2","Four-Year")</f>
        <v>0</v>
      </c>
      <c r="U13" s="162">
        <f t="shared" si="0"/>
        <v>0</v>
      </c>
      <c r="V13" s="151">
        <f>+GETPIVOTDATA("Sum of Old-HS % of Total",'Pivot-HS Student % of Undergrad'!$A$3,"State","DE","Category",3,"Category2","Four-Year")</f>
        <v>0</v>
      </c>
      <c r="W13" s="162">
        <f t="shared" si="1"/>
        <v>0</v>
      </c>
      <c r="X13" s="151">
        <f>+GETPIVOTDATA("Sum of Old-HS % of Total",'Pivot-HS Student % of Undergrad'!$A$3,"State","DE","Category",4,"Category2","Four-Year")</f>
        <v>0</v>
      </c>
      <c r="Y13" s="162">
        <f t="shared" si="2"/>
        <v>0</v>
      </c>
      <c r="Z13" s="151">
        <f>+GETPIVOTDATA("Sum of Old-HS % of Total",'Pivot-HS Student % of Undergrad'!$A$3,"State","DE","Category",5,"Category2","Four-Year")</f>
        <v>0</v>
      </c>
      <c r="AA13" s="162">
        <f t="shared" si="3"/>
        <v>0</v>
      </c>
      <c r="AB13" s="151">
        <f>+GETPIVOTDATA("Sum of Old-HS % of Total",'Pivot-HS Student % of Undergrad'!$A$3,"State","DE","Category",6,"Category2","Four-Year")</f>
        <v>0</v>
      </c>
      <c r="AC13" s="162">
        <f t="shared" si="4"/>
        <v>0</v>
      </c>
      <c r="AD13" s="151">
        <f>+GETPIVOTDATA("Sum of Old-HS % of Total",'Pivot-HS Student % of Undergrad'!$A$3,"State","DE","Category2","Four-Year")</f>
        <v>0</v>
      </c>
      <c r="AE13" s="162">
        <f t="shared" si="5"/>
        <v>0</v>
      </c>
      <c r="AF13" s="1" t="s">
        <v>697</v>
      </c>
      <c r="AH13" s="152" t="s">
        <v>697</v>
      </c>
      <c r="AI13" s="163">
        <f t="shared" si="6"/>
        <v>0</v>
      </c>
      <c r="AJ13" s="163">
        <f t="shared" si="7"/>
        <v>0</v>
      </c>
      <c r="AK13" s="163">
        <f t="shared" si="8"/>
        <v>0</v>
      </c>
      <c r="AL13" s="163">
        <f t="shared" si="9"/>
        <v>0</v>
      </c>
      <c r="AM13" s="163">
        <f t="shared" si="10"/>
        <v>0</v>
      </c>
      <c r="AN13" s="163">
        <f t="shared" si="11"/>
        <v>0</v>
      </c>
      <c r="AO13" s="163">
        <f t="shared" si="12"/>
        <v>0</v>
      </c>
      <c r="AQ13" s="152" t="s">
        <v>697</v>
      </c>
      <c r="AR13" s="163">
        <f t="shared" si="13"/>
        <v>0</v>
      </c>
      <c r="AS13" s="163">
        <f t="shared" si="14"/>
        <v>0</v>
      </c>
      <c r="AT13" s="163">
        <f t="shared" si="15"/>
        <v>0</v>
      </c>
      <c r="AU13" s="163">
        <f t="shared" si="16"/>
        <v>0</v>
      </c>
      <c r="AV13" s="163">
        <f t="shared" si="17"/>
        <v>0</v>
      </c>
      <c r="AW13" s="163">
        <f t="shared" si="18"/>
        <v>0</v>
      </c>
      <c r="AX13" s="163">
        <f t="shared" si="19"/>
        <v>0</v>
      </c>
    </row>
    <row r="14" spans="1:50" ht="15" customHeight="1">
      <c r="A14" s="1" t="s">
        <v>698</v>
      </c>
      <c r="B14" s="159">
        <f>+GETPIVOTDATA("Sum of New-Total Undg SCH FTE",'FTE Pivot for regular counts'!$A$2,"State","FL","Category",1,"Category2","Four-Year")</f>
        <v>0</v>
      </c>
      <c r="C14" s="160">
        <f>+GETPIVOTDATA("Sum of New-HS % of Total",'Pivot-HS Student % of Undergrad'!$A$3,"State","FL","Category",1,"Category2","Four-Year")</f>
        <v>0</v>
      </c>
      <c r="D14" s="148">
        <f>+GETPIVOTDATA("Sum of New-Total Undg SCH FTE",'FTE Pivot for regular counts'!$A$2,"State","FL","Category",2,"Category2","Four-Year")</f>
        <v>0</v>
      </c>
      <c r="E14" s="160">
        <f>+GETPIVOTDATA("Sum of New-HS % of Total",'Pivot-HS Student % of Undergrad'!$A$3,"State","FL","Category",2,"Category2","Four-Year")</f>
        <v>0</v>
      </c>
      <c r="F14" s="148">
        <f>+GETPIVOTDATA("Sum of New-Total Undg SCH FTE",'FTE Pivot for regular counts'!$A$2,"State","FL","Category",3,"Category2","Four-Year")</f>
        <v>0</v>
      </c>
      <c r="G14" s="160">
        <f>+GETPIVOTDATA("Sum of New-HS % of Total",'Pivot-HS Student % of Undergrad'!$A$3,"State","FL","Category",3,"Category2","Four-Year")</f>
        <v>0</v>
      </c>
      <c r="H14" s="148">
        <f>+GETPIVOTDATA("Sum of New-Total Undg SCH FTE",'FTE Pivot for regular counts'!$A$2,"State","FL","Category",4,"Category2","Four-Year")</f>
        <v>0</v>
      </c>
      <c r="I14" s="160">
        <f>+GETPIVOTDATA("Sum of New-HS % of Total",'Pivot-HS Student % of Undergrad'!$A$3,"State","FL","Category",4,"Category2","Four-Year")</f>
        <v>0</v>
      </c>
      <c r="J14" s="148">
        <f>+GETPIVOTDATA("Sum of New-Total Undg SCH FTE",'FTE Pivot for regular counts'!$A$2,"State","FL","Category",5,"Category2","Four-Year")</f>
        <v>0</v>
      </c>
      <c r="K14" s="160">
        <f>+GETPIVOTDATA("Sum of New-HS % of Total",'Pivot-HS Student % of Undergrad'!$A$3,"State","FL","Category",5,"Category2","Four-Year")</f>
        <v>0</v>
      </c>
      <c r="L14" s="148">
        <f>+GETPIVOTDATA("Sum of New-Total Undg SCH FTE",'FTE Pivot for regular counts'!$A$2,"State","FL","Category",6,"Category2","Four-Year")</f>
        <v>0</v>
      </c>
      <c r="M14" s="160">
        <f>+GETPIVOTDATA("Sum of New-HS % of Total",'Pivot-HS Student % of Undergrad'!$A$3,"State","FL","Category",6,"Category2","Four-Year")</f>
        <v>0</v>
      </c>
      <c r="N14" s="148">
        <f>+GETPIVOTDATA("Sum of New-Total Undg SCH FTE",'FTE Pivot for regular counts'!$A$2,"State","FL","Category2","Four-Year")</f>
        <v>0</v>
      </c>
      <c r="O14" s="160">
        <f>+GETPIVOTDATA("Sum of New-HS % of Total",'Pivot-HS Student % of Undergrad'!$A$3,"State","FL","Category2","Group1")</f>
        <v>0</v>
      </c>
      <c r="Q14" s="1" t="s">
        <v>698</v>
      </c>
      <c r="R14" s="161">
        <f>+GETPIVOTDATA("Sum of Old-HS % of Total",'Pivot-HS Student % of Undergrad'!$A$3,"State","FL","Category",1,"Category2","Four-Year")</f>
        <v>0</v>
      </c>
      <c r="S14" s="162">
        <f>(C14-R14)*100</f>
        <v>0</v>
      </c>
      <c r="T14" s="151">
        <f>+GETPIVOTDATA("Sum of Old-HS % of Total",'Pivot-HS Student % of Undergrad'!$A$3,"State","FL","Category",2,"Category2","Four-Year")</f>
        <v>0</v>
      </c>
      <c r="U14" s="162">
        <f t="shared" si="0"/>
        <v>0</v>
      </c>
      <c r="V14" s="151">
        <f>+GETPIVOTDATA("Sum of Old-HS % of Total",'Pivot-HS Student % of Undergrad'!$A$3,"State","FL","Category",3,"Category2","Four-Year")</f>
        <v>0</v>
      </c>
      <c r="W14" s="164">
        <f t="shared" si="1"/>
        <v>0</v>
      </c>
      <c r="X14" s="151">
        <f>+GETPIVOTDATA("Sum of Old-HS % of Total",'Pivot-HS Student % of Undergrad'!$A$3,"State","FL","Category",4,"Category2","Four-Year")</f>
        <v>0</v>
      </c>
      <c r="Y14" s="162">
        <f t="shared" si="2"/>
        <v>0</v>
      </c>
      <c r="Z14" s="151">
        <f>+GETPIVOTDATA("Sum of Old-HS % of Total",'Pivot-HS Student % of Undergrad'!$A$3,"State","FL","Category",5,"Category2","Four-Year")</f>
        <v>0</v>
      </c>
      <c r="AA14" s="162">
        <f t="shared" si="3"/>
        <v>0</v>
      </c>
      <c r="AB14" s="151">
        <f>+GETPIVOTDATA("Sum of Old-HS % of Total",'Pivot-HS Student % of Undergrad'!$A$3,"State","FL","Category",6,"Category2","Four-Year")</f>
        <v>0</v>
      </c>
      <c r="AC14" s="162">
        <f t="shared" si="4"/>
        <v>0</v>
      </c>
      <c r="AD14" s="151">
        <f>+GETPIVOTDATA("Sum of Old-HS % of Total",'Pivot-HS Student % of Undergrad'!$A$3,"State","FL","Category2","Four-Year")</f>
        <v>0</v>
      </c>
      <c r="AE14" s="162">
        <f t="shared" si="5"/>
        <v>0</v>
      </c>
      <c r="AF14" s="1" t="s">
        <v>698</v>
      </c>
      <c r="AH14" s="152" t="s">
        <v>698</v>
      </c>
      <c r="AI14" s="163">
        <f t="shared" si="6"/>
        <v>0</v>
      </c>
      <c r="AJ14" s="163">
        <f t="shared" si="7"/>
        <v>0</v>
      </c>
      <c r="AK14" s="163">
        <f t="shared" si="8"/>
        <v>0</v>
      </c>
      <c r="AL14" s="163">
        <f t="shared" si="9"/>
        <v>0</v>
      </c>
      <c r="AM14" s="163">
        <f t="shared" si="10"/>
        <v>0</v>
      </c>
      <c r="AN14" s="163">
        <f t="shared" si="11"/>
        <v>0</v>
      </c>
      <c r="AO14" s="163">
        <f t="shared" si="12"/>
        <v>0</v>
      </c>
      <c r="AQ14" s="152" t="s">
        <v>698</v>
      </c>
      <c r="AR14" s="163">
        <f t="shared" si="13"/>
        <v>0</v>
      </c>
      <c r="AS14" s="163">
        <f t="shared" si="14"/>
        <v>0</v>
      </c>
      <c r="AT14" s="163">
        <f t="shared" si="15"/>
        <v>0</v>
      </c>
      <c r="AU14" s="163">
        <f t="shared" si="16"/>
        <v>0</v>
      </c>
      <c r="AV14" s="163">
        <f t="shared" si="17"/>
        <v>0</v>
      </c>
      <c r="AW14" s="163">
        <f t="shared" si="18"/>
        <v>0</v>
      </c>
      <c r="AX14" s="163">
        <f t="shared" si="19"/>
        <v>0</v>
      </c>
    </row>
    <row r="15" spans="1:50" ht="15" customHeight="1">
      <c r="B15" s="159"/>
      <c r="C15" s="160"/>
      <c r="D15" s="148"/>
      <c r="E15" s="160"/>
      <c r="F15" s="148"/>
      <c r="G15" s="160"/>
      <c r="H15" s="148"/>
      <c r="I15" s="160"/>
      <c r="J15" s="148"/>
      <c r="K15" s="160"/>
      <c r="L15" s="148"/>
      <c r="M15" s="160"/>
      <c r="N15" s="148"/>
      <c r="O15" s="160"/>
      <c r="R15" s="161"/>
      <c r="S15" s="162"/>
      <c r="T15" s="151"/>
      <c r="U15" s="162"/>
      <c r="V15" s="151"/>
      <c r="W15" s="162"/>
      <c r="X15" s="151"/>
      <c r="Y15" s="162"/>
      <c r="Z15" s="151"/>
      <c r="AA15" s="162"/>
      <c r="AB15" s="151"/>
      <c r="AC15" s="162"/>
      <c r="AD15" s="151"/>
      <c r="AE15" s="162"/>
      <c r="AH15" s="152"/>
      <c r="AI15" s="163">
        <f t="shared" si="6"/>
        <v>0</v>
      </c>
      <c r="AJ15" s="163">
        <f t="shared" si="7"/>
        <v>0</v>
      </c>
      <c r="AK15" s="163">
        <f t="shared" si="8"/>
        <v>0</v>
      </c>
      <c r="AL15" s="163">
        <f t="shared" si="9"/>
        <v>0</v>
      </c>
      <c r="AM15" s="163">
        <f t="shared" si="10"/>
        <v>0</v>
      </c>
      <c r="AN15" s="163">
        <f t="shared" si="11"/>
        <v>0</v>
      </c>
      <c r="AO15" s="163">
        <f t="shared" si="12"/>
        <v>0</v>
      </c>
      <c r="AQ15" s="152"/>
      <c r="AR15" s="163">
        <f t="shared" si="13"/>
        <v>0</v>
      </c>
      <c r="AS15" s="163">
        <f t="shared" si="14"/>
        <v>0</v>
      </c>
      <c r="AT15" s="163">
        <f t="shared" si="15"/>
        <v>0</v>
      </c>
      <c r="AU15" s="163">
        <f t="shared" si="16"/>
        <v>0</v>
      </c>
      <c r="AV15" s="163">
        <f t="shared" si="17"/>
        <v>0</v>
      </c>
      <c r="AW15" s="163">
        <f t="shared" si="18"/>
        <v>0</v>
      </c>
      <c r="AX15" s="163">
        <f t="shared" si="19"/>
        <v>0</v>
      </c>
    </row>
    <row r="16" spans="1:50" ht="15" customHeight="1">
      <c r="A16" s="1" t="s">
        <v>699</v>
      </c>
      <c r="B16" s="159">
        <f>GETPIVOTDATA("Sum of New-Total Undg SCH FTE",'FTE Pivot for regular counts'!$A$2,"State","GA","Category",1,"Category2","Four-Year")</f>
        <v>64775.083333333328</v>
      </c>
      <c r="C16" s="160">
        <f>+GETPIVOTDATA("Sum of New-HS % of Total",'Pivot-HS Student % of Undergrad'!$A$3,"State","GA","Category",1,"Category2","Four-Year")</f>
        <v>1.5133648355013051E-2</v>
      </c>
      <c r="D16" s="148">
        <f>+GETPIVOTDATA("Sum of New-Total Undg SCH FTE",'FTE Pivot for regular counts'!$A$2,"State","GA","Category",2,"Category2","Four-Year")</f>
        <v>15976.733333333334</v>
      </c>
      <c r="E16" s="160">
        <f>+GETPIVOTDATA("Sum of New-HS % of Total",'Pivot-HS Student % of Undergrad'!$A$3,"State","GA","Category",2,"Category2","Four-Year")</f>
        <v>1.1556388247910504E-2</v>
      </c>
      <c r="F16" s="148">
        <f>+GETPIVOTDATA("Sum of New-Total Undg SCH FTE",'FTE Pivot for regular counts'!$A$2,"State","GA","Category",3,"Category2","Four-Year")</f>
        <v>71587.866666666683</v>
      </c>
      <c r="G16" s="160">
        <f>+GETPIVOTDATA("Sum of New-HS % of Total",'Pivot-HS Student % of Undergrad'!$A$3,"State","GA","Category",3,"Category2","Four-Year")</f>
        <v>1.9448826523675335E-2</v>
      </c>
      <c r="H16" s="148">
        <f>+GETPIVOTDATA("Sum of New-Total Undg SCH FTE",'FTE Pivot for regular counts'!$A$2,"State","GA","Category",4,"Category2","Four-Year")</f>
        <v>42306.51666666667</v>
      </c>
      <c r="I16" s="160">
        <f>+GETPIVOTDATA("Sum of New-HS % of Total",'Pivot-HS Student % of Undergrad'!$A$3,"State","GA","Category",4,"Category2","Four-Year")</f>
        <v>3.6957269388364522E-2</v>
      </c>
      <c r="J16" s="148">
        <f>+GETPIVOTDATA("Sum of New-Total Undg SCH FTE",'FTE Pivot for regular counts'!$A$2,"State","GA","Category",5,"Category2","Four-Year")</f>
        <v>11289.033333333333</v>
      </c>
      <c r="K16" s="160">
        <f>+GETPIVOTDATA("Sum of New-HS % of Total",'Pivot-HS Student % of Undergrad'!$A$3,"State","GA","Category",5,"Category2","Four-Year")</f>
        <v>2.4052841843559089E-2</v>
      </c>
      <c r="L16" s="148">
        <f>+GETPIVOTDATA("Sum of New-Total Undg SCH FTE",'FTE Pivot for regular counts'!$A$2,"State","GA","Category",6,"Category2","Four-Year")</f>
        <v>20663.866666666669</v>
      </c>
      <c r="M16" s="160">
        <f>+GETPIVOTDATA("Sum of New-HS % of Total",'Pivot-HS Student % of Undergrad'!$A$3,"State","GA","Category",6,"Category2","Four-Year")</f>
        <v>4.4875434736319116E-2</v>
      </c>
      <c r="N16" s="148">
        <f>+GETPIVOTDATA("Sum of New-Total Undg SCH FTE",'FTE Pivot for regular counts'!$A$2,"State","GA","Category2","Four-Year")</f>
        <v>226599.1</v>
      </c>
      <c r="O16" s="160">
        <f>+GETPIVOTDATA("Sum of New-HS % of Total",'Pivot-HS Student % of Undergrad'!$A$3,"State","GA","Category2","Group1")</f>
        <v>2.3475747844247101E-2</v>
      </c>
      <c r="Q16" s="1" t="s">
        <v>699</v>
      </c>
      <c r="R16" s="161">
        <f>+GETPIVOTDATA("Sum of Old-HS % of Total",'Pivot-HS Student % of Undergrad'!$A$3,"State","GA","Category",1,"Category2","Four-Year")</f>
        <v>1.4696005801100157E-2</v>
      </c>
      <c r="S16" s="162">
        <f>(C16-R16)*100</f>
        <v>4.3764255391289496E-2</v>
      </c>
      <c r="T16" s="151">
        <f>+GETPIVOTDATA("Sum of Old-HS % of Total",'Pivot-HS Student % of Undergrad'!$A$3,"State","GA","Category",2,"Category2","Four-Year")</f>
        <v>9.9674259788426235E-3</v>
      </c>
      <c r="U16" s="162">
        <f t="shared" si="0"/>
        <v>0.15889622690678801</v>
      </c>
      <c r="V16" s="151">
        <f>+GETPIVOTDATA("Sum of Old-HS % of Total",'Pivot-HS Student % of Undergrad'!$A$3,"State","GA","Category",3,"Category2","Four-Year")</f>
        <v>1.9212385274760633E-2</v>
      </c>
      <c r="W16" s="162">
        <f t="shared" si="1"/>
        <v>2.3644124891470178E-2</v>
      </c>
      <c r="X16" s="151">
        <f>+GETPIVOTDATA("Sum of Old-HS % of Total",'Pivot-HS Student % of Undergrad'!$A$3,"State","GA","Category",4,"Category2","Four-Year")</f>
        <v>4.0535920370378661E-2</v>
      </c>
      <c r="Y16" s="162">
        <f t="shared" si="2"/>
        <v>-0.35786509820141393</v>
      </c>
      <c r="Z16" s="151">
        <f>+GETPIVOTDATA("Sum of Old-HS % of Total",'Pivot-HS Student % of Undergrad'!$A$3,"State","GA","Category",5,"Category2","Four-Year")</f>
        <v>2.7250291738088989E-2</v>
      </c>
      <c r="AA16" s="162">
        <f t="shared" si="3"/>
        <v>-0.31974498945298996</v>
      </c>
      <c r="AB16" s="151">
        <f>+GETPIVOTDATA("Sum of Old-HS % of Total",'Pivot-HS Student % of Undergrad'!$A$3,"State","GA","Category",6,"Category2","Four-Year")</f>
        <v>5.1057097869731255E-2</v>
      </c>
      <c r="AC16" s="162">
        <f t="shared" si="4"/>
        <v>-0.61816631334121397</v>
      </c>
      <c r="AD16" s="151">
        <f>+GETPIVOTDATA("Sum of Old-HS % of Total",'Pivot-HS Student % of Undergrad'!$A$3,"State","GA","Category2","Four-Year")</f>
        <v>2.4790203210124834E-2</v>
      </c>
      <c r="AE16" s="162">
        <f t="shared" si="5"/>
        <v>-0.13144553658777336</v>
      </c>
      <c r="AF16" s="1" t="s">
        <v>699</v>
      </c>
      <c r="AH16" s="152" t="s">
        <v>699</v>
      </c>
      <c r="AI16" s="163">
        <f t="shared" si="6"/>
        <v>1.5133648355013052</v>
      </c>
      <c r="AJ16" s="163">
        <f t="shared" si="7"/>
        <v>1.1556388247910503</v>
      </c>
      <c r="AK16" s="163">
        <f t="shared" si="8"/>
        <v>1.9448826523675335</v>
      </c>
      <c r="AL16" s="163">
        <f t="shared" si="9"/>
        <v>3.6957269388364522</v>
      </c>
      <c r="AM16" s="163">
        <f t="shared" si="10"/>
        <v>2.4052841843559087</v>
      </c>
      <c r="AN16" s="163">
        <f t="shared" si="11"/>
        <v>4.487543473631912</v>
      </c>
      <c r="AO16" s="163">
        <f t="shared" si="12"/>
        <v>2.3475747844247099</v>
      </c>
      <c r="AQ16" s="152" t="s">
        <v>699</v>
      </c>
      <c r="AR16" s="163">
        <f t="shared" si="13"/>
        <v>1.4696005801100156</v>
      </c>
      <c r="AS16" s="163">
        <f t="shared" si="14"/>
        <v>0.99674259788426234</v>
      </c>
      <c r="AT16" s="163">
        <f t="shared" si="15"/>
        <v>1.9212385274760633</v>
      </c>
      <c r="AU16" s="163">
        <f t="shared" si="16"/>
        <v>4.0535920370378662</v>
      </c>
      <c r="AV16" s="163">
        <f t="shared" si="17"/>
        <v>2.725029173808899</v>
      </c>
      <c r="AW16" s="163">
        <f t="shared" si="18"/>
        <v>5.1057097869731258</v>
      </c>
      <c r="AX16" s="163">
        <f t="shared" si="19"/>
        <v>2.4790203210124835</v>
      </c>
    </row>
    <row r="17" spans="1:50" ht="15" customHeight="1">
      <c r="A17" s="1" t="s">
        <v>700</v>
      </c>
      <c r="B17" s="159">
        <f>+GETPIVOTDATA("Sum of New-Total Undg SCH FTE",'FTE Pivot for regular counts'!$A$2,"State","KY","Category",1,"Category2","Four-Year")</f>
        <v>32334.166666666664</v>
      </c>
      <c r="C17" s="160">
        <f>+GETPIVOTDATA("Sum of New-HS % of Total",'Pivot-HS Student % of Undergrad'!$A$3,"State","KY","Category",1,"Category2","Four-Year")</f>
        <v>1.0072936264529264E-2</v>
      </c>
      <c r="D17" s="148">
        <f>+GETPIVOTDATA("Sum of New-Total Undg SCH FTE",'FTE Pivot for regular counts'!$A$2,"State","KY","Category",2,"Category2","Four-Year")</f>
        <v>0</v>
      </c>
      <c r="E17" s="160">
        <f>+GETPIVOTDATA("Sum of New-HS % of Total",'Pivot-HS Student % of Undergrad'!$A$3,"State","KY","Category",2,"Category2","Four-Year")</f>
        <v>0</v>
      </c>
      <c r="F17" s="148">
        <f>+GETPIVOTDATA("Sum of New-Total Undg SCH FTE",'FTE Pivot for regular counts'!$A$2,"State","KY","Category",3,"Category2","Four-Year")</f>
        <v>43527.233333333337</v>
      </c>
      <c r="G17" s="160">
        <f>+GETPIVOTDATA("Sum of New-HS % of Total",'Pivot-HS Student % of Undergrad'!$A$3,"State","KY","Category",3,"Category2","Four-Year")</f>
        <v>5.3999143831026858E-2</v>
      </c>
      <c r="H17" s="148">
        <f>+GETPIVOTDATA("Sum of New-Total Undg SCH FTE",'FTE Pivot for regular counts'!$A$2,"State","KY","Category",4,"Category2","Four-Year")</f>
        <v>1679.7666666666667</v>
      </c>
      <c r="I17" s="160">
        <f>+GETPIVOTDATA("Sum of New-HS % of Total",'Pivot-HS Student % of Undergrad'!$A$3,"State","KY","Category",4,"Category2","Four-Year")</f>
        <v>0.10973746353660231</v>
      </c>
      <c r="J17" s="148">
        <f>+GETPIVOTDATA("Sum of New-Total Undg SCH FTE",'FTE Pivot for regular counts'!$A$2,"State","KY","Category",5,"Category2","Four-Year")</f>
        <v>0</v>
      </c>
      <c r="K17" s="160">
        <f>+GETPIVOTDATA("Sum of New-HS % of Total",'Pivot-HS Student % of Undergrad'!$A$3,"State","KY","Category",5,"Category2","Four-Year")</f>
        <v>0</v>
      </c>
      <c r="L17" s="148">
        <f>+GETPIVOTDATA("Sum of New-Total Undg SCH FTE",'FTE Pivot for regular counts'!$A$2,"State","KY","Category",6,"Category2","Four-Year")</f>
        <v>0</v>
      </c>
      <c r="M17" s="160">
        <f>+GETPIVOTDATA("Sum of New-HS % of Total",'Pivot-HS Student % of Undergrad'!$A$3,"State","KY","Category",6,"Category2","Four-Year")</f>
        <v>0</v>
      </c>
      <c r="N17" s="148">
        <f>+GETPIVOTDATA("Sum of New-Total Undg SCH FTE",'FTE Pivot for regular counts'!$A$2,"State","KY","Category2","Four-Year")</f>
        <v>77541.166666666657</v>
      </c>
      <c r="O17" s="160">
        <f>+GETPIVOTDATA("Sum of New-HS % of Total",'Pivot-HS Student % of Undergrad'!$A$3,"State","KY","Category2","Group1")</f>
        <v>3.6889652163259519E-2</v>
      </c>
      <c r="Q17" s="1" t="s">
        <v>700</v>
      </c>
      <c r="R17" s="161">
        <f>+GETPIVOTDATA("Sum of Old-HS % of Total",'Pivot-HS Student % of Undergrad'!$A$3,"State","KY","Category",1,"Category2","Four-Year")</f>
        <v>8.4776491016733714E-3</v>
      </c>
      <c r="S17" s="162">
        <f>(C17-R17)*100</f>
        <v>0.15952871628558929</v>
      </c>
      <c r="T17" s="151">
        <f>+GETPIVOTDATA("Sum of Old-HS % of Total",'Pivot-HS Student % of Undergrad'!$A$3,"State","KY","Category",2,"Category2","Four-Year")</f>
        <v>0</v>
      </c>
      <c r="U17" s="162">
        <f t="shared" si="0"/>
        <v>0</v>
      </c>
      <c r="V17" s="151">
        <f>+GETPIVOTDATA("Sum of Old-HS % of Total",'Pivot-HS Student % of Undergrad'!$A$3,"State","KY","Category",3,"Category2","Four-Year")</f>
        <v>5.6826142407168503E-2</v>
      </c>
      <c r="W17" s="162">
        <f t="shared" si="1"/>
        <v>-0.28269985761416455</v>
      </c>
      <c r="X17" s="151">
        <f>+GETPIVOTDATA("Sum of Old-HS % of Total",'Pivot-HS Student % of Undergrad'!$A$3,"State","KY","Category",4,"Category2","Four-Year")</f>
        <v>0.13317074153951586</v>
      </c>
      <c r="Y17" s="162">
        <f t="shared" si="2"/>
        <v>-2.3433278002913545</v>
      </c>
      <c r="Z17" s="151">
        <f>+GETPIVOTDATA("Sum of Old-HS % of Total",'Pivot-HS Student % of Undergrad'!$A$3,"State","KY","Category",5,"Category2","Four-Year")</f>
        <v>0</v>
      </c>
      <c r="AA17" s="162">
        <f t="shared" si="3"/>
        <v>0</v>
      </c>
      <c r="AB17" s="151">
        <f>+GETPIVOTDATA("Sum of Old-HS % of Total",'Pivot-HS Student % of Undergrad'!$A$3,"State","KY","Category",6,"Category2","Four-Year")</f>
        <v>0</v>
      </c>
      <c r="AC17" s="162">
        <f t="shared" si="4"/>
        <v>0</v>
      </c>
      <c r="AD17" s="151">
        <f>+GETPIVOTDATA("Sum of Old-HS % of Total",'Pivot-HS Student % of Undergrad'!$A$3,"State","KY","Category2","Four-Year")</f>
        <v>3.8425139438351227E-2</v>
      </c>
      <c r="AE17" s="162">
        <f t="shared" si="5"/>
        <v>-0.15354872750917084</v>
      </c>
      <c r="AF17" s="1" t="s">
        <v>700</v>
      </c>
      <c r="AH17" s="152" t="s">
        <v>700</v>
      </c>
      <c r="AI17" s="163">
        <f t="shared" si="6"/>
        <v>1.0072936264529264</v>
      </c>
      <c r="AJ17" s="163">
        <f t="shared" si="7"/>
        <v>0</v>
      </c>
      <c r="AK17" s="163">
        <f t="shared" si="8"/>
        <v>5.3999143831026855</v>
      </c>
      <c r="AL17" s="163">
        <f t="shared" si="9"/>
        <v>10.973746353660232</v>
      </c>
      <c r="AM17" s="163">
        <f t="shared" si="10"/>
        <v>0</v>
      </c>
      <c r="AN17" s="163">
        <f t="shared" si="11"/>
        <v>0</v>
      </c>
      <c r="AO17" s="163">
        <f t="shared" si="12"/>
        <v>3.6889652163259519</v>
      </c>
      <c r="AQ17" s="152" t="s">
        <v>700</v>
      </c>
      <c r="AR17" s="163">
        <f t="shared" si="13"/>
        <v>0.84776491016733713</v>
      </c>
      <c r="AS17" s="163">
        <f t="shared" si="14"/>
        <v>0</v>
      </c>
      <c r="AT17" s="163">
        <f t="shared" si="15"/>
        <v>5.6826142407168501</v>
      </c>
      <c r="AU17" s="163">
        <f t="shared" si="16"/>
        <v>13.317074153951586</v>
      </c>
      <c r="AV17" s="163">
        <f t="shared" si="17"/>
        <v>0</v>
      </c>
      <c r="AW17" s="163">
        <f t="shared" si="18"/>
        <v>0</v>
      </c>
      <c r="AX17" s="163">
        <f t="shared" si="19"/>
        <v>3.8425139438351228</v>
      </c>
    </row>
    <row r="18" spans="1:50" ht="15" customHeight="1">
      <c r="A18" s="1" t="s">
        <v>701</v>
      </c>
      <c r="B18" s="159">
        <f>+GETPIVOTDATA("Sum of New-Total Undg SCH FTE",'FTE Pivot for regular counts'!$A$2,"State","LA","Category",1,"Category2","Four-Year")</f>
        <v>26341.200000000001</v>
      </c>
      <c r="C18" s="160">
        <f>+GETPIVOTDATA("Sum of New-HS % of Total",'Pivot-HS Student % of Undergrad'!$A$3,"State","LA","Category",1,"Category2","Four-Year")</f>
        <v>2.3806812142195495E-2</v>
      </c>
      <c r="D18" s="148">
        <f>+GETPIVOTDATA("Sum of New-Total Undg SCH FTE",'FTE Pivot for regular counts'!$A$2,"State","LA","Category",2,"Category2","Four-Year")</f>
        <v>25413.466666666667</v>
      </c>
      <c r="E18" s="160">
        <f>+GETPIVOTDATA("Sum of New-HS % of Total",'Pivot-HS Student % of Undergrad'!$A$3,"State","LA","Category",2,"Category2","Four-Year")</f>
        <v>4.2619136310932261E-2</v>
      </c>
      <c r="F18" s="148">
        <f>+GETPIVOTDATA("Sum of New-Total Undg SCH FTE",'FTE Pivot for regular counts'!$A$2,"State","LA","Category",3,"Category2","Four-Year")</f>
        <v>26537.866666666665</v>
      </c>
      <c r="G18" s="160">
        <f>+GETPIVOTDATA("Sum of New-HS % of Total",'Pivot-HS Student % of Undergrad'!$A$3,"State","LA","Category",3,"Category2","Four-Year")</f>
        <v>6.0313815729975781E-2</v>
      </c>
      <c r="H18" s="148">
        <f>+GETPIVOTDATA("Sum of New-Total Undg SCH FTE",'FTE Pivot for regular counts'!$A$2,"State","LA","Category",4,"Category2","Four-Year")</f>
        <v>18946.400000000001</v>
      </c>
      <c r="I18" s="160">
        <f>+GETPIVOTDATA("Sum of New-HS % of Total",'Pivot-HS Student % of Undergrad'!$A$3,"State","LA","Category",4,"Category2","Four-Year")</f>
        <v>5.0996495376430348E-2</v>
      </c>
      <c r="J18" s="148">
        <f>+GETPIVOTDATA("Sum of New-Total Undg SCH FTE",'FTE Pivot for regular counts'!$A$2,"State","LA","Category",5,"Category2","Four-Year")</f>
        <v>1202.6666666666667</v>
      </c>
      <c r="K18" s="160">
        <f>+GETPIVOTDATA("Sum of New-HS % of Total",'Pivot-HS Student % of Undergrad'!$A$3,"State","LA","Category",5,"Category2","Four-Year")</f>
        <v>7.5997782705099784E-2</v>
      </c>
      <c r="L18" s="148">
        <f>+GETPIVOTDATA("Sum of New-Total Undg SCH FTE",'FTE Pivot for regular counts'!$A$2,"State","LA","Category",6,"Category2","Four-Year")</f>
        <v>2948.9</v>
      </c>
      <c r="M18" s="160">
        <f>+GETPIVOTDATA("Sum of New-HS % of Total",'Pivot-HS Student % of Undergrad'!$A$3,"State","LA","Category",6,"Category2","Four-Year")</f>
        <v>7.672917585088225E-2</v>
      </c>
      <c r="N18" s="148">
        <f>+GETPIVOTDATA("Sum of New-Total Undg SCH FTE",'FTE Pivot for regular counts'!$A$2,"State","LA","Category2","Four-Year")</f>
        <v>101390.50000000001</v>
      </c>
      <c r="O18" s="160">
        <f>+GETPIVOTDATA("Sum of New-HS % of Total",'Pivot-HS Student % of Undergrad'!$A$3,"State","LA","Category2","Group1")</f>
        <v>4.5316540175525978E-2</v>
      </c>
      <c r="Q18" s="1" t="s">
        <v>701</v>
      </c>
      <c r="R18" s="161">
        <f>+GETPIVOTDATA("Sum of Old-HS % of Total",'Pivot-HS Student % of Undergrad'!$A$3,"State","LA","Category",1,"Category2","Four-Year")</f>
        <v>2.4217730152959027E-2</v>
      </c>
      <c r="S18" s="162">
        <f>(C18-R18)*100</f>
        <v>-4.1091801076353213E-2</v>
      </c>
      <c r="T18" s="151">
        <f>+GETPIVOTDATA("Sum of Old-HS % of Total",'Pivot-HS Student % of Undergrad'!$A$3,"State","LA","Category",2,"Category2","Four-Year")</f>
        <v>3.7275107896665605E-2</v>
      </c>
      <c r="U18" s="162">
        <f t="shared" si="0"/>
        <v>0.53440284142666561</v>
      </c>
      <c r="V18" s="151">
        <f>+GETPIVOTDATA("Sum of Old-HS % of Total",'Pivot-HS Student % of Undergrad'!$A$3,"State","LA","Category",3,"Category2","Four-Year")</f>
        <v>5.7972792096751914E-2</v>
      </c>
      <c r="W18" s="162">
        <f t="shared" si="1"/>
        <v>0.23410236332238668</v>
      </c>
      <c r="X18" s="151">
        <f>+GETPIVOTDATA("Sum of Old-HS % of Total",'Pivot-HS Student % of Undergrad'!$A$3,"State","LA","Category",4,"Category2","Four-Year")</f>
        <v>4.5301759018697561E-2</v>
      </c>
      <c r="Y18" s="162">
        <f t="shared" si="2"/>
        <v>0.5694736357732787</v>
      </c>
      <c r="Z18" s="151">
        <f>+GETPIVOTDATA("Sum of Old-HS % of Total",'Pivot-HS Student % of Undergrad'!$A$3,"State","LA","Category",5,"Category2","Four-Year")</f>
        <v>6.3515722665640928E-2</v>
      </c>
      <c r="AA18" s="162">
        <f t="shared" si="3"/>
        <v>1.2482060039458855</v>
      </c>
      <c r="AB18" s="151">
        <f>+GETPIVOTDATA("Sum of Old-HS % of Total",'Pivot-HS Student % of Undergrad'!$A$3,"State","LA","Category",6,"Category2","Four-Year")</f>
        <v>7.0099378881987584E-2</v>
      </c>
      <c r="AC18" s="162">
        <f t="shared" si="4"/>
        <v>0.66297969688946656</v>
      </c>
      <c r="AD18" s="151">
        <f>+GETPIVOTDATA("Sum of Old-HS % of Total",'Pivot-HS Student % of Undergrad'!$A$3,"State","LA","Category2","Four-Year")</f>
        <v>4.2484092739997419E-2</v>
      </c>
      <c r="AE18" s="162">
        <f t="shared" si="5"/>
        <v>0.28324474355285595</v>
      </c>
      <c r="AF18" s="1" t="s">
        <v>701</v>
      </c>
      <c r="AH18" s="152" t="s">
        <v>701</v>
      </c>
      <c r="AI18" s="163">
        <f t="shared" si="6"/>
        <v>2.3806812142195497</v>
      </c>
      <c r="AJ18" s="163">
        <f t="shared" si="7"/>
        <v>4.2619136310932264</v>
      </c>
      <c r="AK18" s="163">
        <f t="shared" si="8"/>
        <v>6.0313815729975779</v>
      </c>
      <c r="AL18" s="163">
        <f t="shared" si="9"/>
        <v>5.0996495376430344</v>
      </c>
      <c r="AM18" s="163">
        <f t="shared" si="10"/>
        <v>7.5997782705099786</v>
      </c>
      <c r="AN18" s="163">
        <f t="shared" si="11"/>
        <v>7.672917585088225</v>
      </c>
      <c r="AO18" s="163">
        <f t="shared" si="12"/>
        <v>4.5316540175525981</v>
      </c>
      <c r="AQ18" s="152" t="s">
        <v>701</v>
      </c>
      <c r="AR18" s="163">
        <f t="shared" si="13"/>
        <v>2.4217730152959027</v>
      </c>
      <c r="AS18" s="163">
        <f t="shared" si="14"/>
        <v>3.7275107896665602</v>
      </c>
      <c r="AT18" s="163">
        <f t="shared" si="15"/>
        <v>5.7972792096751915</v>
      </c>
      <c r="AU18" s="163">
        <f t="shared" si="16"/>
        <v>4.5301759018697565</v>
      </c>
      <c r="AV18" s="163">
        <f t="shared" si="17"/>
        <v>6.3515722665640926</v>
      </c>
      <c r="AW18" s="163">
        <f t="shared" si="18"/>
        <v>7.009937888198758</v>
      </c>
      <c r="AX18" s="163">
        <f t="shared" si="19"/>
        <v>4.2484092739997417</v>
      </c>
    </row>
    <row r="19" spans="1:50" ht="15" customHeight="1">
      <c r="A19" s="1" t="s">
        <v>702</v>
      </c>
      <c r="B19" s="159">
        <f>+GETPIVOTDATA("Sum of New-Total Undg SCH FTE",'FTE Pivot for regular counts'!$A$2,"State","MD","Category",1,"Category2","Four-Year")</f>
        <v>29420.333333333332</v>
      </c>
      <c r="C19" s="160">
        <f>+GETPIVOTDATA("Sum of New-HS % of Total",'Pivot-HS Student % of Undergrad'!$A$3,"State","MD","Category",1,"Category2","Four-Year")</f>
        <v>0</v>
      </c>
      <c r="D19" s="148">
        <f>+GETPIVOTDATA("Sum of New-Total Undg SCH FTE",'FTE Pivot for regular counts'!$A$2,"State","MD","Category",2,"Category2","Four-Year")</f>
        <v>16229.466666666667</v>
      </c>
      <c r="E19" s="160">
        <f>+GETPIVOTDATA("Sum of New-HS % of Total",'Pivot-HS Student % of Undergrad'!$A$3,"State","MD","Category",2,"Category2","Four-Year")</f>
        <v>0</v>
      </c>
      <c r="F19" s="148">
        <f>+GETPIVOTDATA("Sum of New-Total Undg SCH FTE",'FTE Pivot for regular counts'!$A$2,"State","MD","Category",3,"Category2","Four-Year")</f>
        <v>18015.566666666666</v>
      </c>
      <c r="G19" s="160">
        <f>+GETPIVOTDATA("Sum of New-HS % of Total",'Pivot-HS Student % of Undergrad'!$A$3,"State","MD","Category",3,"Category2","Four-Year")</f>
        <v>0</v>
      </c>
      <c r="H19" s="148">
        <f>+GETPIVOTDATA("Sum of New-Total Undg SCH FTE",'FTE Pivot for regular counts'!$A$2,"State","MD","Category",4,"Category2","Four-Year")</f>
        <v>16639.900000000001</v>
      </c>
      <c r="I19" s="160">
        <f>+GETPIVOTDATA("Sum of New-HS % of Total",'Pivot-HS Student % of Undergrad'!$A$3,"State","MD","Category",4,"Category2","Four-Year")</f>
        <v>0</v>
      </c>
      <c r="J19" s="148">
        <f>+GETPIVOTDATA("Sum of New-Total Undg SCH FTE",'FTE Pivot for regular counts'!$A$2,"State","MD","Category",5,"Category2","Four-Year")</f>
        <v>1551.9</v>
      </c>
      <c r="K19" s="160">
        <f>+GETPIVOTDATA("Sum of New-HS % of Total",'Pivot-HS Student % of Undergrad'!$A$3,"State","MD","Category",5,"Category2","Four-Year")</f>
        <v>0</v>
      </c>
      <c r="L19" s="148">
        <f>+GETPIVOTDATA("Sum of New-Total Undg SCH FTE",'FTE Pivot for regular counts'!$A$2,"State","MD","Category",6,"Category2","Four-Year")</f>
        <v>1592.8333333333333</v>
      </c>
      <c r="M19" s="160">
        <f>+GETPIVOTDATA("Sum of New-HS % of Total",'Pivot-HS Student % of Undergrad'!$A$3,"State","MD","Category",6,"Category2","Four-Year")</f>
        <v>0</v>
      </c>
      <c r="N19" s="148">
        <f>+GETPIVOTDATA("Sum of New-Total Undg SCH FTE",'FTE Pivot for regular counts'!$A$2,"State","MD","Category2","Four-Year")</f>
        <v>83449.999999999985</v>
      </c>
      <c r="O19" s="160">
        <f>+GETPIVOTDATA("Sum of New-HS % of Total",'Pivot-HS Student % of Undergrad'!$A$3,"State","MD","Category2","Group1")</f>
        <v>0</v>
      </c>
      <c r="Q19" s="1" t="s">
        <v>702</v>
      </c>
      <c r="R19" s="161">
        <f>+GETPIVOTDATA("Sum of Old-HS % of Total",'Pivot-HS Student % of Undergrad'!$A$3,"State","MD","Category",1,"Category2","Four-Year")</f>
        <v>0</v>
      </c>
      <c r="S19" s="162">
        <f>(C19-R19)*100</f>
        <v>0</v>
      </c>
      <c r="T19" s="151">
        <f>+GETPIVOTDATA("Sum of Old-HS % of Total",'Pivot-HS Student % of Undergrad'!$A$3,"State","MD","Category",2,"Category2","Four-Year")</f>
        <v>0</v>
      </c>
      <c r="U19" s="162">
        <f t="shared" si="0"/>
        <v>0</v>
      </c>
      <c r="V19" s="151">
        <f>+GETPIVOTDATA("Sum of Old-HS % of Total",'Pivot-HS Student % of Undergrad'!$A$3,"State","MD","Category",3,"Category2","Four-Year")</f>
        <v>0</v>
      </c>
      <c r="W19" s="162">
        <f t="shared" si="1"/>
        <v>0</v>
      </c>
      <c r="X19" s="151">
        <f>+GETPIVOTDATA("Sum of Old-HS % of Total",'Pivot-HS Student % of Undergrad'!$A$3,"State","MD","Category",4,"Category2","Four-Year")</f>
        <v>0</v>
      </c>
      <c r="Y19" s="162">
        <f t="shared" si="2"/>
        <v>0</v>
      </c>
      <c r="Z19" s="151">
        <f>+GETPIVOTDATA("Sum of Old-HS % of Total",'Pivot-HS Student % of Undergrad'!$A$3,"State","MD","Category",5,"Category2","Four-Year")</f>
        <v>0</v>
      </c>
      <c r="AA19" s="162">
        <f t="shared" si="3"/>
        <v>0</v>
      </c>
      <c r="AB19" s="151">
        <f>+GETPIVOTDATA("Sum of Old-HS % of Total",'Pivot-HS Student % of Undergrad'!$A$3,"State","MD","Category",6,"Category2","Four-Year")</f>
        <v>0</v>
      </c>
      <c r="AC19" s="162">
        <f t="shared" si="4"/>
        <v>0</v>
      </c>
      <c r="AD19" s="151">
        <f>+GETPIVOTDATA("Sum of Old-HS % of Total",'Pivot-HS Student % of Undergrad'!$A$3,"State","MD","Category2","Four-Year")</f>
        <v>0</v>
      </c>
      <c r="AE19" s="162">
        <f t="shared" si="5"/>
        <v>0</v>
      </c>
      <c r="AF19" s="1" t="s">
        <v>702</v>
      </c>
      <c r="AH19" s="152" t="s">
        <v>702</v>
      </c>
      <c r="AI19" s="163">
        <f t="shared" si="6"/>
        <v>0</v>
      </c>
      <c r="AJ19" s="163">
        <f t="shared" si="7"/>
        <v>0</v>
      </c>
      <c r="AK19" s="163">
        <f t="shared" si="8"/>
        <v>0</v>
      </c>
      <c r="AL19" s="163">
        <f t="shared" si="9"/>
        <v>0</v>
      </c>
      <c r="AM19" s="163">
        <f t="shared" si="10"/>
        <v>0</v>
      </c>
      <c r="AN19" s="163">
        <f t="shared" si="11"/>
        <v>0</v>
      </c>
      <c r="AO19" s="163">
        <f t="shared" si="12"/>
        <v>0</v>
      </c>
      <c r="AQ19" s="152" t="s">
        <v>702</v>
      </c>
      <c r="AR19" s="163">
        <f t="shared" si="13"/>
        <v>0</v>
      </c>
      <c r="AS19" s="163">
        <f t="shared" si="14"/>
        <v>0</v>
      </c>
      <c r="AT19" s="163">
        <f t="shared" si="15"/>
        <v>0</v>
      </c>
      <c r="AU19" s="163">
        <f t="shared" si="16"/>
        <v>0</v>
      </c>
      <c r="AV19" s="163">
        <f t="shared" si="17"/>
        <v>0</v>
      </c>
      <c r="AW19" s="163">
        <f t="shared" si="18"/>
        <v>0</v>
      </c>
      <c r="AX19" s="163">
        <f t="shared" si="19"/>
        <v>0</v>
      </c>
    </row>
    <row r="20" spans="1:50" ht="15" customHeight="1">
      <c r="B20" s="159"/>
      <c r="C20" s="160"/>
      <c r="D20" s="148"/>
      <c r="E20" s="160"/>
      <c r="F20" s="148"/>
      <c r="G20" s="160"/>
      <c r="H20" s="148"/>
      <c r="I20" s="160"/>
      <c r="J20" s="148"/>
      <c r="K20" s="160"/>
      <c r="L20" s="148"/>
      <c r="M20" s="160"/>
      <c r="N20" s="148"/>
      <c r="O20" s="160"/>
      <c r="R20" s="161"/>
      <c r="S20" s="162"/>
      <c r="T20" s="151"/>
      <c r="U20" s="162"/>
      <c r="V20" s="151"/>
      <c r="W20" s="162"/>
      <c r="X20" s="151"/>
      <c r="Y20" s="162"/>
      <c r="Z20" s="151"/>
      <c r="AA20" s="162"/>
      <c r="AB20" s="151"/>
      <c r="AC20" s="162"/>
      <c r="AD20" s="151"/>
      <c r="AE20" s="162"/>
      <c r="AH20" s="152"/>
      <c r="AI20" s="163">
        <f t="shared" si="6"/>
        <v>0</v>
      </c>
      <c r="AJ20" s="163">
        <f t="shared" si="7"/>
        <v>0</v>
      </c>
      <c r="AK20" s="163">
        <f t="shared" si="8"/>
        <v>0</v>
      </c>
      <c r="AL20" s="163">
        <f t="shared" si="9"/>
        <v>0</v>
      </c>
      <c r="AM20" s="163">
        <f t="shared" si="10"/>
        <v>0</v>
      </c>
      <c r="AN20" s="163">
        <f t="shared" si="11"/>
        <v>0</v>
      </c>
      <c r="AO20" s="163">
        <f t="shared" si="12"/>
        <v>0</v>
      </c>
      <c r="AQ20" s="152"/>
      <c r="AR20" s="163">
        <f t="shared" si="13"/>
        <v>0</v>
      </c>
      <c r="AS20" s="163">
        <f t="shared" si="14"/>
        <v>0</v>
      </c>
      <c r="AT20" s="163">
        <f t="shared" si="15"/>
        <v>0</v>
      </c>
      <c r="AU20" s="163">
        <f t="shared" si="16"/>
        <v>0</v>
      </c>
      <c r="AV20" s="163">
        <f t="shared" si="17"/>
        <v>0</v>
      </c>
      <c r="AW20" s="163">
        <f t="shared" si="18"/>
        <v>0</v>
      </c>
      <c r="AX20" s="163">
        <f t="shared" si="19"/>
        <v>0</v>
      </c>
    </row>
    <row r="21" spans="1:50" ht="15" customHeight="1">
      <c r="A21" s="1" t="s">
        <v>703</v>
      </c>
      <c r="B21" s="159">
        <f>+GETPIVOTDATA("Sum of New-Total Undg SCH FTE",'FTE Pivot for regular counts'!$A$2,"State","MS","Category",1,"Category2","Four-Year")</f>
        <v>44270.833333333328</v>
      </c>
      <c r="C21" s="160">
        <f>+GETPIVOTDATA("Sum of New-HS % of Total",'Pivot-HS Student % of Undergrad'!$A$3,"State","MS","Category",1,"Category2","Four-Year")</f>
        <v>0</v>
      </c>
      <c r="D21" s="148">
        <f>+GETPIVOTDATA("Sum of New-Total Undg SCH FTE",'FTE Pivot for regular counts'!$A$2,"State","MS","Category",2,"Category2","Four-Year")</f>
        <v>4546.3500000000004</v>
      </c>
      <c r="E21" s="160">
        <f>+GETPIVOTDATA("Sum of New-HS % of Total",'Pivot-HS Student % of Undergrad'!$A$3,"State","MS","Category",2,"Category2","Four-Year")</f>
        <v>0</v>
      </c>
      <c r="F21" s="148">
        <f>+GETPIVOTDATA("Sum of New-Total Undg SCH FTE",'FTE Pivot for regular counts'!$A$2,"State","MS","Category",3,"Category2","Four-Year")</f>
        <v>0</v>
      </c>
      <c r="G21" s="160">
        <f>+GETPIVOTDATA("Sum of New-HS % of Total",'Pivot-HS Student % of Undergrad'!$A$3,"State","MS","Category",3,"Category2","Four-Year")</f>
        <v>0</v>
      </c>
      <c r="H21" s="148">
        <f>+GETPIVOTDATA("Sum of New-Total Undg SCH FTE",'FTE Pivot for regular counts'!$A$2,"State","MS","Category",4,"Category2","Four-Year")</f>
        <v>7764.0500000000011</v>
      </c>
      <c r="I21" s="160">
        <f>+GETPIVOTDATA("Sum of New-HS % of Total",'Pivot-HS Student % of Undergrad'!$A$3,"State","MS","Category",4,"Category2","Four-Year")</f>
        <v>0</v>
      </c>
      <c r="J21" s="148">
        <f>+GETPIVOTDATA("Sum of New-Total Undg SCH FTE",'FTE Pivot for regular counts'!$A$2,"State","MS","Category",5,"Category2","Four-Year")</f>
        <v>0</v>
      </c>
      <c r="K21" s="160">
        <f>+GETPIVOTDATA("Sum of New-HS % of Total",'Pivot-HS Student % of Undergrad'!$A$3,"State","MS","Category",5,"Category2","Four-Year")</f>
        <v>0</v>
      </c>
      <c r="L21" s="148">
        <f>+GETPIVOTDATA("Sum of New-Total Undg SCH FTE",'FTE Pivot for regular counts'!$A$2,"State","MS","Category",6,"Category2","Four-Year")</f>
        <v>0</v>
      </c>
      <c r="M21" s="160">
        <f>+GETPIVOTDATA("Sum of New-HS % of Total",'Pivot-HS Student % of Undergrad'!$A$3,"State","MS","Category",6,"Category2","Four-Year")</f>
        <v>0</v>
      </c>
      <c r="N21" s="148">
        <f>+GETPIVOTDATA("Sum of New-Total Undg SCH FTE",'FTE Pivot for regular counts'!$A$2,"State","MS","Category2","Four-Year")</f>
        <v>56581.23333333333</v>
      </c>
      <c r="O21" s="160">
        <f>+GETPIVOTDATA("Sum of New-HS % of Total",'Pivot-HS Student % of Undergrad'!$A$3,"State","MS","Category2","Group1")</f>
        <v>0</v>
      </c>
      <c r="Q21" s="1" t="s">
        <v>703</v>
      </c>
      <c r="R21" s="161">
        <f>+GETPIVOTDATA("Sum of Old-HS % of Total",'Pivot-HS Student % of Undergrad'!$A$3,"State","MS","Category",1,"Category2","Four-Year")</f>
        <v>0</v>
      </c>
      <c r="S21" s="162">
        <f>(C21-R21)*100</f>
        <v>0</v>
      </c>
      <c r="T21" s="151">
        <f>+GETPIVOTDATA("Sum of Old-HS % of Total",'Pivot-HS Student % of Undergrad'!$A$3,"State","MS","Category",2,"Category2","Four-Year")</f>
        <v>0</v>
      </c>
      <c r="U21" s="162">
        <f t="shared" si="0"/>
        <v>0</v>
      </c>
      <c r="V21" s="151">
        <f>+GETPIVOTDATA("Sum of Old-HS % of Total",'Pivot-HS Student % of Undergrad'!$A$3,"State","MS","Category",3,"Category2","Four-Year")</f>
        <v>0</v>
      </c>
      <c r="W21" s="162">
        <f t="shared" si="1"/>
        <v>0</v>
      </c>
      <c r="X21" s="151">
        <f>+GETPIVOTDATA("Sum of Old-HS % of Total",'Pivot-HS Student % of Undergrad'!$A$3,"State","MS","Category",4,"Category2","Four-Year")</f>
        <v>0</v>
      </c>
      <c r="Y21" s="162">
        <f t="shared" si="2"/>
        <v>0</v>
      </c>
      <c r="Z21" s="151">
        <f>+GETPIVOTDATA("Sum of Old-HS % of Total",'Pivot-HS Student % of Undergrad'!$A$3,"State","MS","Category",5,"Category2","Four-Year")</f>
        <v>0</v>
      </c>
      <c r="AA21" s="162">
        <f t="shared" si="3"/>
        <v>0</v>
      </c>
      <c r="AB21" s="151">
        <f>+GETPIVOTDATA("Sum of Old-HS % of Total",'Pivot-HS Student % of Undergrad'!$A$3,"State","MS","Category",6,"Category2","Four-Year")</f>
        <v>0</v>
      </c>
      <c r="AC21" s="162">
        <f t="shared" si="4"/>
        <v>0</v>
      </c>
      <c r="AD21" s="151">
        <f>+GETPIVOTDATA("Sum of Old-HS % of Total",'Pivot-HS Student % of Undergrad'!$A$3,"State","MS","Category2","Four-Year")</f>
        <v>0</v>
      </c>
      <c r="AE21" s="162">
        <f t="shared" si="5"/>
        <v>0</v>
      </c>
      <c r="AF21" s="1" t="s">
        <v>703</v>
      </c>
      <c r="AH21" s="152" t="s">
        <v>703</v>
      </c>
      <c r="AI21" s="163">
        <f t="shared" si="6"/>
        <v>0</v>
      </c>
      <c r="AJ21" s="163">
        <f t="shared" si="7"/>
        <v>0</v>
      </c>
      <c r="AK21" s="163">
        <f t="shared" si="8"/>
        <v>0</v>
      </c>
      <c r="AL21" s="163">
        <f t="shared" si="9"/>
        <v>0</v>
      </c>
      <c r="AM21" s="163">
        <f t="shared" si="10"/>
        <v>0</v>
      </c>
      <c r="AN21" s="163">
        <f t="shared" si="11"/>
        <v>0</v>
      </c>
      <c r="AO21" s="163">
        <f t="shared" si="12"/>
        <v>0</v>
      </c>
      <c r="AQ21" s="152" t="s">
        <v>703</v>
      </c>
      <c r="AR21" s="163">
        <f t="shared" si="13"/>
        <v>0</v>
      </c>
      <c r="AS21" s="163">
        <f t="shared" si="14"/>
        <v>0</v>
      </c>
      <c r="AT21" s="163">
        <f t="shared" si="15"/>
        <v>0</v>
      </c>
      <c r="AU21" s="163">
        <f t="shared" si="16"/>
        <v>0</v>
      </c>
      <c r="AV21" s="163">
        <f t="shared" si="17"/>
        <v>0</v>
      </c>
      <c r="AW21" s="163">
        <f t="shared" si="18"/>
        <v>0</v>
      </c>
      <c r="AX21" s="163">
        <f t="shared" si="19"/>
        <v>0</v>
      </c>
    </row>
    <row r="22" spans="1:50" ht="15" customHeight="1">
      <c r="A22" s="1" t="s">
        <v>704</v>
      </c>
      <c r="B22" s="159">
        <f>+GETPIVOTDATA("Sum of New-Total Undg SCH FTE",'FTE Pivot for regular counts'!$A$2,"State","NC","Category",1,"Category2","Four-Year")</f>
        <v>80171.45</v>
      </c>
      <c r="C22" s="160">
        <f>+GETPIVOTDATA("Sum of New-HS % of Total",'Pivot-HS Student % of Undergrad'!$A$3,"State","NC","Category",1,"Category2","Four-Year")</f>
        <v>3.7320018535276587E-3</v>
      </c>
      <c r="D22" s="148">
        <f>+GETPIVOTDATA("Sum of New-Total Undg SCH FTE",'FTE Pivot for regular counts'!$A$2,"State","NC","Category",2,"Category2","Four-Year")</f>
        <v>31482.7</v>
      </c>
      <c r="E22" s="160">
        <f>+GETPIVOTDATA("Sum of New-HS % of Total",'Pivot-HS Student % of Undergrad'!$A$3,"State","NC","Category",2,"Category2","Four-Year")</f>
        <v>4.8259308551469012E-3</v>
      </c>
      <c r="F22" s="148">
        <f>+GETPIVOTDATA("Sum of New-Total Undg SCH FTE",'FTE Pivot for regular counts'!$A$2,"State","NC","Category",3,"Category2","Four-Year")</f>
        <v>46234.716666666667</v>
      </c>
      <c r="G22" s="160">
        <f>+GETPIVOTDATA("Sum of New-HS % of Total",'Pivot-HS Student % of Undergrad'!$A$3,"State","NC","Category",3,"Category2","Four-Year")</f>
        <v>6.4396054479984918E-3</v>
      </c>
      <c r="H22" s="148">
        <f>+GETPIVOTDATA("Sum of New-Total Undg SCH FTE",'FTE Pivot for regular counts'!$A$2,"State","NC","Category",4,"Category2","Four-Year")</f>
        <v>4814.1333333333332</v>
      </c>
      <c r="I22" s="160">
        <f>+GETPIVOTDATA("Sum of New-HS % of Total",'Pivot-HS Student % of Undergrad'!$A$3,"State","NC","Category",4,"Category2","Four-Year")</f>
        <v>5.3093668642330914E-2</v>
      </c>
      <c r="J22" s="148">
        <f>+GETPIVOTDATA("Sum of New-Total Undg SCH FTE",'FTE Pivot for regular counts'!$A$2,"State","NC","Category",5,"Category2","Four-Year")</f>
        <v>10157.016666666666</v>
      </c>
      <c r="K22" s="160">
        <f>+GETPIVOTDATA("Sum of New-HS % of Total",'Pivot-HS Student % of Undergrad'!$A$3,"State","NC","Category",5,"Category2","Four-Year")</f>
        <v>0</v>
      </c>
      <c r="L22" s="148">
        <f>+GETPIVOTDATA("Sum of New-Total Undg SCH FTE",'FTE Pivot for regular counts'!$A$2,"State","NC","Category",6,"Category2","Four-Year")</f>
        <v>4843.6666666666661</v>
      </c>
      <c r="M22" s="160">
        <f>+GETPIVOTDATA("Sum of New-HS % of Total",'Pivot-HS Student % of Undergrad'!$A$3,"State","NC","Category",6,"Category2","Four-Year")</f>
        <v>2.9867180510632441E-3</v>
      </c>
      <c r="N22" s="148">
        <f>+GETPIVOTDATA("Sum of New-Total Undg SCH FTE",'FTE Pivot for regular counts'!$A$2,"State","NC","Category2","Four-Year")</f>
        <v>177703.68333333332</v>
      </c>
      <c r="O22" s="160">
        <f>+GETPIVOTDATA("Sum of New-HS % of Total",'Pivot-HS Student % of Undergrad'!$A$3,"State","NC","Category2","Group1")</f>
        <v>5.7338897777489328E-3</v>
      </c>
      <c r="Q22" s="1" t="s">
        <v>704</v>
      </c>
      <c r="R22" s="161">
        <f>+GETPIVOTDATA("Sum of Old-HS % of Total",'Pivot-HS Student % of Undergrad'!$A$3,"State","NC","Category",1,"Category2","Four-Year")</f>
        <v>3.634393313791832E-3</v>
      </c>
      <c r="S22" s="162">
        <f>(C22-R22)*100</f>
        <v>9.7608539735826675E-3</v>
      </c>
      <c r="T22" s="151">
        <f>+GETPIVOTDATA("Sum of Old-HS % of Total",'Pivot-HS Student % of Undergrad'!$A$3,"State","NC","Category",2,"Category2","Four-Year")</f>
        <v>3.7657839921091856E-3</v>
      </c>
      <c r="U22" s="162">
        <f t="shared" si="0"/>
        <v>0.10601468630377156</v>
      </c>
      <c r="V22" s="151">
        <f>+GETPIVOTDATA("Sum of Old-HS % of Total",'Pivot-HS Student % of Undergrad'!$A$3,"State","NC","Category",3,"Category2","Four-Year")</f>
        <v>6.3113758148983529E-3</v>
      </c>
      <c r="W22" s="162">
        <f t="shared" si="1"/>
        <v>1.2822963310013882E-2</v>
      </c>
      <c r="X22" s="151">
        <f>+GETPIVOTDATA("Sum of Old-HS % of Total",'Pivot-HS Student % of Undergrad'!$A$3,"State","NC","Category",4,"Category2","Four-Year")</f>
        <v>5.2347857376076973E-2</v>
      </c>
      <c r="Y22" s="162">
        <f t="shared" si="2"/>
        <v>7.4581126625394151E-2</v>
      </c>
      <c r="Z22" s="151">
        <f>+GETPIVOTDATA("Sum of Old-HS % of Total",'Pivot-HS Student % of Undergrad'!$A$3,"State","NC","Category",5,"Category2","Four-Year")</f>
        <v>0</v>
      </c>
      <c r="AA22" s="162">
        <f t="shared" si="3"/>
        <v>0</v>
      </c>
      <c r="AB22" s="151">
        <f>+GETPIVOTDATA("Sum of Old-HS % of Total",'Pivot-HS Student % of Undergrad'!$A$3,"State","NC","Category",6,"Category2","Four-Year")</f>
        <v>6.1303725904229961E-5</v>
      </c>
      <c r="AC22" s="162">
        <f t="shared" si="4"/>
        <v>0.29254143251590142</v>
      </c>
      <c r="AD22" s="151">
        <f>+GETPIVOTDATA("Sum of Old-HS % of Total",'Pivot-HS Student % of Undergrad'!$A$3,"State","NC","Category2","Four-Year")</f>
        <v>5.3998625891622364E-3</v>
      </c>
      <c r="AE22" s="162">
        <f t="shared" si="5"/>
        <v>3.3402718858669633E-2</v>
      </c>
      <c r="AF22" s="1" t="s">
        <v>704</v>
      </c>
      <c r="AH22" s="152" t="s">
        <v>704</v>
      </c>
      <c r="AI22" s="163">
        <f t="shared" si="6"/>
        <v>0.37320018535276589</v>
      </c>
      <c r="AJ22" s="163">
        <f t="shared" si="7"/>
        <v>0.4825930855146901</v>
      </c>
      <c r="AK22" s="163">
        <f t="shared" si="8"/>
        <v>0.64396054479984921</v>
      </c>
      <c r="AL22" s="163">
        <f t="shared" si="9"/>
        <v>5.3093668642330911</v>
      </c>
      <c r="AM22" s="163">
        <f t="shared" si="10"/>
        <v>0</v>
      </c>
      <c r="AN22" s="163">
        <f t="shared" si="11"/>
        <v>0.29867180510632441</v>
      </c>
      <c r="AO22" s="163">
        <f t="shared" si="12"/>
        <v>0.57338897777489328</v>
      </c>
      <c r="AQ22" s="152" t="s">
        <v>704</v>
      </c>
      <c r="AR22" s="163">
        <f t="shared" si="13"/>
        <v>0.36343933137918322</v>
      </c>
      <c r="AS22" s="163">
        <f t="shared" si="14"/>
        <v>0.37657839921091857</v>
      </c>
      <c r="AT22" s="163">
        <f t="shared" si="15"/>
        <v>0.63113758148983534</v>
      </c>
      <c r="AU22" s="163">
        <f t="shared" si="16"/>
        <v>5.2347857376076972</v>
      </c>
      <c r="AV22" s="163">
        <f t="shared" si="17"/>
        <v>0</v>
      </c>
      <c r="AW22" s="163">
        <f t="shared" si="18"/>
        <v>6.1303725904229963E-3</v>
      </c>
      <c r="AX22" s="163">
        <f t="shared" si="19"/>
        <v>0.53998625891622365</v>
      </c>
    </row>
    <row r="23" spans="1:50" ht="15" customHeight="1">
      <c r="A23" s="1" t="s">
        <v>705</v>
      </c>
      <c r="B23" s="159">
        <f>+GETPIVOTDATA("Sum of New-Total Undg SCH FTE",'FTE Pivot for regular counts'!$A$2,"State","OK","Category",1,"Category2","Four-Year")</f>
        <v>0</v>
      </c>
      <c r="C23" s="160">
        <f>+GETPIVOTDATA("Sum of New-HS % of Total",'Pivot-HS Student % of Undergrad'!$A$3,"State","OK","Category",1,"Category2","Four-Year")</f>
        <v>0</v>
      </c>
      <c r="D23" s="148">
        <f>+GETPIVOTDATA("Sum of New-Total Undg SCH FTE",'FTE Pivot for regular counts'!$A$2,"State","OK","Category",2,"Category2","Four-Year")</f>
        <v>0</v>
      </c>
      <c r="E23" s="160">
        <f>+GETPIVOTDATA("Sum of New-HS % of Total",'Pivot-HS Student % of Undergrad'!$A$3,"State","OK","Category",2,"Category2","Four-Year")</f>
        <v>0</v>
      </c>
      <c r="F23" s="148">
        <f>+GETPIVOTDATA("Sum of New-Total Undg SCH FTE",'FTE Pivot for regular counts'!$A$2,"State","OK","Category",3,"Category2","Four-Year")</f>
        <v>0</v>
      </c>
      <c r="G23" s="160">
        <f>+GETPIVOTDATA("Sum of New-HS % of Total",'Pivot-HS Student % of Undergrad'!$A$3,"State","OK","Category",3,"Category2","Four-Year")</f>
        <v>0</v>
      </c>
      <c r="H23" s="148">
        <f>+GETPIVOTDATA("Sum of New-Total Undg SCH FTE",'FTE Pivot for regular counts'!$A$2,"State","OK","Category",4,"Category2","Four-Year")</f>
        <v>0</v>
      </c>
      <c r="I23" s="160">
        <f>+GETPIVOTDATA("Sum of New-HS % of Total",'Pivot-HS Student % of Undergrad'!$A$3,"State","OK","Category",4,"Category2","Four-Year")</f>
        <v>0</v>
      </c>
      <c r="J23" s="148">
        <f>+GETPIVOTDATA("Sum of New-Total Undg SCH FTE",'FTE Pivot for regular counts'!$A$2,"State","OK","Category",5,"Category2","Four-Year")</f>
        <v>0</v>
      </c>
      <c r="K23" s="160">
        <f>+GETPIVOTDATA("Sum of New-HS % of Total",'Pivot-HS Student % of Undergrad'!$A$3,"State","OK","Category",5,"Category2","Four-Year")</f>
        <v>0</v>
      </c>
      <c r="L23" s="148">
        <f>+GETPIVOTDATA("Sum of New-Total Undg SCH FTE",'FTE Pivot for regular counts'!$A$2,"State","OK","Category",6,"Category2","Four-Year")</f>
        <v>0</v>
      </c>
      <c r="M23" s="160">
        <f>+GETPIVOTDATA("Sum of New-HS % of Total",'Pivot-HS Student % of Undergrad'!$A$3,"State","OK","Category",6,"Category2","Four-Year")</f>
        <v>0</v>
      </c>
      <c r="N23" s="148">
        <f>+GETPIVOTDATA("Sum of New-Total Undg SCH FTE",'FTE Pivot for regular counts'!$A$2,"State","OK","Category2","Four-Year")</f>
        <v>0</v>
      </c>
      <c r="O23" s="160">
        <f>+GETPIVOTDATA("Sum of New-HS % of Total",'Pivot-HS Student % of Undergrad'!$A$3,"State","OK","Category2","Group1")</f>
        <v>0</v>
      </c>
      <c r="Q23" s="1" t="s">
        <v>705</v>
      </c>
      <c r="R23" s="161">
        <f>+GETPIVOTDATA("Sum of Old-HS % of Total",'Pivot-HS Student % of Undergrad'!$A$3,"State","OK","Category",1,"Category2","Four-Year")</f>
        <v>0</v>
      </c>
      <c r="S23" s="162">
        <f>(C23-R23)*100</f>
        <v>0</v>
      </c>
      <c r="T23" s="151">
        <f>+GETPIVOTDATA("Sum of Old-HS % of Total",'Pivot-HS Student % of Undergrad'!$A$3,"State","OK","Category",2,"Category2","Four-Year")</f>
        <v>0</v>
      </c>
      <c r="U23" s="162">
        <f t="shared" si="0"/>
        <v>0</v>
      </c>
      <c r="V23" s="151">
        <f>+GETPIVOTDATA("Sum of Old-HS % of Total",'Pivot-HS Student % of Undergrad'!$A$3,"State","OK","Category",3,"Category2","Four-Year")</f>
        <v>0</v>
      </c>
      <c r="W23" s="162">
        <f t="shared" si="1"/>
        <v>0</v>
      </c>
      <c r="X23" s="151">
        <f>+GETPIVOTDATA("Sum of Old-HS % of Total",'Pivot-HS Student % of Undergrad'!$A$3,"State","OK","Category",4,"Category2","Four-Year")</f>
        <v>0</v>
      </c>
      <c r="Y23" s="162">
        <f t="shared" si="2"/>
        <v>0</v>
      </c>
      <c r="Z23" s="151">
        <f>+GETPIVOTDATA("Sum of Old-HS % of Total",'Pivot-HS Student % of Undergrad'!$A$3,"State","OK","Category",5,"Category2","Four-Year")</f>
        <v>0</v>
      </c>
      <c r="AA23" s="162">
        <f t="shared" si="3"/>
        <v>0</v>
      </c>
      <c r="AB23" s="151">
        <f>+GETPIVOTDATA("Sum of Old-HS % of Total",'Pivot-HS Student % of Undergrad'!$A$3,"State","OK","Category",6,"Category2","Four-Year")</f>
        <v>0</v>
      </c>
      <c r="AC23" s="162">
        <f t="shared" si="4"/>
        <v>0</v>
      </c>
      <c r="AD23" s="151">
        <f>+GETPIVOTDATA("Sum of Old-HS % of Total",'Pivot-HS Student % of Undergrad'!$A$3,"State","OK","Category2","Four-Year")</f>
        <v>0</v>
      </c>
      <c r="AE23" s="162">
        <f t="shared" si="5"/>
        <v>0</v>
      </c>
      <c r="AF23" s="1" t="s">
        <v>705</v>
      </c>
      <c r="AH23" s="152" t="s">
        <v>705</v>
      </c>
      <c r="AI23" s="163">
        <f t="shared" si="6"/>
        <v>0</v>
      </c>
      <c r="AJ23" s="163">
        <f t="shared" si="7"/>
        <v>0</v>
      </c>
      <c r="AK23" s="163">
        <f t="shared" si="8"/>
        <v>0</v>
      </c>
      <c r="AL23" s="163">
        <f t="shared" si="9"/>
        <v>0</v>
      </c>
      <c r="AM23" s="163">
        <f t="shared" si="10"/>
        <v>0</v>
      </c>
      <c r="AN23" s="163">
        <f t="shared" si="11"/>
        <v>0</v>
      </c>
      <c r="AO23" s="163">
        <f t="shared" si="12"/>
        <v>0</v>
      </c>
      <c r="AQ23" s="152" t="s">
        <v>705</v>
      </c>
      <c r="AR23" s="163">
        <f t="shared" si="13"/>
        <v>0</v>
      </c>
      <c r="AS23" s="163">
        <f t="shared" si="14"/>
        <v>0</v>
      </c>
      <c r="AT23" s="163">
        <f t="shared" si="15"/>
        <v>0</v>
      </c>
      <c r="AU23" s="163">
        <f t="shared" si="16"/>
        <v>0</v>
      </c>
      <c r="AV23" s="163">
        <f t="shared" si="17"/>
        <v>0</v>
      </c>
      <c r="AW23" s="163">
        <f t="shared" si="18"/>
        <v>0</v>
      </c>
      <c r="AX23" s="163">
        <f t="shared" si="19"/>
        <v>0</v>
      </c>
    </row>
    <row r="24" spans="1:50" ht="15" customHeight="1">
      <c r="A24" s="1" t="s">
        <v>706</v>
      </c>
      <c r="B24" s="159">
        <f>+GETPIVOTDATA("Sum of New-Total Undg SCH FTE",'FTE Pivot for regular counts'!$A$2,"State","SC","Category",1,"Category2","Four-Year")</f>
        <v>48986.833333333328</v>
      </c>
      <c r="C24" s="165">
        <f>+GETPIVOTDATA("Sum of New-HS % of Total",'Pivot-HS Student % of Undergrad'!$A$3,"State","SC","Category",1,"Category2","Four-Year")</f>
        <v>1.5990691376254165E-4</v>
      </c>
      <c r="D24" s="148">
        <f>+GETPIVOTDATA("Sum of New-Total Undg SCH FTE",'FTE Pivot for regular counts'!$A$2,"State","SC","Category",2,"Category2","Four-Year")</f>
        <v>0</v>
      </c>
      <c r="E24" s="160">
        <f>+GETPIVOTDATA("Sum of New-HS % of Total",'Pivot-HS Student % of Undergrad'!$A$3,"State","SC","Category",2,"Category2","Four-Year")</f>
        <v>0</v>
      </c>
      <c r="F24" s="148">
        <f>+GETPIVOTDATA("Sum of New-Total Undg SCH FTE",'FTE Pivot for regular counts'!$A$2,"State","SC","Category",3,"Category2","Four-Year")</f>
        <v>16634.633333333335</v>
      </c>
      <c r="G24" s="160">
        <f>+GETPIVOTDATA("Sum of New-HS % of Total",'Pivot-HS Student % of Undergrad'!$A$3,"State","SC","Category",3,"Category2","Four-Year")</f>
        <v>3.1941391354182737E-3</v>
      </c>
      <c r="H24" s="148">
        <f>+GETPIVOTDATA("Sum of New-Total Undg SCH FTE",'FTE Pivot for regular counts'!$A$2,"State","SC","Category",4,"Category2","Four-Year")</f>
        <v>9433.0666666666675</v>
      </c>
      <c r="I24" s="160">
        <f>+GETPIVOTDATA("Sum of New-HS % of Total",'Pivot-HS Student % of Undergrad'!$A$3,"State","SC","Category",4,"Category2","Four-Year")</f>
        <v>8.7352292644315033E-3</v>
      </c>
      <c r="J24" s="148">
        <f>+GETPIVOTDATA("Sum of New-Total Undg SCH FTE",'FTE Pivot for regular counts'!$A$2,"State","SC","Category",5,"Category2","Four-Year")</f>
        <v>7479.2999999999993</v>
      </c>
      <c r="K24" s="160">
        <f>+GETPIVOTDATA("Sum of New-HS % of Total",'Pivot-HS Student % of Undergrad'!$A$3,"State","SC","Category",5,"Category2","Four-Year")</f>
        <v>3.4954251511950765E-2</v>
      </c>
      <c r="L24" s="148">
        <f>+GETPIVOTDATA("Sum of New-Total Undg SCH FTE",'FTE Pivot for regular counts'!$A$2,"State","SC","Category",6,"Category2","Four-Year")</f>
        <v>9744.2166666666672</v>
      </c>
      <c r="M24" s="160">
        <f>+GETPIVOTDATA("Sum of New-HS % of Total",'Pivot-HS Student % of Undergrad'!$A$3,"State","SC","Category",6,"Category2","Four-Year")</f>
        <v>2.4188706805575274E-2</v>
      </c>
      <c r="N24" s="148">
        <f>+GETPIVOTDATA("Sum of New-Total Undg SCH FTE",'FTE Pivot for regular counts'!$A$2,"State","SC","Category2","Four-Year")</f>
        <v>92278.049999999988</v>
      </c>
      <c r="O24" s="160">
        <f>+GETPIVOTDATA("Sum of New-HS % of Total",'Pivot-HS Student % of Undergrad'!$A$3,"State","SC","Category2","Group1")</f>
        <v>6.940978921856281E-3</v>
      </c>
      <c r="Q24" s="1" t="s">
        <v>706</v>
      </c>
      <c r="R24" s="161">
        <f>+GETPIVOTDATA("Sum of Old-HS % of Total",'Pivot-HS Student % of Undergrad'!$A$3,"State","SC","Category",1,"Category2","Four-Year")</f>
        <v>1.5273494418696938E-4</v>
      </c>
      <c r="S24" s="164">
        <f>(C24-R24)*100</f>
        <v>7.1719695755722711E-4</v>
      </c>
      <c r="T24" s="151">
        <f>+GETPIVOTDATA("Sum of Old-HS % of Total",'Pivot-HS Student % of Undergrad'!$A$3,"State","SC","Category",2,"Category2","Four-Year")</f>
        <v>0</v>
      </c>
      <c r="U24" s="162">
        <f t="shared" si="0"/>
        <v>0</v>
      </c>
      <c r="V24" s="151">
        <f>+GETPIVOTDATA("Sum of Old-HS % of Total",'Pivot-HS Student % of Undergrad'!$A$3,"State","SC","Category",3,"Category2","Four-Year")</f>
        <v>3.6993432197791553E-3</v>
      </c>
      <c r="W24" s="162">
        <f t="shared" si="1"/>
        <v>-5.0520408436088154E-2</v>
      </c>
      <c r="X24" s="151">
        <f>+GETPIVOTDATA("Sum of Old-HS % of Total",'Pivot-HS Student % of Undergrad'!$A$3,"State","SC","Category",4,"Category2","Four-Year")</f>
        <v>9.0217402796034657E-3</v>
      </c>
      <c r="Y24" s="162">
        <f t="shared" si="2"/>
        <v>-2.8651101517196235E-2</v>
      </c>
      <c r="Z24" s="151">
        <f>+GETPIVOTDATA("Sum of Old-HS % of Total",'Pivot-HS Student % of Undergrad'!$A$3,"State","SC","Category",5,"Category2","Four-Year")</f>
        <v>2.9735033931425035E-2</v>
      </c>
      <c r="AA24" s="162">
        <f t="shared" si="3"/>
        <v>0.52192175805257301</v>
      </c>
      <c r="AB24" s="151">
        <f>+GETPIVOTDATA("Sum of Old-HS % of Total",'Pivot-HS Student % of Undergrad'!$A$3,"State","SC","Category",6,"Category2","Four-Year")</f>
        <v>2.1178097875902965E-2</v>
      </c>
      <c r="AC24" s="162">
        <f t="shared" si="4"/>
        <v>0.30106089296723093</v>
      </c>
      <c r="AD24" s="151">
        <f>+GETPIVOTDATA("Sum of Old-HS % of Total",'Pivot-HS Student % of Undergrad'!$A$3,"State","SC","Category2","Four-Year")</f>
        <v>6.4618122044981918E-3</v>
      </c>
      <c r="AE24" s="162">
        <f t="shared" si="5"/>
        <v>4.7916671735808922E-2</v>
      </c>
      <c r="AF24" s="1" t="s">
        <v>706</v>
      </c>
      <c r="AH24" s="152" t="s">
        <v>706</v>
      </c>
      <c r="AI24" s="163">
        <f t="shared" si="6"/>
        <v>1.5990691376254165E-2</v>
      </c>
      <c r="AJ24" s="163">
        <f t="shared" si="7"/>
        <v>0</v>
      </c>
      <c r="AK24" s="163">
        <f t="shared" si="8"/>
        <v>0.31941391354182735</v>
      </c>
      <c r="AL24" s="163">
        <f t="shared" si="9"/>
        <v>0.87352292644315033</v>
      </c>
      <c r="AM24" s="163">
        <f t="shared" si="10"/>
        <v>3.4954251511950765</v>
      </c>
      <c r="AN24" s="163">
        <f t="shared" si="11"/>
        <v>2.4188706805575273</v>
      </c>
      <c r="AO24" s="163">
        <f t="shared" si="12"/>
        <v>0.69409789218562812</v>
      </c>
      <c r="AQ24" s="152" t="s">
        <v>706</v>
      </c>
      <c r="AR24" s="163">
        <f t="shared" si="13"/>
        <v>1.5273494418696939E-2</v>
      </c>
      <c r="AS24" s="163">
        <f t="shared" si="14"/>
        <v>0</v>
      </c>
      <c r="AT24" s="163">
        <f t="shared" si="15"/>
        <v>0.36993432197791554</v>
      </c>
      <c r="AU24" s="163">
        <f t="shared" si="16"/>
        <v>0.90217402796034651</v>
      </c>
      <c r="AV24" s="163">
        <f t="shared" si="17"/>
        <v>2.9735033931425034</v>
      </c>
      <c r="AW24" s="163">
        <f t="shared" si="18"/>
        <v>2.1178097875902964</v>
      </c>
      <c r="AX24" s="163">
        <f t="shared" si="19"/>
        <v>0.64618122044981918</v>
      </c>
    </row>
    <row r="25" spans="1:50" ht="15" customHeight="1">
      <c r="B25" s="159"/>
      <c r="C25" s="165"/>
      <c r="D25" s="148"/>
      <c r="E25" s="160"/>
      <c r="F25" s="148"/>
      <c r="G25" s="160"/>
      <c r="H25" s="148"/>
      <c r="I25" s="160"/>
      <c r="J25" s="148"/>
      <c r="K25" s="160"/>
      <c r="L25" s="148"/>
      <c r="M25" s="160"/>
      <c r="N25" s="148"/>
      <c r="O25" s="160"/>
      <c r="R25" s="161"/>
      <c r="S25" s="162"/>
      <c r="T25" s="151"/>
      <c r="U25" s="162"/>
      <c r="V25" s="151"/>
      <c r="W25" s="162"/>
      <c r="X25" s="151"/>
      <c r="Y25" s="162"/>
      <c r="Z25" s="151"/>
      <c r="AA25" s="162"/>
      <c r="AB25" s="151"/>
      <c r="AC25" s="162"/>
      <c r="AD25" s="151"/>
      <c r="AE25" s="162"/>
      <c r="AH25" s="152"/>
      <c r="AI25" s="163">
        <f t="shared" si="6"/>
        <v>0</v>
      </c>
      <c r="AJ25" s="163">
        <f t="shared" si="7"/>
        <v>0</v>
      </c>
      <c r="AK25" s="163">
        <f t="shared" si="8"/>
        <v>0</v>
      </c>
      <c r="AL25" s="163">
        <f t="shared" si="9"/>
        <v>0</v>
      </c>
      <c r="AM25" s="163">
        <f t="shared" si="10"/>
        <v>0</v>
      </c>
      <c r="AN25" s="163">
        <f t="shared" si="11"/>
        <v>0</v>
      </c>
      <c r="AO25" s="163">
        <f t="shared" si="12"/>
        <v>0</v>
      </c>
      <c r="AQ25" s="152"/>
      <c r="AR25" s="163">
        <f t="shared" si="13"/>
        <v>0</v>
      </c>
      <c r="AS25" s="163">
        <f t="shared" si="14"/>
        <v>0</v>
      </c>
      <c r="AT25" s="163">
        <f t="shared" si="15"/>
        <v>0</v>
      </c>
      <c r="AU25" s="163">
        <f t="shared" si="16"/>
        <v>0</v>
      </c>
      <c r="AV25" s="163">
        <f t="shared" si="17"/>
        <v>0</v>
      </c>
      <c r="AW25" s="163">
        <f t="shared" si="18"/>
        <v>0</v>
      </c>
      <c r="AX25" s="163">
        <f t="shared" si="19"/>
        <v>0</v>
      </c>
    </row>
    <row r="26" spans="1:50" ht="15" customHeight="1">
      <c r="A26" s="1" t="s">
        <v>707</v>
      </c>
      <c r="B26" s="159">
        <f>+GETPIVOTDATA("Sum of New-Total Undg SCH FTE",'FTE Pivot for regular counts'!$A$2,"State","TN","Category",1,"Category2","Four-Year")</f>
        <v>36886.433333333334</v>
      </c>
      <c r="C26" s="160">
        <f>+GETPIVOTDATA("Sum of New-HS % of Total",'Pivot-HS Student % of Undergrad'!$A$3,"State","TN","Category",1,"Category2","Four-Year")</f>
        <v>1.4506688547641275E-2</v>
      </c>
      <c r="D26" s="148">
        <f>+GETPIVOTDATA("Sum of New-Total Undg SCH FTE",'FTE Pivot for regular counts'!$A$2,"State","TN","Category",2,"Category2","Four-Year")</f>
        <v>30884.1</v>
      </c>
      <c r="E26" s="160">
        <f>+GETPIVOTDATA("Sum of New-HS % of Total",'Pivot-HS Student % of Undergrad'!$A$3,"State","TN","Category",2,"Category2","Four-Year")</f>
        <v>1.5200917840139964E-2</v>
      </c>
      <c r="F26" s="148">
        <f>+GETPIVOTDATA("Sum of New-Total Undg SCH FTE",'FTE Pivot for regular counts'!$A$2,"State","TN","Category",3,"Category2","Four-Year")</f>
        <v>24336.666666666664</v>
      </c>
      <c r="G26" s="160">
        <f>+GETPIVOTDATA("Sum of New-HS % of Total",'Pivot-HS Student % of Undergrad'!$A$3,"State","TN","Category",3,"Category2","Four-Year")</f>
        <v>1.6390905355430762E-2</v>
      </c>
      <c r="H26" s="148">
        <f>+GETPIVOTDATA("Sum of New-Total Undg SCH FTE",'FTE Pivot for regular counts'!$A$2,"State","TN","Category",4,"Category2","Four-Year")</f>
        <v>5028.9666666666662</v>
      </c>
      <c r="I26" s="160">
        <f>+GETPIVOTDATA("Sum of New-HS % of Total",'Pivot-HS Student % of Undergrad'!$A$3,"State","TN","Category",4,"Category2","Four-Year")</f>
        <v>5.7182058607135995E-2</v>
      </c>
      <c r="J26" s="148">
        <f>+GETPIVOTDATA("Sum of New-Total Undg SCH FTE",'FTE Pivot for regular counts'!$A$2,"State","TN","Category",5,"Category2","Four-Year")</f>
        <v>0</v>
      </c>
      <c r="K26" s="160">
        <f>+GETPIVOTDATA("Sum of New-HS % of Total",'Pivot-HS Student % of Undergrad'!$A$3,"State","TN","Category",5,"Category2","Four-Year")</f>
        <v>0</v>
      </c>
      <c r="L26" s="148">
        <f>+GETPIVOTDATA("Sum of New-Total Undg SCH FTE",'FTE Pivot for regular counts'!$A$2,"State","TN","Category",6,"Category2","Four-Year")</f>
        <v>0</v>
      </c>
      <c r="M26" s="160">
        <f>+GETPIVOTDATA("Sum of New-HS % of Total",'Pivot-HS Student % of Undergrad'!$A$3,"State","TN","Category",6,"Category2","Four-Year")</f>
        <v>0</v>
      </c>
      <c r="N26" s="148">
        <f>+GETPIVOTDATA("Sum of New-Total Undg SCH FTE",'FTE Pivot for regular counts'!$A$2,"State","TN","Category2","Four-Year")</f>
        <v>97136.166666666642</v>
      </c>
      <c r="O26" s="160">
        <f>+GETPIVOTDATA("Sum of New-HS % of Total",'Pivot-HS Student % of Undergrad'!$A$3,"State","TN","Category2","Group1")</f>
        <v>1.7408895073410695E-2</v>
      </c>
      <c r="Q26" s="1" t="s">
        <v>707</v>
      </c>
      <c r="R26" s="161">
        <f>+GETPIVOTDATA("Sum of Old-HS % of Total",'Pivot-HS Student % of Undergrad'!$A$3,"State","TN","Category",1,"Category2","Four-Year")</f>
        <v>1.2947881224938545E-2</v>
      </c>
      <c r="S26" s="162">
        <f>(C26-R26)*100</f>
        <v>0.15588073227027296</v>
      </c>
      <c r="T26" s="151">
        <f>+GETPIVOTDATA("Sum of Old-HS % of Total",'Pivot-HS Student % of Undergrad'!$A$3,"State","TN","Category",2,"Category2","Four-Year")</f>
        <v>1.5504699143473365E-2</v>
      </c>
      <c r="U26" s="162">
        <f t="shared" si="0"/>
        <v>-3.037813033334013E-2</v>
      </c>
      <c r="V26" s="151">
        <f>+GETPIVOTDATA("Sum of Old-HS % of Total",'Pivot-HS Student % of Undergrad'!$A$3,"State","TN","Category",3,"Category2","Four-Year")</f>
        <v>1.52809542011934E-2</v>
      </c>
      <c r="W26" s="164">
        <f t="shared" si="1"/>
        <v>0.11099511542373622</v>
      </c>
      <c r="X26" s="151">
        <f>+GETPIVOTDATA("Sum of Old-HS % of Total",'Pivot-HS Student % of Undergrad'!$A$3,"State","TN","Category",4,"Category2","Four-Year")</f>
        <v>5.9184418896916342E-2</v>
      </c>
      <c r="Y26" s="162">
        <f t="shared" si="2"/>
        <v>-0.20023602897803472</v>
      </c>
      <c r="Z26" s="151">
        <f>+GETPIVOTDATA("Sum of Old-HS % of Total",'Pivot-HS Student % of Undergrad'!$A$3,"State","TN","Category",5,"Category2","Four-Year")</f>
        <v>0</v>
      </c>
      <c r="AA26" s="162">
        <f t="shared" si="3"/>
        <v>0</v>
      </c>
      <c r="AB26" s="151">
        <f>+GETPIVOTDATA("Sum of Old-HS % of Total",'Pivot-HS Student % of Undergrad'!$A$3,"State","TN","Category",6,"Category2","Four-Year")</f>
        <v>0</v>
      </c>
      <c r="AC26" s="162">
        <f t="shared" si="4"/>
        <v>0</v>
      </c>
      <c r="AD26" s="151">
        <f>+GETPIVOTDATA("Sum of Old-HS % of Total",'Pivot-HS Student % of Undergrad'!$A$3,"State","TN","Category2","Four-Year")</f>
        <v>1.6853965269760688E-2</v>
      </c>
      <c r="AE26" s="162">
        <f t="shared" si="5"/>
        <v>5.549298036500068E-2</v>
      </c>
      <c r="AF26" s="1" t="s">
        <v>707</v>
      </c>
      <c r="AH26" s="152" t="s">
        <v>707</v>
      </c>
      <c r="AI26" s="163">
        <f t="shared" si="6"/>
        <v>1.4506688547641275</v>
      </c>
      <c r="AJ26" s="163">
        <f t="shared" si="7"/>
        <v>1.5200917840139965</v>
      </c>
      <c r="AK26" s="163">
        <f t="shared" si="8"/>
        <v>1.6390905355430763</v>
      </c>
      <c r="AL26" s="163">
        <f t="shared" si="9"/>
        <v>5.7182058607135993</v>
      </c>
      <c r="AM26" s="163">
        <f t="shared" si="10"/>
        <v>0</v>
      </c>
      <c r="AN26" s="163">
        <f t="shared" si="11"/>
        <v>0</v>
      </c>
      <c r="AO26" s="163">
        <f t="shared" si="12"/>
        <v>1.7408895073410695</v>
      </c>
      <c r="AQ26" s="152" t="s">
        <v>707</v>
      </c>
      <c r="AR26" s="163">
        <f t="shared" si="13"/>
        <v>1.2947881224938544</v>
      </c>
      <c r="AS26" s="163">
        <f t="shared" si="14"/>
        <v>1.5504699143473366</v>
      </c>
      <c r="AT26" s="163">
        <f t="shared" si="15"/>
        <v>1.52809542011934</v>
      </c>
      <c r="AU26" s="163">
        <f t="shared" si="16"/>
        <v>5.9184418896916346</v>
      </c>
      <c r="AV26" s="163">
        <f t="shared" si="17"/>
        <v>0</v>
      </c>
      <c r="AW26" s="163">
        <f t="shared" si="18"/>
        <v>0</v>
      </c>
      <c r="AX26" s="163">
        <f t="shared" si="19"/>
        <v>1.6853965269760689</v>
      </c>
    </row>
    <row r="27" spans="1:50" ht="15" customHeight="1">
      <c r="A27" s="1" t="s">
        <v>708</v>
      </c>
      <c r="B27" s="159">
        <f>+GETPIVOTDATA("Sum of New-Total Undg SCH FTE",'FTE Pivot for regular counts'!$A$2,"State","TX","Category",1,"Category2","Four-Year")</f>
        <v>243108.19999999995</v>
      </c>
      <c r="C27" s="165">
        <f>+GETPIVOTDATA("Sum of New-HS % of Total",'Pivot-HS Student % of Undergrad'!$A$3,"State","TX","Category",1,"Category2","Four-Year")</f>
        <v>8.0046662350344419E-4</v>
      </c>
      <c r="D27" s="148">
        <f>+GETPIVOTDATA("Sum of New-Total Undg SCH FTE",'FTE Pivot for regular counts'!$A$2,"State","TX","Category",2,"Category2","Four-Year")</f>
        <v>51937.166666666672</v>
      </c>
      <c r="E27" s="160">
        <f>+GETPIVOTDATA("Sum of New-HS % of Total",'Pivot-HS Student % of Undergrad'!$A$3,"State","TX","Category",2,"Category2","Four-Year")</f>
        <v>8.2901454642308175E-3</v>
      </c>
      <c r="F27" s="148">
        <f>+GETPIVOTDATA("Sum of New-Total Undg SCH FTE",'FTE Pivot for regular counts'!$A$2,"State","TX","Category",3,"Category2","Four-Year")</f>
        <v>132150.56666666665</v>
      </c>
      <c r="G27" s="160">
        <f>+GETPIVOTDATA("Sum of New-HS % of Total",'Pivot-HS Student % of Undergrad'!$A$3,"State","TX","Category",3,"Category2","Four-Year")</f>
        <v>2.4502354259043409E-2</v>
      </c>
      <c r="H27" s="148">
        <f>+GETPIVOTDATA("Sum of New-Total Undg SCH FTE",'FTE Pivot for regular counts'!$A$2,"State","TX","Category",4,"Category2","Four-Year")</f>
        <v>20728.599999999999</v>
      </c>
      <c r="I27" s="160">
        <f>+GETPIVOTDATA("Sum of New-HS % of Total",'Pivot-HS Student % of Undergrad'!$A$3,"State","TX","Category",4,"Category2","Four-Year")</f>
        <v>3.256370425402584E-3</v>
      </c>
      <c r="J27" s="148">
        <f>+GETPIVOTDATA("Sum of New-Total Undg SCH FTE",'FTE Pivot for regular counts'!$A$2,"State","TX","Category",5,"Category2","Four-Year")</f>
        <v>2101.2333333333336</v>
      </c>
      <c r="K27" s="160">
        <f>+GETPIVOTDATA("Sum of New-HS % of Total",'Pivot-HS Student % of Undergrad'!$A$3,"State","TX","Category",5,"Category2","Four-Year")</f>
        <v>0</v>
      </c>
      <c r="L27" s="148">
        <f>+GETPIVOTDATA("Sum of New-Total Undg SCH FTE",'FTE Pivot for regular counts'!$A$2,"State","TX","Category",6,"Category2","Four-Year")</f>
        <v>0</v>
      </c>
      <c r="M27" s="160">
        <f>+GETPIVOTDATA("Sum of New-HS % of Total",'Pivot-HS Student % of Undergrad'!$A$3,"State","TX","Category",6,"Category2","Four-Year")</f>
        <v>0</v>
      </c>
      <c r="N27" s="148">
        <f>+GETPIVOTDATA("Sum of New-Total Undg SCH FTE",'FTE Pivot for regular counts'!$A$2,"State","TX","Category2","Four-Year")</f>
        <v>450025.7666666666</v>
      </c>
      <c r="O27" s="160">
        <f>+GETPIVOTDATA("Sum of New-HS % of Total",'Pivot-HS Student % of Undergrad'!$A$3,"State","TX","Category2","Group1")</f>
        <v>8.7343146944252742E-3</v>
      </c>
      <c r="Q27" s="1" t="s">
        <v>708</v>
      </c>
      <c r="R27" s="161">
        <f>+GETPIVOTDATA("Sum of Old-HS % of Total",'Pivot-HS Student % of Undergrad'!$A$3,"State","TX","Category",1,"Category2","Four-Year")</f>
        <v>8.5439599405187584E-4</v>
      </c>
      <c r="S27" s="164">
        <f>(C27-R27)*100</f>
        <v>-5.3929370548431652E-3</v>
      </c>
      <c r="T27" s="151">
        <f>+GETPIVOTDATA("Sum of Old-HS % of Total",'Pivot-HS Student % of Undergrad'!$A$3,"State","TX","Category",2,"Category2","Four-Year")</f>
        <v>7.5470286984486625E-3</v>
      </c>
      <c r="U27" s="162">
        <f t="shared" si="0"/>
        <v>7.4311676578215496E-2</v>
      </c>
      <c r="V27" s="151">
        <f>+GETPIVOTDATA("Sum of Old-HS % of Total",'Pivot-HS Student % of Undergrad'!$A$3,"State","TX","Category",3,"Category2","Four-Year")</f>
        <v>2.431111485632426E-2</v>
      </c>
      <c r="W27" s="162">
        <f t="shared" si="1"/>
        <v>1.9123940271914899E-2</v>
      </c>
      <c r="X27" s="151">
        <f>+GETPIVOTDATA("Sum of Old-HS % of Total",'Pivot-HS Student % of Undergrad'!$A$3,"State","TX","Category",4,"Category2","Four-Year")</f>
        <v>1.2504206612875186E-3</v>
      </c>
      <c r="Y27" s="162">
        <f t="shared" si="2"/>
        <v>0.20059497641150653</v>
      </c>
      <c r="Z27" s="151">
        <f>+GETPIVOTDATA("Sum of Old-HS % of Total",'Pivot-HS Student % of Undergrad'!$A$3,"State","TX","Category",5,"Category2","Four-Year")</f>
        <v>0</v>
      </c>
      <c r="AA27" s="162">
        <f t="shared" si="3"/>
        <v>0</v>
      </c>
      <c r="AB27" s="151">
        <f>+GETPIVOTDATA("Sum of Old-HS % of Total",'Pivot-HS Student % of Undergrad'!$A$3,"State","TX","Category",6,"Category2","Four-Year")</f>
        <v>0</v>
      </c>
      <c r="AC27" s="162">
        <f t="shared" si="4"/>
        <v>0</v>
      </c>
      <c r="AD27" s="151">
        <f>+GETPIVOTDATA("Sum of Old-HS % of Total",'Pivot-HS Student % of Undergrad'!$A$3,"State","TX","Category2","Four-Year")</f>
        <v>8.6594086173259147E-3</v>
      </c>
      <c r="AE27" s="162">
        <f t="shared" si="5"/>
        <v>7.4906077099359467E-3</v>
      </c>
      <c r="AF27" s="1" t="s">
        <v>708</v>
      </c>
      <c r="AH27" s="152" t="s">
        <v>708</v>
      </c>
      <c r="AI27" s="163">
        <f t="shared" si="6"/>
        <v>8.0046662350344425E-2</v>
      </c>
      <c r="AJ27" s="163">
        <f t="shared" si="7"/>
        <v>0.8290145464230817</v>
      </c>
      <c r="AK27" s="163">
        <f t="shared" si="8"/>
        <v>2.4502354259043408</v>
      </c>
      <c r="AL27" s="163">
        <f t="shared" si="9"/>
        <v>0.32563704254025838</v>
      </c>
      <c r="AM27" s="163">
        <f t="shared" si="10"/>
        <v>0</v>
      </c>
      <c r="AN27" s="163">
        <f t="shared" si="11"/>
        <v>0</v>
      </c>
      <c r="AO27" s="163">
        <f t="shared" si="12"/>
        <v>0.87343146944252736</v>
      </c>
      <c r="AQ27" s="152" t="s">
        <v>708</v>
      </c>
      <c r="AR27" s="163">
        <f t="shared" si="13"/>
        <v>8.5439599405187583E-2</v>
      </c>
      <c r="AS27" s="163">
        <f t="shared" si="14"/>
        <v>0.75470286984486623</v>
      </c>
      <c r="AT27" s="163">
        <f t="shared" si="15"/>
        <v>2.4311114856324259</v>
      </c>
      <c r="AU27" s="163">
        <f t="shared" si="16"/>
        <v>0.12504206612875185</v>
      </c>
      <c r="AV27" s="163">
        <f t="shared" si="17"/>
        <v>0</v>
      </c>
      <c r="AW27" s="163">
        <f t="shared" si="18"/>
        <v>0</v>
      </c>
      <c r="AX27" s="163">
        <f t="shared" si="19"/>
        <v>0.86594086173259144</v>
      </c>
    </row>
    <row r="28" spans="1:50" ht="15" customHeight="1">
      <c r="A28" s="1" t="s">
        <v>709</v>
      </c>
      <c r="B28" s="159">
        <f>+GETPIVOTDATA("Sum of New-Total Undg SCH FTE",'FTE Pivot for regular counts'!$A$2,"State","VA","Category",1,"Category2","Four-Year")</f>
        <v>109856.13333333332</v>
      </c>
      <c r="C28" s="160">
        <f>+GETPIVOTDATA("Sum of New-HS % of Total",'Pivot-HS Student % of Undergrad'!$A$3,"State","VA","Category",1,"Category2","Four-Year")</f>
        <v>2.8309752998163661E-3</v>
      </c>
      <c r="D28" s="148">
        <f>+GETPIVOTDATA("Sum of New-Total Undg SCH FTE",'FTE Pivot for regular counts'!$A$2,"State","VA","Category",2,"Category2","Four-Year")</f>
        <v>6202.8166666666666</v>
      </c>
      <c r="E28" s="160">
        <f>+GETPIVOTDATA("Sum of New-HS % of Total",'Pivot-HS Student % of Undergrad'!$A$3,"State","VA","Category",2,"Category2","Four-Year")</f>
        <v>0</v>
      </c>
      <c r="F28" s="148">
        <f>+GETPIVOTDATA("Sum of New-Total Undg SCH FTE",'FTE Pivot for regular counts'!$A$2,"State","VA","Category",3,"Category2","Four-Year")</f>
        <v>29982.066666666669</v>
      </c>
      <c r="G28" s="160">
        <f>+GETPIVOTDATA("Sum of New-HS % of Total",'Pivot-HS Student % of Undergrad'!$A$3,"State","VA","Category",3,"Category2","Four-Year")</f>
        <v>2.1279387011346783E-3</v>
      </c>
      <c r="H28" s="148">
        <f>+GETPIVOTDATA("Sum of New-Total Undg SCH FTE",'FTE Pivot for regular counts'!$A$2,"State","VA","Category",4,"Category2","Four-Year")</f>
        <v>4445.2333333333336</v>
      </c>
      <c r="I28" s="165">
        <f>+GETPIVOTDATA("Sum of New-HS % of Total",'Pivot-HS Student % of Undergrad'!$A$3,"State","VA","Category",4,"Category2","Four-Year")</f>
        <v>4.5741880816155131E-4</v>
      </c>
      <c r="J28" s="148">
        <f>+GETPIVOTDATA("Sum of New-Total Undg SCH FTE",'FTE Pivot for regular counts'!$A$2,"State","VA","Category",5,"Category2","Four-Year")</f>
        <v>11268.733333333334</v>
      </c>
      <c r="K28" s="165">
        <f>+GETPIVOTDATA("Sum of New-HS % of Total",'Pivot-HS Student % of Undergrad'!$A$3,"State","VA","Category",5,"Category2","Four-Year")</f>
        <v>9.8975927492590109E-3</v>
      </c>
      <c r="L28" s="148">
        <f>+GETPIVOTDATA("Sum of New-Total Undg SCH FTE",'FTE Pivot for regular counts'!$A$2,"State","VA","Category",6,"Category2","Four-Year")</f>
        <v>1552.5</v>
      </c>
      <c r="M28" s="160">
        <f>+GETPIVOTDATA("Sum of New-HS % of Total",'Pivot-HS Student % of Undergrad'!$A$3,"State","VA","Category",6,"Category2","Four-Year")</f>
        <v>5.7971014492753622E-4</v>
      </c>
      <c r="N28" s="148">
        <f>+GETPIVOTDATA("Sum of New-Total Undg SCH FTE",'FTE Pivot for regular counts'!$A$2,"State","VA","Category2","Four-Year")</f>
        <v>163307.48333333334</v>
      </c>
      <c r="O28" s="160">
        <f>+GETPIVOTDATA("Sum of New-HS % of Total",'Pivot-HS Student % of Undergrad'!$A$3,"State","VA","Category2","Group1")</f>
        <v>2.9959843644642129E-3</v>
      </c>
      <c r="Q28" s="1" t="s">
        <v>709</v>
      </c>
      <c r="R28" s="161">
        <f>+GETPIVOTDATA("Sum of Old-HS % of Total",'Pivot-HS Student % of Undergrad'!$A$3,"State","VA","Category",1,"Category2","Four-Year")</f>
        <v>5.5380471737694163E-3</v>
      </c>
      <c r="S28" s="162">
        <f>(C28-R28)*100</f>
        <v>-0.27070718739530503</v>
      </c>
      <c r="T28" s="151">
        <f>+GETPIVOTDATA("Sum of Old-HS % of Total",'Pivot-HS Student % of Undergrad'!$A$3,"State","VA","Category",2,"Category2","Four-Year")</f>
        <v>0</v>
      </c>
      <c r="U28" s="162">
        <f t="shared" si="0"/>
        <v>0</v>
      </c>
      <c r="V28" s="151">
        <f>+GETPIVOTDATA("Sum of Old-HS % of Total",'Pivot-HS Student % of Undergrad'!$A$3,"State","VA","Category",3,"Category2","Four-Year")</f>
        <v>3.2497799515242964E-3</v>
      </c>
      <c r="W28" s="162">
        <f t="shared" si="1"/>
        <v>-0.1121841250389618</v>
      </c>
      <c r="X28" s="151">
        <f>+GETPIVOTDATA("Sum of Old-HS % of Total",'Pivot-HS Student % of Undergrad'!$A$3,"State","VA","Category",4,"Category2","Four-Year")</f>
        <v>7.7484247306325933E-4</v>
      </c>
      <c r="Y28" s="162">
        <f t="shared" si="2"/>
        <v>-3.1742366490170801E-2</v>
      </c>
      <c r="Z28" s="151">
        <f>+GETPIVOTDATA("Sum of Old-HS % of Total",'Pivot-HS Student % of Undergrad'!$A$3,"State","VA","Category",5,"Category2","Four-Year")</f>
        <v>1.0833260086138701E-2</v>
      </c>
      <c r="AA28" s="164">
        <f t="shared" si="3"/>
        <v>-9.3566733687969028E-2</v>
      </c>
      <c r="AB28" s="151">
        <f>+GETPIVOTDATA("Sum of Old-HS % of Total",'Pivot-HS Student % of Undergrad'!$A$3,"State","VA","Category",6,"Category2","Four-Year")</f>
        <v>0</v>
      </c>
      <c r="AC28" s="162">
        <f t="shared" si="4"/>
        <v>5.7971014492753624E-2</v>
      </c>
      <c r="AD28" s="151">
        <f>+GETPIVOTDATA("Sum of Old-HS % of Total",'Pivot-HS Student % of Undergrad'!$A$3,"State","VA","Category2","Four-Year")</f>
        <v>5.1155153265946248E-3</v>
      </c>
      <c r="AE28" s="162">
        <f t="shared" si="5"/>
        <v>-0.2119530962130412</v>
      </c>
      <c r="AF28" s="1" t="s">
        <v>709</v>
      </c>
      <c r="AH28" s="152" t="s">
        <v>709</v>
      </c>
      <c r="AI28" s="163">
        <f t="shared" si="6"/>
        <v>0.28309752998163662</v>
      </c>
      <c r="AJ28" s="163">
        <f t="shared" si="7"/>
        <v>0</v>
      </c>
      <c r="AK28" s="163">
        <f t="shared" si="8"/>
        <v>0.21279387011346784</v>
      </c>
      <c r="AL28" s="163">
        <f t="shared" si="9"/>
        <v>4.5741880816155128E-2</v>
      </c>
      <c r="AM28" s="163">
        <f t="shared" si="10"/>
        <v>0.9897592749259011</v>
      </c>
      <c r="AN28" s="163">
        <f t="shared" si="11"/>
        <v>5.7971014492753624E-2</v>
      </c>
      <c r="AO28" s="163">
        <f t="shared" si="12"/>
        <v>0.29959843644642131</v>
      </c>
      <c r="AQ28" s="152" t="s">
        <v>709</v>
      </c>
      <c r="AR28" s="163">
        <f t="shared" si="13"/>
        <v>0.55380471737694159</v>
      </c>
      <c r="AS28" s="163">
        <f t="shared" si="14"/>
        <v>0</v>
      </c>
      <c r="AT28" s="163">
        <f t="shared" si="15"/>
        <v>0.32497799515242964</v>
      </c>
      <c r="AU28" s="163">
        <f t="shared" si="16"/>
        <v>7.7484247306325929E-2</v>
      </c>
      <c r="AV28" s="163">
        <f t="shared" si="17"/>
        <v>1.0833260086138701</v>
      </c>
      <c r="AW28" s="163">
        <f t="shared" si="18"/>
        <v>0</v>
      </c>
      <c r="AX28" s="163">
        <f t="shared" si="19"/>
        <v>0.51155153265946252</v>
      </c>
    </row>
    <row r="29" spans="1:50" ht="15" customHeight="1">
      <c r="A29" s="166" t="s">
        <v>710</v>
      </c>
      <c r="B29" s="167">
        <f>+GETPIVOTDATA("Sum of New-Total Undg SCH FTE",'FTE Pivot for regular counts'!$A$2,"State","WV","Category",1,"Category2","Four-Year")</f>
        <v>18731.5</v>
      </c>
      <c r="C29" s="168">
        <f>+GETPIVOTDATA("Sum of New-HS % of Total",'Pivot-HS Student % of Undergrad'!$A$3,"State","WV","Category",1,"Category2","Four-Year")</f>
        <v>1.0356885460320851E-2</v>
      </c>
      <c r="D29" s="169">
        <f>+GETPIVOTDATA("Sum of New-Total Undg SCH FTE",'FTE Pivot for regular counts'!$A$2,"State","WV","Category",2,"Category2","Four-Year")</f>
        <v>0</v>
      </c>
      <c r="E29" s="168">
        <f>+GETPIVOTDATA("Sum of New-HS % of Total",'Pivot-HS Student % of Undergrad'!$A$3,"State","WV","Category",2,"Category2","Four-Year")</f>
        <v>0</v>
      </c>
      <c r="F29" s="169">
        <f>+GETPIVOTDATA("Sum of New-Total Undg SCH FTE",'FTE Pivot for regular counts'!$A$2,"State","WV","Category",3,"Category2","Four-Year")</f>
        <v>7312.8</v>
      </c>
      <c r="G29" s="168">
        <f>+GETPIVOTDATA("Sum of New-HS % of Total",'Pivot-HS Student % of Undergrad'!$A$3,"State","WV","Category",3,"Category2","Four-Year")</f>
        <v>3.681672318856434E-2</v>
      </c>
      <c r="H29" s="169">
        <f>+GETPIVOTDATA("Sum of New-Total Undg SCH FTE",'FTE Pivot for regular counts'!$A$2,"State","WV","Category",4,"Category2","Four-Year")</f>
        <v>3725.6333333333332</v>
      </c>
      <c r="I29" s="168">
        <f>+GETPIVOTDATA("Sum of Old-HS % of Total",'Pivot-HS Student % of Undergrad'!$A$3,"State","WV","Category",4,"Category2","Four-Year")</f>
        <v>0.14839236272266057</v>
      </c>
      <c r="J29" s="169">
        <f>+GETPIVOTDATA("Sum of New-Total Undg SCH FTE",'FTE Pivot for regular counts'!$A$2,"State","WV","Category",5,"Category2","Four-Year")</f>
        <v>6528.4166666666661</v>
      </c>
      <c r="K29" s="170">
        <f>+GETPIVOTDATA("Sum of New-HS % of Total",'Pivot-HS Student % of Undergrad'!$A$3,"State","WV","Category",5,"Category2","Four-Year")</f>
        <v>2.0571603630282993E-2</v>
      </c>
      <c r="L29" s="169">
        <f>+GETPIVOTDATA("Sum of New-Total Undg SCH FTE",'FTE Pivot for regular counts'!$A$2,"State","WV","Category",6,"Category2","Four-Year")</f>
        <v>3452.5</v>
      </c>
      <c r="M29" s="168">
        <f>GETPIVOTDATA("Sum of New-HS % of Total",'Pivot-HS Student % of Undergrad'!$A$3,"State","WV","Category",6,"Category2","Four-Year")</f>
        <v>8.8032826454260193E-2</v>
      </c>
      <c r="N29" s="169">
        <f>+GETPIVOTDATA("Sum of New-Total Undg SCH FTE",'FTE Pivot for regular counts'!$A$2,"State","WV","Category2","Four-Year")</f>
        <v>39750.85</v>
      </c>
      <c r="O29" s="168">
        <f>+GETPIVOTDATA("Sum of New-HS % of Total",'Pivot-HS Student % of Undergrad'!$A$3,"State","WV","Category2","Group1")</f>
        <v>3.889308865932007E-2</v>
      </c>
      <c r="Q29" s="166" t="s">
        <v>710</v>
      </c>
      <c r="R29" s="171">
        <f>+GETPIVOTDATA("Sum of Old-HS % of Total",'Pivot-HS Student % of Undergrad'!$A$3,"State","WV","Category",1,"Category2","Four-Year")</f>
        <v>1.0423603574286207E-2</v>
      </c>
      <c r="S29" s="172">
        <f>(C29-R29)*100</f>
        <v>-6.6718113965356582E-3</v>
      </c>
      <c r="T29" s="173">
        <f>+GETPIVOTDATA("Sum of Old-HS % of Total",'Pivot-HS Student % of Undergrad'!$A$3,"State","WV","Category",2,"Category2","Four-Year")</f>
        <v>0</v>
      </c>
      <c r="U29" s="172">
        <f t="shared" si="0"/>
        <v>0</v>
      </c>
      <c r="V29" s="173">
        <f>+GETPIVOTDATA("Sum of Old-HS % of Total",'Pivot-HS Student % of Undergrad'!$A$3,"State","WV","Category",3,"Category2","Four-Year")</f>
        <v>5.4035498143721709E-2</v>
      </c>
      <c r="W29" s="172">
        <f t="shared" si="1"/>
        <v>-1.721877495515737</v>
      </c>
      <c r="X29" s="173">
        <f>+GETPIVOTDATA("Sum of Old-HS % of Total",'Pivot-HS Student % of Undergrad'!$A$3,"State","WV","Category",4,"Category2","Four-Year")</f>
        <v>0.14839236272266057</v>
      </c>
      <c r="Y29" s="172">
        <f t="shared" si="2"/>
        <v>0</v>
      </c>
      <c r="Z29" s="173">
        <f>GETPIVOTDATA("Sum of Old-HS % of Total",'Pivot-HS Student % of Undergrad'!$A$3,"State","WV","Category",5,"Category2","Four-Year")</f>
        <v>1.8156254393776071E-2</v>
      </c>
      <c r="AA29" s="172">
        <f t="shared" si="3"/>
        <v>0.24153492365069223</v>
      </c>
      <c r="AB29" s="173">
        <f>GETPIVOTDATA("Sum of Old-HS % of Total",'Pivot-HS Student % of Undergrad'!$A$3,"State","WV","Category",6,"Category2","Four-Year")</f>
        <v>8.3590556436139149E-2</v>
      </c>
      <c r="AC29" s="172">
        <f t="shared" si="4"/>
        <v>0.44422700181210445</v>
      </c>
      <c r="AD29" s="173">
        <f>+GETPIVOTDATA("Sum of Old-HS % of Total",'Pivot-HS Student % of Undergrad'!$A$3,"State","WV","Category2","Four-Year")</f>
        <v>3.9426685921074657E-2</v>
      </c>
      <c r="AE29" s="172">
        <f t="shared" si="5"/>
        <v>-5.3359726175458699E-2</v>
      </c>
      <c r="AF29" s="166" t="s">
        <v>710</v>
      </c>
      <c r="AH29" s="174" t="s">
        <v>710</v>
      </c>
      <c r="AI29" s="175">
        <f t="shared" si="6"/>
        <v>1.035688546032085</v>
      </c>
      <c r="AJ29" s="175">
        <f t="shared" si="7"/>
        <v>0</v>
      </c>
      <c r="AK29" s="175">
        <f t="shared" si="8"/>
        <v>3.681672318856434</v>
      </c>
      <c r="AL29" s="175">
        <f t="shared" si="9"/>
        <v>14.839236272266056</v>
      </c>
      <c r="AM29" s="175">
        <f t="shared" si="10"/>
        <v>2.0571603630282995</v>
      </c>
      <c r="AN29" s="175">
        <f t="shared" si="11"/>
        <v>8.8032826454260196</v>
      </c>
      <c r="AO29" s="175">
        <f t="shared" si="12"/>
        <v>3.8893088659320072</v>
      </c>
      <c r="AQ29" s="174" t="s">
        <v>710</v>
      </c>
      <c r="AR29" s="176">
        <f t="shared" si="13"/>
        <v>1.0423603574286207</v>
      </c>
      <c r="AS29" s="175">
        <f t="shared" si="14"/>
        <v>0</v>
      </c>
      <c r="AT29" s="175">
        <f t="shared" si="15"/>
        <v>5.4035498143721705</v>
      </c>
      <c r="AU29" s="175">
        <f t="shared" si="16"/>
        <v>14.839236272266056</v>
      </c>
      <c r="AV29" s="175">
        <f t="shared" si="17"/>
        <v>1.815625439377607</v>
      </c>
      <c r="AW29" s="175">
        <f t="shared" si="18"/>
        <v>8.3590556436139156</v>
      </c>
      <c r="AX29" s="175">
        <f t="shared" si="19"/>
        <v>3.9426685921074656</v>
      </c>
    </row>
    <row r="30" spans="1:50" ht="23.25" customHeight="1">
      <c r="A30" s="645" t="s">
        <v>942</v>
      </c>
      <c r="B30" s="646"/>
      <c r="C30" s="646"/>
      <c r="D30" s="646"/>
      <c r="E30" s="646"/>
      <c r="F30" s="646"/>
      <c r="G30" s="646"/>
      <c r="H30" s="646"/>
      <c r="I30" s="647"/>
      <c r="J30" s="647"/>
      <c r="K30" s="647"/>
      <c r="L30" s="647"/>
      <c r="M30" s="647"/>
      <c r="N30" s="647"/>
      <c r="O30" s="647"/>
    </row>
    <row r="31" spans="1:50">
      <c r="A31" s="177"/>
      <c r="B31" s="178"/>
      <c r="C31" s="178"/>
      <c r="D31" s="178"/>
      <c r="E31" s="178"/>
      <c r="F31" s="178"/>
      <c r="G31" s="178"/>
      <c r="J31" s="178"/>
      <c r="K31" s="178"/>
      <c r="L31" s="178"/>
      <c r="M31" s="178"/>
      <c r="N31" s="178"/>
      <c r="O31" s="179" t="s">
        <v>921</v>
      </c>
    </row>
    <row r="32" spans="1:50" ht="18">
      <c r="A32" s="116" t="s">
        <v>711</v>
      </c>
      <c r="B32" s="122"/>
      <c r="C32" s="122"/>
      <c r="D32" s="122"/>
      <c r="E32" s="122"/>
      <c r="F32" s="180"/>
      <c r="G32" s="122"/>
      <c r="H32" s="122"/>
      <c r="I32" s="178"/>
      <c r="J32" s="178"/>
      <c r="K32" s="178"/>
      <c r="L32" s="178"/>
      <c r="M32" s="178"/>
      <c r="N32" s="178"/>
    </row>
    <row r="33" spans="1:14" ht="15.75">
      <c r="A33" s="122"/>
      <c r="B33" s="122"/>
      <c r="C33" s="122"/>
      <c r="D33" s="122"/>
      <c r="E33" s="122"/>
      <c r="F33" s="122"/>
      <c r="G33" s="122"/>
      <c r="H33" s="122"/>
      <c r="I33" s="178"/>
      <c r="J33" s="178"/>
      <c r="K33" s="178"/>
      <c r="L33" s="178"/>
      <c r="M33" s="178"/>
      <c r="N33" s="178"/>
    </row>
    <row r="34" spans="1:14" ht="15.75">
      <c r="A34" s="122" t="s">
        <v>712</v>
      </c>
      <c r="B34" s="122"/>
      <c r="C34" s="122"/>
      <c r="D34" s="122"/>
      <c r="E34" s="122"/>
      <c r="F34" s="122"/>
      <c r="G34" s="122"/>
      <c r="H34" s="122"/>
      <c r="I34" s="178"/>
      <c r="J34" s="178"/>
      <c r="K34" s="178"/>
      <c r="L34" s="178"/>
      <c r="M34" s="178"/>
      <c r="N34" s="178"/>
    </row>
    <row r="35" spans="1:14" ht="15.75">
      <c r="A35" s="122" t="s">
        <v>937</v>
      </c>
      <c r="B35" s="122"/>
      <c r="C35" s="122"/>
      <c r="D35" s="122"/>
      <c r="E35" s="122"/>
      <c r="F35" s="122"/>
      <c r="G35" s="122"/>
      <c r="H35" s="122"/>
    </row>
    <row r="37" spans="1:14" ht="15" customHeight="1">
      <c r="A37" s="125"/>
      <c r="B37" s="125" t="s">
        <v>667</v>
      </c>
      <c r="C37" s="125"/>
      <c r="D37" s="125"/>
      <c r="E37" s="125"/>
      <c r="F37" s="125"/>
      <c r="G37" s="125"/>
      <c r="H37" s="181"/>
    </row>
    <row r="38" spans="1:14" ht="15" customHeight="1">
      <c r="A38" s="182"/>
      <c r="B38" s="183">
        <v>1</v>
      </c>
      <c r="C38" s="183">
        <v>2</v>
      </c>
      <c r="D38" s="183">
        <v>3</v>
      </c>
      <c r="E38" s="183">
        <v>4</v>
      </c>
      <c r="F38" s="183">
        <v>5</v>
      </c>
      <c r="G38" s="184">
        <v>6</v>
      </c>
      <c r="H38" s="183" t="s">
        <v>679</v>
      </c>
    </row>
    <row r="39" spans="1:14" ht="15" customHeight="1">
      <c r="A39" s="1" t="s">
        <v>687</v>
      </c>
      <c r="B39" s="185">
        <f>+GETPIVOTDATA("Sum of New-Total Grad FTE",'FTE Pivot for regular counts'!$A$2,"Category",1,"Category2","Four-Year")</f>
        <v>206200.67541666667</v>
      </c>
      <c r="C39" s="185">
        <f>+GETPIVOTDATA("Sum of New-Total Grad FTE",'FTE Pivot for regular counts'!$A$2,"Category",2,"Category2","Four-Year")</f>
        <v>53625.958333333328</v>
      </c>
      <c r="D39" s="185">
        <f>+GETPIVOTDATA("Sum of New-Total Grad FTE",'FTE Pivot for regular counts'!$A$2,"Category",3,"Category2","Four-Year")</f>
        <v>90872.112500000003</v>
      </c>
      <c r="E39" s="185">
        <f>+GETPIVOTDATA("Sum of New-Total Grad FTE",'FTE Pivot for regular counts'!$A$2,"Category",4,"Category2","Four-Year")</f>
        <v>28662.791666666664</v>
      </c>
      <c r="F39" s="185">
        <f>+GETPIVOTDATA("Sum of New-Total Grad FTE",'FTE Pivot for regular counts'!$A$2,"Category",5,"Category2","Four-Year")</f>
        <v>7382.2833333333328</v>
      </c>
      <c r="G39" s="186">
        <f>+GETPIVOTDATA("Sum of New-Total Grad FTE",'FTE Pivot for regular counts'!$A$2,"Category",6,"Category2","Four-Year")</f>
        <v>694.875</v>
      </c>
      <c r="H39" s="185">
        <f>+GETPIVOTDATA("Sum of New-Total Grad FTE",'FTE Pivot for regular counts'!$A$2,"Category2","Four-Year")</f>
        <v>387438.69624999992</v>
      </c>
    </row>
    <row r="40" spans="1:14" ht="15" customHeight="1">
      <c r="B40" s="185"/>
      <c r="C40" s="185"/>
      <c r="D40" s="185"/>
      <c r="E40" s="185"/>
      <c r="F40" s="185"/>
      <c r="G40" s="186"/>
      <c r="H40" s="185"/>
    </row>
    <row r="41" spans="1:14" ht="15" customHeight="1">
      <c r="A41" s="1" t="s">
        <v>695</v>
      </c>
      <c r="B41" s="185">
        <f>+GETPIVOTDATA("Sum of New-Total Grad FTE",'FTE Pivot for regular counts'!$A$2,"State","AL","Category",1,"Category2","Four-Year")</f>
        <v>13174.291666666666</v>
      </c>
      <c r="C41" s="185">
        <f>+GETPIVOTDATA("Sum of New-Total Grad FTE",'FTE Pivot for regular counts'!$A$2,"State","AL","Category",2,"Category2","Four-Year")</f>
        <v>2197</v>
      </c>
      <c r="D41" s="185">
        <f>+GETPIVOTDATA("Sum of New-Total Grad FTE",'FTE Pivot for regular counts'!$A$2,"State","AL","Category",3,"Category2","Four-Year")</f>
        <v>6310.3333333333339</v>
      </c>
      <c r="E41" s="185">
        <f>+GETPIVOTDATA("Sum of New-Total Grad FTE",'FTE Pivot for regular counts'!$A$2,"State","AL","Category",4,"Category2","Four-Year")</f>
        <v>3354.2083333333335</v>
      </c>
      <c r="F41" s="185">
        <f>+GETPIVOTDATA("Sum of New-Total Grad FTE",'FTE Pivot for regular counts'!$A$2,"State","AL","Category",5,"Category2","Four-Year")</f>
        <v>473.83333333333331</v>
      </c>
      <c r="G41" s="186">
        <f>+GETPIVOTDATA("Sum of New-Total Grad FTE",'FTE Pivot for regular counts'!$A$2,"State","AL","Category",6,"Category2","Four-Year")</f>
        <v>0</v>
      </c>
      <c r="H41" s="185">
        <f>+GETPIVOTDATA("Sum of New-Total Grad FTE",'FTE Pivot for regular counts'!$A$2,"State","AL","Category2","Four-Year")</f>
        <v>25509.666666666664</v>
      </c>
    </row>
    <row r="42" spans="1:14" ht="15" customHeight="1">
      <c r="A42" s="1" t="s">
        <v>696</v>
      </c>
      <c r="B42" s="185">
        <f>+GETPIVOTDATA("Sum of New-Total Grad FTE",'FTE Pivot for regular counts'!$A$2,"State","AR","Category",1,"Category2","Four-Year")</f>
        <v>3608.0416666666665</v>
      </c>
      <c r="C42" s="185">
        <f>+GETPIVOTDATA("Sum of New-Total Grad FTE",'FTE Pivot for regular counts'!$A$2,"State","AR","Category",2,"Category2","Four-Year")</f>
        <v>1544.4166666666667</v>
      </c>
      <c r="D42" s="185">
        <f>+GETPIVOTDATA("Sum of New-Total Grad FTE",'FTE Pivot for regular counts'!$A$2,"State","AR","Category",3,"Category2","Four-Year")</f>
        <v>6514.5833333333339</v>
      </c>
      <c r="E42" s="185">
        <f>+GETPIVOTDATA("Sum of New-Total Grad FTE",'FTE Pivot for regular counts'!$A$2,"State","AR","Category",4,"Category2","Four-Year")</f>
        <v>1531.1666666666667</v>
      </c>
      <c r="F42" s="185">
        <f>+GETPIVOTDATA("Sum of New-Total Grad FTE",'FTE Pivot for regular counts'!$A$2,"State","AR","Category",5,"Category2","Four-Year")</f>
        <v>0</v>
      </c>
      <c r="G42" s="186">
        <f>+GETPIVOTDATA("Sum of New-Total Grad FTE",'FTE Pivot for regular counts'!$A$2,"State","AR","Category",6,"Category2","Four-Year")</f>
        <v>152.75</v>
      </c>
      <c r="H42" s="185">
        <f>+GETPIVOTDATA("Sum of New-Total Grad FTE",'FTE Pivot for regular counts'!$A$2,"State","AR","Category2","Four-Year")</f>
        <v>13350.958333333334</v>
      </c>
    </row>
    <row r="43" spans="1:14" ht="15" customHeight="1">
      <c r="A43" s="1" t="s">
        <v>697</v>
      </c>
      <c r="B43" s="185">
        <f>+GETPIVOTDATA("Sum of New-Total Grad FTE",'FTE Pivot for regular counts'!$A$2,"State","DE","Category",1,"Category2","Four-Year")</f>
        <v>2748.6666666666665</v>
      </c>
      <c r="C43" s="185">
        <f>+GETPIVOTDATA("Sum of New-Total Grad FTE",'FTE Pivot for regular counts'!$A$2,"State","DE","Category",2,"Category2","Four-Year")</f>
        <v>0</v>
      </c>
      <c r="D43" s="185">
        <f>+GETPIVOTDATA("Sum of New-Total Grad FTE",'FTE Pivot for regular counts'!$A$2,"State","DE","Category",3,"Category2","Four-Year")</f>
        <v>612.41666666666663</v>
      </c>
      <c r="E43" s="185">
        <f>+GETPIVOTDATA("Sum of New-Total Grad FTE",'FTE Pivot for regular counts'!$A$2,"State","DE","Category",4,"Category2","Four-Year")</f>
        <v>0</v>
      </c>
      <c r="F43" s="185">
        <f>+GETPIVOTDATA("Sum of New-Total Grad FTE",'FTE Pivot for regular counts'!$A$2,"State","DE","Category",5,"Category2","Four-Year")</f>
        <v>0</v>
      </c>
      <c r="G43" s="186">
        <f>+GETPIVOTDATA("Sum of New-Total Grad FTE",'FTE Pivot for regular counts'!$A$2,"State","DE","Category",6,"Category2","Four-Year")</f>
        <v>0</v>
      </c>
      <c r="H43" s="185">
        <f>+GETPIVOTDATA("Sum of New-Total Grad FTE",'FTE Pivot for regular counts'!$A$2,"State","DE","Category2","Four-Year")</f>
        <v>3361.083333333333</v>
      </c>
      <c r="N43" s="187"/>
    </row>
    <row r="44" spans="1:14" ht="15" customHeight="1">
      <c r="A44" s="1" t="s">
        <v>698</v>
      </c>
      <c r="B44" s="185">
        <f>+GETPIVOTDATA("Sum of New-Total Grad FTE",'FTE Pivot for regular counts'!$A$2,"State","FL","Category",1,"Category2","Four-Year")</f>
        <v>0</v>
      </c>
      <c r="C44" s="185">
        <f>+GETPIVOTDATA("Sum of New-Total Grad FTE",'FTE Pivot for regular counts'!$A$2,"State","FL","Category",2,"Category2","Four-Year")</f>
        <v>0</v>
      </c>
      <c r="D44" s="185">
        <f>+GETPIVOTDATA("Sum of New-Total Grad FTE",'FTE Pivot for regular counts'!$A$2,"State","FL","Category",3,"Category2","Four-Year")</f>
        <v>0</v>
      </c>
      <c r="E44" s="185">
        <f>+GETPIVOTDATA("Sum of New-Total Grad FTE",'FTE Pivot for regular counts'!$A$2,"State","FL","Category",4,"Category2","Four-Year")</f>
        <v>0</v>
      </c>
      <c r="F44" s="185">
        <f>+GETPIVOTDATA("Sum of New-Total Grad FTE",'FTE Pivot for regular counts'!$A$2,"State","FL","Category",5,"Category2","Four-Year")</f>
        <v>0</v>
      </c>
      <c r="G44" s="186">
        <f>+GETPIVOTDATA("Sum of New-Total Grad FTE",'FTE Pivot for regular counts'!$A$2,"State","FL","Category",6,"Category2","Four-Year")</f>
        <v>0</v>
      </c>
      <c r="H44" s="185">
        <f>+GETPIVOTDATA("Sum of New-Total Grad FTE",'FTE Pivot for regular counts'!$A$2,"State","FL","Category2","Four-Year")</f>
        <v>0</v>
      </c>
    </row>
    <row r="45" spans="1:14" ht="15" customHeight="1">
      <c r="B45" s="185"/>
      <c r="C45" s="185"/>
      <c r="D45" s="185"/>
      <c r="E45" s="185"/>
      <c r="F45" s="185"/>
      <c r="G45" s="186"/>
      <c r="H45" s="185"/>
    </row>
    <row r="46" spans="1:14" ht="15" customHeight="1">
      <c r="A46" s="1" t="s">
        <v>699</v>
      </c>
      <c r="B46" s="185">
        <f>+GETPIVOTDATA("Sum of New-Total Grad FTE",'FTE Pivot for regular counts'!$A$2,"State","GA","Category",1,"Category2","Four-Year")</f>
        <v>21556.862916666665</v>
      </c>
      <c r="C46" s="185">
        <f>+GETPIVOTDATA("Sum of New-Total Grad FTE",'FTE Pivot for regular counts'!$A$2,"State","GA","Category",2,"Category2","Four-Year")</f>
        <v>18404.791666666668</v>
      </c>
      <c r="D46" s="185">
        <f>+GETPIVOTDATA("Sum of New-Total Grad FTE",'FTE Pivot for regular counts'!$A$2,"State","GA","Category",3,"Category2","Four-Year")</f>
        <v>10104.875</v>
      </c>
      <c r="E46" s="185">
        <f>+GETPIVOTDATA("Sum of New-Total Grad FTE",'FTE Pivot for regular counts'!$A$2,"State","GA","Category",4,"Category2","Four-Year")</f>
        <v>6671.583333333333</v>
      </c>
      <c r="F46" s="185">
        <f>+GETPIVOTDATA("Sum of New-Total Grad FTE",'FTE Pivot for regular counts'!$A$2,"State","GA","Category",5,"Category2","Four-Year")</f>
        <v>711.33333333333326</v>
      </c>
      <c r="G46" s="186">
        <f>+GETPIVOTDATA("Sum of New-Total Grad FTE",'FTE Pivot for regular counts'!$A$2,"State","GA","Category",6,"Category2","Four-Year")</f>
        <v>0</v>
      </c>
      <c r="H46" s="185">
        <f>+GETPIVOTDATA("Sum of New-Total Grad FTE",'FTE Pivot for regular counts'!$A$2,"State","GA","Category2","Four-Year")</f>
        <v>57449.446250000008</v>
      </c>
    </row>
    <row r="47" spans="1:14" ht="15" customHeight="1">
      <c r="A47" s="1" t="s">
        <v>700</v>
      </c>
      <c r="B47" s="185">
        <f>+GETPIVOTDATA("Sum of New-Total Grad FTE",'FTE Pivot for regular counts'!$A$2,"State","KY","Category",1,"Category2","Four-Year")</f>
        <v>8251.2083333333339</v>
      </c>
      <c r="C47" s="185">
        <f>+GETPIVOTDATA("Sum of New-Total Grad FTE",'FTE Pivot for regular counts'!$A$2,"State","KY","Category",2,"Category2","Four-Year")</f>
        <v>0</v>
      </c>
      <c r="D47" s="185">
        <f>+GETPIVOTDATA("Sum of New-Total Grad FTE",'FTE Pivot for regular counts'!$A$2,"State","KY","Category",3,"Category2","Four-Year")</f>
        <v>8018.25</v>
      </c>
      <c r="E47" s="185">
        <f>+GETPIVOTDATA("Sum of New-Total Grad FTE",'FTE Pivot for regular counts'!$A$2,"State","KY","Category",4,"Category2","Four-Year")</f>
        <v>82.25</v>
      </c>
      <c r="F47" s="185">
        <f>+GETPIVOTDATA("Sum of New-Total Grad FTE",'FTE Pivot for regular counts'!$A$2,"State","KY","Category",5,"Category2","Four-Year")</f>
        <v>0</v>
      </c>
      <c r="G47" s="186">
        <f>+GETPIVOTDATA("Sum of New-Total Grad FTE",'FTE Pivot for regular counts'!$A$2,"State","KY","Category",6,"Category2","Four-Year")</f>
        <v>0</v>
      </c>
      <c r="H47" s="185">
        <f>+GETPIVOTDATA("Sum of New-Total Grad FTE",'FTE Pivot for regular counts'!$A$2,"State","KY","Category2","Four-Year")</f>
        <v>16351.708333333334</v>
      </c>
    </row>
    <row r="48" spans="1:14" ht="15" customHeight="1">
      <c r="A48" s="1" t="s">
        <v>701</v>
      </c>
      <c r="B48" s="185">
        <f>+GETPIVOTDATA("Sum of New-Total Grad FTE",'FTE Pivot for regular counts'!$A$2,"State","LA","Category",1,"Category2","Four-Year")</f>
        <v>6748.854166666667</v>
      </c>
      <c r="C48" s="185">
        <f>+GETPIVOTDATA("Sum of New-Total Grad FTE",'FTE Pivot for regular counts'!$A$2,"State","LA","Category",2,"Category2","Four-Year")</f>
        <v>3531.333333333333</v>
      </c>
      <c r="D48" s="185">
        <f>+GETPIVOTDATA("Sum of New-Total Grad FTE",'FTE Pivot for regular counts'!$A$2,"State","LA","Category",3,"Category2","Four-Year")</f>
        <v>4128.041666666667</v>
      </c>
      <c r="E48" s="185">
        <f>+GETPIVOTDATA("Sum of New-Total Grad FTE",'FTE Pivot for regular counts'!$A$2,"State","LA","Category",4,"Category2","Four-Year")</f>
        <v>6946.541666666667</v>
      </c>
      <c r="F48" s="185">
        <f>+GETPIVOTDATA("Sum of New-Total Grad FTE",'FTE Pivot for regular counts'!$A$2,"State","LA","Category",5,"Category2","Four-Year")</f>
        <v>254.125</v>
      </c>
      <c r="G48" s="186">
        <f>+GETPIVOTDATA("Sum of New-Total Grad FTE",'FTE Pivot for regular counts'!$A$2,"State","LA","Category",6,"Category2","Four-Year")</f>
        <v>0</v>
      </c>
      <c r="H48" s="185">
        <f>+GETPIVOTDATA("Sum of New-Total Grad FTE",'FTE Pivot for regular counts'!$A$2,"State","LA","Category2","Four-Year")</f>
        <v>21608.895833333336</v>
      </c>
    </row>
    <row r="49" spans="1:15" ht="15" customHeight="1">
      <c r="A49" s="1" t="s">
        <v>702</v>
      </c>
      <c r="B49" s="185">
        <f>+GETPIVOTDATA("Sum of New-Total Grad FTE",'FTE Pivot for regular counts'!$A$2,"State","MD","Category",1,"Category2","Four-Year")</f>
        <v>6507.041666666667</v>
      </c>
      <c r="C49" s="185">
        <f>+GETPIVOTDATA("Sum of New-Total Grad FTE",'FTE Pivot for regular counts'!$A$2,"State","MD","Category",2,"Category2","Four-Year")</f>
        <v>2695.3333333333335</v>
      </c>
      <c r="D49" s="185">
        <f>+GETPIVOTDATA("Sum of New-Total Grad FTE",'FTE Pivot for regular counts'!$A$2,"State","MD","Category",3,"Category2","Four-Year")</f>
        <v>3461.625</v>
      </c>
      <c r="E49" s="185">
        <f>+GETPIVOTDATA("Sum of New-Total Grad FTE",'FTE Pivot for regular counts'!$A$2,"State","MD","Category",4,"Category2","Four-Year")</f>
        <v>2576.9583333333335</v>
      </c>
      <c r="F49" s="185">
        <f>+GETPIVOTDATA("Sum of New-Total Grad FTE",'FTE Pivot for regular counts'!$A$2,"State","MD","Category",5,"Category2","Four-Year")</f>
        <v>130.66666666666666</v>
      </c>
      <c r="G49" s="186">
        <f>+GETPIVOTDATA("Sum of New-Total Grad FTE",'FTE Pivot for regular counts'!$A$2,"State","MD","Category",6,"Category2","Four-Year")</f>
        <v>41.041666666666664</v>
      </c>
      <c r="H49" s="185">
        <f>+GETPIVOTDATA("Sum of New-Total Grad FTE",'FTE Pivot for regular counts'!$A$2,"State","MD","Category2","Four-Year")</f>
        <v>15412.666666666666</v>
      </c>
    </row>
    <row r="50" spans="1:15" ht="15" customHeight="1">
      <c r="B50" s="185"/>
      <c r="C50" s="185"/>
      <c r="D50" s="185"/>
      <c r="E50" s="185"/>
      <c r="F50" s="185"/>
      <c r="G50" s="186"/>
      <c r="H50" s="185"/>
    </row>
    <row r="51" spans="1:15" ht="15" customHeight="1">
      <c r="A51" s="1" t="s">
        <v>703</v>
      </c>
      <c r="B51" s="185">
        <f>+GETPIVOTDATA("Sum of New-Total Grad FTE",'FTE Pivot for regular counts'!$A$2,"State","MS","Category",1,"Category2","Four-Year")</f>
        <v>8852.0833333333321</v>
      </c>
      <c r="C51" s="185">
        <f>+GETPIVOTDATA("Sum of New-Total Grad FTE",'FTE Pivot for regular counts'!$A$2,"State","MS","Category",2,"Category2","Four-Year")</f>
        <v>1607.4583333333333</v>
      </c>
      <c r="D51" s="185">
        <f>+GETPIVOTDATA("Sum of New-Total Grad FTE",'FTE Pivot for regular counts'!$A$2,"State","MS","Category",3,"Category2","Four-Year")</f>
        <v>0</v>
      </c>
      <c r="E51" s="185">
        <f>+GETPIVOTDATA("Sum of New-Total Grad FTE",'FTE Pivot for regular counts'!$A$2,"State","MS","Category",4,"Category2","Four-Year")</f>
        <v>1561.0833333333335</v>
      </c>
      <c r="F51" s="185">
        <f>+GETPIVOTDATA("Sum of New-Total Grad FTE",'FTE Pivot for regular counts'!$A$2,"State","MS","Category",5,"Category2","Four-Year")</f>
        <v>0</v>
      </c>
      <c r="G51" s="186">
        <f>+GETPIVOTDATA("Sum of New-Total Grad FTE",'FTE Pivot for regular counts'!$A$2,"State","MS","Category",6,"Category2","Four-Year")</f>
        <v>0</v>
      </c>
      <c r="H51" s="185">
        <f>+GETPIVOTDATA("Sum of New-Total Grad FTE",'FTE Pivot for regular counts'!$A$2,"State","MS","Category2","Four-Year")</f>
        <v>12020.625</v>
      </c>
    </row>
    <row r="52" spans="1:15" ht="15" customHeight="1">
      <c r="A52" s="1" t="s">
        <v>704</v>
      </c>
      <c r="B52" s="185">
        <f>+GETPIVOTDATA("Sum of New-Total Grad FTE",'FTE Pivot for regular counts'!$A$2,"State","NC","Category",1,"Category2","Four-Year")</f>
        <v>22743.9375</v>
      </c>
      <c r="C52" s="185">
        <f>+GETPIVOTDATA("Sum of New-Total Grad FTE",'FTE Pivot for regular counts'!$A$2,"State","NC","Category",2,"Category2","Four-Year")</f>
        <v>4920.958333333333</v>
      </c>
      <c r="D52" s="185">
        <f>+GETPIVOTDATA("Sum of New-Total Grad FTE",'FTE Pivot for regular counts'!$A$2,"State","NC","Category",3,"Category2","Four-Year")</f>
        <v>7396.6041666666661</v>
      </c>
      <c r="E52" s="185">
        <f>+GETPIVOTDATA("Sum of New-Total Grad FTE",'FTE Pivot for regular counts'!$A$2,"State","NC","Category",4,"Category2","Four-Year")</f>
        <v>802.45833333333337</v>
      </c>
      <c r="F52" s="185">
        <f>+GETPIVOTDATA("Sum of New-Total Grad FTE",'FTE Pivot for regular counts'!$A$2,"State","NC","Category",5,"Category2","Four-Year")</f>
        <v>2028.375</v>
      </c>
      <c r="G52" s="186">
        <f>+GETPIVOTDATA("Sum of New-Total Grad FTE",'FTE Pivot for regular counts'!$A$2,"State","NC","Category",6,"Category2","Four-Year")</f>
        <v>69.041666666666671</v>
      </c>
      <c r="H52" s="185">
        <f>+GETPIVOTDATA("Sum of New-Total Grad FTE",'FTE Pivot for regular counts'!$A$2,"State","NC","Category2","Four-Year")</f>
        <v>37961.375</v>
      </c>
    </row>
    <row r="53" spans="1:15" ht="15" customHeight="1">
      <c r="A53" s="1" t="s">
        <v>705</v>
      </c>
      <c r="B53" s="185">
        <f>+GETPIVOTDATA("Sum of New-Total Grad FTE",'FTE Pivot for regular counts'!$A$2,"State","OK","Category",1,"Category2","Four-Year")</f>
        <v>0</v>
      </c>
      <c r="C53" s="185">
        <f>+GETPIVOTDATA("Sum of New-Total Grad FTE",'FTE Pivot for regular counts'!$A$2,"State","OK","Category",2,"Category2","Four-Year")</f>
        <v>0</v>
      </c>
      <c r="D53" s="185">
        <f>+GETPIVOTDATA("Sum of New-Total Grad FTE",'FTE Pivot for regular counts'!$A$2,"State","OK","Category",3,"Category2","Four-Year")</f>
        <v>0</v>
      </c>
      <c r="E53" s="185">
        <f>+GETPIVOTDATA("Sum of New-Total Grad FTE",'FTE Pivot for regular counts'!$A$2,"State","OK","Category",4,"Category2","Four-Year")</f>
        <v>0</v>
      </c>
      <c r="F53" s="185">
        <f>+GETPIVOTDATA("Sum of New-Total Grad FTE",'FTE Pivot for regular counts'!$A$2,"State","OK","Category",5,"Category2","Four-Year")</f>
        <v>0</v>
      </c>
      <c r="G53" s="186">
        <f>+GETPIVOTDATA("Sum of New-Total Grad FTE",'FTE Pivot for regular counts'!$A$2,"State","OK","Category",6,"Category2","Four-Year")</f>
        <v>0</v>
      </c>
      <c r="H53" s="185">
        <f>+GETPIVOTDATA("Sum of New-Total Grad FTE",'FTE Pivot for regular counts'!$A$2,"State","OK","Category2","Four-Year")</f>
        <v>0</v>
      </c>
    </row>
    <row r="54" spans="1:15" ht="15" customHeight="1">
      <c r="A54" s="1" t="s">
        <v>706</v>
      </c>
      <c r="B54" s="185">
        <f>+GETPIVOTDATA("Sum of New-Total Grad FTE",'FTE Pivot for regular counts'!$A$2,"State","SC","Category",1,"Category2","Four-Year")</f>
        <v>12092.708333333332</v>
      </c>
      <c r="C54" s="185">
        <f>+GETPIVOTDATA("Sum of New-Total Grad FTE",'FTE Pivot for regular counts'!$A$2,"State","SC","Category",2,"Category2","Four-Year")</f>
        <v>0</v>
      </c>
      <c r="D54" s="185">
        <f>+GETPIVOTDATA("Sum of New-Total Grad FTE",'FTE Pivot for regular counts'!$A$2,"State","SC","Category",3,"Category2","Four-Year")</f>
        <v>2234.5</v>
      </c>
      <c r="E54" s="185">
        <f>+GETPIVOTDATA("Sum of New-Total Grad FTE",'FTE Pivot for regular counts'!$A$2,"State","SC","Category",4,"Category2","Four-Year")</f>
        <v>513.375</v>
      </c>
      <c r="F54" s="185">
        <f>+GETPIVOTDATA("Sum of New-Total Grad FTE",'FTE Pivot for regular counts'!$A$2,"State","SC","Category",5,"Category2","Four-Year")</f>
        <v>1169.4166666666665</v>
      </c>
      <c r="G54" s="186">
        <f>+GETPIVOTDATA("Sum of New-Total Grad FTE",'FTE Pivot for regular counts'!$A$2,"State","SC","Category",6,"Category2","Four-Year")</f>
        <v>432.04166666666663</v>
      </c>
      <c r="H54" s="185">
        <f>+GETPIVOTDATA("Sum of New-Total Grad FTE",'FTE Pivot for regular counts'!$A$2,"State","SC","Category2","Four-Year")</f>
        <v>16442.041666666664</v>
      </c>
    </row>
    <row r="55" spans="1:15" ht="15" customHeight="1">
      <c r="B55" s="185"/>
      <c r="C55" s="185"/>
      <c r="D55" s="185"/>
      <c r="E55" s="185"/>
      <c r="F55" s="185"/>
      <c r="G55" s="186"/>
      <c r="H55" s="185"/>
    </row>
    <row r="56" spans="1:15" ht="15" customHeight="1">
      <c r="A56" s="1" t="s">
        <v>707</v>
      </c>
      <c r="B56" s="185">
        <f>+GETPIVOTDATA("Sum of New-Total Grad FTE",'FTE Pivot for regular counts'!$A$2,"State","TN","Category",1,"Category2","Four-Year")</f>
        <v>8589.7083333333339</v>
      </c>
      <c r="C56" s="185">
        <f>+GETPIVOTDATA("Sum of New-Total Grad FTE",'FTE Pivot for regular counts'!$A$2,"State","TN","Category",2,"Category2","Four-Year")</f>
        <v>5322.5</v>
      </c>
      <c r="D56" s="185">
        <f>+GETPIVOTDATA("Sum of New-Total Grad FTE",'FTE Pivot for regular counts'!$A$2,"State","TN","Category",3,"Category2","Four-Year")</f>
        <v>3065.6666666666665</v>
      </c>
      <c r="E56" s="185">
        <f>+GETPIVOTDATA("Sum of New-Total Grad FTE",'FTE Pivot for regular counts'!$A$2,"State","TN","Category",4,"Category2","Four-Year")</f>
        <v>524.04166666666663</v>
      </c>
      <c r="F56" s="185">
        <f>+GETPIVOTDATA("Sum of New-Total Grad FTE",'FTE Pivot for regular counts'!$A$2,"State","TN","Category",5,"Category2","Four-Year")</f>
        <v>0</v>
      </c>
      <c r="G56" s="186">
        <f>+GETPIVOTDATA("Sum of New-Total Grad FTE",'FTE Pivot for regular counts'!$A$2,"State","TN","Category",6,"Category2","Four-Year")</f>
        <v>0</v>
      </c>
      <c r="H56" s="185">
        <f>+GETPIVOTDATA("Sum of New-Total Grad FTE",'FTE Pivot for regular counts'!$A$2,"State","TN","Category2","Four-Year")</f>
        <v>17501.916666666668</v>
      </c>
    </row>
    <row r="57" spans="1:15" ht="15" customHeight="1">
      <c r="A57" s="1" t="s">
        <v>708</v>
      </c>
      <c r="B57" s="185">
        <f>+GETPIVOTDATA("Sum of New-Total Grad FTE",'FTE Pivot for regular counts'!$A$2,"State","TX","Category",1,"Category2","Four-Year")</f>
        <v>56129.833333333328</v>
      </c>
      <c r="C57" s="185">
        <f>+GETPIVOTDATA("Sum of New-Total Grad FTE",'FTE Pivot for regular counts'!$A$2,"State","TX","Category",2,"Category2","Four-Year")</f>
        <v>10595.541666666666</v>
      </c>
      <c r="D57" s="185">
        <f>+GETPIVOTDATA("Sum of New-Total Grad FTE",'FTE Pivot for regular counts'!$A$2,"State","TX","Category",3,"Category2","Four-Year")</f>
        <v>33029</v>
      </c>
      <c r="E57" s="185">
        <f>+GETPIVOTDATA("Sum of New-Total Grad FTE",'FTE Pivot for regular counts'!$A$2,"State","TX","Category",4,"Category2","Four-Year")</f>
        <v>3298.208333333333</v>
      </c>
      <c r="F57" s="185">
        <f>+GETPIVOTDATA("Sum of New-Total Grad FTE",'FTE Pivot for regular counts'!$A$2,"State","TX","Category",5,"Category2","Four-Year")</f>
        <v>205.25</v>
      </c>
      <c r="G57" s="186">
        <f>+GETPIVOTDATA("Sum of New-Total Grad FTE",'FTE Pivot for regular counts'!$A$2,"State","TX","Category",6,"Category2","Four-Year")</f>
        <v>0</v>
      </c>
      <c r="H57" s="185">
        <f>+GETPIVOTDATA("Sum of New-Total Grad FTE",'FTE Pivot for regular counts'!$A$2,"State","TX","Category2","Four-Year")</f>
        <v>103257.83333333333</v>
      </c>
    </row>
    <row r="58" spans="1:15" ht="15" customHeight="1">
      <c r="A58" s="1" t="s">
        <v>709</v>
      </c>
      <c r="B58" s="185">
        <f>+GETPIVOTDATA("Sum of New-Total Grad FTE",'FTE Pivot for regular counts'!$A$2,"State","VA","Category",1,"Category2","Four-Year")</f>
        <v>31344.729166666664</v>
      </c>
      <c r="C58" s="185">
        <f>+GETPIVOTDATA("Sum of New-Total Grad FTE",'FTE Pivot for regular counts'!$A$2,"State","VA","Category",2,"Category2","Four-Year")</f>
        <v>2806.625</v>
      </c>
      <c r="D58" s="185">
        <f>+GETPIVOTDATA("Sum of New-Total Grad FTE",'FTE Pivot for regular counts'!$A$2,"State","VA","Category",3,"Category2","Four-Year")</f>
        <v>3375.0499999999997</v>
      </c>
      <c r="E58" s="185">
        <f>+GETPIVOTDATA("Sum of New-Total Grad FTE",'FTE Pivot for regular counts'!$A$2,"State","VA","Category",4,"Category2","Four-Year")</f>
        <v>340.54166666666669</v>
      </c>
      <c r="F58" s="185">
        <f>+GETPIVOTDATA("Sum of New-Total Grad FTE",'FTE Pivot for regular counts'!$A$2,"State","VA","Category",5,"Category2","Four-Year")</f>
        <v>1197.825</v>
      </c>
      <c r="G58" s="186">
        <f>+GETPIVOTDATA("Sum of New-Total Grad FTE",'FTE Pivot for regular counts'!$A$2,"State","VA","Category",6,"Category2","Four-Year")</f>
        <v>0</v>
      </c>
      <c r="H58" s="185">
        <f>+GETPIVOTDATA("Sum of New-Total Grad FTE",'FTE Pivot for regular counts'!$A$2,"State","VA","Category2","Four-Year")</f>
        <v>39064.770833333328</v>
      </c>
    </row>
    <row r="59" spans="1:15" ht="15" customHeight="1">
      <c r="A59" s="166" t="s">
        <v>710</v>
      </c>
      <c r="B59" s="188">
        <f>+GETPIVOTDATA("Sum of New-Total Grad FTE",'FTE Pivot for regular counts'!$A$2,"State","WV","Category",1,"Category2","Four-Year")</f>
        <v>3852.7083333333335</v>
      </c>
      <c r="C59" s="188">
        <f>+GETPIVOTDATA("Sum of New-Total Grad FTE",'FTE Pivot for regular counts'!$A$2,"State","WV","Category",2,"Category2","Four-Year")</f>
        <v>0</v>
      </c>
      <c r="D59" s="188">
        <f>+GETPIVOTDATA("Sum of New-Total Grad FTE",'FTE Pivot for regular counts'!$A$2,"State","WV","Category",3,"Category2","Four-Year")</f>
        <v>2621.1666666666665</v>
      </c>
      <c r="E59" s="188">
        <f>+GETPIVOTDATA("Sum of New-Total Grad FTE",'FTE Pivot for regular counts'!$A$2,"State","WV","Category",4,"Category2","Four-Year")</f>
        <v>460.375</v>
      </c>
      <c r="F59" s="188">
        <f>+GETPIVOTDATA("Sum of New-Total Grad FTE",'FTE Pivot for regular counts'!$A$2,"State","WV","Category",5,"Category2","Four-Year")</f>
        <v>1211.4583333333335</v>
      </c>
      <c r="G59" s="189">
        <f>+GETPIVOTDATA("Sum of New-Total Grad FTE",'FTE Pivot for regular counts'!$A$2,"State","WV","Category",6,"Category2","Four-Year")</f>
        <v>0</v>
      </c>
      <c r="H59" s="188">
        <f>+GETPIVOTDATA("Sum of New-Total Grad FTE",'FTE Pivot for regular counts'!$A$2,"State","WV","Category2","Four-Year")</f>
        <v>8145.7083333333339</v>
      </c>
    </row>
    <row r="60" spans="1:15" ht="35.25" customHeight="1">
      <c r="A60" s="648" t="s">
        <v>943</v>
      </c>
      <c r="B60" s="648"/>
      <c r="C60" s="648"/>
      <c r="D60" s="648"/>
      <c r="E60" s="648"/>
      <c r="F60" s="648"/>
      <c r="G60" s="648"/>
      <c r="H60" s="648"/>
      <c r="I60" s="159"/>
      <c r="J60" s="159"/>
      <c r="K60" s="159"/>
      <c r="L60" s="159"/>
      <c r="M60" s="159"/>
    </row>
    <row r="61" spans="1:15" ht="10.5" customHeight="1">
      <c r="A61" s="190"/>
      <c r="B61" s="190"/>
      <c r="C61" s="190"/>
      <c r="D61" s="190"/>
      <c r="E61" s="190"/>
      <c r="F61" s="190"/>
      <c r="G61" s="190"/>
      <c r="H61" s="179"/>
    </row>
    <row r="62" spans="1:15">
      <c r="A62" s="191"/>
      <c r="B62" s="178"/>
      <c r="C62" s="178"/>
      <c r="D62" s="178"/>
      <c r="E62" s="178"/>
      <c r="F62" s="178"/>
      <c r="G62" s="178"/>
      <c r="H62" s="192"/>
      <c r="O62" s="179" t="s">
        <v>921</v>
      </c>
    </row>
    <row r="63" spans="1:15" ht="18">
      <c r="A63" s="116" t="s">
        <v>713</v>
      </c>
      <c r="B63" s="116"/>
      <c r="C63" s="116"/>
      <c r="D63" s="116"/>
      <c r="E63" s="116"/>
      <c r="F63" s="116"/>
      <c r="G63" s="116"/>
      <c r="H63" s="116"/>
    </row>
    <row r="64" spans="1:15" ht="15.75">
      <c r="A64" s="193"/>
      <c r="B64" s="122"/>
      <c r="C64" s="122"/>
      <c r="D64" s="122"/>
      <c r="E64" s="122"/>
      <c r="F64" s="122"/>
      <c r="G64" s="122"/>
      <c r="H64" s="122"/>
    </row>
    <row r="65" spans="1:24" ht="15.75">
      <c r="A65" s="122" t="s">
        <v>714</v>
      </c>
      <c r="B65" s="122"/>
      <c r="C65" s="122"/>
      <c r="D65" s="122"/>
      <c r="E65" s="122"/>
      <c r="F65" s="122"/>
      <c r="G65" s="122"/>
      <c r="H65" s="122"/>
    </row>
    <row r="66" spans="1:24" ht="15.75">
      <c r="A66" s="122" t="s">
        <v>937</v>
      </c>
      <c r="B66" s="122"/>
      <c r="C66" s="122"/>
      <c r="D66" s="122"/>
      <c r="E66" s="122"/>
      <c r="F66" s="122"/>
      <c r="G66" s="122"/>
      <c r="H66" s="122"/>
    </row>
    <row r="67" spans="1:24" ht="15.75">
      <c r="A67" s="122"/>
      <c r="B67" s="122"/>
      <c r="C67" s="122"/>
      <c r="D67" s="122"/>
      <c r="E67" s="122"/>
      <c r="F67" s="122"/>
      <c r="G67" s="122"/>
      <c r="H67" s="122"/>
      <c r="Q67" s="3" t="s">
        <v>675</v>
      </c>
      <c r="R67" s="61" t="s">
        <v>715</v>
      </c>
      <c r="S67" s="3"/>
      <c r="T67" s="3"/>
      <c r="U67" s="3"/>
      <c r="V67" s="3"/>
      <c r="W67" s="3"/>
    </row>
    <row r="68" spans="1:24" ht="15" customHeight="1">
      <c r="A68" s="125"/>
      <c r="B68" s="125" t="s">
        <v>667</v>
      </c>
      <c r="C68" s="125"/>
      <c r="D68" s="125"/>
      <c r="E68" s="125"/>
      <c r="F68" s="125"/>
      <c r="G68" s="125"/>
      <c r="H68" s="181"/>
      <c r="Q68" s="194" t="s">
        <v>667</v>
      </c>
      <c r="R68" s="195"/>
      <c r="S68" s="195"/>
      <c r="T68" s="195"/>
      <c r="U68" s="195"/>
      <c r="V68" s="195"/>
      <c r="W68" s="196"/>
    </row>
    <row r="69" spans="1:24" ht="15" customHeight="1">
      <c r="A69" s="182"/>
      <c r="B69" s="183">
        <v>1</v>
      </c>
      <c r="C69" s="183">
        <v>2</v>
      </c>
      <c r="D69" s="183">
        <v>3</v>
      </c>
      <c r="E69" s="183">
        <v>4</v>
      </c>
      <c r="F69" s="183">
        <v>5</v>
      </c>
      <c r="G69" s="184">
        <v>6</v>
      </c>
      <c r="H69" s="183" t="s">
        <v>679</v>
      </c>
      <c r="Q69" s="197">
        <v>1</v>
      </c>
      <c r="R69" s="197">
        <v>2</v>
      </c>
      <c r="S69" s="197">
        <v>3</v>
      </c>
      <c r="T69" s="197">
        <v>4</v>
      </c>
      <c r="U69" s="197">
        <v>5</v>
      </c>
      <c r="V69" s="198">
        <v>6</v>
      </c>
      <c r="W69" s="199" t="s">
        <v>679</v>
      </c>
    </row>
    <row r="70" spans="1:24" ht="15" customHeight="1">
      <c r="A70" s="1" t="s">
        <v>687</v>
      </c>
      <c r="B70" s="185">
        <f>+'NEW-Tables 80-86'!B9+'NEW-Tables 80-86'!B39</f>
        <v>1046284.6754166667</v>
      </c>
      <c r="C70" s="185">
        <f>+'NEW-Tables 80-86'!D9+'NEW-Tables 80-86'!C39</f>
        <v>255518.19166666671</v>
      </c>
      <c r="D70" s="185">
        <f>+'NEW-Tables 80-86'!F9+'NEW-Tables 80-86'!D39</f>
        <v>563025.99583333335</v>
      </c>
      <c r="E70" s="185">
        <f>+'NEW-Tables 80-86'!H9+'NEW-Tables 80-86'!E39</f>
        <v>176690.19166666665</v>
      </c>
      <c r="F70" s="185">
        <f>+'NEW-Tables 80-86'!J9+'NEW-Tables 80-86'!F39</f>
        <v>63053.95</v>
      </c>
      <c r="G70" s="186">
        <f>+'NEW-Tables 80-86'!L9+'NEW-Tables 80-86'!G39</f>
        <v>52020.191666666673</v>
      </c>
      <c r="H70" s="185">
        <f>+'NEW-Tables 80-86'!N9+'NEW-Tables 80-86'!H39</f>
        <v>2156593.19625</v>
      </c>
      <c r="Q70" s="3">
        <f>+GETPIVOTDATA("Sum of Old Grand Total FTE",'FTE Pivot for regular counts'!$A$2,"Category",1,"Category2","Four-Year")</f>
        <v>1048638.6576388888</v>
      </c>
      <c r="R70" s="3">
        <f>+GETPIVOTDATA("Sum of Old Grand Total FTE",'FTE Pivot for regular counts'!$A$2,"Category",2,"Category2","Four-Year")</f>
        <v>258929.484</v>
      </c>
      <c r="S70" s="3">
        <f>+GETPIVOTDATA("Sum of Old Grand Total FTE",'FTE Pivot for regular counts'!$A$2,"Category",3,"Category2","Four-Year")</f>
        <v>575010.85416666674</v>
      </c>
      <c r="T70" s="3">
        <f>+GETPIVOTDATA("Sum of Old Grand Total FTE",'FTE Pivot for regular counts'!$A$2,"Category",4,"Category2","Four-Year")</f>
        <v>183990.01250000001</v>
      </c>
      <c r="U70" s="3">
        <f>+GETPIVOTDATA("Sum of Old Grand Total FTE",'FTE Pivot for regular counts'!$A$2,"Category",5,"Category2","Four-Year")</f>
        <v>65259.224999999999</v>
      </c>
      <c r="V70" s="3">
        <f>+GETPIVOTDATA("Sum of Old Grand Total FTE",'FTE Pivot for regular counts'!$A$2,"Category",6,"Category2","Four-Year")</f>
        <v>54374.32499999999</v>
      </c>
      <c r="W70" s="3">
        <f>+GETPIVOTDATA("Sum of Old Grand Total FTE",'FTE Pivot for regular counts'!$A$2,"Category2","Four-Year")</f>
        <v>2186202.558305556</v>
      </c>
      <c r="X70" s="1" t="s">
        <v>687</v>
      </c>
    </row>
    <row r="71" spans="1:24" ht="15" customHeight="1">
      <c r="B71" s="185"/>
      <c r="C71" s="185"/>
      <c r="D71" s="185"/>
      <c r="E71" s="185"/>
      <c r="F71" s="185"/>
      <c r="G71" s="186"/>
      <c r="H71" s="185"/>
      <c r="Q71" s="3"/>
      <c r="R71" s="3"/>
      <c r="S71" s="3"/>
      <c r="T71" s="3"/>
      <c r="U71" s="3"/>
      <c r="V71" s="3"/>
      <c r="W71" s="3"/>
    </row>
    <row r="72" spans="1:24" ht="15" customHeight="1">
      <c r="A72" s="1" t="s">
        <v>695</v>
      </c>
      <c r="B72" s="185">
        <f>+'NEW-Tables 80-86'!B11+'NEW-Tables 80-86'!B41</f>
        <v>76322.325000000012</v>
      </c>
      <c r="C72" s="185">
        <f>+'NEW-Tables 80-86'!D11+'NEW-Tables 80-86'!C41</f>
        <v>16496.066666666666</v>
      </c>
      <c r="D72" s="185">
        <f>+'NEW-Tables 80-86'!F11+'NEW-Tables 80-86'!D41</f>
        <v>35688.933333333334</v>
      </c>
      <c r="E72" s="185">
        <f>+'NEW-Tables 80-86'!H11+'NEW-Tables 80-86'!E41</f>
        <v>8555.6083333333336</v>
      </c>
      <c r="F72" s="185">
        <f>+'NEW-Tables 80-86'!J11+'NEW-Tables 80-86'!F41</f>
        <v>4567.2</v>
      </c>
      <c r="G72" s="186">
        <f>+'NEW-Tables 80-86'!L11+'NEW-Tables 80-86'!G41</f>
        <v>0</v>
      </c>
      <c r="H72" s="185">
        <f>+'NEW-Tables 80-86'!N11+'NEW-Tables 80-86'!H41</f>
        <v>141630.13333333333</v>
      </c>
      <c r="Q72" s="3">
        <f>+GETPIVOTDATA("Sum of Old Grand Total FTE",'FTE Pivot for regular counts'!$A$2,"State","AL","Category",1,"Category2","Four-Year")</f>
        <v>76411.063888888893</v>
      </c>
      <c r="R72" s="3">
        <f>+GETPIVOTDATA("Sum of Old Grand Total FTE",'FTE Pivot for regular counts'!$A$2,"State","AL","Category",2,"Category2","Four-Year")</f>
        <v>17146.166666666664</v>
      </c>
      <c r="S72" s="3">
        <f>+GETPIVOTDATA("Sum of Old Grand Total FTE",'FTE Pivot for regular counts'!$A$2,"State","AL","Category",3,"Category2","Four-Year")</f>
        <v>37344.333333333336</v>
      </c>
      <c r="T72" s="3">
        <f>+GETPIVOTDATA("Sum of Old Grand Total FTE",'FTE Pivot for regular counts'!$A$2,"State","AL","Category",4,"Category2","Four-Year")</f>
        <v>9123.875</v>
      </c>
      <c r="U72" s="3">
        <f>+GETPIVOTDATA("Sum of Old Grand Total FTE",'FTE Pivot for regular counts'!$A$2,"State","AL","Category",5,"Category2","Four-Year")</f>
        <v>4645.2750000000005</v>
      </c>
      <c r="V72" s="3">
        <f>+GETPIVOTDATA("Sum of Old Grand Total FTE",'FTE Pivot for regular counts'!$A$2,"State","AL","Category",6,"Category2","Four-Year")</f>
        <v>0</v>
      </c>
      <c r="W72" s="3">
        <f>+GETPIVOTDATA("Sum of Old Grand Total FTE",'FTE Pivot for regular counts'!$A$2,"State","AL","Category2","Four-Year")</f>
        <v>144670.71388888889</v>
      </c>
      <c r="X72" s="1" t="s">
        <v>695</v>
      </c>
    </row>
    <row r="73" spans="1:24" ht="15" customHeight="1">
      <c r="A73" s="1" t="s">
        <v>696</v>
      </c>
      <c r="B73" s="185">
        <f>+'NEW-Tables 80-86'!B12+'NEW-Tables 80-86'!B42</f>
        <v>25800.841666666667</v>
      </c>
      <c r="C73" s="185">
        <f>+'NEW-Tables 80-86'!D12+'NEW-Tables 80-86'!C42</f>
        <v>6464.7833333333338</v>
      </c>
      <c r="D73" s="185">
        <f>+'NEW-Tables 80-86'!F12+'NEW-Tables 80-86'!D42</f>
        <v>28670.35</v>
      </c>
      <c r="E73" s="185">
        <f>+'NEW-Tables 80-86'!H12+'NEW-Tables 80-86'!E42</f>
        <v>8844.9</v>
      </c>
      <c r="F73" s="185">
        <f>+'NEW-Tables 80-86'!J12+'NEW-Tables 80-86'!F42</f>
        <v>0</v>
      </c>
      <c r="G73" s="186">
        <f>+'NEW-Tables 80-86'!L12+'NEW-Tables 80-86'!G42</f>
        <v>6679.5833333333339</v>
      </c>
      <c r="H73" s="185">
        <f>+'NEW-Tables 80-86'!N12+'NEW-Tables 80-86'!H42</f>
        <v>76460.458333333343</v>
      </c>
      <c r="Q73" s="3">
        <f>+GETPIVOTDATA("Sum of Old Grand Total FTE",'FTE Pivot for regular counts'!$A$2,"State","AR","Category",1,"Category2","Four-Year")</f>
        <v>25228.3</v>
      </c>
      <c r="R73" s="3">
        <f>+GETPIVOTDATA("Sum of Old Grand Total FTE",'FTE Pivot for regular counts'!$A$2,"State","AR","Category",2,"Category2","Four-Year")</f>
        <v>7033.7166666666672</v>
      </c>
      <c r="S73" s="3">
        <f>+GETPIVOTDATA("Sum of Old Grand Total FTE",'FTE Pivot for regular counts'!$A$2,"State","AR","Category",3,"Category2","Four-Year")</f>
        <v>30536.841666666667</v>
      </c>
      <c r="T73" s="3">
        <f>+GETPIVOTDATA("Sum of Old Grand Total FTE",'FTE Pivot for regular counts'!$A$2,"State","AR","Category",4,"Category2","Four-Year")</f>
        <v>9479</v>
      </c>
      <c r="U73" s="3">
        <f>+GETPIVOTDATA("Sum of Old Grand Total FTE",'FTE Pivot for regular counts'!$A$2,"State","AR","Category",5,"Category2","Four-Year")</f>
        <v>0</v>
      </c>
      <c r="V73" s="3">
        <f>+GETPIVOTDATA("Sum of Old Grand Total FTE",'FTE Pivot for regular counts'!$A$2,"State","AR","Category",6,"Category2","Four-Year")</f>
        <v>7161.7916666666661</v>
      </c>
      <c r="W73" s="3">
        <f>+GETPIVOTDATA("Sum of Old Grand Total FTE",'FTE Pivot for regular counts'!$A$2,"State","AR","Category2","Four-Year")</f>
        <v>79439.650000000009</v>
      </c>
      <c r="X73" s="1" t="s">
        <v>696</v>
      </c>
    </row>
    <row r="74" spans="1:24" ht="15" customHeight="1">
      <c r="A74" s="1" t="s">
        <v>697</v>
      </c>
      <c r="B74" s="185">
        <f>+'NEW-Tables 80-86'!B13+'NEW-Tables 80-86'!B43</f>
        <v>22609.666666666668</v>
      </c>
      <c r="C74" s="185">
        <f>+'NEW-Tables 80-86'!D13+'NEW-Tables 80-86'!C43</f>
        <v>0</v>
      </c>
      <c r="D74" s="185">
        <f>+'NEW-Tables 80-86'!F13+'NEW-Tables 80-86'!D43</f>
        <v>4911.9500000000007</v>
      </c>
      <c r="E74" s="1">
        <f>+'NEW-Tables 80-86'!H13+'NEW-Tables 80-86'!E43</f>
        <v>0</v>
      </c>
      <c r="F74" s="185">
        <f>+'NEW-Tables 80-86'!J13+'NEW-Tables 80-86'!F43</f>
        <v>0</v>
      </c>
      <c r="G74" s="186">
        <f>+'NEW-Tables 80-86'!L13+'NEW-Tables 80-86'!G43</f>
        <v>0</v>
      </c>
      <c r="H74" s="1">
        <f>+'NEW-Tables 80-86'!N13+'NEW-Tables 80-86'!H43</f>
        <v>27521.616666666665</v>
      </c>
      <c r="Q74" s="3">
        <f>+GETPIVOTDATA("Sum of Old Grand Total FTE",'FTE Pivot for regular counts'!$A$2,"State","DE","Category",1,"Category2","Four-Year")</f>
        <v>23129.066666666669</v>
      </c>
      <c r="R74" s="3">
        <f>+GETPIVOTDATA("Sum of Old Grand Total FTE",'FTE Pivot for regular counts'!$A$2,"State","DE","Category",2,"Category2","Four-Year")</f>
        <v>0</v>
      </c>
      <c r="S74" s="3">
        <f>+GETPIVOTDATA("Sum of Old Grand Total FTE",'FTE Pivot for regular counts'!$A$2,"State","DE","Category",3,"Category2","Four-Year")</f>
        <v>4779.95</v>
      </c>
      <c r="T74" s="3">
        <f>+GETPIVOTDATA("Sum of Old Grand Total FTE",'FTE Pivot for regular counts'!$A$2,"State","DE","Category",4,"Category2","Four-Year")</f>
        <v>0</v>
      </c>
      <c r="U74" s="3">
        <f>+GETPIVOTDATA("Sum of Old Grand Total FTE",'FTE Pivot for regular counts'!$A$2,"State","DE","Category",5,"Category2","Four-Year")</f>
        <v>0</v>
      </c>
      <c r="V74" s="3">
        <f>+GETPIVOTDATA("Sum of Old Grand Total FTE",'FTE Pivot for regular counts'!$A$2,"State","DE","Category",6,"Category2","Four-Year")</f>
        <v>0</v>
      </c>
      <c r="W74" s="3">
        <f>+GETPIVOTDATA("Sum of Old Grand Total FTE",'FTE Pivot for regular counts'!$A$2,"State","DE","Category2","Four-Year")</f>
        <v>27909.01666666667</v>
      </c>
      <c r="X74" s="1" t="s">
        <v>697</v>
      </c>
    </row>
    <row r="75" spans="1:24" ht="15" customHeight="1">
      <c r="A75" s="1" t="s">
        <v>698</v>
      </c>
      <c r="B75" s="185">
        <f>+'NEW-Tables 80-86'!B14+'NEW-Tables 80-86'!B44</f>
        <v>0</v>
      </c>
      <c r="C75" s="185">
        <f>+'NEW-Tables 80-86'!D14+'NEW-Tables 80-86'!C44</f>
        <v>0</v>
      </c>
      <c r="D75" s="185">
        <f>+'NEW-Tables 80-86'!F14+'NEW-Tables 80-86'!D44</f>
        <v>0</v>
      </c>
      <c r="E75" s="185">
        <f>+'NEW-Tables 80-86'!H14+'NEW-Tables 80-86'!E44</f>
        <v>0</v>
      </c>
      <c r="F75" s="185">
        <f>+'NEW-Tables 80-86'!J14+'NEW-Tables 80-86'!F44</f>
        <v>0</v>
      </c>
      <c r="G75" s="186">
        <f>+'NEW-Tables 80-86'!L14+'NEW-Tables 80-86'!G44</f>
        <v>0</v>
      </c>
      <c r="H75" s="185">
        <f>+'NEW-Tables 80-86'!N14+'NEW-Tables 80-86'!H44</f>
        <v>0</v>
      </c>
      <c r="Q75" s="3">
        <f>+GETPIVOTDATA("Sum of Old Grand Total FTE",'FTE Pivot for regular counts'!$A$2,"State","FL","Category",1,"Category2","Four-Year")</f>
        <v>0</v>
      </c>
      <c r="R75" s="3">
        <f>+GETPIVOTDATA("Sum of Old Grand Total FTE",'FTE Pivot for regular counts'!$A$2,"State","FL","Category",2,"Category2","Four-Year")</f>
        <v>0</v>
      </c>
      <c r="S75" s="3">
        <f>+GETPIVOTDATA("Sum of Old Grand Total FTE",'FTE Pivot for regular counts'!$A$2,"State","FL","Category",3,"Category2","Four-Year")</f>
        <v>0</v>
      </c>
      <c r="T75" s="3">
        <f>+GETPIVOTDATA("Sum of Old Grand Total FTE",'FTE Pivot for regular counts'!$A$2,"State","FL","Category",4,"Category2","Four-Year")</f>
        <v>0</v>
      </c>
      <c r="U75" s="3">
        <f>+GETPIVOTDATA("Sum of Old Grand Total FTE",'FTE Pivot for regular counts'!$A$2,"State","FL","Category",5,"Category2","Four-Year")</f>
        <v>0</v>
      </c>
      <c r="V75" s="3">
        <f>+GETPIVOTDATA("Sum of Old Grand Total FTE",'FTE Pivot for regular counts'!$A$2,"State","FL","Category",6,"Category2","Four-Year")</f>
        <v>0</v>
      </c>
      <c r="W75" s="3">
        <f>+GETPIVOTDATA("Sum of Old Grand Total FTE",'FTE Pivot for regular counts'!$A$2,"State","FL","Category2","Four-Year")</f>
        <v>0</v>
      </c>
      <c r="X75" s="1" t="s">
        <v>698</v>
      </c>
    </row>
    <row r="76" spans="1:24" ht="15" customHeight="1">
      <c r="B76" s="185"/>
      <c r="C76" s="185"/>
      <c r="D76" s="185"/>
      <c r="E76" s="185"/>
      <c r="F76" s="185"/>
      <c r="G76" s="186"/>
      <c r="H76" s="185"/>
      <c r="Q76" s="3"/>
      <c r="R76" s="3"/>
      <c r="S76" s="3"/>
      <c r="T76" s="3"/>
      <c r="U76" s="3"/>
      <c r="V76" s="3"/>
      <c r="W76" s="3"/>
    </row>
    <row r="77" spans="1:24" ht="15" customHeight="1">
      <c r="A77" s="1" t="s">
        <v>699</v>
      </c>
      <c r="B77" s="185">
        <f>+'NEW-Tables 80-86'!B16+'NEW-Tables 80-86'!B46</f>
        <v>86331.946249999994</v>
      </c>
      <c r="C77" s="185">
        <f>+'NEW-Tables 80-86'!D16+'NEW-Tables 80-86'!C46</f>
        <v>34381.525000000001</v>
      </c>
      <c r="D77" s="185">
        <f>+'NEW-Tables 80-86'!F16+'NEW-Tables 80-86'!D46</f>
        <v>81692.741666666683</v>
      </c>
      <c r="E77" s="185">
        <f>+'NEW-Tables 80-86'!H16+'NEW-Tables 80-86'!E46</f>
        <v>48978.100000000006</v>
      </c>
      <c r="F77" s="185">
        <f>+'NEW-Tables 80-86'!J16+'NEW-Tables 80-86'!F46</f>
        <v>12000.366666666667</v>
      </c>
      <c r="G77" s="186">
        <f>+'NEW-Tables 80-86'!L16+'NEW-Tables 80-86'!G46</f>
        <v>20663.866666666669</v>
      </c>
      <c r="H77" s="185">
        <f>+'NEW-Tables 80-86'!N16+'NEW-Tables 80-86'!H46</f>
        <v>284048.54625000001</v>
      </c>
      <c r="Q77" s="3">
        <f>+GETPIVOTDATA("Sum of Old Grand Total FTE",'FTE Pivot for regular counts'!$A$2,"State","GA","Category",1,"Category2","Four-Year")</f>
        <v>89146.304166666669</v>
      </c>
      <c r="R77" s="3">
        <f>+GETPIVOTDATA("Sum of Old Grand Total FTE",'FTE Pivot for regular counts'!$A$2,"State","GA","Category",2,"Category2","Four-Year")</f>
        <v>32846.436499999996</v>
      </c>
      <c r="S77" s="3">
        <f>+GETPIVOTDATA("Sum of Old Grand Total FTE",'FTE Pivot for regular counts'!$A$2,"State","GA","Category",3,"Category2","Four-Year")</f>
        <v>80768.150000000009</v>
      </c>
      <c r="T77" s="3">
        <f>+GETPIVOTDATA("Sum of Old Grand Total FTE",'FTE Pivot for regular counts'!$A$2,"State","GA","Category",4,"Category2","Four-Year")</f>
        <v>50832.98333333333</v>
      </c>
      <c r="U77" s="3">
        <f>+GETPIVOTDATA("Sum of Old Grand Total FTE",'FTE Pivot for regular counts'!$A$2,"State","GA","Category",5,"Category2","Four-Year")</f>
        <v>12613.391666666666</v>
      </c>
      <c r="V77" s="3">
        <f>+GETPIVOTDATA("Sum of Old Grand Total FTE",'FTE Pivot for regular counts'!$A$2,"State","GA","Category",6,"Category2","Four-Year")</f>
        <v>22397.8</v>
      </c>
      <c r="W77" s="3">
        <f>+GETPIVOTDATA("Sum of Old Grand Total FTE",'FTE Pivot for regular counts'!$A$2,"State","GA","Category2","Four-Year")</f>
        <v>288605.06566666666</v>
      </c>
      <c r="X77" s="1" t="s">
        <v>699</v>
      </c>
    </row>
    <row r="78" spans="1:24" ht="15" customHeight="1">
      <c r="A78" s="1" t="s">
        <v>700</v>
      </c>
      <c r="B78" s="185">
        <f>+'NEW-Tables 80-86'!B17+'NEW-Tables 80-86'!B47</f>
        <v>40585.375</v>
      </c>
      <c r="C78" s="185">
        <f>+'NEW-Tables 80-86'!D17+'NEW-Tables 80-86'!C47</f>
        <v>0</v>
      </c>
      <c r="D78" s="185">
        <f>+'NEW-Tables 80-86'!F17+'NEW-Tables 80-86'!D47</f>
        <v>51545.483333333337</v>
      </c>
      <c r="E78" s="185">
        <f>+'NEW-Tables 80-86'!H17+'NEW-Tables 80-86'!E47</f>
        <v>1762.0166666666667</v>
      </c>
      <c r="F78" s="185">
        <f>+'NEW-Tables 80-86'!J17+'NEW-Tables 80-86'!F47</f>
        <v>0</v>
      </c>
      <c r="G78" s="186">
        <f>+'NEW-Tables 80-86'!L17+'NEW-Tables 80-86'!G47</f>
        <v>0</v>
      </c>
      <c r="H78" s="185">
        <f>+'NEW-Tables 80-86'!N17+'NEW-Tables 80-86'!H47</f>
        <v>93892.874999999985</v>
      </c>
      <c r="Q78" s="3">
        <f>+GETPIVOTDATA("Sum of Old Grand Total FTE",'FTE Pivot for regular counts'!$A$2,"State","KY","Category",1,"Category2","Four-Year")</f>
        <v>40266.991666666669</v>
      </c>
      <c r="R78" s="3">
        <f>+GETPIVOTDATA("Sum of Old Grand Total FTE",'FTE Pivot for regular counts'!$A$2,"State","KY","Category",2,"Category2","Four-Year")</f>
        <v>0</v>
      </c>
      <c r="S78" s="3">
        <f>+GETPIVOTDATA("Sum of Old Grand Total FTE",'FTE Pivot for regular counts'!$A$2,"State","KY","Category",3,"Category2","Four-Year")</f>
        <v>52954.166666666664</v>
      </c>
      <c r="T78" s="3">
        <f>+GETPIVOTDATA("Sum of Old Grand Total FTE",'FTE Pivot for regular counts'!$A$2,"State","KY","Category",4,"Category2","Four-Year")</f>
        <v>1733.5166666666667</v>
      </c>
      <c r="U78" s="3">
        <f>+GETPIVOTDATA("Sum of Old Grand Total FTE",'FTE Pivot for regular counts'!$A$2,"State","KY","Category",5,"Category2","Four-Year")</f>
        <v>0</v>
      </c>
      <c r="V78" s="3">
        <f>+GETPIVOTDATA("Sum of Old Grand Total FTE",'FTE Pivot for regular counts'!$A$2,"State","KY","Category",6,"Category2","Four-Year")</f>
        <v>0</v>
      </c>
      <c r="W78" s="3">
        <f>+GETPIVOTDATA("Sum of Old Grand Total FTE",'FTE Pivot for regular counts'!$A$2,"State","KY","Category2","Four-Year")</f>
        <v>94954.674999999988</v>
      </c>
      <c r="X78" s="1" t="s">
        <v>700</v>
      </c>
    </row>
    <row r="79" spans="1:24" ht="15" customHeight="1">
      <c r="A79" s="1" t="s">
        <v>701</v>
      </c>
      <c r="B79" s="185">
        <f>+'NEW-Tables 80-86'!B18+'NEW-Tables 80-86'!B48</f>
        <v>33090.054166666669</v>
      </c>
      <c r="C79" s="185">
        <f>+'NEW-Tables 80-86'!D18+'NEW-Tables 80-86'!C48</f>
        <v>28944.799999999999</v>
      </c>
      <c r="D79" s="185">
        <f>+'NEW-Tables 80-86'!F18+'NEW-Tables 80-86'!D48</f>
        <v>30665.908333333333</v>
      </c>
      <c r="E79" s="185">
        <f>+'NEW-Tables 80-86'!H18+'NEW-Tables 80-86'!E48</f>
        <v>25892.941666666669</v>
      </c>
      <c r="F79" s="185">
        <f>+'NEW-Tables 80-86'!J18+'NEW-Tables 80-86'!F48</f>
        <v>1456.7916666666667</v>
      </c>
      <c r="G79" s="186">
        <f>+'NEW-Tables 80-86'!L18+'NEW-Tables 80-86'!G48</f>
        <v>2948.9</v>
      </c>
      <c r="H79" s="185">
        <f>+'NEW-Tables 80-86'!N18+'NEW-Tables 80-86'!H48</f>
        <v>122999.39583333334</v>
      </c>
      <c r="Q79" s="3">
        <f>+GETPIVOTDATA("Sum of Old Grand Total FTE",'FTE Pivot for regular counts'!$A$2,"State","LA","Category",1,"Category2","Four-Year")</f>
        <v>31105.308333333334</v>
      </c>
      <c r="R79" s="3">
        <f>+GETPIVOTDATA("Sum of Old Grand Total FTE",'FTE Pivot for regular counts'!$A$2,"State","LA","Category",2,"Category2","Four-Year")</f>
        <v>30104.025000000001</v>
      </c>
      <c r="S79" s="3">
        <f>+GETPIVOTDATA("Sum of Old Grand Total FTE",'FTE Pivot for regular counts'!$A$2,"State","LA","Category",3,"Category2","Four-Year")</f>
        <v>31512.616666666665</v>
      </c>
      <c r="T79" s="3">
        <f>+GETPIVOTDATA("Sum of Old Grand Total FTE",'FTE Pivot for regular counts'!$A$2,"State","LA","Category",4,"Category2","Four-Year")</f>
        <v>26563.833333333332</v>
      </c>
      <c r="U79" s="3">
        <f>+GETPIVOTDATA("Sum of Old Grand Total FTE",'FTE Pivot for regular counts'!$A$2,"State","LA","Category",5,"Category2","Four-Year")</f>
        <v>1679.825</v>
      </c>
      <c r="V79" s="3">
        <f>+GETPIVOTDATA("Sum of Old Grand Total FTE",'FTE Pivot for regular counts'!$A$2,"State","LA","Category",6,"Category2","Four-Year")</f>
        <v>2683.3333333333335</v>
      </c>
      <c r="W79" s="3">
        <f>+GETPIVOTDATA("Sum of Old Grand Total FTE",'FTE Pivot for regular counts'!$A$2,"State","LA","Category2","Four-Year")</f>
        <v>123648.94166666665</v>
      </c>
      <c r="X79" s="1" t="s">
        <v>701</v>
      </c>
    </row>
    <row r="80" spans="1:24" ht="15" customHeight="1">
      <c r="A80" s="1" t="s">
        <v>702</v>
      </c>
      <c r="B80" s="185">
        <f>+'NEW-Tables 80-86'!B19+'NEW-Tables 80-86'!B49</f>
        <v>35927.375</v>
      </c>
      <c r="C80" s="185">
        <f>+'NEW-Tables 80-86'!D19+'NEW-Tables 80-86'!C49</f>
        <v>18924.8</v>
      </c>
      <c r="D80" s="185">
        <f>+'NEW-Tables 80-86'!F19+'NEW-Tables 80-86'!D49</f>
        <v>21477.191666666666</v>
      </c>
      <c r="E80" s="185">
        <f>+'NEW-Tables 80-86'!H19+'NEW-Tables 80-86'!E49</f>
        <v>19216.858333333334</v>
      </c>
      <c r="F80" s="185">
        <f>+'NEW-Tables 80-86'!J19+'NEW-Tables 80-86'!F49</f>
        <v>1682.5666666666668</v>
      </c>
      <c r="G80" s="186">
        <f>+'NEW-Tables 80-86'!L19+'NEW-Tables 80-86'!G49</f>
        <v>1633.875</v>
      </c>
      <c r="H80" s="185">
        <f>+'NEW-Tables 80-86'!N19+'NEW-Tables 80-86'!H49</f>
        <v>98862.666666666657</v>
      </c>
      <c r="Q80" s="3">
        <f>+GETPIVOTDATA("Sum of Old Grand Total FTE",'FTE Pivot for regular counts'!$A$2,"State","MD","Category",1,"Category2","Four-Year")</f>
        <v>35685.324999999997</v>
      </c>
      <c r="R80" s="3">
        <f>+GETPIVOTDATA("Sum of Old Grand Total FTE",'FTE Pivot for regular counts'!$A$2,"State","MD","Category",2,"Category2","Four-Year")</f>
        <v>19134.533333333333</v>
      </c>
      <c r="S80" s="3">
        <f>+GETPIVOTDATA("Sum of Old Grand Total FTE",'FTE Pivot for regular counts'!$A$2,"State","MD","Category",3,"Category2","Four-Year")</f>
        <v>22864.895833333332</v>
      </c>
      <c r="T80" s="3">
        <f>+GETPIVOTDATA("Sum of Old Grand Total FTE",'FTE Pivot for regular counts'!$A$2,"State","MD","Category",4,"Category2","Four-Year")</f>
        <v>20493.254166666666</v>
      </c>
      <c r="U80" s="3">
        <f>+GETPIVOTDATA("Sum of Old Grand Total FTE",'FTE Pivot for regular counts'!$A$2,"State","MD","Category",5,"Category2","Four-Year")</f>
        <v>2030.0333333333333</v>
      </c>
      <c r="V80" s="3">
        <f>+GETPIVOTDATA("Sum of Old Grand Total FTE",'FTE Pivot for regular counts'!$A$2,"State","MD","Category",6,"Category2","Four-Year")</f>
        <v>1584.0916666666667</v>
      </c>
      <c r="W80" s="3">
        <f>+GETPIVOTDATA("Sum of Old Grand Total FTE",'FTE Pivot for regular counts'!$A$2,"State","MD","Category2","Four-Year")</f>
        <v>101792.13333333333</v>
      </c>
      <c r="X80" s="1" t="s">
        <v>702</v>
      </c>
    </row>
    <row r="81" spans="1:26" ht="15" customHeight="1">
      <c r="B81" s="185"/>
      <c r="C81" s="185"/>
      <c r="D81" s="185"/>
      <c r="E81" s="185"/>
      <c r="F81" s="185"/>
      <c r="G81" s="186"/>
      <c r="H81" s="185"/>
      <c r="Q81" s="3"/>
      <c r="R81" s="3"/>
      <c r="S81" s="3"/>
      <c r="T81" s="3"/>
      <c r="U81" s="3"/>
      <c r="V81" s="3"/>
      <c r="W81" s="3"/>
    </row>
    <row r="82" spans="1:26" ht="15" customHeight="1">
      <c r="A82" s="1" t="s">
        <v>703</v>
      </c>
      <c r="B82" s="185">
        <f>+'NEW-Tables 80-86'!B21+'NEW-Tables 80-86'!B51</f>
        <v>53122.916666666657</v>
      </c>
      <c r="C82" s="185">
        <f>+'NEW-Tables 80-86'!D21+'NEW-Tables 80-86'!C51</f>
        <v>6153.8083333333334</v>
      </c>
      <c r="D82" s="185">
        <f>+'NEW-Tables 80-86'!F21+'NEW-Tables 80-86'!D51</f>
        <v>0</v>
      </c>
      <c r="E82" s="185">
        <f>+'NEW-Tables 80-86'!H21+'NEW-Tables 80-86'!E51</f>
        <v>9325.133333333335</v>
      </c>
      <c r="F82" s="185">
        <f>+'NEW-Tables 80-86'!J21+'NEW-Tables 80-86'!F51</f>
        <v>0</v>
      </c>
      <c r="G82" s="186">
        <f>+'NEW-Tables 80-86'!L21+'NEW-Tables 80-86'!G51</f>
        <v>0</v>
      </c>
      <c r="H82" s="185">
        <f>+'NEW-Tables 80-86'!N21+'NEW-Tables 80-86'!H51</f>
        <v>68601.858333333337</v>
      </c>
      <c r="Q82" s="3">
        <f>+GETPIVOTDATA("Sum of Old Grand Total FTE",'FTE Pivot for regular counts'!$A$2,"State","MS","Category",1,"Category2","Four-Year")</f>
        <v>53900.066666666673</v>
      </c>
      <c r="R82" s="3">
        <f>+GETPIVOTDATA("Sum of Old Grand Total FTE",'FTE Pivot for regular counts'!$A$2,"State","MS","Category",2,"Category2","Four-Year")</f>
        <v>5845.0749999999998</v>
      </c>
      <c r="S82" s="3">
        <f>+GETPIVOTDATA("Sum of Old Grand Total FTE",'FTE Pivot for regular counts'!$A$2,"State","MS","Category",3,"Category2","Four-Year")</f>
        <v>0</v>
      </c>
      <c r="T82" s="3">
        <f>+GETPIVOTDATA("Sum of Old Grand Total FTE",'FTE Pivot for regular counts'!$A$2,"State","MS","Category",4,"Category2","Four-Year")</f>
        <v>10234.908333333335</v>
      </c>
      <c r="U82" s="3">
        <f>+GETPIVOTDATA("Sum of Old Grand Total FTE",'FTE Pivot for regular counts'!$A$2,"State","MS","Category",5,"Category2","Four-Year")</f>
        <v>0</v>
      </c>
      <c r="V82" s="3">
        <f>+GETPIVOTDATA("Sum of Old Grand Total FTE",'FTE Pivot for regular counts'!$A$2,"State","MS","Category",6,"Category2","Four-Year")</f>
        <v>0</v>
      </c>
      <c r="W82" s="3">
        <f>+GETPIVOTDATA("Sum of Old Grand Total FTE",'FTE Pivot for regular counts'!$A$2,"State","MS","Category2","Four-Year")</f>
        <v>69980.05</v>
      </c>
      <c r="X82" s="1" t="s">
        <v>703</v>
      </c>
    </row>
    <row r="83" spans="1:26" ht="15" customHeight="1">
      <c r="A83" s="1" t="s">
        <v>704</v>
      </c>
      <c r="B83" s="185">
        <f>+'NEW-Tables 80-86'!B22+'NEW-Tables 80-86'!B52</f>
        <v>102915.3875</v>
      </c>
      <c r="C83" s="185">
        <f>+'NEW-Tables 80-86'!D22+'NEW-Tables 80-86'!C52</f>
        <v>36403.658333333333</v>
      </c>
      <c r="D83" s="185">
        <f>+'NEW-Tables 80-86'!F22+'NEW-Tables 80-86'!D52</f>
        <v>53631.320833333331</v>
      </c>
      <c r="E83" s="185">
        <f>+'NEW-Tables 80-86'!H22+'NEW-Tables 80-86'!E52</f>
        <v>5616.5916666666662</v>
      </c>
      <c r="F83" s="185">
        <f>+'NEW-Tables 80-86'!J22+'NEW-Tables 80-86'!F52</f>
        <v>12185.391666666666</v>
      </c>
      <c r="G83" s="186">
        <f>+'NEW-Tables 80-86'!L22+'NEW-Tables 80-86'!G52</f>
        <v>4912.708333333333</v>
      </c>
      <c r="H83" s="185">
        <f>+'NEW-Tables 80-86'!N22+'NEW-Tables 80-86'!H52</f>
        <v>215665.05833333332</v>
      </c>
      <c r="Q83" s="3">
        <f>+GETPIVOTDATA("Sum of Old Grand Total FTE",'FTE Pivot for regular counts'!$A$2,"State","NC","Category",1,"Category2","Four-Year")</f>
        <v>103197.86458333331</v>
      </c>
      <c r="R83" s="3">
        <f>+GETPIVOTDATA("Sum of Old Grand Total FTE",'FTE Pivot for regular counts'!$A$2,"State","NC","Category",2,"Category2","Four-Year")</f>
        <v>36547.308333333334</v>
      </c>
      <c r="S83" s="3">
        <f>+GETPIVOTDATA("Sum of Old Grand Total FTE",'FTE Pivot for regular counts'!$A$2,"State","NC","Category",3,"Category2","Four-Year")</f>
        <v>53958.941666666666</v>
      </c>
      <c r="T83" s="3">
        <f>+GETPIVOTDATA("Sum of Old Grand Total FTE",'FTE Pivot for regular counts'!$A$2,"State","NC","Category",4,"Category2","Four-Year")</f>
        <v>5735.1416666666664</v>
      </c>
      <c r="U83" s="3">
        <f>+GETPIVOTDATA("Sum of Old Grand Total FTE",'FTE Pivot for regular counts'!$A$2,"State","NC","Category",5,"Category2","Four-Year")</f>
        <v>11954.533333333333</v>
      </c>
      <c r="V83" s="3">
        <f>+GETPIVOTDATA("Sum of Old Grand Total FTE",'FTE Pivot for regular counts'!$A$2,"State","NC","Category",6,"Category2","Four-Year")</f>
        <v>4962.7916666666661</v>
      </c>
      <c r="W83" s="3">
        <f>+GETPIVOTDATA("Sum of Old Grand Total FTE",'FTE Pivot for regular counts'!$A$2,"State","NC","Category2","Four-Year")</f>
        <v>216356.58124999996</v>
      </c>
      <c r="X83" s="1" t="s">
        <v>704</v>
      </c>
    </row>
    <row r="84" spans="1:26" ht="15" customHeight="1">
      <c r="A84" s="1" t="s">
        <v>705</v>
      </c>
      <c r="B84" s="185">
        <f>+'NEW-Tables 80-86'!B23+'NEW-Tables 80-86'!B53</f>
        <v>0</v>
      </c>
      <c r="C84" s="185">
        <f>+'NEW-Tables 80-86'!D23+'NEW-Tables 80-86'!C53</f>
        <v>0</v>
      </c>
      <c r="D84" s="185">
        <f>+'NEW-Tables 80-86'!F23+'NEW-Tables 80-86'!D53</f>
        <v>0</v>
      </c>
      <c r="E84" s="185">
        <f>+'NEW-Tables 80-86'!H23+'NEW-Tables 80-86'!E53</f>
        <v>0</v>
      </c>
      <c r="F84" s="185">
        <f>+'NEW-Tables 80-86'!J23+'NEW-Tables 80-86'!F53</f>
        <v>0</v>
      </c>
      <c r="G84" s="186">
        <f>+'NEW-Tables 80-86'!L23+'NEW-Tables 80-86'!G53</f>
        <v>0</v>
      </c>
      <c r="H84" s="185">
        <f>+'NEW-Tables 80-86'!N23+'NEW-Tables 80-86'!H53</f>
        <v>0</v>
      </c>
      <c r="Q84" s="3">
        <f>+GETPIVOTDATA("Sum of Old Grand Total FTE",'FTE Pivot for regular counts'!$A$2,"State","OK","Category",1,"Category2","Four-Year")</f>
        <v>0</v>
      </c>
      <c r="R84" s="3">
        <f>+GETPIVOTDATA("Sum of Old Grand Total FTE",'FTE Pivot for regular counts'!$A$2,"State","OK","Category",2,"Category2","Four-Year")</f>
        <v>0</v>
      </c>
      <c r="S84" s="3">
        <f>+GETPIVOTDATA("Sum of Old Grand Total FTE",'FTE Pivot for regular counts'!$A$2,"State","OK","Category",3,"Category2","Four-Year")</f>
        <v>0</v>
      </c>
      <c r="T84" s="3">
        <f>+GETPIVOTDATA("Sum of Old Grand Total FTE",'FTE Pivot for regular counts'!$A$2,"State","OK","Category",4,"Category2","Four-Year")</f>
        <v>0</v>
      </c>
      <c r="U84" s="3">
        <f>+GETPIVOTDATA("Sum of Old Grand Total FTE",'FTE Pivot for regular counts'!$A$2,"State","OK","Category",5,"Category2","Four-Year")</f>
        <v>0</v>
      </c>
      <c r="V84" s="3">
        <f>+GETPIVOTDATA("Sum of Old Grand Total FTE",'FTE Pivot for regular counts'!$A$2,"State","OK","Category",6,"Category2","Four-Year")</f>
        <v>0</v>
      </c>
      <c r="W84" s="3">
        <f>+GETPIVOTDATA("Sum of Old Grand Total FTE",'FTE Pivot for regular counts'!$A$2,"State","OK","Category2","Four-Year")</f>
        <v>0</v>
      </c>
      <c r="X84" s="1" t="s">
        <v>705</v>
      </c>
    </row>
    <row r="85" spans="1:26" ht="15" customHeight="1">
      <c r="A85" s="1" t="s">
        <v>706</v>
      </c>
      <c r="B85" s="185">
        <f>+'NEW-Tables 80-86'!B24+'NEW-Tables 80-86'!B54</f>
        <v>61079.541666666657</v>
      </c>
      <c r="C85" s="185">
        <f>+'NEW-Tables 80-86'!D24+'NEW-Tables 80-86'!C54</f>
        <v>0</v>
      </c>
      <c r="D85" s="185">
        <f>+'NEW-Tables 80-86'!F24+'NEW-Tables 80-86'!D54</f>
        <v>18869.133333333335</v>
      </c>
      <c r="E85" s="185">
        <f>+'NEW-Tables 80-86'!H24+'NEW-Tables 80-86'!E54</f>
        <v>9946.4416666666675</v>
      </c>
      <c r="F85" s="185">
        <f>+'NEW-Tables 80-86'!J24+'NEW-Tables 80-86'!F54</f>
        <v>8648.7166666666653</v>
      </c>
      <c r="G85" s="186">
        <f>+'NEW-Tables 80-86'!L24+'NEW-Tables 80-86'!G54</f>
        <v>10176.258333333333</v>
      </c>
      <c r="H85" s="185">
        <f>+'NEW-Tables 80-86'!N24+'NEW-Tables 80-86'!H54</f>
        <v>108720.09166666665</v>
      </c>
      <c r="Q85" s="3">
        <f>+GETPIVOTDATA("Sum of Old Grand Total FTE",'FTE Pivot for regular counts'!$A$2,"State","SC","Category",1,"Category2","Four-Year")</f>
        <v>60640.558333333334</v>
      </c>
      <c r="R85" s="3">
        <f>+GETPIVOTDATA("Sum of Old Grand Total FTE",'FTE Pivot for regular counts'!$A$2,"State","SC","Category",2,"Category2","Four-Year")</f>
        <v>0</v>
      </c>
      <c r="S85" s="3">
        <f>+GETPIVOTDATA("Sum of Old Grand Total FTE",'FTE Pivot for regular counts'!$A$2,"State","SC","Category",3,"Category2","Four-Year")</f>
        <v>19131.3</v>
      </c>
      <c r="T85" s="3">
        <f>+GETPIVOTDATA("Sum of Old Grand Total FTE",'FTE Pivot for regular counts'!$A$2,"State","SC","Category",4,"Category2","Four-Year")</f>
        <v>9974.9249999999993</v>
      </c>
      <c r="U85" s="3">
        <f>+GETPIVOTDATA("Sum of Old Grand Total FTE",'FTE Pivot for regular counts'!$A$2,"State","SC","Category",5,"Category2","Four-Year")</f>
        <v>8883.3166666666657</v>
      </c>
      <c r="V85" s="3">
        <f>+GETPIVOTDATA("Sum of Old Grand Total FTE",'FTE Pivot for regular counts'!$A$2,"State","SC","Category",6,"Category2","Four-Year")</f>
        <v>10461.049999999999</v>
      </c>
      <c r="W85" s="3">
        <f>+GETPIVOTDATA("Sum of Old Grand Total FTE",'FTE Pivot for regular counts'!$A$2,"State","SC","Category2","Four-Year")</f>
        <v>109091.15000000001</v>
      </c>
      <c r="X85" s="1" t="s">
        <v>706</v>
      </c>
    </row>
    <row r="86" spans="1:26" ht="15" customHeight="1">
      <c r="B86" s="185"/>
      <c r="C86" s="185"/>
      <c r="D86" s="185"/>
      <c r="E86" s="185"/>
      <c r="F86" s="185"/>
      <c r="G86" s="186"/>
      <c r="H86" s="185"/>
      <c r="Q86" s="3"/>
      <c r="R86" s="3"/>
      <c r="S86" s="3"/>
      <c r="T86" s="3"/>
      <c r="U86" s="3"/>
      <c r="V86" s="3"/>
      <c r="W86" s="3"/>
    </row>
    <row r="87" spans="1:26" ht="15" customHeight="1">
      <c r="A87" s="1" t="s">
        <v>707</v>
      </c>
      <c r="B87" s="185">
        <f>+'NEW-Tables 80-86'!B26+'NEW-Tables 80-86'!B56</f>
        <v>45476.14166666667</v>
      </c>
      <c r="C87" s="185">
        <f>+'NEW-Tables 80-86'!D26+'NEW-Tables 80-86'!C56</f>
        <v>36206.6</v>
      </c>
      <c r="D87" s="185">
        <f>+'NEW-Tables 80-86'!F26+'NEW-Tables 80-86'!D56</f>
        <v>27402.333333333332</v>
      </c>
      <c r="E87" s="185">
        <f>+'NEW-Tables 80-86'!H26+'NEW-Tables 80-86'!E56</f>
        <v>5553.0083333333332</v>
      </c>
      <c r="F87" s="185">
        <f>+'NEW-Tables 80-86'!J26+'NEW-Tables 80-86'!F56</f>
        <v>0</v>
      </c>
      <c r="G87" s="186">
        <f>+'NEW-Tables 80-86'!L26+'NEW-Tables 80-86'!G56</f>
        <v>0</v>
      </c>
      <c r="H87" s="185">
        <f>+'NEW-Tables 80-86'!N26+'NEW-Tables 80-86'!H56</f>
        <v>114638.08333333331</v>
      </c>
      <c r="J87" s="1" t="s">
        <v>721</v>
      </c>
      <c r="Q87" s="3">
        <f>+GETPIVOTDATA("Sum of Old Grand Total FTE",'FTE Pivot for regular counts'!$A$2,"State","TN","Category",1,"Category2","Four-Year")</f>
        <v>44857.108333333337</v>
      </c>
      <c r="R87" s="3">
        <f>+GETPIVOTDATA("Sum of Old Grand Total FTE",'FTE Pivot for regular counts'!$A$2,"State","TN","Category",2,"Category2","Four-Year")</f>
        <v>37241.091666666667</v>
      </c>
      <c r="S87" s="3">
        <f>+GETPIVOTDATA("Sum of Old Grand Total FTE",'FTE Pivot for regular counts'!$A$2,"State","TN","Category",3,"Category2","Four-Year")</f>
        <v>28621.25</v>
      </c>
      <c r="T87" s="3">
        <f>+GETPIVOTDATA("Sum of Old Grand Total FTE",'FTE Pivot for regular counts'!$A$2,"State","TN","Category",4,"Category2","Four-Year")</f>
        <v>5876.0916666666672</v>
      </c>
      <c r="U87" s="3">
        <f>+GETPIVOTDATA("Sum of Old Grand Total FTE",'FTE Pivot for regular counts'!$A$2,"State","TN","Category",5,"Category2","Four-Year")</f>
        <v>0</v>
      </c>
      <c r="V87" s="3">
        <f>+GETPIVOTDATA("Sum of Old Grand Total FTE",'FTE Pivot for regular counts'!$A$2,"State","TN","Category",6,"Category2","Four-Year")</f>
        <v>0</v>
      </c>
      <c r="W87" s="3">
        <f>+GETPIVOTDATA("Sum of Old Grand Total FTE",'FTE Pivot for regular counts'!$A$2,"State","TN","Category2","Four-Year")</f>
        <v>116595.54166666669</v>
      </c>
      <c r="X87" s="1" t="s">
        <v>707</v>
      </c>
    </row>
    <row r="88" spans="1:26" ht="15" customHeight="1">
      <c r="A88" s="1" t="s">
        <v>708</v>
      </c>
      <c r="B88" s="185">
        <f>+'NEW-Tables 80-86'!B27+'NEW-Tables 80-86'!B57</f>
        <v>299238.03333333327</v>
      </c>
      <c r="C88" s="185">
        <f>+'NEW-Tables 80-86'!D27+'NEW-Tables 80-86'!C57</f>
        <v>62532.708333333336</v>
      </c>
      <c r="D88" s="185">
        <f>+'NEW-Tables 80-86'!F27+'NEW-Tables 80-86'!D57</f>
        <v>165179.56666666665</v>
      </c>
      <c r="E88" s="185">
        <f>+'NEW-Tables 80-86'!H27+'NEW-Tables 80-86'!E57</f>
        <v>24026.808333333331</v>
      </c>
      <c r="F88" s="185">
        <f>+'NEW-Tables 80-86'!J27+'NEW-Tables 80-86'!F57</f>
        <v>2306.4833333333336</v>
      </c>
      <c r="G88" s="186">
        <f>+'NEW-Tables 80-86'!L27+'NEW-Tables 80-86'!G57</f>
        <v>0</v>
      </c>
      <c r="H88" s="185">
        <f>+'NEW-Tables 80-86'!N27+'NEW-Tables 80-86'!H57</f>
        <v>553283.6</v>
      </c>
      <c r="Q88" s="3">
        <f>+GETPIVOTDATA("Sum of Old Grand Total FTE",'FTE Pivot for regular counts'!$A$2,"State","TX","Category",1,"Category2","Four-Year")</f>
        <v>300801.43333333335</v>
      </c>
      <c r="R88" s="3">
        <f>+GETPIVOTDATA("Sum of Old Grand Total FTE",'FTE Pivot for regular counts'!$A$2,"State","TX","Category",2,"Category2","Four-Year")</f>
        <v>64355.558333333334</v>
      </c>
      <c r="S88" s="3">
        <f>+GETPIVOTDATA("Sum of Old Grand Total FTE",'FTE Pivot for regular counts'!$A$2,"State","TX","Category",3,"Category2","Four-Year")</f>
        <v>167842.6166666667</v>
      </c>
      <c r="T88" s="3">
        <f>+GETPIVOTDATA("Sum of Old Grand Total FTE",'FTE Pivot for regular counts'!$A$2,"State","TX","Category",4,"Category2","Four-Year")</f>
        <v>24458.466666666667</v>
      </c>
      <c r="U88" s="3">
        <f>+GETPIVOTDATA("Sum of Old Grand Total FTE",'FTE Pivot for regular counts'!$A$2,"State","TX","Category",5,"Category2","Four-Year")</f>
        <v>2349.1083333333331</v>
      </c>
      <c r="V88" s="3">
        <f>+GETPIVOTDATA("Sum of Old Grand Total FTE",'FTE Pivot for regular counts'!$A$2,"State","TX","Category",6,"Category2","Four-Year")</f>
        <v>0</v>
      </c>
      <c r="W88" s="3">
        <f>+GETPIVOTDATA("Sum of Old Grand Total FTE",'FTE Pivot for regular counts'!$A$2,"State","TX","Category2","Four-Year")</f>
        <v>559807.18333333335</v>
      </c>
      <c r="X88" s="1" t="s">
        <v>708</v>
      </c>
    </row>
    <row r="89" spans="1:26" ht="15" customHeight="1">
      <c r="A89" s="1" t="s">
        <v>709</v>
      </c>
      <c r="B89" s="185">
        <f>+'NEW-Tables 80-86'!B28+'NEW-Tables 80-86'!B58</f>
        <v>141200.86249999999</v>
      </c>
      <c r="C89" s="185">
        <f>+'NEW-Tables 80-86'!D28+'NEW-Tables 80-86'!C58</f>
        <v>9009.4416666666657</v>
      </c>
      <c r="D89" s="185">
        <f>+'NEW-Tables 80-86'!F28+'NEW-Tables 80-86'!D58</f>
        <v>33357.116666666669</v>
      </c>
      <c r="E89" s="185">
        <f>+'NEW-Tables 80-86'!H28+'NEW-Tables 80-86'!E58</f>
        <v>4785.7750000000005</v>
      </c>
      <c r="F89" s="185">
        <f>+'NEW-Tables 80-86'!J28+'NEW-Tables 80-86'!F58</f>
        <v>12466.558333333334</v>
      </c>
      <c r="G89" s="186">
        <f>+'NEW-Tables 80-86'!L28+'NEW-Tables 80-86'!G58</f>
        <v>1552.5</v>
      </c>
      <c r="H89" s="185">
        <f>+'NEW-Tables 80-86'!N28+'NEW-Tables 80-86'!H58</f>
        <v>202372.25416666665</v>
      </c>
      <c r="Q89" s="3">
        <f>+GETPIVOTDATA("Sum of Old Grand Total FTE",'FTE Pivot for regular counts'!$A$2,"State","VA","Category",1,"Category2","Four-Year")</f>
        <v>140599.49166666667</v>
      </c>
      <c r="R89" s="3">
        <f>+GETPIVOTDATA("Sum of Old Grand Total FTE",'FTE Pivot for regular counts'!$A$2,"State","VA","Category",2,"Category2","Four-Year")</f>
        <v>8675.5725000000002</v>
      </c>
      <c r="S89" s="3">
        <f>+GETPIVOTDATA("Sum of Old Grand Total FTE",'FTE Pivot for regular counts'!$A$2,"State","VA","Category",3,"Category2","Four-Year")</f>
        <v>34179.675000000003</v>
      </c>
      <c r="T89" s="3">
        <f>+GETPIVOTDATA("Sum of Old Grand Total FTE",'FTE Pivot for regular counts'!$A$2,"State","VA","Category",4,"Category2","Four-Year")</f>
        <v>4913.1083333333336</v>
      </c>
      <c r="U89" s="3">
        <f>+GETPIVOTDATA("Sum of Old Grand Total FTE",'FTE Pivot for regular counts'!$A$2,"State","VA","Category",5,"Category2","Four-Year")</f>
        <v>13072.95</v>
      </c>
      <c r="V89" s="3">
        <f>+GETPIVOTDATA("Sum of Old Grand Total FTE",'FTE Pivot for regular counts'!$A$2,"State","VA","Category",6,"Category2","Four-Year")</f>
        <v>1527.3666666666666</v>
      </c>
      <c r="W89" s="3">
        <f>+GETPIVOTDATA("Sum of Old Grand Total FTE",'FTE Pivot for regular counts'!$A$2,"State","VA","Category2","Four-Year")</f>
        <v>202968.16416666671</v>
      </c>
      <c r="X89" s="1" t="s">
        <v>709</v>
      </c>
    </row>
    <row r="90" spans="1:26" ht="15" customHeight="1">
      <c r="A90" s="166" t="s">
        <v>710</v>
      </c>
      <c r="B90" s="188">
        <f>+'NEW-Tables 80-86'!B29+'NEW-Tables 80-86'!B59</f>
        <v>22584.208333333332</v>
      </c>
      <c r="C90" s="188">
        <f>+'NEW-Tables 80-86'!D29+'NEW-Tables 80-86'!C59</f>
        <v>0</v>
      </c>
      <c r="D90" s="188">
        <f>+'NEW-Tables 80-86'!F29+'NEW-Tables 80-86'!D59</f>
        <v>9933.9666666666672</v>
      </c>
      <c r="E90" s="188">
        <f>+'NEW-Tables 80-86'!H29+'NEW-Tables 80-86'!E59</f>
        <v>4186.0083333333332</v>
      </c>
      <c r="F90" s="188">
        <f>+'NEW-Tables 80-86'!J29+'NEW-Tables 80-86'!F59</f>
        <v>7739.875</v>
      </c>
      <c r="G90" s="189">
        <f>+'NEW-Tables 80-86'!L29+'NEW-Tables 80-86'!G59</f>
        <v>3452.5</v>
      </c>
      <c r="H90" s="188">
        <f>+'NEW-Tables 80-86'!N29+'NEW-Tables 80-86'!H59</f>
        <v>47896.558333333334</v>
      </c>
      <c r="Q90" s="3">
        <f>+GETPIVOTDATA("Sum of Old Grand Total FTE",'FTE Pivot for regular counts'!$A$2,"State","WV","Category",1,"Category2","Four-Year")</f>
        <v>23669.774999999998</v>
      </c>
      <c r="R90" s="3">
        <f>+GETPIVOTDATA("Sum of Old Grand Total FTE",'FTE Pivot for regular counts'!$A$2,"State","WV","Category",2,"Category2","Four-Year")</f>
        <v>0</v>
      </c>
      <c r="S90" s="3">
        <f>+GETPIVOTDATA("Sum of Old Grand Total FTE",'FTE Pivot for regular counts'!$A$2,"State","WV","Category",3,"Category2","Four-Year")</f>
        <v>10516.116666666667</v>
      </c>
      <c r="T90" s="3">
        <f>+GETPIVOTDATA("Sum of Old Grand Total FTE",'FTE Pivot for regular counts'!$A$2,"State","WV","Category",4,"Category2","Four-Year")</f>
        <v>4570.9083333333328</v>
      </c>
      <c r="U90" s="3">
        <f>+GETPIVOTDATA("Sum of Old Grand Total FTE",'FTE Pivot for regular counts'!$A$2,"State","WV","Category",5,"Category2","Four-Year")</f>
        <v>8030.791666666667</v>
      </c>
      <c r="V90" s="3">
        <f>+GETPIVOTDATA("Sum of Old Grand Total FTE",'FTE Pivot for regular counts'!$A$2,"State","WV","Category",6,"Category2","Four-Year")</f>
        <v>3596.1</v>
      </c>
      <c r="W90" s="3">
        <f>+GETPIVOTDATA("Sum of Old Grand Total FTE",'FTE Pivot for regular counts'!$A$2,"State","WV","Category2","Four-Year")</f>
        <v>50383.691666666658</v>
      </c>
      <c r="X90" s="1" t="s">
        <v>710</v>
      </c>
    </row>
    <row r="91" spans="1:26" ht="42" customHeight="1">
      <c r="A91" s="648" t="s">
        <v>944</v>
      </c>
      <c r="B91" s="648"/>
      <c r="C91" s="648"/>
      <c r="D91" s="648"/>
      <c r="E91" s="648"/>
      <c r="F91" s="648"/>
      <c r="G91" s="648"/>
      <c r="H91" s="648"/>
      <c r="I91" s="159"/>
      <c r="J91" s="159"/>
      <c r="K91" s="159"/>
      <c r="L91" s="159"/>
      <c r="M91" s="159"/>
    </row>
    <row r="92" spans="1:26" ht="10.5" customHeight="1">
      <c r="A92" s="190"/>
      <c r="B92" s="190"/>
      <c r="C92" s="190"/>
      <c r="D92" s="190"/>
      <c r="E92" s="190"/>
      <c r="F92" s="190"/>
      <c r="G92" s="190"/>
      <c r="H92" s="179"/>
    </row>
    <row r="93" spans="1:26">
      <c r="A93" s="191"/>
      <c r="B93" s="178"/>
      <c r="C93" s="178"/>
      <c r="D93" s="178"/>
      <c r="E93" s="178"/>
      <c r="F93" s="178"/>
      <c r="G93" s="178"/>
      <c r="H93" s="192"/>
      <c r="O93" s="179" t="s">
        <v>921</v>
      </c>
    </row>
    <row r="94" spans="1:26" ht="18">
      <c r="A94" s="649" t="s">
        <v>716</v>
      </c>
      <c r="B94" s="649"/>
      <c r="C94" s="649"/>
      <c r="D94" s="649"/>
      <c r="E94" s="649"/>
      <c r="F94" s="649"/>
      <c r="G94" s="649"/>
      <c r="H94" s="649"/>
      <c r="I94" s="649"/>
      <c r="J94" s="649"/>
      <c r="K94" s="200"/>
      <c r="L94" s="200"/>
      <c r="M94" s="200"/>
    </row>
    <row r="95" spans="1:26" ht="15.75">
      <c r="A95" s="120"/>
      <c r="B95" s="120"/>
      <c r="C95" s="120"/>
      <c r="D95" s="120"/>
      <c r="E95" s="120"/>
      <c r="F95" s="120"/>
      <c r="G95" s="120"/>
      <c r="H95" s="120"/>
      <c r="I95" s="120"/>
      <c r="J95" s="120"/>
      <c r="K95" s="120"/>
      <c r="L95" s="120"/>
      <c r="M95" s="120"/>
      <c r="Q95" s="1" t="s">
        <v>675</v>
      </c>
    </row>
    <row r="96" spans="1:26" ht="15.75">
      <c r="A96" s="644" t="s">
        <v>717</v>
      </c>
      <c r="B96" s="644"/>
      <c r="C96" s="644"/>
      <c r="D96" s="644"/>
      <c r="E96" s="644"/>
      <c r="F96" s="644"/>
      <c r="G96" s="644"/>
      <c r="H96" s="644"/>
      <c r="I96" s="644"/>
      <c r="J96" s="644"/>
      <c r="K96" s="201"/>
      <c r="L96" s="201"/>
      <c r="M96" s="201"/>
      <c r="Q96" s="202" t="s">
        <v>717</v>
      </c>
      <c r="R96" s="201"/>
      <c r="S96" s="201"/>
      <c r="T96" s="201"/>
      <c r="U96" s="201"/>
      <c r="V96" s="201"/>
      <c r="W96" s="201"/>
      <c r="X96" s="201"/>
      <c r="Y96" s="201"/>
      <c r="Z96" s="201"/>
    </row>
    <row r="97" spans="1:26" ht="15.75">
      <c r="A97" s="644" t="s">
        <v>938</v>
      </c>
      <c r="B97" s="644"/>
      <c r="C97" s="644"/>
      <c r="D97" s="644"/>
      <c r="E97" s="644"/>
      <c r="F97" s="644"/>
      <c r="G97" s="644"/>
      <c r="H97" s="644"/>
      <c r="I97" s="644"/>
      <c r="J97" s="644"/>
      <c r="K97" s="201"/>
      <c r="L97" s="201"/>
      <c r="M97" s="201"/>
      <c r="Q97" s="202" t="s">
        <v>718</v>
      </c>
      <c r="R97" s="201"/>
      <c r="S97" s="201"/>
      <c r="T97" s="201"/>
      <c r="U97" s="201"/>
      <c r="V97" s="201"/>
      <c r="W97" s="201"/>
      <c r="X97" s="201"/>
      <c r="Y97" s="201"/>
      <c r="Z97" s="201"/>
    </row>
    <row r="98" spans="1:26">
      <c r="Q98" s="203"/>
    </row>
    <row r="99" spans="1:26" ht="15" customHeight="1">
      <c r="A99" s="204"/>
      <c r="B99" s="205" t="s">
        <v>719</v>
      </c>
      <c r="C99" s="205"/>
      <c r="D99" s="126"/>
      <c r="E99" s="126"/>
      <c r="F99" s="206"/>
      <c r="G99" s="207" t="s">
        <v>720</v>
      </c>
      <c r="H99" s="127"/>
      <c r="I99" s="208"/>
      <c r="K99" s="119" t="s">
        <v>721</v>
      </c>
      <c r="L99" s="119"/>
      <c r="M99" s="119"/>
      <c r="Q99" s="204"/>
      <c r="R99" s="205" t="s">
        <v>719</v>
      </c>
      <c r="S99" s="205"/>
      <c r="T99" s="126"/>
      <c r="U99" s="126"/>
      <c r="V99" s="206"/>
      <c r="W99" s="209" t="s">
        <v>720</v>
      </c>
      <c r="X99" s="210"/>
      <c r="Y99" s="211"/>
      <c r="Z99" s="119" t="s">
        <v>721</v>
      </c>
    </row>
    <row r="100" spans="1:26" ht="24">
      <c r="A100" s="129"/>
      <c r="B100" s="212" t="s">
        <v>722</v>
      </c>
      <c r="C100" s="183">
        <v>1</v>
      </c>
      <c r="D100" s="183">
        <v>2</v>
      </c>
      <c r="E100" s="183">
        <v>3</v>
      </c>
      <c r="F100" s="213" t="s">
        <v>679</v>
      </c>
      <c r="G100" s="214">
        <v>1</v>
      </c>
      <c r="H100" s="215">
        <v>2</v>
      </c>
      <c r="I100" s="183" t="s">
        <v>679</v>
      </c>
      <c r="K100" s="216"/>
      <c r="L100" s="216"/>
      <c r="M100" s="216"/>
      <c r="Q100" s="129"/>
      <c r="R100" s="212" t="s">
        <v>722</v>
      </c>
      <c r="S100" s="183">
        <v>1</v>
      </c>
      <c r="T100" s="183">
        <v>2</v>
      </c>
      <c r="U100" s="183">
        <v>3</v>
      </c>
      <c r="V100" s="213" t="s">
        <v>679</v>
      </c>
      <c r="W100" s="214">
        <v>1</v>
      </c>
      <c r="X100" s="215">
        <v>2</v>
      </c>
      <c r="Y100" s="183" t="s">
        <v>679</v>
      </c>
      <c r="Z100" s="216"/>
    </row>
    <row r="101" spans="1:26" ht="15" customHeight="1">
      <c r="A101" s="1" t="s">
        <v>687</v>
      </c>
      <c r="B101" s="159">
        <f>+GETPIVOTDATA("Sum of New-Total Undg SCH FTE",'FTE Pivot for regular counts'!$A$2,"Category","7","Category2","Two-Year")</f>
        <v>280608.3666666667</v>
      </c>
      <c r="C101" s="159">
        <f>+GETPIVOTDATA("Sum of New-Total Undg SCH FTE",'FTE Pivot for regular counts'!$A$2,"Category","8","Category2","Two-Year")</f>
        <v>585480.58333333326</v>
      </c>
      <c r="D101" s="159">
        <f>+GETPIVOTDATA("Sum of New-Total Undg SCH FTE",'FTE Pivot for regular counts'!$A$2,"Category",9,"Category2","Two-Year")</f>
        <v>293824.03000000003</v>
      </c>
      <c r="E101" s="159">
        <f>+GETPIVOTDATA("Sum of New-Total Undg SCH FTE",'FTE Pivot for regular counts'!$A$2,"Category","10","Category2","Two-Year")</f>
        <v>119507.33333333333</v>
      </c>
      <c r="F101" s="217">
        <f>+GETPIVOTDATA("Sum of New-Total Undg SCH FTE",'FTE Pivot for regular counts'!$A$2,"Category2","Two-Year")</f>
        <v>1279420.3133333332</v>
      </c>
      <c r="G101" s="218">
        <f>+GETPIVOTDATA("Sum of New-Total Undg SCH FTE",'FTE Pivot for regular counts'!$A$2,"Category","12","Category2","Technical")</f>
        <v>73466.283333333355</v>
      </c>
      <c r="H101" s="159">
        <f>+GETPIVOTDATA("Sum of New-Total Undg SCH FTE",'FTE Pivot for regular counts'!$A$2,"Category","13","Category2","Technical")</f>
        <v>1957.8</v>
      </c>
      <c r="I101" s="1">
        <f>+GETPIVOTDATA("Sum of New-Total Undg SCH FTE",'FTE Pivot for regular counts'!$A$2,"Category2","Technical")</f>
        <v>75424.083333333358</v>
      </c>
      <c r="Q101" s="1" t="s">
        <v>687</v>
      </c>
      <c r="R101" s="159">
        <f>+GETPIVOTDATA("Sum of Old-Total Undg SCH FTE",'FTE Pivot for regular counts'!$A$2,"Category","7","Category2","Two-Year")</f>
        <v>308196.33333333337</v>
      </c>
      <c r="S101" s="159">
        <f>+GETPIVOTDATA("Sum of Old-Total Undg SCH FTE",'FTE Pivot for regular counts'!$A$2,"Category","8","Category2","Two-Year")</f>
        <v>668611.45000000007</v>
      </c>
      <c r="T101" s="159">
        <f>+GETPIVOTDATA("Sum of Old-Total Undg SCH FTE",'FTE Pivot for regular counts'!$A$2,"Category",9,"Category2","Two-Year")</f>
        <v>314394.3066666667</v>
      </c>
      <c r="U101" s="159">
        <f>+GETPIVOTDATA("Sum of Old-Total Undg SCH FTE",'FTE Pivot for regular counts'!$A$2,"Category","10","Category2","Two-Year")</f>
        <v>126402.925</v>
      </c>
      <c r="V101" s="217">
        <f>+GETPIVOTDATA("Sum of Old-Total Undg SCH FTE",'FTE Pivot for regular counts'!$A$2,"Category2","Two-Year")</f>
        <v>1417605.0150000001</v>
      </c>
      <c r="W101" s="218">
        <f>+GETPIVOTDATA("Sum of Old-Total Undg SCH FTE",'FTE Pivot for regular counts'!$A$2,"Category","12","Category2","Technical")</f>
        <v>79029.083333333343</v>
      </c>
      <c r="X101" s="159">
        <f>+GETPIVOTDATA("Sum of Old-Total Undg SCH FTE",'FTE Pivot for regular counts'!$A$2,"Category","13","Category2","Technical")</f>
        <v>2000.0333333333333</v>
      </c>
      <c r="Y101" s="1">
        <f>+GETPIVOTDATA("Sum of Old-Total Undg SCH FTE",'FTE Pivot for regular counts'!$A$2,"Category2","Technical")</f>
        <v>81029.116666666683</v>
      </c>
    </row>
    <row r="102" spans="1:26" ht="15" customHeight="1">
      <c r="B102" s="159"/>
      <c r="C102" s="159"/>
      <c r="D102" s="159"/>
      <c r="E102" s="159"/>
      <c r="F102" s="217"/>
      <c r="G102" s="218"/>
      <c r="H102" s="159"/>
      <c r="R102" s="159"/>
      <c r="S102" s="159"/>
      <c r="T102" s="159"/>
      <c r="U102" s="159"/>
      <c r="V102" s="217"/>
      <c r="W102" s="218"/>
      <c r="X102" s="159"/>
    </row>
    <row r="103" spans="1:26" ht="15" customHeight="1">
      <c r="A103" s="1" t="s">
        <v>695</v>
      </c>
      <c r="B103" s="159">
        <f>+GETPIVOTDATA("Sum of New-Total Undg SCH FTE",'FTE Pivot for regular counts'!$A$2,"State","AL","Category","7","Category2","Two-Year")</f>
        <v>0</v>
      </c>
      <c r="C103" s="159">
        <f>+GETPIVOTDATA("Sum of New-Total Undg SCH FTE",'FTE Pivot for regular counts'!$A$2,"State","AL","Category","8","Category2","Two-Year")</f>
        <v>15829.333333333334</v>
      </c>
      <c r="D103" s="159">
        <f>+GETPIVOTDATA("Sum of New-Total Undg SCH FTE",'FTE Pivot for regular counts'!$A$2,"State","AL","Category",9,"Category2","Two-Year")</f>
        <v>23782.3</v>
      </c>
      <c r="E103" s="159">
        <f>+GETPIVOTDATA("Sum of New-Total Undg SCH FTE",'FTE Pivot for regular counts'!$A$2,"State","AL","Category","10","Category2","Two-Year")</f>
        <v>9146.1333333333332</v>
      </c>
      <c r="F103" s="217">
        <f>+GETPIVOTDATA("Sum of New-Total Undg SCH FTE",'FTE Pivot for regular counts'!$A$2,"State","AL","Category2","Two-Year")</f>
        <v>48757.766666666663</v>
      </c>
      <c r="G103" s="218">
        <f>+GETPIVOTDATA("Sum of New-Total Undg SCH FTE",'FTE Pivot for regular counts'!$A$2,"State","AL","Category","12","Category2","Technical")</f>
        <v>1323.2666666666667</v>
      </c>
      <c r="H103" s="159">
        <f>+GETPIVOTDATA("Sum of New-Total Undg SCH FTE",'FTE Pivot for regular counts'!$A$2,"State","AL","Category","13","Category2","Technical")</f>
        <v>1273.2666666666667</v>
      </c>
      <c r="I103" s="1">
        <f>+GETPIVOTDATA("Sum of New-Total Undg SCH FTE",'FTE Pivot for regular counts'!$A$2,"State","AL","Category2","Technical")</f>
        <v>2596.5333333333333</v>
      </c>
      <c r="Q103" s="1" t="s">
        <v>695</v>
      </c>
      <c r="R103" s="159">
        <f>+GETPIVOTDATA("Sum of Old-Total Undg SCH FTE",'FTE Pivot for regular counts'!$A$2,"State","AL","Category","7","Category2","Two-Year")</f>
        <v>0</v>
      </c>
      <c r="S103" s="159">
        <f>+GETPIVOTDATA("Sum of Old-Total Undg SCH FTE",'FTE Pivot for regular counts'!$A$2,"State","AL","Category","8","Category2","Two-Year")</f>
        <v>16464.533333333333</v>
      </c>
      <c r="T103" s="159">
        <f>+GETPIVOTDATA("Sum of Old-Total Undg SCH FTE",'FTE Pivot for regular counts'!$A$2,"State","AL","Category",9,"Category2","Two-Year")</f>
        <v>25167.600000000002</v>
      </c>
      <c r="U103" s="159">
        <f>+GETPIVOTDATA("Sum of Old-Total Undg SCH FTE",'FTE Pivot for regular counts'!$A$2,"State","AL","Category","10","Category2","Two-Year")</f>
        <v>9671.4333333333343</v>
      </c>
      <c r="V103" s="217">
        <f>+GETPIVOTDATA("Sum of Old-Total Undg SCH FTE",'FTE Pivot for regular counts'!$A$2,"State","AL","Category2","Two-Year")</f>
        <v>51303.566666666666</v>
      </c>
      <c r="W103" s="218">
        <f>+GETPIVOTDATA("Sum of Old-Total Undg SCH FTE",'FTE Pivot for regular counts'!$A$2,"State","AL","Category","12","Category2","Technical")</f>
        <v>1357.8666666666666</v>
      </c>
      <c r="X103" s="159">
        <f>+GETPIVOTDATA("Sum of Old-Total Undg SCH FTE",'FTE Pivot for regular counts'!$A$2,"State","AL","Category","13","Category2","Technical")</f>
        <v>1239.2666666666667</v>
      </c>
      <c r="Y103" s="1">
        <f>+GETPIVOTDATA("Sum of Old-Total Undg SCH FTE",'FTE Pivot for regular counts'!$A$2,"State","AL","Category2","Technical")</f>
        <v>2597.1333333333332</v>
      </c>
    </row>
    <row r="104" spans="1:26" ht="15" customHeight="1">
      <c r="A104" s="1" t="s">
        <v>696</v>
      </c>
      <c r="B104" s="159">
        <f>+GETPIVOTDATA("Sum of New-Total Undg SCH FTE",'FTE Pivot for regular counts'!$A$2,"State","AR","Category","7","Category2","Two-Year")</f>
        <v>0</v>
      </c>
      <c r="C104" s="159">
        <f>+GETPIVOTDATA("Sum of New-Total Undg SCH FTE",'FTE Pivot for regular counts'!$A$2,"State","AR","Category","8","Category2","Two-Year")</f>
        <v>4241.1333333333332</v>
      </c>
      <c r="D104" s="159">
        <f>+GETPIVOTDATA("Sum of New-Total Undg SCH FTE",'FTE Pivot for regular counts'!$A$2,"State","AR","Category",9,"Category2","Two-Year")</f>
        <v>5436.7333333333336</v>
      </c>
      <c r="E104" s="159">
        <f>+GETPIVOTDATA("Sum of New-Total Undg SCH FTE",'FTE Pivot for regular counts'!$A$2,"State","AR","Category","10","Category2","Two-Year")</f>
        <v>17433.599999999999</v>
      </c>
      <c r="F104" s="217">
        <f>+GETPIVOTDATA("Sum of New-Total Undg SCH FTE",'FTE Pivot for regular counts'!$A$2,"State","AR","Category2","Two-Year")</f>
        <v>27111.466666666667</v>
      </c>
      <c r="G104" s="218">
        <f>+GETPIVOTDATA("Sum of New-Total Undg SCH FTE",'FTE Pivot for regular counts'!$A$2,"State","AR","Category","12","Category2","Technical")</f>
        <v>0</v>
      </c>
      <c r="H104" s="159">
        <f>+GETPIVOTDATA("Sum of New-Total Undg SCH FTE",'FTE Pivot for regular counts'!$A$2,"State","AR","Category","13","Category2","Technical")</f>
        <v>0</v>
      </c>
      <c r="I104" s="1">
        <f>+GETPIVOTDATA("Sum of New-Total Undg SCH FTE",'FTE Pivot for regular counts'!$A$2,"State","AR","Category2","Technical")</f>
        <v>0</v>
      </c>
      <c r="Q104" s="1" t="s">
        <v>696</v>
      </c>
      <c r="R104" s="159">
        <f>+GETPIVOTDATA("Sum of Old-Total Undg SCH FTE",'FTE Pivot for regular counts'!$A$2,"State","AR","Category","7","Category2","Two-Year")</f>
        <v>0</v>
      </c>
      <c r="S104" s="159">
        <f>+GETPIVOTDATA("Sum of Old-Total Undg SCH FTE",'FTE Pivot for regular counts'!$A$2,"State","AR","Category","8","Category2","Two-Year")</f>
        <v>4698.7</v>
      </c>
      <c r="T104" s="159">
        <f>+GETPIVOTDATA("Sum of Old-Total Undg SCH FTE",'FTE Pivot for regular counts'!$A$2,"State","AR","Category",9,"Category2","Two-Year")</f>
        <v>6060.5333333333328</v>
      </c>
      <c r="U104" s="159">
        <f>+GETPIVOTDATA("Sum of Old-Total Undg SCH FTE",'FTE Pivot for regular counts'!$A$2,"State","AR","Category","10","Category2","Two-Year")</f>
        <v>18490.099999999999</v>
      </c>
      <c r="V104" s="217">
        <f>+GETPIVOTDATA("Sum of Old-Total Undg SCH FTE",'FTE Pivot for regular counts'!$A$2,"State","AR","Category2","Two-Year")</f>
        <v>29249.333333333332</v>
      </c>
      <c r="W104" s="218">
        <f>+GETPIVOTDATA("Sum of Old-Total Undg SCH FTE",'FTE Pivot for regular counts'!$A$2,"State","AR","Category","12","Category2","Technical")</f>
        <v>0</v>
      </c>
      <c r="X104" s="159">
        <f>+GETPIVOTDATA("Sum of Old-Total Undg SCH FTE",'FTE Pivot for regular counts'!$A$2,"State","AR","Category","13","Category2","Technical")</f>
        <v>0</v>
      </c>
      <c r="Y104" s="1">
        <f>+GETPIVOTDATA("Sum of Old-Total Undg SCH FTE",'FTE Pivot for regular counts'!$A$2,"State","AR","Category2","Technical")</f>
        <v>0</v>
      </c>
    </row>
    <row r="105" spans="1:26" ht="15" customHeight="1">
      <c r="A105" s="1" t="s">
        <v>697</v>
      </c>
      <c r="B105" s="159">
        <f>+GETPIVOTDATA("Sum of New-Total Undg SCH FTE",'FTE Pivot for regular counts'!$A$2,"State","DE","Category","7","Category2","Two-Year")</f>
        <v>7603.5</v>
      </c>
      <c r="C105" s="159">
        <f>+GETPIVOTDATA("Sum of New-Total Undg SCH FTE",'FTE Pivot for regular counts'!$A$2,"State","DE","Category","8","Category2","Two-Year")</f>
        <v>0</v>
      </c>
      <c r="D105" s="159">
        <f>+GETPIVOTDATA("Sum of New-Total Undg SCH FTE",'FTE Pivot for regular counts'!$A$2,"State","DE","Category",9,"Category2","Two-Year")</f>
        <v>0</v>
      </c>
      <c r="E105" s="159">
        <f>+GETPIVOTDATA("Sum of New-Total Undg SCH FTE",'FTE Pivot for regular counts'!$A$2,"State","DE","Category","10","Category2","Two-Year")</f>
        <v>0</v>
      </c>
      <c r="F105" s="217">
        <f>+GETPIVOTDATA("Sum of New-Total Undg SCH FTE",'FTE Pivot for regular counts'!$A$2,"State","DE","Category2","Two-Year")</f>
        <v>7603.5</v>
      </c>
      <c r="G105" s="218">
        <f>+GETPIVOTDATA("Sum of New-Total Undg SCH FTE",'FTE Pivot for regular counts'!$A$2,"State","DE","Category","12","Category2","Technical")</f>
        <v>0</v>
      </c>
      <c r="H105" s="159">
        <f>+GETPIVOTDATA("Sum of New-Total Undg SCH FTE",'FTE Pivot for regular counts'!$A$2,"State","DE","Category","13","Category2","Technical")</f>
        <v>0</v>
      </c>
      <c r="I105" s="1">
        <f>+GETPIVOTDATA("Sum of New-Total Undg SCH FTE",'FTE Pivot for regular counts'!$A$2,"State","DE","Category2","Technical")</f>
        <v>0</v>
      </c>
      <c r="Q105" s="1" t="s">
        <v>697</v>
      </c>
      <c r="R105" s="159">
        <f>+GETPIVOTDATA("Sum of Old-Total Undg SCH FTE",'FTE Pivot for regular counts'!$A$2,"State","DE","Category","7","Category2","Two-Year")</f>
        <v>8302.7000000000007</v>
      </c>
      <c r="S105" s="159">
        <f>+GETPIVOTDATA("Sum of Old-Total Undg SCH FTE",'FTE Pivot for regular counts'!$A$2,"State","DE","Category","8","Category2","Two-Year")</f>
        <v>0</v>
      </c>
      <c r="T105" s="159">
        <f>+GETPIVOTDATA("Sum of Old-Total Undg SCH FTE",'FTE Pivot for regular counts'!$A$2,"State","DE","Category",9,"Category2","Two-Year")</f>
        <v>0</v>
      </c>
      <c r="U105" s="159">
        <f>+GETPIVOTDATA("Sum of Old-Total Undg SCH FTE",'FTE Pivot for regular counts'!$A$2,"State","DE","Category","10","Category2","Two-Year")</f>
        <v>0</v>
      </c>
      <c r="V105" s="217">
        <f>+GETPIVOTDATA("Sum of Old-Total Undg SCH FTE",'FTE Pivot for regular counts'!$A$2,"State","DE","Category2","Two-Year")</f>
        <v>8302.7000000000007</v>
      </c>
      <c r="W105" s="218">
        <f>+GETPIVOTDATA("Sum of Old-Total Undg SCH FTE",'FTE Pivot for regular counts'!$A$2,"State","DE","Category","12","Category2","Technical")</f>
        <v>0</v>
      </c>
      <c r="X105" s="159">
        <f>+GETPIVOTDATA("Sum of Old-Total Undg SCH FTE",'FTE Pivot for regular counts'!$A$2,"State","DE","Category","13","Category2","Technical")</f>
        <v>0</v>
      </c>
      <c r="Y105" s="1">
        <f>+GETPIVOTDATA("Sum of Old-Total Undg SCH FTE",'FTE Pivot for regular counts'!$A$2,"State","DE","Category2","Technical")</f>
        <v>0</v>
      </c>
    </row>
    <row r="106" spans="1:26" ht="15" customHeight="1">
      <c r="A106" s="1" t="s">
        <v>698</v>
      </c>
      <c r="B106" s="159">
        <f>+GETPIVOTDATA("Sum of New-Total Undg SCH FTE",'FTE Pivot for regular counts'!$A$2,"State","FL","Category","7","Category2","Two-Year")</f>
        <v>239870.36666666667</v>
      </c>
      <c r="C106" s="159">
        <f>+GETPIVOTDATA("Sum of New-Total Undg SCH FTE",'FTE Pivot for regular counts'!$A$2,"State","FL","Category","8","Category2","Two-Year")</f>
        <v>26280.800000000003</v>
      </c>
      <c r="D106" s="159">
        <f>+GETPIVOTDATA("Sum of New-Total Undg SCH FTE",'FTE Pivot for regular counts'!$A$2,"State","FL","Category",9,"Category2","Two-Year")</f>
        <v>0</v>
      </c>
      <c r="E106" s="159">
        <f>+GETPIVOTDATA("Sum of New-Total Undg SCH FTE",'FTE Pivot for regular counts'!$A$2,"State","FL","Category","10","Category2","Two-Year")</f>
        <v>1457.6666666666667</v>
      </c>
      <c r="F106" s="217">
        <f>+GETPIVOTDATA("Sum of New-Total Undg SCH FTE",'FTE Pivot for regular counts'!$A$2,"State","FL","Category2","Two-Year")</f>
        <v>267608.83333333337</v>
      </c>
      <c r="G106" s="218">
        <f>+GETPIVOTDATA("Sum of New-Total Undg SCH FTE",'FTE Pivot for regular counts'!$A$2,"State","FL","Category","12","Category2","Technical")</f>
        <v>0</v>
      </c>
      <c r="H106" s="159">
        <f>+GETPIVOTDATA("Sum of New-Total Undg SCH FTE",'FTE Pivot for regular counts'!$A$2,"State","FL","Category","13","Category2","Technical")</f>
        <v>0</v>
      </c>
      <c r="I106" s="1">
        <f>+GETPIVOTDATA("Sum of New-Total Undg SCH FTE",'FTE Pivot for regular counts'!$A$2,"State","FL","Category2","Technical")</f>
        <v>0</v>
      </c>
      <c r="Q106" s="1" t="s">
        <v>698</v>
      </c>
      <c r="R106" s="159">
        <f>GETPIVOTDATA("Sum of Old-Total Undg SCH FTE",'FTE Pivot for regular counts'!$A$2,"State","FL","Category","7","Category2","Two-Year")</f>
        <v>262944.06666666671</v>
      </c>
      <c r="S106" s="159">
        <f>GETPIVOTDATA("Sum of Old-Total Undg SCH FTE",'FTE Pivot for regular counts'!$A$2,"State","FL","Category","8","Category2","Two-Year")</f>
        <v>27310.366666666669</v>
      </c>
      <c r="T106" s="159">
        <f>GETPIVOTDATA("Sum of Old-Total Undg SCH FTE",'FTE Pivot for regular counts'!$A$2,"State","FL","Category",9,"Category2","Two-Year")</f>
        <v>0</v>
      </c>
      <c r="U106" s="159">
        <f>GETPIVOTDATA("Sum of Old-Total Undg SCH FTE",'FTE Pivot for regular counts'!$A$2,"State","FL","Category","10","Category2","Two-Year")</f>
        <v>1424.7333333333333</v>
      </c>
      <c r="V106" s="217">
        <f>GETPIVOTDATA("Sum of Old-Total Undg SCH FTE",'FTE Pivot for regular counts'!$A$2,"State","FL","Category2","Two-Year")</f>
        <v>291679.16666666669</v>
      </c>
      <c r="W106" s="218">
        <f>GETPIVOTDATA("Sum of Old-Total Undg SCH FTE",'FTE Pivot for regular counts'!$A$2,"State","FL","Category","12","Category2","Technical")</f>
        <v>0</v>
      </c>
      <c r="X106" s="159">
        <f>GETPIVOTDATA("Sum of Old-Total Undg SCH FTE",'FTE Pivot for regular counts'!$A$2,"State","FL","Category","13","Category2","Technical")</f>
        <v>0</v>
      </c>
      <c r="Y106" s="1">
        <f>GETPIVOTDATA("Sum of Old-Total Undg SCH FTE",'FTE Pivot for regular counts'!$A$2,"State","FL","Category2","Technical")</f>
        <v>0</v>
      </c>
    </row>
    <row r="107" spans="1:26" ht="15" customHeight="1">
      <c r="B107" s="159"/>
      <c r="C107" s="159"/>
      <c r="D107" s="159"/>
      <c r="E107" s="159"/>
      <c r="F107" s="217"/>
      <c r="G107" s="218"/>
      <c r="H107" s="159"/>
      <c r="R107" s="159"/>
      <c r="S107" s="159"/>
      <c r="T107" s="159"/>
      <c r="U107" s="159"/>
      <c r="V107" s="217"/>
      <c r="W107" s="218"/>
      <c r="X107" s="159"/>
    </row>
    <row r="108" spans="1:26" ht="15" customHeight="1">
      <c r="A108" s="1" t="s">
        <v>699</v>
      </c>
      <c r="B108" s="159">
        <f>+GETPIVOTDATA("Sum of New-Total Undg SCH FTE",'FTE Pivot for regular counts'!$A$2,"State","GA","Category","7","Category2","Two-Year")</f>
        <v>7924.2666666666664</v>
      </c>
      <c r="C108" s="159">
        <f>+GETPIVOTDATA("Sum of New-Total Undg SCH FTE",'FTE Pivot for regular counts'!$A$2,"State","GA","Category","8","Category2","Two-Year")</f>
        <v>0</v>
      </c>
      <c r="D108" s="159">
        <f>+GETPIVOTDATA("Sum of New-Total Undg SCH FTE",'FTE Pivot for regular counts'!$A$2,"State","GA","Category",9,"Category2","Two-Year")</f>
        <v>0</v>
      </c>
      <c r="E108" s="159">
        <f>+GETPIVOTDATA("Sum of New-Total Undg SCH FTE",'FTE Pivot for regular counts'!$A$2,"State","GA","Category","10","Category2","Two-Year")</f>
        <v>0</v>
      </c>
      <c r="F108" s="217">
        <f>+GETPIVOTDATA("Sum of New-Total Undg SCH FTE",'FTE Pivot for regular counts'!$A$2,"State","GA","Category2","Two-Year")</f>
        <v>7924.2666666666664</v>
      </c>
      <c r="G108" s="218">
        <f>+GETPIVOTDATA("Sum of New-Total Undg SCH FTE",'FTE Pivot for regular counts'!$A$2,"State","GA","Category","12","Category2","Technical")</f>
        <v>60385.116666666683</v>
      </c>
      <c r="H108" s="159">
        <f>+GETPIVOTDATA("Sum of New-Total Undg SCH FTE",'FTE Pivot for regular counts'!$A$2,"State","GA","Category","13","Category2","Technical")</f>
        <v>0</v>
      </c>
      <c r="I108" s="1">
        <f>+GETPIVOTDATA("Sum of New-Total Undg SCH FTE",'FTE Pivot for regular counts'!$A$2,"State","GA","Category2","Technical")</f>
        <v>60385.116666666683</v>
      </c>
      <c r="Q108" s="1" t="s">
        <v>699</v>
      </c>
      <c r="R108" s="159">
        <f>+GETPIVOTDATA("Sum of Old-Total Undg SCH FTE",'FTE Pivot for regular counts'!$A$2,"State","GA","Category","7","Category2","Two-Year")</f>
        <v>9231.1</v>
      </c>
      <c r="S108" s="159">
        <f>+GETPIVOTDATA("Sum of Old-Total Undg SCH FTE",'FTE Pivot for regular counts'!$A$2,"State","GA","Category","8","Category2","Two-Year")</f>
        <v>0</v>
      </c>
      <c r="T108" s="159">
        <f>+GETPIVOTDATA("Sum of Old-Total Undg SCH FTE",'FTE Pivot for regular counts'!$A$2,"State","GA","Category",9,"Category2","Two-Year")</f>
        <v>0</v>
      </c>
      <c r="U108" s="159">
        <f>+GETPIVOTDATA("Sum of Old-Total Undg SCH FTE",'FTE Pivot for regular counts'!$A$2,"State","GA","Category","10","Category2","Two-Year")</f>
        <v>0</v>
      </c>
      <c r="V108" s="217">
        <f>+GETPIVOTDATA("Sum of Old-Total Undg SCH FTE",'FTE Pivot for regular counts'!$A$2,"State","GA","Category2","Two-Year")</f>
        <v>9231.1</v>
      </c>
      <c r="W108" s="218">
        <f>+GETPIVOTDATA("Sum of Old-Total Undg SCH FTE",'FTE Pivot for regular counts'!$A$2,"State","GA","Category","12","Category2","Technical")</f>
        <v>65212.350000000013</v>
      </c>
      <c r="X108" s="159">
        <f>+GETPIVOTDATA("Sum of Old-Total Undg SCH FTE",'FTE Pivot for regular counts'!$A$2,"State","GA","Category","13","Category2","Technical")</f>
        <v>0</v>
      </c>
      <c r="Y108" s="1">
        <f>+GETPIVOTDATA("Sum of Old-Total Undg SCH FTE",'FTE Pivot for regular counts'!$A$2,"State","GA","Category2","Technical")</f>
        <v>65212.350000000013</v>
      </c>
    </row>
    <row r="109" spans="1:26" ht="15" customHeight="1">
      <c r="A109" s="1" t="s">
        <v>700</v>
      </c>
      <c r="B109" s="159">
        <f>+GETPIVOTDATA("Sum of New-Total Undg SCH FTE",'FTE Pivot for regular counts'!$A$2,"State","KY","Category","7","Category2","Two-Year")</f>
        <v>0</v>
      </c>
      <c r="C109" s="159">
        <f>+GETPIVOTDATA("Sum of New-Total Undg SCH FTE",'FTE Pivot for regular counts'!$A$2,"State","KY","Category","8","Category2","Two-Year")</f>
        <v>11972.366666666667</v>
      </c>
      <c r="D109" s="159">
        <f>+GETPIVOTDATA("Sum of New-Total Undg SCH FTE",'FTE Pivot for regular counts'!$A$2,"State","KY","Category",9,"Category2","Two-Year")</f>
        <v>12706.333333333334</v>
      </c>
      <c r="E109" s="159">
        <f>+GETPIVOTDATA("Sum of New-Total Undg SCH FTE",'FTE Pivot for regular counts'!$A$2,"State","KY","Category","10","Category2","Two-Year")</f>
        <v>9876.2999999999993</v>
      </c>
      <c r="F109" s="217">
        <f>+GETPIVOTDATA("Sum of New-Total Undg SCH FTE",'FTE Pivot for regular counts'!$A$2,"State","KY","Category2","Two-Year")</f>
        <v>34555</v>
      </c>
      <c r="G109" s="218">
        <f>+GETPIVOTDATA("Sum of New-Total Undg SCH FTE",'FTE Pivot for regular counts'!$A$2,"State","KY","Category","12","Category2","Technical")</f>
        <v>4928.6333333333332</v>
      </c>
      <c r="H109" s="159">
        <f>+GETPIVOTDATA("Sum of New-Total Undg SCH FTE",'FTE Pivot for regular counts'!$A$2,"State","KY","Category","13","Category2","Technical")</f>
        <v>0</v>
      </c>
      <c r="I109" s="1">
        <f>+GETPIVOTDATA("Sum of New-Total Undg SCH FTE",'FTE Pivot for regular counts'!$A$2,"State","KY","Category2","Technical")</f>
        <v>4928.6333333333332</v>
      </c>
      <c r="Q109" s="1" t="s">
        <v>700</v>
      </c>
      <c r="R109" s="159">
        <f>+GETPIVOTDATA("Sum of Old-Total Undg SCH FTE",'FTE Pivot for regular counts'!$A$2,"State","KY","Category","7","Category2","Two-Year")</f>
        <v>0</v>
      </c>
      <c r="S109" s="159">
        <f>+GETPIVOTDATA("Sum of Old-Total Undg SCH FTE",'FTE Pivot for regular counts'!$A$2,"State","KY","Category","8","Category2","Two-Year")</f>
        <v>13026.133333333333</v>
      </c>
      <c r="T109" s="159">
        <f>+GETPIVOTDATA("Sum of Old-Total Undg SCH FTE",'FTE Pivot for regular counts'!$A$2,"State","KY","Category",9,"Category2","Two-Year")</f>
        <v>13746.499999999998</v>
      </c>
      <c r="U109" s="159">
        <f>+GETPIVOTDATA("Sum of Old-Total Undg SCH FTE",'FTE Pivot for regular counts'!$A$2,"State","KY","Category","10","Category2","Two-Year")</f>
        <v>10771.7</v>
      </c>
      <c r="V109" s="217">
        <f>+GETPIVOTDATA("Sum of Old-Total Undg SCH FTE",'FTE Pivot for regular counts'!$A$2,"State","KY","Category2","Two-Year")</f>
        <v>37544.333333333328</v>
      </c>
      <c r="W109" s="218">
        <f>+GETPIVOTDATA("Sum of Old-Total Undg SCH FTE",'FTE Pivot for regular counts'!$A$2,"State","KY","Category","12","Category2","Technical")</f>
        <v>5040.7</v>
      </c>
      <c r="X109" s="159">
        <f>+GETPIVOTDATA("Sum of Old-Total Undg SCH FTE",'FTE Pivot for regular counts'!$A$2,"State","KY","Category","13","Category2","Technical")</f>
        <v>0</v>
      </c>
      <c r="Y109" s="1">
        <f>+GETPIVOTDATA("Sum of Old-Total Undg SCH FTE",'FTE Pivot for regular counts'!$A$2,"State","KY","Category2","Technical")</f>
        <v>5040.7</v>
      </c>
    </row>
    <row r="110" spans="1:26" ht="15" customHeight="1">
      <c r="A110" s="1" t="s">
        <v>701</v>
      </c>
      <c r="B110" s="159">
        <f>+GETPIVOTDATA("Sum of New-Total Undg SCH FTE",'FTE Pivot for regular counts'!$A$2,"State","LA","Category","7","Category2","Two-Year")</f>
        <v>0</v>
      </c>
      <c r="C110" s="159">
        <f>+GETPIVOTDATA("Sum of New-Total Undg SCH FTE",'FTE Pivot for regular counts'!$A$2,"State","LA","Category","8","Category2","Two-Year")</f>
        <v>13475.433333333334</v>
      </c>
      <c r="D110" s="159">
        <f>+GETPIVOTDATA("Sum of New-Total Undg SCH FTE",'FTE Pivot for regular counts'!$A$2,"State","LA","Category",9,"Category2","Two-Year")</f>
        <v>14649.033333333333</v>
      </c>
      <c r="E110" s="159">
        <f>+GETPIVOTDATA("Sum of New-Total Undg SCH FTE",'FTE Pivot for regular counts'!$A$2,"State","LA","Category","10","Category2","Two-Year")</f>
        <v>2976.0666666666666</v>
      </c>
      <c r="F110" s="217">
        <f>+GETPIVOTDATA("Sum of New-Total Undg SCH FTE",'FTE Pivot for regular counts'!$A$2,"State","LA","Category2","Two-Year")</f>
        <v>31100.533333333333</v>
      </c>
      <c r="G110" s="218">
        <f>+GETPIVOTDATA("Sum of New-Total Undg SCH FTE",'FTE Pivot for regular counts'!$A$2,"State","LA","Category","12","Category2","Technical")</f>
        <v>6829.2666666666673</v>
      </c>
      <c r="H110" s="159">
        <f>+GETPIVOTDATA("Sum of New-Total Undg SCH FTE",'FTE Pivot for regular counts'!$A$2,"State","LA","Category","13","Category2","Technical")</f>
        <v>684.5333333333333</v>
      </c>
      <c r="I110" s="1">
        <f>+GETPIVOTDATA("Sum of New-Total Undg SCH FTE",'FTE Pivot for regular counts'!$A$2,"State","LA","Category2","Technical")</f>
        <v>7513.8000000000011</v>
      </c>
      <c r="Q110" s="1" t="s">
        <v>701</v>
      </c>
      <c r="R110" s="159">
        <f>+GETPIVOTDATA("Sum of Old-Total Undg SCH FTE",'FTE Pivot for regular counts'!$A$2,"State","LA","Category","7","Category2","Two-Year")</f>
        <v>0</v>
      </c>
      <c r="S110" s="159">
        <f>+GETPIVOTDATA("Sum of Old-Total Undg SCH FTE",'FTE Pivot for regular counts'!$A$2,"State","LA","Category","8","Category2","Two-Year")</f>
        <v>14350.5</v>
      </c>
      <c r="T110" s="159">
        <f>+GETPIVOTDATA("Sum of Old-Total Undg SCH FTE",'FTE Pivot for regular counts'!$A$2,"State","LA","Category",9,"Category2","Two-Year")</f>
        <v>15767.833333333334</v>
      </c>
      <c r="U110" s="159">
        <f>+GETPIVOTDATA("Sum of Old-Total Undg SCH FTE",'FTE Pivot for regular counts'!$A$2,"State","LA","Category","10","Category2","Two-Year")</f>
        <v>3439.0333333333333</v>
      </c>
      <c r="V110" s="217">
        <f>+GETPIVOTDATA("Sum of Old-Total Undg SCH FTE",'FTE Pivot for regular counts'!$A$2,"State","LA","Category2","Two-Year")</f>
        <v>33557.366666666669</v>
      </c>
      <c r="W110" s="218">
        <f>+GETPIVOTDATA("Sum of Old-Total Undg SCH FTE",'FTE Pivot for regular counts'!$A$2,"State","LA","Category","12","Category2","Technical")</f>
        <v>7418.1666666666661</v>
      </c>
      <c r="X110" s="159">
        <f>+GETPIVOTDATA("Sum of Old-Total Undg SCH FTE",'FTE Pivot for regular counts'!$A$2,"State","LA","Category","13","Category2","Technical")</f>
        <v>760.76666666666665</v>
      </c>
      <c r="Y110" s="1">
        <f>+GETPIVOTDATA("Sum of Old-Total Undg SCH FTE",'FTE Pivot for regular counts'!$A$2,"State","LA","Category2","Technical")</f>
        <v>8178.9333333333325</v>
      </c>
    </row>
    <row r="111" spans="1:26" ht="15" customHeight="1">
      <c r="A111" s="1" t="s">
        <v>829</v>
      </c>
      <c r="B111" s="159">
        <f>+GETPIVOTDATA("Sum of New-Total Undg SCH FTE",'FTE Pivot for regular counts'!$A$2,"State","MD","Category","7","Category2","Two-Year")</f>
        <v>0</v>
      </c>
      <c r="C111" s="159">
        <f>+GETPIVOTDATA("Sum of New-Total Undg SCH FTE",'FTE Pivot for regular counts'!$A$2,"State","MD","Category","8","Category2","Two-Year")</f>
        <v>52737.833333333343</v>
      </c>
      <c r="D111" s="159">
        <f>+GETPIVOTDATA("Sum of New-Total Undg SCH FTE",'FTE Pivot for regular counts'!$A$2,"State","MD","Category",9,"Category2","Two-Year")</f>
        <v>16908.533333333333</v>
      </c>
      <c r="E111" s="159">
        <f>+GETPIVOTDATA("Sum of New-Total Undg SCH FTE",'FTE Pivot for regular counts'!$A$2,"State","MD","Category","10","Category2","Two-Year")</f>
        <v>5232.8666666666668</v>
      </c>
      <c r="F111" s="217">
        <f>+GETPIVOTDATA("Sum of New-Total Undg SCH FTE",'FTE Pivot for regular counts'!$A$2,"State","MD","Category2","Two-Year")</f>
        <v>74879.233333333337</v>
      </c>
      <c r="G111" s="218">
        <f>+GETPIVOTDATA("Sum of New-Total Undg SCH FTE",'FTE Pivot for regular counts'!$A$2,"State","MD","Category","12","Category2","Technical")</f>
        <v>0</v>
      </c>
      <c r="H111" s="159">
        <f>+GETPIVOTDATA("Sum of New-Total Undg SCH FTE",'FTE Pivot for regular counts'!$A$2,"State","MD","Category","13","Category2","Technical")</f>
        <v>0</v>
      </c>
      <c r="I111" s="1">
        <f>+GETPIVOTDATA("Sum of New-Total Undg SCH FTE",'FTE Pivot for regular counts'!$A$2,"State","MD","Category2","Technical")</f>
        <v>0</v>
      </c>
      <c r="Q111" s="1" t="s">
        <v>702</v>
      </c>
      <c r="R111" s="159">
        <f>+GETPIVOTDATA("Sum of Old-Total Undg SCH FTE",'FTE Pivot for regular counts'!$A$2,"State","MD","Category","7","Category2","Two-Year")</f>
        <v>0</v>
      </c>
      <c r="S111" s="159">
        <f>+GETPIVOTDATA("Sum of Old-Total Undg SCH FTE",'FTE Pivot for regular counts'!$A$2,"State","MD","Category","8","Category2","Two-Year")</f>
        <v>58575.316666666666</v>
      </c>
      <c r="T111" s="159">
        <f>+GETPIVOTDATA("Sum of Old-Total Undg SCH FTE",'FTE Pivot for regular counts'!$A$2,"State","MD","Category",9,"Category2","Two-Year")</f>
        <v>18163.383333333331</v>
      </c>
      <c r="U111" s="159">
        <f>+GETPIVOTDATA("Sum of Old-Total Undg SCH FTE",'FTE Pivot for regular counts'!$A$2,"State","MD","Category","10","Category2","Two-Year")</f>
        <v>5960.6416666666664</v>
      </c>
      <c r="V111" s="217">
        <f>+GETPIVOTDATA("Sum of Old-Total Undg SCH FTE",'FTE Pivot for regular counts'!$A$2,"State","MD","Category2","Two-Year")</f>
        <v>82699.34166666666</v>
      </c>
      <c r="W111" s="218">
        <f>+GETPIVOTDATA("Sum of Old-Total Undg SCH FTE",'FTE Pivot for regular counts'!$A$2,"State","MD","Category","12","Category2","Technical")</f>
        <v>0</v>
      </c>
      <c r="X111" s="159">
        <f>+GETPIVOTDATA("Sum of Old-Total Undg SCH FTE",'FTE Pivot for regular counts'!$A$2,"State","MD","Category","13","Category2","Technical")</f>
        <v>0</v>
      </c>
      <c r="Y111" s="1">
        <f>+GETPIVOTDATA("Sum of Old-Total Undg SCH FTE",'FTE Pivot for regular counts'!$A$2,"State","MD","Category2","Technical")</f>
        <v>0</v>
      </c>
    </row>
    <row r="112" spans="1:26" ht="15" customHeight="1">
      <c r="B112" s="159"/>
      <c r="C112" s="159"/>
      <c r="D112" s="159"/>
      <c r="E112" s="159"/>
      <c r="F112" s="217"/>
      <c r="G112" s="218"/>
      <c r="H112" s="159"/>
      <c r="R112" s="159"/>
      <c r="S112" s="159"/>
      <c r="T112" s="159"/>
      <c r="U112" s="159"/>
      <c r="V112" s="217"/>
      <c r="W112" s="218"/>
      <c r="X112" s="159"/>
    </row>
    <row r="113" spans="1:26" ht="15" customHeight="1">
      <c r="A113" s="1" t="s">
        <v>703</v>
      </c>
      <c r="B113" s="159">
        <f>+GETPIVOTDATA("Sum of New-Total Undg SCH FTE",'FTE Pivot for regular counts'!$A$2,"State","MS","Category","7","Category2","Two-Year")</f>
        <v>0</v>
      </c>
      <c r="C113" s="159">
        <f>+GETPIVOTDATA("Sum of New-Total Undg SCH FTE",'FTE Pivot for regular counts'!$A$2,"State","MS","Category","8","Category2","Two-Year")</f>
        <v>23957.566666666666</v>
      </c>
      <c r="D113" s="159">
        <f>+GETPIVOTDATA("Sum of New-Total Undg SCH FTE",'FTE Pivot for regular counts'!$A$2,"State","MS","Category",9,"Category2","Two-Year")</f>
        <v>28504</v>
      </c>
      <c r="E113" s="159">
        <f>+GETPIVOTDATA("Sum of New-Total Undg SCH FTE",'FTE Pivot for regular counts'!$A$2,"State","MS","Category","10","Category2","Two-Year")</f>
        <v>3206.1</v>
      </c>
      <c r="F113" s="217">
        <f>+GETPIVOTDATA("Sum of New-Total Undg SCH FTE",'FTE Pivot for regular counts'!$A$2,"State","MS","Category2","Two-Year")</f>
        <v>55667.666666666664</v>
      </c>
      <c r="G113" s="218">
        <f>+GETPIVOTDATA("Sum of New-Total Undg SCH FTE",'FTE Pivot for regular counts'!$A$2,"State","MS","Category","12","Category2","Technical")</f>
        <v>0</v>
      </c>
      <c r="H113" s="159">
        <f>+GETPIVOTDATA("Sum of New-Total Undg SCH FTE",'FTE Pivot for regular counts'!$A$2,"State","MS","Category","13","Category2","Technical")</f>
        <v>0</v>
      </c>
      <c r="I113" s="1">
        <f>+GETPIVOTDATA("Sum of New-Total Undg SCH FTE",'FTE Pivot for regular counts'!$A$2,"State","MS","Category2","Technical")</f>
        <v>0</v>
      </c>
      <c r="Q113" s="1" t="s">
        <v>703</v>
      </c>
      <c r="R113" s="159">
        <f>+GETPIVOTDATA("Sum of Old-Total Undg SCH FTE",'FTE Pivot for regular counts'!$A$2,"State","MS","Category","7","Category2","Two-Year")</f>
        <v>0</v>
      </c>
      <c r="S113" s="159">
        <f>+GETPIVOTDATA("Sum of Old-Total Undg SCH FTE",'FTE Pivot for regular counts'!$A$2,"State","MS","Category","8","Category2","Two-Year")</f>
        <v>25751.166666666664</v>
      </c>
      <c r="T113" s="159">
        <f>+GETPIVOTDATA("Sum of Old-Total Undg SCH FTE",'FTE Pivot for regular counts'!$A$2,"State","MS","Category",9,"Category2","Two-Year")</f>
        <v>29643.749999999996</v>
      </c>
      <c r="U113" s="159">
        <f>+GETPIVOTDATA("Sum of Old-Total Undg SCH FTE",'FTE Pivot for regular counts'!$A$2,"State","MS","Category","10","Category2","Two-Year")</f>
        <v>3462.0666666666666</v>
      </c>
      <c r="V113" s="217">
        <f>+GETPIVOTDATA("Sum of Old-Total Undg SCH FTE",'FTE Pivot for regular counts'!$A$2,"State","MS","Category2","Two-Year")</f>
        <v>58856.983333333323</v>
      </c>
      <c r="W113" s="218">
        <f>+GETPIVOTDATA("Sum of Old-Total Undg SCH FTE",'FTE Pivot for regular counts'!$A$2,"State","MS","Category","12","Category2","Technical")</f>
        <v>0</v>
      </c>
      <c r="X113" s="159">
        <f>+GETPIVOTDATA("Sum of Old-Total Undg SCH FTE",'FTE Pivot for regular counts'!$A$2,"State","MS","Category","13","Category2","Technical")</f>
        <v>0</v>
      </c>
      <c r="Y113" s="1">
        <f>+GETPIVOTDATA("Sum of Old-Total Undg SCH FTE",'FTE Pivot for regular counts'!$A$2,"State","MS","Category2","Technical")</f>
        <v>0</v>
      </c>
    </row>
    <row r="114" spans="1:26" ht="15" customHeight="1">
      <c r="A114" s="1" t="s">
        <v>704</v>
      </c>
      <c r="B114" s="159">
        <f>+GETPIVOTDATA("Sum of New-Total Undg SCH FTE",'FTE Pivot for regular counts'!$A$2,"State","NC","Category","7","Category2","Two-Year")</f>
        <v>0</v>
      </c>
      <c r="C114" s="159">
        <f>+GETPIVOTDATA("Sum of New-Total Undg SCH FTE",'FTE Pivot for regular counts'!$A$2,"State","NC","Category","8","Category2","Two-Year")</f>
        <v>65466.216666666667</v>
      </c>
      <c r="D114" s="159">
        <f>+GETPIVOTDATA("Sum of New-Total Undg SCH FTE",'FTE Pivot for regular counts'!$A$2,"State","NC","Category",9,"Category2","Two-Year")</f>
        <v>53462.063333333339</v>
      </c>
      <c r="E114" s="159">
        <f>+GETPIVOTDATA("Sum of New-Total Undg SCH FTE",'FTE Pivot for regular counts'!$A$2,"State","NC","Category","10","Category2","Two-Year")</f>
        <v>24821.01666666667</v>
      </c>
      <c r="F114" s="217">
        <f>+GETPIVOTDATA("Sum of New-Total Undg SCH FTE",'FTE Pivot for regular counts'!$A$2,"State","NC","Category2","Two-Year")</f>
        <v>143749.29666666666</v>
      </c>
      <c r="G114" s="218">
        <f>+GETPIVOTDATA("Sum of New-Total Undg SCH FTE",'FTE Pivot for regular counts'!$A$2,"State","NC","Category","12","Category2","Technical")</f>
        <v>0</v>
      </c>
      <c r="H114" s="159">
        <f>+GETPIVOTDATA("Sum of New-Total Undg SCH FTE",'FTE Pivot for regular counts'!$A$2,"State","NC","Category","13","Category2","Technical")</f>
        <v>0</v>
      </c>
      <c r="I114" s="1">
        <f>+GETPIVOTDATA("Sum of New-Total Undg SCH FTE",'FTE Pivot for regular counts'!$A$2,"State","NC","Category2","Technical")</f>
        <v>0</v>
      </c>
      <c r="Q114" s="1" t="s">
        <v>704</v>
      </c>
      <c r="R114" s="159">
        <f>+GETPIVOTDATA("Sum of Old-Total Undg SCH FTE",'FTE Pivot for regular counts'!$A$2,"State","NC","Category","7","Category2","Two-Year")</f>
        <v>0</v>
      </c>
      <c r="S114" s="159">
        <f>+GETPIVOTDATA("Sum of Old-Total Undg SCH FTE",'FTE Pivot for regular counts'!$A$2,"State","NC","Category","8","Category2","Two-Year")</f>
        <v>69690.416666666672</v>
      </c>
      <c r="T114" s="159">
        <f>+GETPIVOTDATA("Sum of Old-Total Undg SCH FTE",'FTE Pivot for regular counts'!$A$2,"State","NC","Category",9,"Category2","Two-Year")</f>
        <v>54635.726666666669</v>
      </c>
      <c r="U114" s="159">
        <f>+GETPIVOTDATA("Sum of Old-Total Undg SCH FTE",'FTE Pivot for regular counts'!$A$2,"State","NC","Category","10","Category2","Two-Year")</f>
        <v>26095.95</v>
      </c>
      <c r="V114" s="217">
        <f>+GETPIVOTDATA("Sum of Old-Total Undg SCH FTE",'FTE Pivot for regular counts'!$A$2,"State","NC","Category2","Two-Year")</f>
        <v>150422.09333333335</v>
      </c>
      <c r="W114" s="218">
        <f>+GETPIVOTDATA("Sum of Old-Total Undg SCH FTE",'FTE Pivot for regular counts'!$A$2,"State","NC","Category","12","Category2","Technical")</f>
        <v>0</v>
      </c>
      <c r="X114" s="159">
        <f>+GETPIVOTDATA("Sum of Old-Total Undg SCH FTE",'FTE Pivot for regular counts'!$A$2,"State","NC","Category","13","Category2","Technical")</f>
        <v>0</v>
      </c>
      <c r="Y114" s="1">
        <f>+GETPIVOTDATA("Sum of Old-Total Undg SCH FTE",'FTE Pivot for regular counts'!$A$2,"State","NC","Category2","Technical")</f>
        <v>0</v>
      </c>
    </row>
    <row r="115" spans="1:26" ht="15" customHeight="1">
      <c r="A115" s="1" t="s">
        <v>705</v>
      </c>
      <c r="B115" s="159">
        <f>+GETPIVOTDATA("Sum of New-Total Undg SCH FTE",'FTE Pivot for regular counts'!$A$2,"State","OK","Category","7","Category2","Two-Year")</f>
        <v>0</v>
      </c>
      <c r="C115" s="159">
        <f>+GETPIVOTDATA("Sum of New-Total Undg SCH FTE",'FTE Pivot for regular counts'!$A$2,"State","OK","Category","8","Category2","Two-Year")</f>
        <v>0</v>
      </c>
      <c r="D115" s="159">
        <f>+GETPIVOTDATA("Sum of New-Total Undg SCH FTE",'FTE Pivot for regular counts'!$A$2,"State","OK","Category",9,"Category2","Two-Year")</f>
        <v>0</v>
      </c>
      <c r="E115" s="159">
        <f>+GETPIVOTDATA("Sum of New-Total Undg SCH FTE",'FTE Pivot for regular counts'!$A$2,"State","OK","Category","10","Category2","Two-Year")</f>
        <v>0</v>
      </c>
      <c r="F115" s="217">
        <f>+GETPIVOTDATA("Sum of New-Total Undg SCH FTE",'FTE Pivot for regular counts'!$A$2,"State","OK","Category2","Two-Year")</f>
        <v>0</v>
      </c>
      <c r="G115" s="218">
        <f>+GETPIVOTDATA("Sum of New-Total Undg SCH FTE",'FTE Pivot for regular counts'!$A$2,"State","OK","Category","12","Category2","Technical")</f>
        <v>0</v>
      </c>
      <c r="H115" s="159">
        <f>+GETPIVOTDATA("Sum of New-Total Undg SCH FTE",'FTE Pivot for regular counts'!$A$2,"State","OK","Category","13","Category2","Technical")</f>
        <v>0</v>
      </c>
      <c r="I115" s="1">
        <f>+GETPIVOTDATA("Sum of New-Total Undg SCH FTE",'FTE Pivot for regular counts'!$A$2,"State","OK","Category2","Technical")</f>
        <v>0</v>
      </c>
      <c r="Q115" s="1" t="s">
        <v>705</v>
      </c>
      <c r="R115" s="159">
        <f>+GETPIVOTDATA("Sum of Old-Total Undg SCH FTE",'FTE Pivot for regular counts'!$A$2,"State","OK","Category","7","Category2","Two-Year")</f>
        <v>0</v>
      </c>
      <c r="S115" s="159">
        <f>+GETPIVOTDATA("Sum of Old-Total Undg SCH FTE",'FTE Pivot for regular counts'!$A$2,"State","OK","Category","8","Category2","Two-Year")</f>
        <v>0</v>
      </c>
      <c r="T115" s="159">
        <f>+GETPIVOTDATA("Sum of Old-Total Undg SCH FTE",'FTE Pivot for regular counts'!$A$2,"State","OK","Category",9,"Category2","Two-Year")</f>
        <v>0</v>
      </c>
      <c r="U115" s="159">
        <f>+GETPIVOTDATA("Sum of Old-Total Undg SCH FTE",'FTE Pivot for regular counts'!$A$2,"State","OK","Category","10","Category2","Two-Year")</f>
        <v>0</v>
      </c>
      <c r="V115" s="217">
        <f>+GETPIVOTDATA("Sum of Old-Total Undg SCH FTE",'FTE Pivot for regular counts'!$A$2,"State","OK","Category2","Two-Year")</f>
        <v>0</v>
      </c>
      <c r="W115" s="218">
        <f>+GETPIVOTDATA("Sum of Old-Total Undg SCH FTE",'FTE Pivot for regular counts'!$A$2,"State","OK","Category","12","Category2","Technical")</f>
        <v>0</v>
      </c>
      <c r="X115" s="159">
        <f>+GETPIVOTDATA("Sum of Old-Total Undg SCH FTE",'FTE Pivot for regular counts'!$A$2,"State","OK","Category","13","Category2","Technical")</f>
        <v>0</v>
      </c>
      <c r="Y115" s="1">
        <f>+GETPIVOTDATA("Sum of Old-Total Undg SCH FTE",'FTE Pivot for regular counts'!$A$2,"State","OK","Category2","Technical")</f>
        <v>0</v>
      </c>
    </row>
    <row r="116" spans="1:26" ht="15" customHeight="1">
      <c r="A116" s="1" t="s">
        <v>706</v>
      </c>
      <c r="B116" s="159">
        <f>+GETPIVOTDATA("Sum of New-Total Undg SCH FTE",'FTE Pivot for regular counts'!$A$2,"State","SC","Category","7","Category2","Two-Year")</f>
        <v>0</v>
      </c>
      <c r="C116" s="159">
        <f>+GETPIVOTDATA("Sum of New-Total Undg SCH FTE",'FTE Pivot for regular counts'!$A$2,"State","SC","Category","8","Category2","Two-Year")</f>
        <v>25749.433333333334</v>
      </c>
      <c r="D116" s="159">
        <f>+GETPIVOTDATA("Sum of New-Total Undg SCH FTE",'FTE Pivot for regular counts'!$A$2,"State","SC","Category",9,"Category2","Two-Year")</f>
        <v>18390.966666666667</v>
      </c>
      <c r="E116" s="159">
        <f>+GETPIVOTDATA("Sum of New-Total Undg SCH FTE",'FTE Pivot for regular counts'!$A$2,"State","SC","Category","10","Category2","Two-Year")</f>
        <v>9343.9333333333325</v>
      </c>
      <c r="F116" s="217">
        <f>+GETPIVOTDATA("Sum of New-Total Undg SCH FTE",'FTE Pivot for regular counts'!$A$2,"State","SC","Category2","Two-Year")</f>
        <v>53484.333333333336</v>
      </c>
      <c r="G116" s="218">
        <f>+GETPIVOTDATA("Sum of New-Total Undg SCH FTE",'FTE Pivot for regular counts'!$A$2,"State","SC","Category","12","Category2","Technical")</f>
        <v>0</v>
      </c>
      <c r="H116" s="159">
        <f>+GETPIVOTDATA("Sum of New-Total Undg SCH FTE",'FTE Pivot for regular counts'!$A$2,"State","SC","Category","13","Category2","Technical")</f>
        <v>0</v>
      </c>
      <c r="I116" s="1">
        <f>+GETPIVOTDATA("Sum of New-Total Undg SCH FTE",'FTE Pivot for regular counts'!$A$2,"State","SC","Category2","Technical")</f>
        <v>0</v>
      </c>
      <c r="Q116" s="1" t="s">
        <v>706</v>
      </c>
      <c r="R116" s="159">
        <f>+GETPIVOTDATA("Sum of Old-Total Undg SCH FTE",'FTE Pivot for regular counts'!$A$2,"State","SC","Category","7","Category2","Two-Year")</f>
        <v>0</v>
      </c>
      <c r="S116" s="159">
        <f>+GETPIVOTDATA("Sum of Old-Total Undg SCH FTE",'FTE Pivot for regular counts'!$A$2,"State","SC","Category","8","Category2","Two-Year")</f>
        <v>27210.300000000003</v>
      </c>
      <c r="T116" s="159">
        <f>+GETPIVOTDATA("Sum of Old-Total Undg SCH FTE",'FTE Pivot for regular counts'!$A$2,"State","SC","Category",9,"Category2","Two-Year")</f>
        <v>19132.266666666666</v>
      </c>
      <c r="U116" s="159">
        <f>+GETPIVOTDATA("Sum of Old-Total Undg SCH FTE",'FTE Pivot for regular counts'!$A$2,"State","SC","Category","10","Category2","Two-Year")</f>
        <v>9627.6666666666661</v>
      </c>
      <c r="V116" s="217">
        <f>+GETPIVOTDATA("Sum of Old-Total Undg SCH FTE",'FTE Pivot for regular counts'!$A$2,"State","SC","Category2","Two-Year")</f>
        <v>55970.23333333333</v>
      </c>
      <c r="W116" s="218">
        <f>+GETPIVOTDATA("Sum of Old-Total Undg SCH FTE",'FTE Pivot for regular counts'!$A$2,"State","SC","Category","12","Category2","Technical")</f>
        <v>0</v>
      </c>
      <c r="X116" s="159">
        <f>+GETPIVOTDATA("Sum of Old-Total Undg SCH FTE",'FTE Pivot for regular counts'!$A$2,"State","SC","Category","13","Category2","Technical")</f>
        <v>0</v>
      </c>
      <c r="Y116" s="1">
        <f>+GETPIVOTDATA("Sum of Old-Total Undg SCH FTE",'FTE Pivot for regular counts'!$A$2,"State","SC","Category2","Technical")</f>
        <v>0</v>
      </c>
    </row>
    <row r="117" spans="1:26" ht="15" customHeight="1">
      <c r="B117" s="159"/>
      <c r="C117" s="159"/>
      <c r="D117" s="159"/>
      <c r="E117" s="159"/>
      <c r="F117" s="217"/>
      <c r="G117" s="218"/>
      <c r="H117" s="159"/>
      <c r="R117" s="159"/>
      <c r="S117" s="159"/>
      <c r="T117" s="159"/>
      <c r="U117" s="159"/>
      <c r="V117" s="217"/>
      <c r="W117" s="218"/>
      <c r="X117" s="159"/>
    </row>
    <row r="118" spans="1:26" ht="15" customHeight="1">
      <c r="A118" s="1" t="s">
        <v>707</v>
      </c>
      <c r="B118" s="159">
        <f>+GETPIVOTDATA("Sum of New-Total Undg SCH FTE",'FTE Pivot for regular counts'!$A$2,"State","TN","Category","7","Category2","Two-Year")</f>
        <v>0</v>
      </c>
      <c r="C118" s="159">
        <f>+GETPIVOTDATA("Sum of New-Total Undg SCH FTE",'FTE Pivot for regular counts'!$A$2,"State","TN","Category","8","Category2","Two-Year")</f>
        <v>24708.066666666669</v>
      </c>
      <c r="D118" s="159">
        <f>+GETPIVOTDATA("Sum of New-Total Undg SCH FTE",'FTE Pivot for regular counts'!$A$2,"State","TN","Category",9,"Category2","Two-Year")</f>
        <v>22793.766666666666</v>
      </c>
      <c r="E118" s="159">
        <f>+GETPIVOTDATA("Sum of New-Total Undg SCH FTE",'FTE Pivot for regular counts'!$A$2,"State","TN","Category","10","Category2","Two-Year")</f>
        <v>1727.2</v>
      </c>
      <c r="F118" s="217">
        <f>+GETPIVOTDATA("Sum of New-Total Undg SCH FTE",'FTE Pivot for regular counts'!$A$2,"State","TN","Category2","Two-Year")</f>
        <v>49229.033333333333</v>
      </c>
      <c r="G118" s="218">
        <f>+GETPIVOTDATA("Sum of New-Total Undg SCH FTE",'FTE Pivot for regular counts'!$A$2,"State","TN","Category","12","Category2","Technical")</f>
        <v>0</v>
      </c>
      <c r="H118" s="159">
        <f>+GETPIVOTDATA("Sum of New-Total Undg SCH FTE",'FTE Pivot for regular counts'!$A$2,"State","TN","Category","13","Category2","Technical")</f>
        <v>0</v>
      </c>
      <c r="I118" s="1">
        <f>+GETPIVOTDATA("Sum of New-Total Undg SCH FTE",'FTE Pivot for regular counts'!$A$2,"State","TN","Category2","Technical")</f>
        <v>0</v>
      </c>
      <c r="Q118" s="1" t="s">
        <v>707</v>
      </c>
      <c r="R118" s="159">
        <f>+GETPIVOTDATA("Sum of Old-Total Undg SCH FTE",'FTE Pivot for regular counts'!$A$2,"State","TN","Category","7","Category2","Two-Year")</f>
        <v>0</v>
      </c>
      <c r="S118" s="159">
        <f>+GETPIVOTDATA("Sum of Old-Total Undg SCH FTE",'FTE Pivot for regular counts'!$A$2,"State","TN","Category","8","Category2","Two-Year")</f>
        <v>28409.85</v>
      </c>
      <c r="T118" s="159">
        <f>+GETPIVOTDATA("Sum of Old-Total Undg SCH FTE",'FTE Pivot for regular counts'!$A$2,"State","TN","Category",9,"Category2","Two-Year")</f>
        <v>25486.266666666663</v>
      </c>
      <c r="U118" s="159">
        <f>+GETPIVOTDATA("Sum of Old-Total Undg SCH FTE",'FTE Pivot for regular counts'!$A$2,"State","TN","Category","10","Category2","Two-Year")</f>
        <v>1717.9666666666667</v>
      </c>
      <c r="V118" s="217">
        <f>+GETPIVOTDATA("Sum of Old-Total Undg SCH FTE",'FTE Pivot for regular counts'!$A$2,"State","TN","Category2","Two-Year")</f>
        <v>55614.083333333328</v>
      </c>
      <c r="W118" s="218">
        <f>+GETPIVOTDATA("Sum of Old-Total Undg SCH FTE",'FTE Pivot for regular counts'!$A$2,"State","TN","Category","12","Category2","Technical")</f>
        <v>0</v>
      </c>
      <c r="X118" s="159">
        <f>+GETPIVOTDATA("Sum of Old-Total Undg SCH FTE",'FTE Pivot for regular counts'!$A$2,"State","TN","Category","13","Category2","Technical")</f>
        <v>0</v>
      </c>
      <c r="Y118" s="1">
        <f>+GETPIVOTDATA("Sum of Old-Total Undg SCH FTE",'FTE Pivot for regular counts'!$A$2,"State","TN","Category2","Technical")</f>
        <v>0</v>
      </c>
    </row>
    <row r="119" spans="1:26" ht="15" customHeight="1">
      <c r="A119" s="1" t="s">
        <v>708</v>
      </c>
      <c r="B119" s="159">
        <f>+GETPIVOTDATA("Sum of New-Total Undg SCH FTE",'FTE Pivot for regular counts'!$A$2,"State","TX","Category","7","Category2","Two-Year")</f>
        <v>22565.266666666666</v>
      </c>
      <c r="C119" s="159">
        <f>+GETPIVOTDATA("Sum of New-Total Undg SCH FTE",'FTE Pivot for regular counts'!$A$2,"State","TX","Category","8","Category2","Two-Year")</f>
        <v>269371.73333333328</v>
      </c>
      <c r="D119" s="159">
        <f>+GETPIVOTDATA("Sum of New-Total Undg SCH FTE",'FTE Pivot for regular counts'!$A$2,"State","TX","Category",9,"Category2","Two-Year")</f>
        <v>71129.833333333328</v>
      </c>
      <c r="E119" s="159">
        <f>+GETPIVOTDATA("Sum of New-Total Undg SCH FTE",'FTE Pivot for regular counts'!$A$2,"State","TX","Category","10","Category2","Two-Year")</f>
        <v>13193.199999999997</v>
      </c>
      <c r="F119" s="217">
        <f>+GETPIVOTDATA("Sum of New-Total Undg SCH FTE",'FTE Pivot for regular counts'!$A$2,"State","TX","Category2","Two-Year")</f>
        <v>376260.03333333327</v>
      </c>
      <c r="G119" s="218">
        <f>+GETPIVOTDATA("Sum of New-Total Undg SCH FTE",'FTE Pivot for regular counts'!$A$2,"State","TX","Category","12","Category2","Technical")</f>
        <v>0</v>
      </c>
      <c r="H119" s="159">
        <f>+GETPIVOTDATA("Sum of New-Total Undg SCH FTE",'FTE Pivot for regular counts'!$A$2,"State","TX","Category","13","Category2","Technical")</f>
        <v>0</v>
      </c>
      <c r="I119" s="1">
        <f>+GETPIVOTDATA("Sum of New-Total Undg SCH FTE",'FTE Pivot for regular counts'!$A$2,"State","TX","Category2","Technical")</f>
        <v>0</v>
      </c>
      <c r="Q119" s="1" t="s">
        <v>708</v>
      </c>
      <c r="R119" s="159">
        <f>+GETPIVOTDATA("Sum of Old-Total Undg SCH FTE",'FTE Pivot for regular counts'!$A$2,"State","TX","Category","7","Category2","Two-Year")</f>
        <v>24860.433333333334</v>
      </c>
      <c r="S119" s="159">
        <f>+GETPIVOTDATA("Sum of Old-Total Undg SCH FTE",'FTE Pivot for regular counts'!$A$2,"State","TX","Category","8","Category2","Two-Year")</f>
        <v>329810.33333333337</v>
      </c>
      <c r="T119" s="159">
        <f>+GETPIVOTDATA("Sum of Old-Total Undg SCH FTE",'FTE Pivot for regular counts'!$A$2,"State","TX","Category",9,"Category2","Two-Year")</f>
        <v>78977.400000000009</v>
      </c>
      <c r="U119" s="159">
        <f>+GETPIVOTDATA("Sum of Old-Total Undg SCH FTE",'FTE Pivot for regular counts'!$A$2,"State","TX","Category","10","Category2","Two-Year")</f>
        <v>13300.966666666669</v>
      </c>
      <c r="V119" s="217">
        <f>+GETPIVOTDATA("Sum of Old-Total Undg SCH FTE",'FTE Pivot for regular counts'!$A$2,"State","TX","Category2","Two-Year")</f>
        <v>446949.13333333342</v>
      </c>
      <c r="W119" s="218">
        <f>+GETPIVOTDATA("Sum of Old-Total Undg SCH FTE",'FTE Pivot for regular counts'!$A$2,"State","TX","Category","12","Category2","Technical")</f>
        <v>0</v>
      </c>
      <c r="X119" s="159">
        <f>+GETPIVOTDATA("Sum of Old-Total Undg SCH FTE",'FTE Pivot for regular counts'!$A$2,"State","TX","Category","13","Category2","Technical")</f>
        <v>0</v>
      </c>
      <c r="Y119" s="1">
        <f>+GETPIVOTDATA("Sum of Old-Total Undg SCH FTE",'FTE Pivot for regular counts'!$A$2,"State","TX","Category2","Technical")</f>
        <v>0</v>
      </c>
    </row>
    <row r="120" spans="1:26" ht="15" customHeight="1">
      <c r="A120" s="1" t="s">
        <v>709</v>
      </c>
      <c r="B120" s="159">
        <f>+GETPIVOTDATA("Sum of New-Total Undg SCH FTE",'FTE Pivot for regular counts'!$A$2,"State","VA","Category","7","Category2","Two-Year")</f>
        <v>0</v>
      </c>
      <c r="C120" s="159">
        <f>+GETPIVOTDATA("Sum of New-Total Undg SCH FTE",'FTE Pivot for regular counts'!$A$2,"State","VA","Category","8","Category2","Two-Year")</f>
        <v>51690.666666666664</v>
      </c>
      <c r="D120" s="159">
        <f>+GETPIVOTDATA("Sum of New-Total Undg SCH FTE",'FTE Pivot for regular counts'!$A$2,"State","VA","Category",9,"Category2","Two-Year")</f>
        <v>24733.466666666667</v>
      </c>
      <c r="E120" s="159">
        <f>+GETPIVOTDATA("Sum of New-Total Undg SCH FTE",'FTE Pivot for regular counts'!$A$2,"State","VA","Category","10","Category2","Two-Year")</f>
        <v>15071.65</v>
      </c>
      <c r="F120" s="217">
        <f>+GETPIVOTDATA("Sum of New-Total Undg SCH FTE",'FTE Pivot for regular counts'!$A$2,"State","VA","Category2","Two-Year")</f>
        <v>91495.783333333326</v>
      </c>
      <c r="G120" s="218">
        <f>+GETPIVOTDATA("Sum of New-Total Undg SCH FTE",'FTE Pivot for regular counts'!$A$2,"State","VA","Category","12","Category2","Technical")</f>
        <v>0</v>
      </c>
      <c r="H120" s="159">
        <f>+GETPIVOTDATA("Sum of New-Total Undg SCH FTE",'FTE Pivot for regular counts'!$A$2,"State","VA","Category","13","Category2","Technical")</f>
        <v>0</v>
      </c>
      <c r="I120" s="1">
        <f>+GETPIVOTDATA("Sum of New-Total Undg SCH FTE",'FTE Pivot for regular counts'!$A$2,"State","VA","Category2","Technical")</f>
        <v>0</v>
      </c>
      <c r="Q120" s="1" t="s">
        <v>709</v>
      </c>
      <c r="R120" s="159">
        <f>+GETPIVOTDATA("Sum of Old-Total Undg SCH FTE",'FTE Pivot for regular counts'!$A$2,"State","VA","Category","7","Category2","Two-Year")</f>
        <v>0</v>
      </c>
      <c r="S120" s="159">
        <f>+GETPIVOTDATA("Sum of Old-Total Undg SCH FTE",'FTE Pivot for regular counts'!$A$2,"State","VA","Category","8","Category2","Two-Year")</f>
        <v>53313.833333333336</v>
      </c>
      <c r="T120" s="159">
        <f>+GETPIVOTDATA("Sum of Old-Total Undg SCH FTE",'FTE Pivot for regular counts'!$A$2,"State","VA","Category",9,"Category2","Two-Year")</f>
        <v>25917.966666666667</v>
      </c>
      <c r="U120" s="159">
        <f>+GETPIVOTDATA("Sum of Old-Total Undg SCH FTE",'FTE Pivot for regular counts'!$A$2,"State","VA","Category","10","Category2","Two-Year")</f>
        <v>15795.666666666668</v>
      </c>
      <c r="V120" s="217">
        <f>+GETPIVOTDATA("Sum of Old-Total Undg SCH FTE",'FTE Pivot for regular counts'!$A$2,"State","VA","Category2","Two-Year")</f>
        <v>95027.466666666674</v>
      </c>
      <c r="W120" s="218">
        <f>+GETPIVOTDATA("Sum of Old-Total Undg SCH FTE",'FTE Pivot for regular counts'!$A$2,"State","VA","Category","12","Category2","Technical")</f>
        <v>0</v>
      </c>
      <c r="X120" s="159">
        <f>+GETPIVOTDATA("Sum of Old-Total Undg SCH FTE",'FTE Pivot for regular counts'!$A$2,"State","VA","Category","13","Category2","Technical")</f>
        <v>0</v>
      </c>
      <c r="Y120" s="1">
        <f>+GETPIVOTDATA("Sum of Old-Total Undg SCH FTE",'FTE Pivot for regular counts'!$A$2,"State","VA","Category2","Technical")</f>
        <v>0</v>
      </c>
    </row>
    <row r="121" spans="1:26" ht="15" customHeight="1">
      <c r="A121" s="166" t="s">
        <v>710</v>
      </c>
      <c r="B121" s="167">
        <f>+GETPIVOTDATA("Sum of New-Total Undg SCH FTE",'FTE Pivot for regular counts'!$A$2,"State","WV","Category","7","Category2","Two-Year")</f>
        <v>2644.9666666666667</v>
      </c>
      <c r="C121" s="167">
        <f>+GETPIVOTDATA("Sum of New-Total Undg SCH FTE",'FTE Pivot for regular counts'!$A$2,"State","WV","Category","8","Category2","Two-Year")</f>
        <v>0</v>
      </c>
      <c r="D121" s="167">
        <f>+GETPIVOTDATA("Sum of New-Total Undg SCH FTE",'FTE Pivot for regular counts'!$A$2,"State","WV","Category",9,"Category2","Two-Year")</f>
        <v>1327</v>
      </c>
      <c r="E121" s="167">
        <f>+GETPIVOTDATA("Sum of New-Total Undg SCH FTE",'FTE Pivot for regular counts'!$A$2,"State","WV","Category","10","Category2","Two-Year")</f>
        <v>6021.5999999999995</v>
      </c>
      <c r="F121" s="219">
        <f>+GETPIVOTDATA("Sum of New-Total Undg SCH FTE",'FTE Pivot for regular counts'!$A$2,"State","WV","Category2","Two-Year")</f>
        <v>9993.5666666666657</v>
      </c>
      <c r="G121" s="220">
        <f>+GETPIVOTDATA("Sum of New-Total Undg SCH FTE",'FTE Pivot for regular counts'!$A$2,"State","WV","Category","12","Category2","Technical")</f>
        <v>0</v>
      </c>
      <c r="H121" s="167">
        <f>+GETPIVOTDATA("Sum of New-Total Undg SCH FTE",'FTE Pivot for regular counts'!$A$2,"State","WV","Category","13","Category2","Technical")</f>
        <v>0</v>
      </c>
      <c r="I121" s="166">
        <f>+GETPIVOTDATA("Sum of New-Total Undg SCH FTE",'FTE Pivot for regular counts'!$A$2,"State","WV","Category2","Technical")</f>
        <v>0</v>
      </c>
      <c r="Q121" s="166" t="s">
        <v>710</v>
      </c>
      <c r="R121" s="167">
        <f>+GETPIVOTDATA("Sum of Old-Total Undg SCH FTE",'FTE Pivot for regular counts'!$A$2,"State","WV","Category","7","Category2","Two-Year")</f>
        <v>2858.0333333333333</v>
      </c>
      <c r="S121" s="167">
        <f>+GETPIVOTDATA("Sum of Old-Total Undg SCH FTE",'FTE Pivot for regular counts'!$A$2,"State","WV","Category","8","Category2","Two-Year")</f>
        <v>0</v>
      </c>
      <c r="T121" s="167">
        <f>+GETPIVOTDATA("Sum of Old-Total Undg SCH FTE",'FTE Pivot for regular counts'!$A$2,"State","WV","Category",9,"Category2","Two-Year")</f>
        <v>1695.0799999999997</v>
      </c>
      <c r="U121" s="167">
        <f>+GETPIVOTDATA("Sum of Old-Total Undg SCH FTE",'FTE Pivot for regular counts'!$A$2,"State","WV","Category","10","Category2","Two-Year")</f>
        <v>6645</v>
      </c>
      <c r="V121" s="219">
        <f>+GETPIVOTDATA("Sum of Old-Total Undg SCH FTE",'FTE Pivot for regular counts'!$A$2,"State","WV","Category2","Two-Year")</f>
        <v>11198.113333333333</v>
      </c>
      <c r="W121" s="220">
        <f>+GETPIVOTDATA("Sum of Old-Total Undg SCH FTE",'FTE Pivot for regular counts'!$A$2,"State","WV","Category","12","Category2","Technical")</f>
        <v>0</v>
      </c>
      <c r="X121" s="167">
        <f>+GETPIVOTDATA("Sum of Old-Total Undg SCH FTE",'FTE Pivot for regular counts'!$A$2,"State","WV","Category","13","Category2","Technical")</f>
        <v>0</v>
      </c>
      <c r="Y121" s="166">
        <f>+GETPIVOTDATA("Sum of Old-Total Undg SCH FTE",'FTE Pivot for regular counts'!$A$2,"State","WV","Category2","Technical")</f>
        <v>0</v>
      </c>
    </row>
    <row r="122" spans="1:26" ht="36.75" customHeight="1">
      <c r="A122" s="648" t="s">
        <v>942</v>
      </c>
      <c r="B122" s="648"/>
      <c r="C122" s="648"/>
      <c r="D122" s="648"/>
      <c r="E122" s="648"/>
      <c r="F122" s="648"/>
      <c r="G122" s="648"/>
      <c r="H122" s="648"/>
      <c r="I122" s="648"/>
      <c r="J122" s="221"/>
      <c r="K122" s="221"/>
      <c r="L122" s="221"/>
      <c r="M122" s="221"/>
    </row>
    <row r="123" spans="1:26">
      <c r="A123" s="645" t="s">
        <v>830</v>
      </c>
      <c r="B123" s="645"/>
      <c r="C123" s="645"/>
      <c r="D123" s="645"/>
      <c r="E123" s="645"/>
      <c r="F123" s="645"/>
      <c r="G123" s="645"/>
      <c r="H123" s="645"/>
      <c r="I123" s="645"/>
      <c r="J123" s="221"/>
      <c r="K123" s="221"/>
      <c r="L123" s="221"/>
      <c r="M123" s="221"/>
    </row>
    <row r="124" spans="1:26" ht="10.5" customHeight="1">
      <c r="I124" s="179"/>
      <c r="J124" s="192"/>
      <c r="K124" s="192"/>
      <c r="L124" s="192"/>
      <c r="M124" s="222"/>
      <c r="O124" s="179" t="s">
        <v>921</v>
      </c>
    </row>
    <row r="125" spans="1:26" ht="18">
      <c r="A125" s="649" t="s">
        <v>723</v>
      </c>
      <c r="B125" s="649"/>
      <c r="C125" s="649"/>
      <c r="D125" s="649"/>
      <c r="E125" s="649"/>
      <c r="F125" s="649"/>
      <c r="G125" s="649"/>
      <c r="H125" s="649"/>
      <c r="I125" s="649"/>
      <c r="J125" s="649"/>
      <c r="K125" s="200"/>
      <c r="L125" s="200"/>
      <c r="M125" s="200"/>
    </row>
    <row r="126" spans="1:26" ht="15.75">
      <c r="A126" s="223"/>
      <c r="B126" s="118"/>
      <c r="C126" s="122"/>
      <c r="D126" s="193"/>
      <c r="E126" s="118"/>
      <c r="F126" s="118"/>
      <c r="G126" s="118"/>
      <c r="H126" s="118"/>
      <c r="I126" s="118"/>
      <c r="J126" s="118"/>
      <c r="K126" s="118"/>
      <c r="L126" s="118"/>
      <c r="Q126" s="1" t="s">
        <v>675</v>
      </c>
    </row>
    <row r="127" spans="1:26" ht="15.75">
      <c r="A127" s="644" t="s">
        <v>724</v>
      </c>
      <c r="B127" s="644"/>
      <c r="C127" s="644"/>
      <c r="D127" s="644"/>
      <c r="E127" s="644"/>
      <c r="F127" s="644"/>
      <c r="G127" s="644"/>
      <c r="H127" s="644"/>
      <c r="I127" s="644"/>
      <c r="J127" s="644"/>
      <c r="K127" s="201"/>
      <c r="L127" s="201"/>
      <c r="Q127" s="202" t="s">
        <v>724</v>
      </c>
      <c r="R127" s="201"/>
      <c r="S127" s="201"/>
      <c r="T127" s="201"/>
      <c r="U127" s="201"/>
      <c r="V127" s="201"/>
      <c r="W127" s="201"/>
      <c r="X127" s="201"/>
      <c r="Y127" s="201"/>
      <c r="Z127" s="201"/>
    </row>
    <row r="128" spans="1:26" ht="15.75">
      <c r="A128" s="644" t="s">
        <v>938</v>
      </c>
      <c r="B128" s="644"/>
      <c r="C128" s="644"/>
      <c r="D128" s="644"/>
      <c r="E128" s="644"/>
      <c r="F128" s="644"/>
      <c r="G128" s="644"/>
      <c r="H128" s="644"/>
      <c r="I128" s="644"/>
      <c r="J128" s="644"/>
      <c r="K128" s="201"/>
      <c r="L128" s="201"/>
      <c r="Q128" s="202" t="s">
        <v>718</v>
      </c>
      <c r="R128" s="201"/>
      <c r="S128" s="201"/>
      <c r="T128" s="201"/>
      <c r="U128" s="201"/>
      <c r="V128" s="201"/>
      <c r="W128" s="201"/>
      <c r="X128" s="201"/>
      <c r="Y128" s="201"/>
      <c r="Z128" s="201"/>
    </row>
    <row r="129" spans="1:26">
      <c r="A129" s="119"/>
      <c r="B129" s="119"/>
      <c r="C129" s="119"/>
      <c r="D129" s="119"/>
      <c r="E129" s="119"/>
      <c r="F129" s="119"/>
      <c r="G129" s="119"/>
      <c r="H129" s="119"/>
      <c r="I129" s="119"/>
      <c r="J129" s="119"/>
      <c r="K129" s="119"/>
      <c r="L129" s="119"/>
      <c r="Q129" s="119"/>
      <c r="R129" s="119"/>
      <c r="S129" s="119"/>
      <c r="T129" s="119"/>
      <c r="U129" s="119"/>
      <c r="V129" s="119"/>
      <c r="W129" s="119"/>
      <c r="X129" s="119"/>
      <c r="Y129" s="119"/>
      <c r="Z129" s="119"/>
    </row>
    <row r="130" spans="1:26">
      <c r="A130" s="224"/>
      <c r="B130" s="225" t="s">
        <v>719</v>
      </c>
      <c r="C130" s="225"/>
      <c r="D130" s="226"/>
      <c r="E130" s="226"/>
      <c r="F130" s="226"/>
      <c r="G130" s="227" t="s">
        <v>720</v>
      </c>
      <c r="H130" s="228"/>
      <c r="I130" s="229"/>
      <c r="J130" s="119" t="s">
        <v>721</v>
      </c>
      <c r="K130" s="119"/>
      <c r="P130" s="124"/>
      <c r="Q130" s="205" t="s">
        <v>719</v>
      </c>
      <c r="R130" s="205"/>
      <c r="S130" s="126"/>
      <c r="T130" s="126"/>
      <c r="U130" s="126"/>
      <c r="V130" s="207" t="s">
        <v>720</v>
      </c>
      <c r="W130" s="127"/>
      <c r="X130" s="208"/>
      <c r="Y130" s="119" t="s">
        <v>721</v>
      </c>
    </row>
    <row r="131" spans="1:26" ht="24">
      <c r="A131" s="129"/>
      <c r="B131" s="212" t="s">
        <v>722</v>
      </c>
      <c r="C131" s="183">
        <v>1</v>
      </c>
      <c r="D131" s="183">
        <v>2</v>
      </c>
      <c r="E131" s="183">
        <v>3</v>
      </c>
      <c r="F131" s="183" t="s">
        <v>679</v>
      </c>
      <c r="G131" s="214">
        <v>1</v>
      </c>
      <c r="H131" s="215">
        <v>2</v>
      </c>
      <c r="I131" s="183" t="s">
        <v>679</v>
      </c>
      <c r="J131" s="216"/>
      <c r="K131" s="216"/>
      <c r="P131" s="129"/>
      <c r="Q131" s="212" t="s">
        <v>722</v>
      </c>
      <c r="R131" s="183">
        <v>1</v>
      </c>
      <c r="S131" s="183">
        <v>2</v>
      </c>
      <c r="T131" s="183">
        <v>3</v>
      </c>
      <c r="U131" s="183" t="s">
        <v>679</v>
      </c>
      <c r="V131" s="214">
        <v>1</v>
      </c>
      <c r="W131" s="215">
        <v>2</v>
      </c>
      <c r="X131" s="183" t="s">
        <v>679</v>
      </c>
      <c r="Y131" s="216"/>
    </row>
    <row r="132" spans="1:26" ht="15" customHeight="1">
      <c r="A132" s="1" t="s">
        <v>687</v>
      </c>
      <c r="B132" s="230">
        <f>+GETPIVOTDATA("Sum of New-Total Undg CH FTE",'FTE Pivot for regular counts'!$A$2,"Category","7","Category2","Two-Year")</f>
        <v>12100.834444444445</v>
      </c>
      <c r="C132" s="230">
        <f>+GETPIVOTDATA("Sum of New-Total Undg CH FTE",'FTE Pivot for regular counts'!$A$2,"Category","8","Category2","Two-Year")</f>
        <v>18261.147777777776</v>
      </c>
      <c r="D132" s="230">
        <f>+GETPIVOTDATA("Sum of New-Total Undg CH FTE",'FTE Pivot for regular counts'!$A$2,"Category",9,"Category2","Two-Year")</f>
        <v>13848.956666666667</v>
      </c>
      <c r="E132" s="230">
        <f>+GETPIVOTDATA("Sum of New-Total Undg CH FTE",'FTE Pivot for regular counts'!$A$2,"Category","10","Category2","Two-Year")</f>
        <v>6728.0777777777776</v>
      </c>
      <c r="F132" s="231">
        <f>+GETPIVOTDATA("Sum of New-Total Undg CH FTE",'FTE Pivot for regular counts'!$A$2,"Category2","Two-Year")</f>
        <v>50939.01666666667</v>
      </c>
      <c r="G132" s="230">
        <f>+GETPIVOTDATA("Sum of New-Total Undg CH FTE",'FTE Pivot for regular counts'!$A$2,"Category","12","Category2","Technical")</f>
        <v>1771.4966666666664</v>
      </c>
      <c r="H132" s="230">
        <f>+GETPIVOTDATA("Sum of New-Total Undg CH FTE",'FTE Pivot for regular counts'!$A$2,"Category","13","Category2","Technical")</f>
        <v>21306.985555555555</v>
      </c>
      <c r="I132" s="230">
        <f>+GETPIVOTDATA("Sum of New-Total Undg CH FTE",'FTE Pivot for regular counts'!$A$2,"Category2","Technical")</f>
        <v>23078.482222222221</v>
      </c>
      <c r="J132" s="230"/>
      <c r="K132" s="230"/>
      <c r="P132" s="1" t="s">
        <v>687</v>
      </c>
      <c r="Q132" s="230">
        <f>+GETPIVOTDATA("Sum of Old-Total Undg CH FTE",'FTE Pivot for regular counts'!$A$2,"Category","7","Category2","Two-Year")</f>
        <v>12981.579999999998</v>
      </c>
      <c r="R132" s="230">
        <f>+GETPIVOTDATA("Sum of Old-Total Undg CH FTE",'FTE Pivot for regular counts'!$A$2,"Category","8","Category2","Two-Year")</f>
        <v>17902.342222222222</v>
      </c>
      <c r="S132" s="230">
        <f>+GETPIVOTDATA("Sum of Old-Total Undg CH FTE",'FTE Pivot for regular counts'!$A$2,"Category",9,"Category2","Two-Year")</f>
        <v>11965.980000000003</v>
      </c>
      <c r="T132" s="230">
        <f>+GETPIVOTDATA("Sum of Old-Total Undg CH FTE",'FTE Pivot for regular counts'!$A$2,"Category","10","Category2","Two-Year")</f>
        <v>5750.9966666666678</v>
      </c>
      <c r="U132" s="231">
        <f>+GETPIVOTDATA("Sum of Old-Total Undg CH FTE",'FTE Pivot for regular counts'!$A$2,"Category2","Two-Year")</f>
        <v>48600.8988888889</v>
      </c>
      <c r="V132" s="230">
        <f>+GETPIVOTDATA("Sum of Old-Total Undg CH FTE",'FTE Pivot for regular counts'!$A$2,"Category","12","Category2","Technical")</f>
        <v>4216.6121111111115</v>
      </c>
      <c r="W132" s="230">
        <f>+GETPIVOTDATA("Sum of Old-Total Undg CH FTE",'FTE Pivot for regular counts'!$A$2,"Category","13","Category2","Technical")</f>
        <v>30744.747888888887</v>
      </c>
      <c r="X132" s="230">
        <f>+GETPIVOTDATA("Sum of Old-Total Undg CH FTE",'FTE Pivot for regular counts'!$A$2,"Category2","Technical")</f>
        <v>34961.359999999993</v>
      </c>
      <c r="Y132" s="230"/>
    </row>
    <row r="133" spans="1:26" ht="15" customHeight="1">
      <c r="B133" s="230"/>
      <c r="C133" s="230"/>
      <c r="D133" s="230"/>
      <c r="G133" s="93"/>
      <c r="Q133" s="230"/>
      <c r="R133" s="230"/>
      <c r="S133" s="230"/>
      <c r="V133" s="93"/>
    </row>
    <row r="134" spans="1:26" ht="15" customHeight="1">
      <c r="A134" s="1" t="s">
        <v>695</v>
      </c>
      <c r="B134" s="230">
        <f>+GETPIVOTDATA("Sum of New-Total Undg CH FTE",'FTE Pivot for regular counts'!$A$2,"State","AL","Category","7","Category2","Two-Year")</f>
        <v>0</v>
      </c>
      <c r="C134" s="230">
        <f>+GETPIVOTDATA("Sum of New-Total Undg CH FTE",'FTE Pivot for regular counts'!$A$2,"State","AL","Category","8","Category2","Two-Year")</f>
        <v>0</v>
      </c>
      <c r="D134" s="230">
        <f>+GETPIVOTDATA("Sum of New-Total Undg CH FTE",'FTE Pivot for regular counts'!$A$2,"State","AL","Category",9,"Category2","Two-Year")</f>
        <v>0</v>
      </c>
      <c r="E134" s="230">
        <f>+GETPIVOTDATA("Sum of New-Total Undg CH FTE",'FTE Pivot for regular counts'!$A$2,"State","AL","Category","10","Category2","Two-Year")</f>
        <v>0</v>
      </c>
      <c r="F134" s="231">
        <f>+GETPIVOTDATA("Sum of New-Total Undg CH FTE",'FTE Pivot for regular counts'!$A$2,"State","AL","Category2","Two-Year")</f>
        <v>0</v>
      </c>
      <c r="G134" s="230">
        <f>+GETPIVOTDATA("Sum of New-Total Undg CH FTE",'FTE Pivot for regular counts'!$A$2,"State","AL","Category","12","Category2","Technical")</f>
        <v>0</v>
      </c>
      <c r="H134" s="230">
        <f>+GETPIVOTDATA("Sum of New-Total Undg CH FTE",'FTE Pivot for regular counts'!$A$2,"State","AL","Category","13","Category2","Technical")</f>
        <v>0</v>
      </c>
      <c r="I134" s="230">
        <f>+GETPIVOTDATA("Sum of New-Total Undg CH FTE",'FTE Pivot for regular counts'!$A$2,"State","AL","Category2","Technical")</f>
        <v>0</v>
      </c>
      <c r="J134" s="230"/>
      <c r="K134" s="230"/>
      <c r="P134" s="1" t="s">
        <v>695</v>
      </c>
      <c r="Q134" s="230">
        <f>+GETPIVOTDATA("Sum of Old-Total Undg CH FTE",'FTE Pivot for regular counts'!$A$2,"State","AL","Category","7","Category2","Two-Year")</f>
        <v>0</v>
      </c>
      <c r="R134" s="230">
        <f>+GETPIVOTDATA("Sum of Old-Total Undg CH FTE",'FTE Pivot for regular counts'!$A$2,"State","AL","Category","8","Category2","Two-Year")</f>
        <v>0</v>
      </c>
      <c r="S134" s="230">
        <f>+GETPIVOTDATA("Sum of Old-Total Undg CH FTE",'FTE Pivot for regular counts'!$A$2,"State","AL","Category",9,"Category2","Two-Year")</f>
        <v>0</v>
      </c>
      <c r="T134" s="230">
        <f>+GETPIVOTDATA("Sum of Old-Total Undg CH FTE",'FTE Pivot for regular counts'!$A$2,"State","AL","Category","10","Category2","Two-Year")</f>
        <v>0</v>
      </c>
      <c r="U134" s="231">
        <f>+GETPIVOTDATA("Sum of Old-Total Undg CH FTE",'FTE Pivot for regular counts'!$A$2,"State","AL","Category2","Two-Year")</f>
        <v>0</v>
      </c>
      <c r="V134" s="230">
        <f>+GETPIVOTDATA("Sum of Old-Total Undg CH FTE",'FTE Pivot for regular counts'!$A$2,"State","AL","Category","12","Category2","Technical")</f>
        <v>0</v>
      </c>
      <c r="W134" s="230">
        <f>+GETPIVOTDATA("Sum of Old-Total Undg CH FTE",'FTE Pivot for regular counts'!$A$2,"State","AL","Category","13","Category2","Technical")</f>
        <v>0</v>
      </c>
      <c r="X134" s="230">
        <f>+GETPIVOTDATA("Sum of Old-Total Undg CH FTE",'FTE Pivot for regular counts'!$A$2,"State","AL","Category2","Technical")</f>
        <v>0</v>
      </c>
      <c r="Y134" s="230"/>
    </row>
    <row r="135" spans="1:26" ht="15" customHeight="1">
      <c r="A135" s="1" t="s">
        <v>696</v>
      </c>
      <c r="B135" s="230">
        <f>+GETPIVOTDATA("Sum of New-Total Undg CH FTE",'FTE Pivot for regular counts'!$A$2,"State","AR","Category","7","Category2","Two-Year")</f>
        <v>0</v>
      </c>
      <c r="C135" s="230">
        <f>+GETPIVOTDATA("Sum of New-Total Undg CH FTE",'FTE Pivot for regular counts'!$A$2,"State","AR","Category","8","Category2","Two-Year")</f>
        <v>0</v>
      </c>
      <c r="D135" s="230">
        <f>+GETPIVOTDATA("Sum of New-Total Undg CH FTE",'FTE Pivot for regular counts'!$A$2,"State","AR","Category",9,"Category2","Two-Year")</f>
        <v>0</v>
      </c>
      <c r="E135" s="230">
        <f>+GETPIVOTDATA("Sum of New-Total Undg CH FTE",'FTE Pivot for regular counts'!$A$2,"State","AR","Category","10","Category2","Two-Year")</f>
        <v>0</v>
      </c>
      <c r="F135" s="231">
        <f>+GETPIVOTDATA("Sum of New-Total Undg CH FTE",'FTE Pivot for regular counts'!$A$2,"State","AR","Category2","Two-Year")</f>
        <v>0</v>
      </c>
      <c r="G135" s="230">
        <f>+GETPIVOTDATA("Sum of New-Total Undg CH FTE",'FTE Pivot for regular counts'!$A$2,"State","AR","Category","12","Category2","Technical")</f>
        <v>0</v>
      </c>
      <c r="H135" s="230">
        <f>+GETPIVOTDATA("Sum of New-Total Undg CH FTE",'FTE Pivot for regular counts'!$A$2,"State","AR","Category","13","Category2","Technical")</f>
        <v>0</v>
      </c>
      <c r="I135" s="230">
        <f>+GETPIVOTDATA("Sum of New-Total Undg CH FTE",'FTE Pivot for regular counts'!$A$2,"State","AR","Category2","Technical")</f>
        <v>0</v>
      </c>
      <c r="J135" s="230"/>
      <c r="K135" s="230"/>
      <c r="P135" s="1" t="s">
        <v>696</v>
      </c>
      <c r="Q135" s="230">
        <f>+GETPIVOTDATA("Sum of Old-Total Undg CH FTE",'FTE Pivot for regular counts'!$A$2,"State","AR","Category","7","Category2","Two-Year")</f>
        <v>0</v>
      </c>
      <c r="R135" s="230">
        <f>+GETPIVOTDATA("Sum of Old-Total Undg CH FTE",'FTE Pivot for regular counts'!$A$2,"State","AR","Category","8","Category2","Two-Year")</f>
        <v>0</v>
      </c>
      <c r="S135" s="230">
        <f>+GETPIVOTDATA("Sum of Old-Total Undg CH FTE",'FTE Pivot for regular counts'!$A$2,"State","AR","Category",9,"Category2","Two-Year")</f>
        <v>0</v>
      </c>
      <c r="T135" s="230">
        <f>+GETPIVOTDATA("Sum of Old-Total Undg CH FTE",'FTE Pivot for regular counts'!$A$2,"State","AR","Category","10","Category2","Two-Year")</f>
        <v>0</v>
      </c>
      <c r="U135" s="231">
        <f>+GETPIVOTDATA("Sum of Old-Total Undg CH FTE",'FTE Pivot for regular counts'!$A$2,"State","AR","Category2","Two-Year")</f>
        <v>0</v>
      </c>
      <c r="V135" s="230">
        <f>+GETPIVOTDATA("Sum of Old-Total Undg CH FTE",'FTE Pivot for regular counts'!$A$2,"State","AR","Category","12","Category2","Technical")</f>
        <v>0</v>
      </c>
      <c r="W135" s="230">
        <f>+GETPIVOTDATA("Sum of Old-Total Undg CH FTE",'FTE Pivot for regular counts'!$A$2,"State","AR","Category","13","Category2","Technical")</f>
        <v>0</v>
      </c>
      <c r="X135" s="230">
        <f>+GETPIVOTDATA("Sum of Old-Total Undg CH FTE",'FTE Pivot for regular counts'!$A$2,"State","AR","Category2","Technical")</f>
        <v>0</v>
      </c>
      <c r="Y135" s="230"/>
    </row>
    <row r="136" spans="1:26" ht="15" customHeight="1">
      <c r="A136" s="1" t="s">
        <v>697</v>
      </c>
      <c r="B136" s="230">
        <f>+GETPIVOTDATA("Sum of New-Total Undg CH FTE",'FTE Pivot for regular counts'!$A$2,"State","DE","Category","7","Category2","Two-Year")</f>
        <v>0</v>
      </c>
      <c r="C136" s="230">
        <f>+GETPIVOTDATA("Sum of New-Total Undg CH FTE",'FTE Pivot for regular counts'!$A$2,"State","DE","Category","8","Category2","Two-Year")</f>
        <v>0</v>
      </c>
      <c r="D136" s="230">
        <f>+GETPIVOTDATA("Sum of New-Total Undg CH FTE",'FTE Pivot for regular counts'!$A$2,"State","DE","Category",9,"Category2","Two-Year")</f>
        <v>0</v>
      </c>
      <c r="E136" s="230">
        <f>+GETPIVOTDATA("Sum of New-Total Undg CH FTE",'FTE Pivot for regular counts'!$A$2,"State","DE","Category","10","Category2","Two-Year")</f>
        <v>0</v>
      </c>
      <c r="F136" s="231">
        <f>+GETPIVOTDATA("Sum of New-Total Undg CH FTE",'FTE Pivot for regular counts'!$A$2,"State","DE","Category2","Two-Year")</f>
        <v>0</v>
      </c>
      <c r="G136" s="230">
        <f>+GETPIVOTDATA("Sum of New-Total Undg CH FTE",'FTE Pivot for regular counts'!$A$2,"State","DE","Category","12","Category2","Technical")</f>
        <v>0</v>
      </c>
      <c r="H136" s="230">
        <f>+GETPIVOTDATA("Sum of New-Total Undg CH FTE",'FTE Pivot for regular counts'!$A$2,"State","DE","Category","13","Category2","Technical")</f>
        <v>0</v>
      </c>
      <c r="I136" s="230">
        <f>+GETPIVOTDATA("Sum of New-Total Undg CH FTE",'FTE Pivot for regular counts'!$A$2,"State","DE","Category2","Technical")</f>
        <v>0</v>
      </c>
      <c r="J136" s="230"/>
      <c r="K136" s="230"/>
      <c r="P136" s="1" t="s">
        <v>697</v>
      </c>
      <c r="Q136" s="230">
        <f>+GETPIVOTDATA("Sum of Old-Total Undg CH FTE",'FTE Pivot for regular counts'!$A$2,"State","DE","Category","7","Category2","Two-Year")</f>
        <v>0</v>
      </c>
      <c r="R136" s="230">
        <f>+GETPIVOTDATA("Sum of Old-Total Undg CH FTE",'FTE Pivot for regular counts'!$A$2,"State","DE","Category","8","Category2","Two-Year")</f>
        <v>0</v>
      </c>
      <c r="S136" s="230">
        <f>+GETPIVOTDATA("Sum of Old-Total Undg CH FTE",'FTE Pivot for regular counts'!$A$2,"State","DE","Category",9,"Category2","Two-Year")</f>
        <v>0</v>
      </c>
      <c r="T136" s="230">
        <f>+GETPIVOTDATA("Sum of Old-Total Undg CH FTE",'FTE Pivot for regular counts'!$A$2,"State","DE","Category","10","Category2","Two-Year")</f>
        <v>0</v>
      </c>
      <c r="U136" s="231">
        <f>+GETPIVOTDATA("Sum of Old-Total Undg CH FTE",'FTE Pivot for regular counts'!$A$2,"State","DE","Category2","Two-Year")</f>
        <v>0</v>
      </c>
      <c r="V136" s="230">
        <f>+GETPIVOTDATA("Sum of Old-Total Undg CH FTE",'FTE Pivot for regular counts'!$A$2,"State","DE","Category","12","Category2","Technical")</f>
        <v>0</v>
      </c>
      <c r="W136" s="230">
        <f>+GETPIVOTDATA("Sum of Old-Total Undg CH FTE",'FTE Pivot for regular counts'!$A$2,"State","DE","Category","13","Category2","Technical")</f>
        <v>0</v>
      </c>
      <c r="X136" s="230">
        <f>+GETPIVOTDATA("Sum of Old-Total Undg CH FTE",'FTE Pivot for regular counts'!$A$2,"State","DE","Category2","Technical")</f>
        <v>0</v>
      </c>
      <c r="Y136" s="230"/>
    </row>
    <row r="137" spans="1:26" ht="15" customHeight="1">
      <c r="A137" s="1" t="s">
        <v>698</v>
      </c>
      <c r="B137" s="230">
        <f>+GETPIVOTDATA("Sum of New-Total Undg CH FTE",'FTE Pivot for regular counts'!$A$2,"State","FL","Category","7","Category2","Two-Year")</f>
        <v>11764.593333333334</v>
      </c>
      <c r="C137" s="230">
        <f>+GETPIVOTDATA("Sum of New-Total Undg CH FTE",'FTE Pivot for regular counts'!$A$2,"State","FL","Category","8","Category2","Two-Year")</f>
        <v>1965.1644444444444</v>
      </c>
      <c r="D137" s="230">
        <f>+GETPIVOTDATA("Sum of New-Total Undg CH FTE",'FTE Pivot for regular counts'!$A$2,"State","FL","Category",9,"Category2","Two-Year")</f>
        <v>0</v>
      </c>
      <c r="E137" s="230">
        <f>+GETPIVOTDATA("Sum of New-Total Undg CH FTE",'FTE Pivot for regular counts'!$A$2,"State","FL","Category","10","Category2","Two-Year")</f>
        <v>180.96333333333334</v>
      </c>
      <c r="F137" s="231">
        <f>+GETPIVOTDATA("Sum of New-Total Undg CH FTE",'FTE Pivot for regular counts'!$A$2,"State","FL","Category2","Two-Year")</f>
        <v>13910.721111111112</v>
      </c>
      <c r="G137" s="230">
        <f>+GETPIVOTDATA("Sum of New-Total Undg CH FTE",'FTE Pivot for regular counts'!$A$2,"State","FL","Category","12","Category2","Technical")</f>
        <v>0</v>
      </c>
      <c r="H137" s="230">
        <f>+GETPIVOTDATA("Sum of New-Total Undg CH FTE",'FTE Pivot for regular counts'!$A$2,"State","FL","Category","13","Category2","Technical")</f>
        <v>0</v>
      </c>
      <c r="I137" s="230">
        <f>+GETPIVOTDATA("Sum of New-Total Undg CH FTE",'FTE Pivot for regular counts'!$A$2,"State","FL","Category2","Technical")</f>
        <v>0</v>
      </c>
      <c r="J137" s="230"/>
      <c r="K137" s="230"/>
      <c r="P137" s="1" t="s">
        <v>698</v>
      </c>
      <c r="Q137" s="230">
        <f>+GETPIVOTDATA("Sum of Old-Total Undg CH FTE",'FTE Pivot for regular counts'!$A$2,"State","FL","Category","7","Category2","Two-Year")</f>
        <v>12677.429999999998</v>
      </c>
      <c r="R137" s="230">
        <f>+GETPIVOTDATA("Sum of Old-Total Undg CH FTE",'FTE Pivot for regular counts'!$A$2,"State","FL","Category","8","Category2","Two-Year")</f>
        <v>2282.5011111111112</v>
      </c>
      <c r="S137" s="230">
        <f>+GETPIVOTDATA("Sum of Old-Total Undg CH FTE",'FTE Pivot for regular counts'!$A$2,"State","FL","Category",9,"Category2","Two-Year")</f>
        <v>0</v>
      </c>
      <c r="T137" s="230">
        <f>+GETPIVOTDATA("Sum of Old-Total Undg CH FTE",'FTE Pivot for regular counts'!$A$2,"State","FL","Category","10","Category2","Two-Year")</f>
        <v>158.15777777777777</v>
      </c>
      <c r="U137" s="231">
        <f>+GETPIVOTDATA("Sum of Old-Total Undg CH FTE",'FTE Pivot for regular counts'!$A$2,"State","FL","Category2","Two-Year")</f>
        <v>15118.088888888888</v>
      </c>
      <c r="V137" s="230">
        <f>+GETPIVOTDATA("Sum of Old-Total Undg CH FTE",'FTE Pivot for regular counts'!$A$2,"State","FL","Category","12","Category2","Technical")</f>
        <v>0</v>
      </c>
      <c r="W137" s="230">
        <f>+GETPIVOTDATA("Sum of Old-Total Undg CH FTE",'FTE Pivot for regular counts'!$A$2,"State","FL","Category","13","Category2","Technical")</f>
        <v>0</v>
      </c>
      <c r="X137" s="230">
        <f>+GETPIVOTDATA("Sum of Old-Total Undg CH FTE",'FTE Pivot for regular counts'!$A$2,"State","FL","Category2","Technical")</f>
        <v>0</v>
      </c>
      <c r="Y137" s="230"/>
    </row>
    <row r="138" spans="1:26" ht="15" customHeight="1">
      <c r="B138" s="230"/>
      <c r="C138" s="230"/>
      <c r="D138" s="230"/>
      <c r="E138" s="230"/>
      <c r="F138" s="231"/>
      <c r="G138" s="230"/>
      <c r="H138" s="230"/>
      <c r="I138" s="230"/>
      <c r="J138" s="230"/>
      <c r="K138" s="230"/>
      <c r="Q138" s="230"/>
      <c r="R138" s="230"/>
      <c r="S138" s="230"/>
      <c r="T138" s="230"/>
      <c r="U138" s="231"/>
      <c r="V138" s="230"/>
      <c r="W138" s="230"/>
      <c r="X138" s="230"/>
      <c r="Y138" s="230"/>
    </row>
    <row r="139" spans="1:26" ht="15" customHeight="1">
      <c r="A139" s="1" t="s">
        <v>699</v>
      </c>
      <c r="B139" s="230">
        <f>+GETPIVOTDATA("Sum of New-Total Undg CH FTE",'FTE Pivot for regular counts'!$A$2,"State","GA","Category","7","Category2","Two-Year")</f>
        <v>0</v>
      </c>
      <c r="C139" s="230">
        <f>+GETPIVOTDATA("Sum of New-Total Undg CH FTE",'FTE Pivot for regular counts'!$A$2,"State","GA","Category","8","Category2","Two-Year")</f>
        <v>0</v>
      </c>
      <c r="D139" s="230">
        <f>+GETPIVOTDATA("Sum of New-Total Undg CH FTE",'FTE Pivot for regular counts'!$A$2,"State","GA","Category",9,"Category2","Two-Year")</f>
        <v>0</v>
      </c>
      <c r="E139" s="230">
        <f>+GETPIVOTDATA("Sum of New-Total Undg CH FTE",'FTE Pivot for regular counts'!$A$2,"State","GA","Category","10","Category2","Two-Year")</f>
        <v>0</v>
      </c>
      <c r="F139" s="231">
        <f>+GETPIVOTDATA("Sum of New-Total Undg CH FTE",'FTE Pivot for regular counts'!$A$2,"State","GA","Category2","Two-Year")</f>
        <v>0</v>
      </c>
      <c r="G139" s="230">
        <f>+GETPIVOTDATA("Sum of New-Total Undg CH FTE",'FTE Pivot for regular counts'!$A$2,"State","GA","Category","12","Category2","Technical")</f>
        <v>0</v>
      </c>
      <c r="H139" s="230">
        <f>+GETPIVOTDATA("Sum of New-Total Undg CH FTE",'FTE Pivot for regular counts'!$A$2,"State","GA","Category","13","Category2","Technical")</f>
        <v>0</v>
      </c>
      <c r="I139" s="230">
        <f>+GETPIVOTDATA("Sum of New-Total Undg CH FTE",'FTE Pivot for regular counts'!$A$2,"State","GA","Category2","Technical")</f>
        <v>0</v>
      </c>
      <c r="J139" s="230"/>
      <c r="K139" s="230"/>
      <c r="P139" s="1" t="s">
        <v>699</v>
      </c>
      <c r="Q139" s="230">
        <f>+GETPIVOTDATA("Sum of Old-Total Undg CH FTE",'FTE Pivot for regular counts'!$A$2,"State","GA","Category","7","Category2","Two-Year")</f>
        <v>0</v>
      </c>
      <c r="R139" s="230">
        <f>+GETPIVOTDATA("Sum of Old-Total Undg CH FTE",'FTE Pivot for regular counts'!$A$2,"State","GA","Category","8","Category2","Two-Year")</f>
        <v>0</v>
      </c>
      <c r="S139" s="230">
        <f>+GETPIVOTDATA("Sum of Old-Total Undg CH FTE",'FTE Pivot for regular counts'!$A$2,"State","GA","Category",9,"Category2","Two-Year")</f>
        <v>0</v>
      </c>
      <c r="T139" s="230">
        <f>+GETPIVOTDATA("Sum of Old-Total Undg CH FTE",'FTE Pivot for regular counts'!$A$2,"State","GA","Category","10","Category2","Two-Year")</f>
        <v>0</v>
      </c>
      <c r="U139" s="231">
        <f>+GETPIVOTDATA("Sum of Old-Total Undg CH FTE",'FTE Pivot for regular counts'!$A$2,"State","GA","Category2","Two-Year")</f>
        <v>0</v>
      </c>
      <c r="V139" s="230">
        <f>+GETPIVOTDATA("Sum of Old-Total Undg CH FTE",'FTE Pivot for regular counts'!$A$2,"State","GA","Category","12","Category2","Technical")</f>
        <v>0</v>
      </c>
      <c r="W139" s="230">
        <f>+GETPIVOTDATA("Sum of Old-Total Undg CH FTE",'FTE Pivot for regular counts'!$A$2,"State","GA","Category","13","Category2","Technical")</f>
        <v>0</v>
      </c>
      <c r="X139" s="230">
        <f>+GETPIVOTDATA("Sum of Old-Total Undg CH FTE",'FTE Pivot for regular counts'!$A$2,"State","GA","Category2","Technical")</f>
        <v>0</v>
      </c>
      <c r="Y139" s="230"/>
    </row>
    <row r="140" spans="1:26" ht="15" customHeight="1">
      <c r="A140" s="1" t="s">
        <v>700</v>
      </c>
      <c r="B140" s="230">
        <f>+GETPIVOTDATA("Sum of New-Total Undg CH FTE",'FTE Pivot for regular counts'!$A$2,"State","KY","Category","7","Category2","Two-Year")</f>
        <v>0</v>
      </c>
      <c r="C140" s="230">
        <f>+GETPIVOTDATA("Sum of New-Total Undg CH FTE",'FTE Pivot for regular counts'!$A$2,"State","KY","Category","8","Category2","Two-Year")</f>
        <v>0</v>
      </c>
      <c r="D140" s="230">
        <f>+GETPIVOTDATA("Sum of New-Total Undg CH FTE",'FTE Pivot for regular counts'!$A$2,"State","KY","Category",9,"Category2","Two-Year")</f>
        <v>0</v>
      </c>
      <c r="E140" s="230">
        <f>+GETPIVOTDATA("Sum of New-Total Undg CH FTE",'FTE Pivot for regular counts'!$A$2,"State","KY","Category","10","Category2","Two-Year")</f>
        <v>0</v>
      </c>
      <c r="F140" s="231">
        <f>+GETPIVOTDATA("Sum of New-Total Undg CH FTE",'FTE Pivot for regular counts'!$A$2,"State","KY","Category2","Two-Year")</f>
        <v>0</v>
      </c>
      <c r="G140" s="230">
        <f>+GETPIVOTDATA("Sum of New-Total Undg CH FTE",'FTE Pivot for regular counts'!$A$2,"State","KY","Category","12","Category2","Technical")</f>
        <v>0</v>
      </c>
      <c r="H140" s="230">
        <f>+GETPIVOTDATA("Sum of New-Total Undg CH FTE",'FTE Pivot for regular counts'!$A$2,"State","KY","Category","13","Category2","Technical")</f>
        <v>0</v>
      </c>
      <c r="I140" s="230">
        <f>+GETPIVOTDATA("Sum of New-Total Undg CH FTE",'FTE Pivot for regular counts'!$A$2,"State","KY","Category2","Technical")</f>
        <v>0</v>
      </c>
      <c r="J140" s="230"/>
      <c r="K140" s="230"/>
      <c r="P140" s="1" t="s">
        <v>700</v>
      </c>
      <c r="Q140" s="230">
        <f>+GETPIVOTDATA("Sum of Old-Total Undg CH FTE",'FTE Pivot for regular counts'!$A$2,"State","KY","Category","7","Category2","Two-Year")</f>
        <v>0</v>
      </c>
      <c r="R140" s="230">
        <f>+GETPIVOTDATA("Sum of Old-Total Undg CH FTE",'FTE Pivot for regular counts'!$A$2,"State","KY","Category","8","Category2","Two-Year")</f>
        <v>0</v>
      </c>
      <c r="S140" s="230">
        <f>+GETPIVOTDATA("Sum of Old-Total Undg CH FTE",'FTE Pivot for regular counts'!$A$2,"State","KY","Category",9,"Category2","Two-Year")</f>
        <v>0</v>
      </c>
      <c r="T140" s="230">
        <f>+GETPIVOTDATA("Sum of Old-Total Undg CH FTE",'FTE Pivot for regular counts'!$A$2,"State","KY","Category","10","Category2","Two-Year")</f>
        <v>0</v>
      </c>
      <c r="U140" s="231">
        <f>+GETPIVOTDATA("Sum of Old-Total Undg CH FTE",'FTE Pivot for regular counts'!$A$2,"State","KY","Category2","Two-Year")</f>
        <v>0</v>
      </c>
      <c r="V140" s="230">
        <f>+GETPIVOTDATA("Sum of Old-Total Undg CH FTE",'FTE Pivot for regular counts'!$A$2,"State","KY","Category","12","Category2","Technical")</f>
        <v>0</v>
      </c>
      <c r="W140" s="230">
        <f>+GETPIVOTDATA("Sum of Old-Total Undg CH FTE",'FTE Pivot for regular counts'!$A$2,"State","KY","Category","13","Category2","Technical")</f>
        <v>0</v>
      </c>
      <c r="X140" s="230">
        <f>+GETPIVOTDATA("Sum of Old-Total Undg CH FTE",'FTE Pivot for regular counts'!$A$2,"State","KY","Category2","Technical")</f>
        <v>0</v>
      </c>
      <c r="Y140" s="230"/>
    </row>
    <row r="141" spans="1:26" ht="15" customHeight="1">
      <c r="A141" s="1" t="s">
        <v>701</v>
      </c>
      <c r="B141" s="230">
        <f>+GETPIVOTDATA("Sum of New-Total Undg CH FTE",'FTE Pivot for regular counts'!$A$2,"State","LA","Category","7","Category2","Two-Year")</f>
        <v>0</v>
      </c>
      <c r="C141" s="230">
        <f>+GETPIVOTDATA("Sum of New-Total Undg CH FTE",'FTE Pivot for regular counts'!$A$2,"State","LA","Category","8","Category2","Two-Year")</f>
        <v>0</v>
      </c>
      <c r="D141" s="230">
        <f>+GETPIVOTDATA("Sum of New-Total Undg CH FTE",'FTE Pivot for regular counts'!$A$2,"State","LA","Category",9,"Category2","Two-Year")</f>
        <v>0</v>
      </c>
      <c r="E141" s="230">
        <f>+GETPIVOTDATA("Sum of New-Total Undg CH FTE",'FTE Pivot for regular counts'!$A$2,"State","LA","Category","10","Category2","Two-Year")</f>
        <v>0</v>
      </c>
      <c r="F141" s="231">
        <f>+GETPIVOTDATA("Sum of New-Total Undg CH FTE",'FTE Pivot for regular counts'!$A$2,"State","LA","Category2","Two-Year")</f>
        <v>0</v>
      </c>
      <c r="G141" s="230">
        <f>+GETPIVOTDATA("Sum of New-Total Undg CH FTE",'FTE Pivot for regular counts'!$A$2,"State","LA","Category","12","Category2","Technical")</f>
        <v>0</v>
      </c>
      <c r="H141" s="230">
        <f>+GETPIVOTDATA("Sum of New-Total Undg CH FTE",'FTE Pivot for regular counts'!$A$2,"State","LA","Category","13","Category2","Technical")</f>
        <v>0</v>
      </c>
      <c r="I141" s="230">
        <f>+GETPIVOTDATA("Sum of New-Total Undg CH FTE",'FTE Pivot for regular counts'!$A$2,"State","LA","Category2","Technical")</f>
        <v>0</v>
      </c>
      <c r="J141" s="230"/>
      <c r="K141" s="230"/>
      <c r="P141" s="1" t="s">
        <v>701</v>
      </c>
      <c r="Q141" s="230">
        <f>+GETPIVOTDATA("Sum of Old-Total Undg CH FTE",'FTE Pivot for regular counts'!$A$2,"State","LA","Category","7","Category2","Two-Year")</f>
        <v>0</v>
      </c>
      <c r="R141" s="230">
        <f>+GETPIVOTDATA("Sum of Old-Total Undg CH FTE",'FTE Pivot for regular counts'!$A$2,"State","LA","Category","8","Category2","Two-Year")</f>
        <v>0</v>
      </c>
      <c r="S141" s="232">
        <f>+GETPIVOTDATA("Sum of Old-Total Undg CH FTE",'FTE Pivot for regular counts'!$A$2,"State","LA","Category",9,"Category2","Two-Year")</f>
        <v>0</v>
      </c>
      <c r="T141" s="230">
        <f>+GETPIVOTDATA("Sum of Old-Total Undg CH FTE",'FTE Pivot for regular counts'!$A$2,"State","LA","Category","10","Category2","Two-Year")</f>
        <v>0</v>
      </c>
      <c r="U141" s="233">
        <f>+GETPIVOTDATA("Sum of Old-Total Undg CH FTE",'FTE Pivot for regular counts'!$A$2,"State","LA","Category2","Two-Year")</f>
        <v>0</v>
      </c>
      <c r="V141" s="230">
        <f>+GETPIVOTDATA("Sum of Old-Total Undg CH FTE",'FTE Pivot for regular counts'!$A$2,"State","LA","Category","12","Category2","Technical")</f>
        <v>0</v>
      </c>
      <c r="W141" s="230">
        <f>+GETPIVOTDATA("Sum of Old-Total Undg CH FTE",'FTE Pivot for regular counts'!$A$2,"State","LA","Category","13","Category2","Technical")</f>
        <v>0</v>
      </c>
      <c r="X141" s="230">
        <f>+GETPIVOTDATA("Sum of Old-Total Undg CH FTE",'FTE Pivot for regular counts'!$A$2,"State","LA","Category2","Technical")</f>
        <v>0</v>
      </c>
      <c r="Y141" s="230"/>
    </row>
    <row r="142" spans="1:26" ht="15" customHeight="1">
      <c r="A142" s="1" t="s">
        <v>702</v>
      </c>
      <c r="B142" s="230">
        <f>+GETPIVOTDATA("Sum of New-Total Undg CH FTE",'FTE Pivot for regular counts'!$A$2,"State","MD","Category","7","Category2","Two-Year")</f>
        <v>0</v>
      </c>
      <c r="C142" s="230">
        <f>+GETPIVOTDATA("Sum of New-Total Undg CH FTE",'FTE Pivot for regular counts'!$A$2,"State","MD","Category","8","Category2","Two-Year")</f>
        <v>0</v>
      </c>
      <c r="D142" s="230">
        <f>+GETPIVOTDATA("Sum of New-Total Undg CH FTE",'FTE Pivot for regular counts'!$A$2,"State","MD","Category",9,"Category2","Two-Year")</f>
        <v>0</v>
      </c>
      <c r="E142" s="230">
        <f>+GETPIVOTDATA("Sum of New-Total Undg CH FTE",'FTE Pivot for regular counts'!$A$2,"State","MD","Category","10","Category2","Two-Year")</f>
        <v>0</v>
      </c>
      <c r="F142" s="231">
        <f>+GETPIVOTDATA("Sum of New-Total Undg CH FTE",'FTE Pivot for regular counts'!$A$2,"State","MD","Category2","Two-Year")</f>
        <v>0</v>
      </c>
      <c r="G142" s="230">
        <f>+GETPIVOTDATA("Sum of New-Total Undg CH FTE",'FTE Pivot for regular counts'!$A$2,"State","MD","Category","12","Category2","Technical")</f>
        <v>0</v>
      </c>
      <c r="H142" s="230">
        <f>+GETPIVOTDATA("Sum of New-Total Undg CH FTE",'FTE Pivot for regular counts'!$A$2,"State","MD","Category","13","Category2","Technical")</f>
        <v>0</v>
      </c>
      <c r="I142" s="230">
        <f>+GETPIVOTDATA("Sum of New-Total Undg CH FTE",'FTE Pivot for regular counts'!$A$2,"State","MD","Category2","Technical")</f>
        <v>0</v>
      </c>
      <c r="J142" s="230"/>
      <c r="K142" s="230"/>
      <c r="P142" s="1" t="s">
        <v>702</v>
      </c>
      <c r="Q142" s="230">
        <f>+GETPIVOTDATA("Sum of Old-Total Undg CH FTE",'FTE Pivot for regular counts'!$A$2,"State","MD","Category","7","Category2","Two-Year")</f>
        <v>0</v>
      </c>
      <c r="R142" s="230">
        <f>+GETPIVOTDATA("Sum of Old-Total Undg CH FTE",'FTE Pivot for regular counts'!$A$2,"State","MD","Category","8","Category2","Two-Year")</f>
        <v>0</v>
      </c>
      <c r="S142" s="230">
        <f>+GETPIVOTDATA("Sum of Old-Total Undg CH FTE",'FTE Pivot for regular counts'!$A$2,"State","MD","Category",9,"Category2","Two-Year")</f>
        <v>0</v>
      </c>
      <c r="T142" s="230">
        <f>+GETPIVOTDATA("Sum of Old-Total Undg CH FTE",'FTE Pivot for regular counts'!$A$2,"State","MD","Category","10","Category2","Two-Year")</f>
        <v>0</v>
      </c>
      <c r="U142" s="231">
        <f>+GETPIVOTDATA("Sum of Old-Total Undg CH FTE",'FTE Pivot for regular counts'!$A$2,"State","MD","Category2","Two-Year")</f>
        <v>0</v>
      </c>
      <c r="V142" s="230">
        <f>+GETPIVOTDATA("Sum of Old-Total Undg CH FTE",'FTE Pivot for regular counts'!$A$2,"State","MD","Category","12","Category2","Technical")</f>
        <v>0</v>
      </c>
      <c r="W142" s="230">
        <f>+GETPIVOTDATA("Sum of Old-Total Undg CH FTE",'FTE Pivot for regular counts'!$A$2,"State","MD","Category","13","Category2","Technical")</f>
        <v>0</v>
      </c>
      <c r="X142" s="230">
        <f>+GETPIVOTDATA("Sum of Old-Total Undg CH FTE",'FTE Pivot for regular counts'!$A$2,"State","MD","Category2","Technical")</f>
        <v>0</v>
      </c>
      <c r="Y142" s="230"/>
    </row>
    <row r="143" spans="1:26" ht="15" customHeight="1">
      <c r="B143" s="230"/>
      <c r="C143" s="230"/>
      <c r="D143" s="230"/>
      <c r="E143" s="230"/>
      <c r="F143" s="231"/>
      <c r="G143" s="230"/>
      <c r="H143" s="230"/>
      <c r="I143" s="230"/>
      <c r="J143" s="230"/>
      <c r="K143" s="230"/>
      <c r="Q143" s="230"/>
      <c r="R143" s="230"/>
      <c r="S143" s="230"/>
      <c r="T143" s="230"/>
      <c r="U143" s="231"/>
      <c r="V143" s="230"/>
      <c r="W143" s="230"/>
      <c r="X143" s="230"/>
      <c r="Y143" s="230"/>
    </row>
    <row r="144" spans="1:26" ht="15" customHeight="1">
      <c r="A144" s="1" t="s">
        <v>703</v>
      </c>
      <c r="B144" s="230">
        <f>+GETPIVOTDATA("Sum of New-Total Undg CH FTE",'FTE Pivot for regular counts'!$A$2,"State","MS","Category","7","Category2","Two-Year")</f>
        <v>0</v>
      </c>
      <c r="C144" s="230">
        <f>+GETPIVOTDATA("Sum of New-Total Undg CH FTE",'FTE Pivot for regular counts'!$A$2,"State","MS","Category","8","Category2","Two-Year")</f>
        <v>0</v>
      </c>
      <c r="D144" s="230">
        <f>+GETPIVOTDATA("Sum of New-Total Undg CH FTE",'FTE Pivot for regular counts'!$A$2,"State","MS","Category",9,"Category2","Two-Year")</f>
        <v>0</v>
      </c>
      <c r="E144" s="230">
        <f>+GETPIVOTDATA("Sum of New-Total Undg CH FTE",'FTE Pivot for regular counts'!$A$2,"State","MS","Category","10","Category2","Two-Year")</f>
        <v>0</v>
      </c>
      <c r="F144" s="231">
        <f>+GETPIVOTDATA("Sum of New-Total Undg CH FTE",'FTE Pivot for regular counts'!$A$2,"State","MS","Category2","Two-Year")</f>
        <v>0</v>
      </c>
      <c r="G144" s="230">
        <f>+GETPIVOTDATA("Sum of New-Total Undg CH FTE",'FTE Pivot for regular counts'!$A$2,"State","MS","Category","12","Category2","Technical")</f>
        <v>0</v>
      </c>
      <c r="H144" s="230">
        <f>+GETPIVOTDATA("Sum of New-Total Undg CH FTE",'FTE Pivot for regular counts'!$A$2,"State","MS","Category","13","Category2","Technical")</f>
        <v>0</v>
      </c>
      <c r="I144" s="230">
        <f>+GETPIVOTDATA("Sum of New-Total Undg CH FTE",'FTE Pivot for regular counts'!$A$2,"State","MS","Category2","Technical")</f>
        <v>0</v>
      </c>
      <c r="J144" s="230"/>
      <c r="K144" s="230"/>
      <c r="P144" s="1" t="s">
        <v>703</v>
      </c>
      <c r="Q144" s="230">
        <f>+GETPIVOTDATA("Sum of Old-Total Undg CH FTE",'FTE Pivot for regular counts'!$A$2,"State","MS","Category","7","Category2","Two-Year")</f>
        <v>0</v>
      </c>
      <c r="R144" s="230">
        <f>+GETPIVOTDATA("Sum of Old-Total Undg CH FTE",'FTE Pivot for regular counts'!$A$2,"State","MS","Category","8","Category2","Two-Year")</f>
        <v>0</v>
      </c>
      <c r="S144" s="230">
        <f>+GETPIVOTDATA("Sum of Old-Total Undg CH FTE",'FTE Pivot for regular counts'!$A$2,"State","MS","Category",9,"Category2","Two-Year")</f>
        <v>0</v>
      </c>
      <c r="T144" s="230">
        <f>+GETPIVOTDATA("Sum of Old-Total Undg CH FTE",'FTE Pivot for regular counts'!$A$2,"State","MS","Category","10","Category2","Two-Year")</f>
        <v>0</v>
      </c>
      <c r="U144" s="231">
        <f>+GETPIVOTDATA("Sum of Old-Total Undg CH FTE",'FTE Pivot for regular counts'!$A$2,"State","MS","Category2","Two-Year")</f>
        <v>0</v>
      </c>
      <c r="V144" s="230">
        <f>+GETPIVOTDATA("Sum of Old-Total Undg CH FTE",'FTE Pivot for regular counts'!$A$2,"State","MS","Category","12","Category2","Technical")</f>
        <v>0</v>
      </c>
      <c r="W144" s="230">
        <f>+GETPIVOTDATA("Sum of Old-Total Undg CH FTE",'FTE Pivot for regular counts'!$A$2,"State","MS","Category","13","Category2","Technical")</f>
        <v>0</v>
      </c>
      <c r="X144" s="230">
        <f>+GETPIVOTDATA("Sum of Old-Total Undg CH FTE",'FTE Pivot for regular counts'!$A$2,"State","MS","Category2","Technical")</f>
        <v>0</v>
      </c>
      <c r="Y144" s="230"/>
    </row>
    <row r="145" spans="1:56" ht="15" customHeight="1">
      <c r="A145" s="1" t="s">
        <v>704</v>
      </c>
      <c r="B145" s="230">
        <f>+GETPIVOTDATA("Sum of New-Total Undg CH FTE",'FTE Pivot for regular counts'!$A$2,"State","NC","Category","7","Category2","Two-Year")</f>
        <v>0</v>
      </c>
      <c r="C145" s="230">
        <f>+GETPIVOTDATA("Sum of New-Total Undg CH FTE",'FTE Pivot for regular counts'!$A$2,"State","NC","Category","8","Category2","Two-Year")</f>
        <v>9943.8011111111118</v>
      </c>
      <c r="D145" s="230">
        <f>+GETPIVOTDATA("Sum of New-Total Undg CH FTE",'FTE Pivot for regular counts'!$A$2,"State","NC","Category",9,"Category2","Two-Year")</f>
        <v>10997.371111111112</v>
      </c>
      <c r="E145" s="230">
        <f>+GETPIVOTDATA("Sum of New-Total Undg CH FTE",'FTE Pivot for regular counts'!$A$2,"State","NC","Category","10","Category2","Two-Year")</f>
        <v>6141.8811111111108</v>
      </c>
      <c r="F145" s="231">
        <f>+GETPIVOTDATA("Sum of New-Total Undg CH FTE",'FTE Pivot for regular counts'!$A$2,"State","NC","Category2","Two-Year")</f>
        <v>27083.053333333333</v>
      </c>
      <c r="G145" s="230">
        <f>+GETPIVOTDATA("Sum of New-Total Undg CH FTE",'FTE Pivot for regular counts'!$A$2,"State","NC","Category","12","Category2","Technical")</f>
        <v>0</v>
      </c>
      <c r="H145" s="230">
        <f>+GETPIVOTDATA("Sum of New-Total Undg CH FTE",'FTE Pivot for regular counts'!$A$2,"State","NC","Category","13","Category2","Technical")</f>
        <v>0</v>
      </c>
      <c r="I145" s="230">
        <f>+GETPIVOTDATA("Sum of New-Total Undg CH FTE",'FTE Pivot for regular counts'!$A$2,"State","NC","Category2","Technical")</f>
        <v>0</v>
      </c>
      <c r="J145" s="230"/>
      <c r="K145" s="230"/>
      <c r="P145" s="1" t="s">
        <v>704</v>
      </c>
      <c r="Q145" s="230">
        <f>+GETPIVOTDATA("Sum of Old-Total Undg CH FTE",'FTE Pivot for regular counts'!$A$2,"State","NC","Category","7","Category2","Two-Year")</f>
        <v>0</v>
      </c>
      <c r="R145" s="230">
        <f>+GETPIVOTDATA("Sum of Old-Total Undg CH FTE",'FTE Pivot for regular counts'!$A$2,"State","NC","Category","8","Category2","Two-Year")</f>
        <v>8401.4155555555553</v>
      </c>
      <c r="S145" s="230">
        <f>+GETPIVOTDATA("Sum of Old-Total Undg CH FTE",'FTE Pivot for regular counts'!$A$2,"State","NC","Category",9,"Category2","Two-Year")</f>
        <v>9513.4866666666694</v>
      </c>
      <c r="T145" s="230">
        <f>+GETPIVOTDATA("Sum of Old-Total Undg CH FTE",'FTE Pivot for regular counts'!$A$2,"State","NC","Category","10","Category2","Two-Year")</f>
        <v>5173.3033333333351</v>
      </c>
      <c r="U145" s="231">
        <f>+GETPIVOTDATA("Sum of Old-Total Undg CH FTE",'FTE Pivot for regular counts'!$A$2,"State","NC","Category2","Two-Year")</f>
        <v>23088.205555555563</v>
      </c>
      <c r="V145" s="230">
        <f>+GETPIVOTDATA("Sum of Old-Total Undg CH FTE",'FTE Pivot for regular counts'!$A$2,"State","NC","Category","12","Category2","Technical")</f>
        <v>0</v>
      </c>
      <c r="W145" s="230">
        <f>+GETPIVOTDATA("Sum of Old-Total Undg CH FTE",'FTE Pivot for regular counts'!$A$2,"State","NC","Category","13","Category2","Technical")</f>
        <v>0</v>
      </c>
      <c r="X145" s="230">
        <f>+GETPIVOTDATA("Sum of Old-Total Undg CH FTE",'FTE Pivot for regular counts'!$A$2,"State","NC","Category2","Technical")</f>
        <v>0</v>
      </c>
      <c r="Y145" s="230"/>
    </row>
    <row r="146" spans="1:56" ht="15" customHeight="1">
      <c r="A146" s="1" t="s">
        <v>705</v>
      </c>
      <c r="B146" s="230">
        <f>+GETPIVOTDATA("Sum of New-Total Undg CH FTE",'FTE Pivot for regular counts'!$A$2,"State","OK","Category","7","Category2","Two-Year")</f>
        <v>0</v>
      </c>
      <c r="C146" s="230">
        <f>+GETPIVOTDATA("Sum of New-Total Undg CH FTE",'FTE Pivot for regular counts'!$A$2,"State","OK","Category","8","Category2","Two-Year")</f>
        <v>0</v>
      </c>
      <c r="D146" s="230">
        <f>+GETPIVOTDATA("Sum of New-Total Undg CH FTE",'FTE Pivot for regular counts'!$A$2,"State","OK","Category",9,"Category2","Two-Year")</f>
        <v>0</v>
      </c>
      <c r="E146" s="230">
        <f>+GETPIVOTDATA("Sum of New-Total Undg CH FTE",'FTE Pivot for regular counts'!$A$2,"State","OK","Category","10","Category2","Two-Year")</f>
        <v>0</v>
      </c>
      <c r="F146" s="231">
        <f>+GETPIVOTDATA("Sum of New-Total Undg CH FTE",'FTE Pivot for regular counts'!$A$2,"State","OK","Category2","Two-Year")</f>
        <v>0</v>
      </c>
      <c r="G146" s="230">
        <f>+GETPIVOTDATA("Sum of New-Total Undg CH FTE",'FTE Pivot for regular counts'!$A$2,"State","OK","Category","12","Category2","Technical")</f>
        <v>1771.4966666666664</v>
      </c>
      <c r="H146" s="230">
        <f>+GETPIVOTDATA("Sum of New-Total Undg CH FTE",'FTE Pivot for regular counts'!$A$2,"State","OK","Category","13","Category2","Technical")</f>
        <v>8550.753333333334</v>
      </c>
      <c r="I146" s="230">
        <f>+GETPIVOTDATA("Sum of New-Total Undg CH FTE",'FTE Pivot for regular counts'!$A$2,"State","OK","Category2","Technical")</f>
        <v>10322.25</v>
      </c>
      <c r="J146" s="230"/>
      <c r="K146" s="230"/>
      <c r="P146" s="1" t="s">
        <v>705</v>
      </c>
      <c r="Q146" s="230">
        <f>+GETPIVOTDATA("Sum of Old-Total Undg CH FTE",'FTE Pivot for regular counts'!$A$2,"State","OK","Category","7","Category2","Two-Year")</f>
        <v>0</v>
      </c>
      <c r="R146" s="230">
        <f>+GETPIVOTDATA("Sum of Old-Total Undg CH FTE",'FTE Pivot for regular counts'!$A$2,"State","OK","Category","8","Category2","Two-Year")</f>
        <v>0</v>
      </c>
      <c r="S146" s="230">
        <f>+GETPIVOTDATA("Sum of Old-Total Undg CH FTE",'FTE Pivot for regular counts'!$A$2,"State","OK","Category",9,"Category2","Two-Year")</f>
        <v>0</v>
      </c>
      <c r="T146" s="230">
        <f>+GETPIVOTDATA("Sum of Old-Total Undg CH FTE",'FTE Pivot for regular counts'!$A$2,"State","OK","Category","10","Category2","Two-Year")</f>
        <v>0</v>
      </c>
      <c r="U146" s="231">
        <f>+GETPIVOTDATA("Sum of Old-Total Undg CH FTE",'FTE Pivot for regular counts'!$A$2,"State","OK","Category2","Two-Year")</f>
        <v>0</v>
      </c>
      <c r="V146" s="230">
        <f>+GETPIVOTDATA("Sum of Old-Total Undg CH FTE",'FTE Pivot for regular counts'!$A$2,"State","OK","Category","12","Category2","Technical")</f>
        <v>4216.6121111111115</v>
      </c>
      <c r="W146" s="230">
        <f>+GETPIVOTDATA("Sum of Old-Total Undg CH FTE",'FTE Pivot for regular counts'!$A$2,"State","OK","Category","13","Category2","Technical")</f>
        <v>18113.878999999997</v>
      </c>
      <c r="X146" s="230">
        <f>+GETPIVOTDATA("Sum of Old-Total Undg CH FTE",'FTE Pivot for regular counts'!$A$2,"State","OK","Category2","Technical")</f>
        <v>22330.491111111107</v>
      </c>
      <c r="Y146" s="230"/>
    </row>
    <row r="147" spans="1:56" ht="15" customHeight="1">
      <c r="A147" s="1" t="s">
        <v>706</v>
      </c>
      <c r="B147" s="230">
        <f>+GETPIVOTDATA("Sum of New-Total Undg CH FTE",'FTE Pivot for regular counts'!$A$2,"State","SC","Category","7","Category2","Two-Year")</f>
        <v>0</v>
      </c>
      <c r="C147" s="230">
        <f>+GETPIVOTDATA("Sum of New-Total Undg CH FTE",'FTE Pivot for regular counts'!$A$2,"State","SC","Category","8","Category2","Two-Year")</f>
        <v>0</v>
      </c>
      <c r="D147" s="230">
        <f>+GETPIVOTDATA("Sum of New-Total Undg CH FTE",'FTE Pivot for regular counts'!$A$2,"State","SC","Category",9,"Category2","Two-Year")</f>
        <v>0</v>
      </c>
      <c r="E147" s="230">
        <f>+GETPIVOTDATA("Sum of New-Total Undg CH FTE",'FTE Pivot for regular counts'!$A$2,"State","SC","Category","10","Category2","Two-Year")</f>
        <v>0</v>
      </c>
      <c r="F147" s="231">
        <f>+GETPIVOTDATA("Sum of New-Total Undg CH FTE",'FTE Pivot for regular counts'!$A$2,"State","SC","Category2","Two-Year")</f>
        <v>0</v>
      </c>
      <c r="G147" s="230">
        <f>+GETPIVOTDATA("Sum of New-Total Undg CH FTE",'FTE Pivot for regular counts'!$A$2,"State","SC","Category","12","Category2","Technical")</f>
        <v>0</v>
      </c>
      <c r="H147" s="230">
        <f>+GETPIVOTDATA("Sum of New-Total Undg CH FTE",'FTE Pivot for regular counts'!$A$2,"State","SC","Category","13","Category2","Technical")</f>
        <v>0</v>
      </c>
      <c r="I147" s="230">
        <f>+GETPIVOTDATA("Sum of New-Total Undg CH FTE",'FTE Pivot for regular counts'!$A$2,"State","SC","Category2","Technical")</f>
        <v>0</v>
      </c>
      <c r="J147" s="230"/>
      <c r="K147" s="230"/>
      <c r="P147" s="1" t="s">
        <v>706</v>
      </c>
      <c r="Q147" s="230">
        <f>+GETPIVOTDATA("Sum of Old-Total Undg CH FTE",'FTE Pivot for regular counts'!$A$2,"State","SC","Category","7","Category2","Two-Year")</f>
        <v>0</v>
      </c>
      <c r="R147" s="230">
        <f>+GETPIVOTDATA("Sum of Old-Total Undg CH FTE",'FTE Pivot for regular counts'!$A$2,"State","SC","Category","8","Category2","Two-Year")</f>
        <v>0</v>
      </c>
      <c r="S147" s="230">
        <f>+GETPIVOTDATA("Sum of Old-Total Undg CH FTE",'FTE Pivot for regular counts'!$A$2,"State","SC","Category",9,"Category2","Two-Year")</f>
        <v>0</v>
      </c>
      <c r="T147" s="230">
        <f>+GETPIVOTDATA("Sum of Old-Total Undg CH FTE",'FTE Pivot for regular counts'!$A$2,"State","SC","Category","10","Category2","Two-Year")</f>
        <v>0</v>
      </c>
      <c r="U147" s="231">
        <f>+GETPIVOTDATA("Sum of Old-Total Undg CH FTE",'FTE Pivot for regular counts'!$A$2,"State","SC","Category2","Two-Year")</f>
        <v>0</v>
      </c>
      <c r="V147" s="230">
        <f>+GETPIVOTDATA("Sum of Old-Total Undg CH FTE",'FTE Pivot for regular counts'!$A$2,"State","SC","Category","12","Category2","Technical")</f>
        <v>0</v>
      </c>
      <c r="W147" s="230">
        <f>+GETPIVOTDATA("Sum of Old-Total Undg CH FTE",'FTE Pivot for regular counts'!$A$2,"State","SC","Category","13","Category2","Technical")</f>
        <v>0</v>
      </c>
      <c r="X147" s="230">
        <f>+GETPIVOTDATA("Sum of Old-Total Undg CH FTE",'FTE Pivot for regular counts'!$A$2,"State","SC","Category2","Technical")</f>
        <v>0</v>
      </c>
      <c r="Y147" s="230"/>
    </row>
    <row r="148" spans="1:56" ht="15" customHeight="1">
      <c r="B148" s="230"/>
      <c r="C148" s="230"/>
      <c r="D148" s="230"/>
      <c r="E148" s="230"/>
      <c r="F148" s="231"/>
      <c r="G148" s="230"/>
      <c r="H148" s="230"/>
      <c r="I148" s="230"/>
      <c r="J148" s="230"/>
      <c r="K148" s="230"/>
      <c r="Q148" s="230"/>
      <c r="R148" s="230"/>
      <c r="S148" s="230"/>
      <c r="T148" s="230"/>
      <c r="U148" s="231"/>
      <c r="V148" s="230"/>
      <c r="W148" s="230"/>
      <c r="X148" s="230"/>
      <c r="Y148" s="230"/>
    </row>
    <row r="149" spans="1:56" ht="15" customHeight="1">
      <c r="A149" s="1" t="s">
        <v>707</v>
      </c>
      <c r="B149" s="230">
        <f>+GETPIVOTDATA("Sum of New-Total Undg CH FTE",'FTE Pivot for regular counts'!$A$2,"State","TN","Category","7","Category2","Two-Year")</f>
        <v>0</v>
      </c>
      <c r="C149" s="230">
        <f>+GETPIVOTDATA("Sum of New-Total Undg CH FTE",'FTE Pivot for regular counts'!$A$2,"State","TN","Category","8","Category2","Two-Year")</f>
        <v>0</v>
      </c>
      <c r="D149" s="230">
        <f>+GETPIVOTDATA("Sum of New-Total Undg CH FTE",'FTE Pivot for regular counts'!$A$2,"State","TN","Category",9,"Category2","Two-Year")</f>
        <v>0</v>
      </c>
      <c r="E149" s="230">
        <f>+GETPIVOTDATA("Sum of New-Total Undg CH FTE",'FTE Pivot for regular counts'!$A$2,"State","TN","Category","10","Category2","Two-Year")</f>
        <v>0</v>
      </c>
      <c r="F149" s="231">
        <f>+GETPIVOTDATA("Sum of New-Total Undg CH FTE",'FTE Pivot for regular counts'!$A$2,"State","TN","Category2","Two-Year")</f>
        <v>0</v>
      </c>
      <c r="G149" s="230">
        <f>+GETPIVOTDATA("Sum of New-Total Undg CH FTE",'FTE Pivot for regular counts'!$A$2,"State","TN","Category","12","Category2","Technical")</f>
        <v>0</v>
      </c>
      <c r="H149" s="230">
        <f>+GETPIVOTDATA("Sum of New-Total Undg CH FTE",'FTE Pivot for regular counts'!$A$2,"State","TN","Category","13","Category2","Technical")</f>
        <v>12756.232222222221</v>
      </c>
      <c r="I149" s="230">
        <f>+GETPIVOTDATA("Sum of New-Total Undg CH FTE",'FTE Pivot for regular counts'!$A$2,"State","TN","Category2","Technical")</f>
        <v>12756.232222222221</v>
      </c>
      <c r="J149" s="230"/>
      <c r="K149" s="230"/>
      <c r="P149" s="1" t="s">
        <v>707</v>
      </c>
      <c r="Q149" s="230">
        <f>+GETPIVOTDATA("Sum of Old-Total Undg CH FTE",'FTE Pivot for regular counts'!$A$2,"State","TN","Category","7","Category2","Two-Year")</f>
        <v>0</v>
      </c>
      <c r="R149" s="230">
        <f>+GETPIVOTDATA("Sum of Old-Total Undg CH FTE",'FTE Pivot for regular counts'!$A$2,"State","TN","Category","8","Category2","Two-Year")</f>
        <v>0</v>
      </c>
      <c r="S149" s="230">
        <f>+GETPIVOTDATA("Sum of Old-Total Undg CH FTE",'FTE Pivot for regular counts'!$A$2,"State","TN","Category",9,"Category2","Two-Year")</f>
        <v>0</v>
      </c>
      <c r="T149" s="230">
        <f>+GETPIVOTDATA("Sum of Old-Total Undg CH FTE",'FTE Pivot for regular counts'!$A$2,"State","TN","Category","10","Category2","Two-Year")</f>
        <v>0</v>
      </c>
      <c r="U149" s="231">
        <f>+GETPIVOTDATA("Sum of Old-Total Undg CH FTE",'FTE Pivot for regular counts'!$A$2,"State","TN","Category2","Two-Year")</f>
        <v>0</v>
      </c>
      <c r="V149" s="230">
        <f>+GETPIVOTDATA("Sum of Old-Total Undg CH FTE",'FTE Pivot for regular counts'!$A$2,"State","TN","Category","12","Category2","Technical")</f>
        <v>0</v>
      </c>
      <c r="W149" s="230">
        <f>+GETPIVOTDATA("Sum of Old-Total Undg CH FTE",'FTE Pivot for regular counts'!$A$2,"State","TN","Category","13","Category2","Technical")</f>
        <v>12630.868888888888</v>
      </c>
      <c r="X149" s="230">
        <f>+GETPIVOTDATA("Sum of Old-Total Undg CH FTE",'FTE Pivot for regular counts'!$A$2,"State","TN","Category2","Technical")</f>
        <v>12630.868888888888</v>
      </c>
      <c r="Y149" s="230"/>
    </row>
    <row r="150" spans="1:56" ht="15" customHeight="1">
      <c r="A150" s="1" t="s">
        <v>708</v>
      </c>
      <c r="B150" s="230">
        <f>+GETPIVOTDATA("Sum of New-Total Undg CH FTE",'FTE Pivot for regular counts'!$A$2,"State","TX","Category","7","Category2","Two-Year")</f>
        <v>336.24111111111108</v>
      </c>
      <c r="C150" s="230">
        <f>+GETPIVOTDATA("Sum of New-Total Undg CH FTE",'FTE Pivot for regular counts'!$A$2,"State","TX","Category","8","Category2","Two-Year")</f>
        <v>6352.1822222222218</v>
      </c>
      <c r="D150" s="230">
        <f>+GETPIVOTDATA("Sum of New-Total Undg CH FTE",'FTE Pivot for regular counts'!$A$2,"State","TX","Category",9,"Category2","Two-Year")</f>
        <v>2851.5855555555549</v>
      </c>
      <c r="E150" s="230">
        <f>+GETPIVOTDATA("Sum of New-Total Undg CH FTE",'FTE Pivot for regular counts'!$A$2,"State","TX","Category","10","Category2","Two-Year")</f>
        <v>405.23333333333341</v>
      </c>
      <c r="F150" s="231">
        <f>+GETPIVOTDATA("Sum of New-Total Undg CH FTE",'FTE Pivot for regular counts'!$A$2,"State","TX","Category2","Two-Year")</f>
        <v>9945.2422222222212</v>
      </c>
      <c r="G150" s="230">
        <f>+GETPIVOTDATA("Sum of New-Total Undg CH FTE",'FTE Pivot for regular counts'!$A$2,"State","TX","Category","12","Category2","Technical")</f>
        <v>0</v>
      </c>
      <c r="H150" s="230">
        <f>+GETPIVOTDATA("Sum of New-Total Undg CH FTE",'FTE Pivot for regular counts'!$A$2,"State","TX","Category","13","Category2","Technical")</f>
        <v>0</v>
      </c>
      <c r="I150" s="230">
        <f>+GETPIVOTDATA("Sum of New-Total Undg CH FTE",'FTE Pivot for regular counts'!$A$2,"State","TX","Category2","Technical")</f>
        <v>0</v>
      </c>
      <c r="J150" s="230"/>
      <c r="K150" s="230"/>
      <c r="P150" s="1" t="s">
        <v>708</v>
      </c>
      <c r="Q150" s="230">
        <f>+GETPIVOTDATA("Sum of Old-Total Undg CH FTE",'FTE Pivot for regular counts'!$A$2,"State","TX","Category","7","Category2","Two-Year")</f>
        <v>304.15000000000003</v>
      </c>
      <c r="R150" s="230">
        <f>+GETPIVOTDATA("Sum of Old-Total Undg CH FTE",'FTE Pivot for regular counts'!$A$2,"State","TX","Category","8","Category2","Two-Year")</f>
        <v>7218.4255555555565</v>
      </c>
      <c r="S150" s="230">
        <f>+GETPIVOTDATA("Sum of Old-Total Undg CH FTE",'FTE Pivot for regular counts'!$A$2,"State","TX","Category",9,"Category2","Two-Year")</f>
        <v>2452.4933333333329</v>
      </c>
      <c r="T150" s="230">
        <f>+GETPIVOTDATA("Sum of Old-Total Undg CH FTE",'FTE Pivot for regular counts'!$A$2,"State","TX","Category","10","Category2","Two-Year")</f>
        <v>419.53555555555556</v>
      </c>
      <c r="U150" s="231">
        <f>+GETPIVOTDATA("Sum of Old-Total Undg CH FTE",'FTE Pivot for regular counts'!$A$2,"State","TX","Category2","Two-Year")</f>
        <v>10394.604444444445</v>
      </c>
      <c r="V150" s="230">
        <f>+GETPIVOTDATA("Sum of Old-Total Undg CH FTE",'FTE Pivot for regular counts'!$A$2,"State","TX","Category","12","Category2","Technical")</f>
        <v>0</v>
      </c>
      <c r="W150" s="230">
        <f>+GETPIVOTDATA("Sum of Old-Total Undg CH FTE",'FTE Pivot for regular counts'!$A$2,"State","TX","Category","13","Category2","Technical")</f>
        <v>0</v>
      </c>
      <c r="X150" s="230">
        <f>+GETPIVOTDATA("Sum of Old-Total Undg CH FTE",'FTE Pivot for regular counts'!$A$2,"State","TX","Category2","Technical")</f>
        <v>0</v>
      </c>
      <c r="Y150" s="230"/>
    </row>
    <row r="151" spans="1:56" ht="15" customHeight="1">
      <c r="A151" s="1" t="s">
        <v>709</v>
      </c>
      <c r="B151" s="230">
        <f>+GETPIVOTDATA("Sum of New-Total Undg CH FTE",'FTE Pivot for regular counts'!$A$2,"State","VA","Category","7","Category2","Two-Year")</f>
        <v>0</v>
      </c>
      <c r="C151" s="230">
        <f>+GETPIVOTDATA("Sum of New-Total Undg CH FTE",'FTE Pivot for regular counts'!$A$2,"State","VA","Category","8","Category2","Two-Year")</f>
        <v>0</v>
      </c>
      <c r="D151" s="230">
        <f>+GETPIVOTDATA("Sum of New-Total Undg CH FTE",'FTE Pivot for regular counts'!$A$2,"State","VA","Category",9,"Category2","Two-Year")</f>
        <v>0</v>
      </c>
      <c r="E151" s="230">
        <f>+GETPIVOTDATA("Sum of New-Total Undg CH FTE",'FTE Pivot for regular counts'!$A$2,"State","VA","Category","10","Category2","Two-Year")</f>
        <v>0</v>
      </c>
      <c r="F151" s="231">
        <f>+GETPIVOTDATA("Sum of New-Total Undg CH FTE",'FTE Pivot for regular counts'!$A$2,"State","VA","Category2","Two-Year")</f>
        <v>0</v>
      </c>
      <c r="G151" s="230">
        <f>+GETPIVOTDATA("Sum of New-Total Undg CH FTE",'FTE Pivot for regular counts'!$A$2,"State","VA","Category","12","Category2","Technical")</f>
        <v>0</v>
      </c>
      <c r="H151" s="230">
        <f>+GETPIVOTDATA("Sum of New-Total Undg CH FTE",'FTE Pivot for regular counts'!$A$2,"State","VA","Category","13","Category2","Technical")</f>
        <v>0</v>
      </c>
      <c r="I151" s="230">
        <f>+GETPIVOTDATA("Sum of New-Total Undg CH FTE",'FTE Pivot for regular counts'!$A$2,"State","VA","Category2","Technical")</f>
        <v>0</v>
      </c>
      <c r="J151" s="230"/>
      <c r="K151" s="230"/>
      <c r="P151" s="1" t="s">
        <v>709</v>
      </c>
      <c r="Q151" s="230">
        <f>+GETPIVOTDATA("Sum of Old-Total Undg CH FTE",'FTE Pivot for regular counts'!$A$2,"State","VA","Category","7","Category2","Two-Year")</f>
        <v>0</v>
      </c>
      <c r="R151" s="230">
        <f>+GETPIVOTDATA("Sum of Old-Total Undg CH FTE",'FTE Pivot for regular counts'!$A$2,"State","VA","Category","8","Category2","Two-Year")</f>
        <v>0</v>
      </c>
      <c r="S151" s="230">
        <f>+GETPIVOTDATA("Sum of Old-Total Undg CH FTE",'FTE Pivot for regular counts'!$A$2,"State","VA","Category",9,"Category2","Two-Year")</f>
        <v>0</v>
      </c>
      <c r="T151" s="230">
        <f>+GETPIVOTDATA("Sum of Old-Total Undg CH FTE",'FTE Pivot for regular counts'!$A$2,"State","VA","Category","10","Category2","Two-Year")</f>
        <v>0</v>
      </c>
      <c r="U151" s="231">
        <f>+GETPIVOTDATA("Sum of Old-Total Undg CH FTE",'FTE Pivot for regular counts'!$A$2,"State","VA","Category2","Two-Year")</f>
        <v>0</v>
      </c>
      <c r="V151" s="230">
        <f>+GETPIVOTDATA("Sum of Old-Total Undg CH FTE",'FTE Pivot for regular counts'!$A$2,"State","VA","Category","12","Category2","Technical")</f>
        <v>0</v>
      </c>
      <c r="W151" s="230">
        <f>+GETPIVOTDATA("Sum of Old-Total Undg CH FTE",'FTE Pivot for regular counts'!$A$2,"State","VA","Category","13","Category2","Technical")</f>
        <v>0</v>
      </c>
      <c r="X151" s="230">
        <f>+GETPIVOTDATA("Sum of Old-Total Undg CH FTE",'FTE Pivot for regular counts'!$A$2,"State","VA","Category2","Technical")</f>
        <v>0</v>
      </c>
      <c r="Y151" s="230"/>
    </row>
    <row r="152" spans="1:56" ht="15" customHeight="1">
      <c r="A152" s="166" t="s">
        <v>710</v>
      </c>
      <c r="B152" s="234">
        <f>+GETPIVOTDATA("Sum of New-Total Undg CH FTE",'FTE Pivot for regular counts'!$A$2,"State","WV","Category","7","Category2","Two-Year")</f>
        <v>0</v>
      </c>
      <c r="C152" s="234">
        <f>+GETPIVOTDATA("Sum of New-Total Undg CH FTE",'FTE Pivot for regular counts'!$A$2,"State","WV","Category","8","Category2","Two-Year")</f>
        <v>0</v>
      </c>
      <c r="D152" s="234">
        <f>+GETPIVOTDATA("Sum of New-Total Undg CH FTE",'FTE Pivot for regular counts'!$A$2,"State","WV","Category",9,"Category2","Two-Year")</f>
        <v>0</v>
      </c>
      <c r="E152" s="234">
        <f>+GETPIVOTDATA("Sum of New-Total Undg CH FTE",'FTE Pivot for regular counts'!$A$2,"State","WV","Category","10","Category2","Two-Year")</f>
        <v>0</v>
      </c>
      <c r="F152" s="235">
        <f>+GETPIVOTDATA("Sum of New-Total Undg CH FTE",'FTE Pivot for regular counts'!$A$2,"State","WV","Category2","Two-Year")</f>
        <v>0</v>
      </c>
      <c r="G152" s="234">
        <f>+GETPIVOTDATA("Sum of New-Total Undg CH FTE",'FTE Pivot for regular counts'!$A$2,"State","WV","Category","12","Category2","Technical")</f>
        <v>0</v>
      </c>
      <c r="H152" s="234">
        <f>+GETPIVOTDATA("Sum of New-Total Undg CH FTE",'FTE Pivot for regular counts'!$A$2,"State","WV","Category","13","Category2","Technical")</f>
        <v>0</v>
      </c>
      <c r="I152" s="234">
        <f>+GETPIVOTDATA("Sum of New-Total Undg CH FTE",'FTE Pivot for regular counts'!$A$2,"State","WV","Category2","Technical")</f>
        <v>0</v>
      </c>
      <c r="J152" s="230"/>
      <c r="K152" s="230"/>
      <c r="P152" s="166" t="s">
        <v>710</v>
      </c>
      <c r="Q152" s="234">
        <f>+GETPIVOTDATA("Sum of Old-Total Undg CH FTE",'FTE Pivot for regular counts'!$A$2,"State","WV","Category","7","Category2","Two-Year")</f>
        <v>0</v>
      </c>
      <c r="R152" s="234">
        <f>+GETPIVOTDATA("Sum of Old-Total Undg CH FTE",'FTE Pivot for regular counts'!$A$2,"State","WV","Category","8","Category2","Two-Year")</f>
        <v>0</v>
      </c>
      <c r="S152" s="234">
        <f>+GETPIVOTDATA("Sum of Old-Total Undg CH FTE",'FTE Pivot for regular counts'!$A$2,"State","WV","Category",9,"Category2","Two-Year")</f>
        <v>0</v>
      </c>
      <c r="T152" s="234">
        <f>+GETPIVOTDATA("Sum of Old-Total Undg CH FTE",'FTE Pivot for regular counts'!$A$2,"State","WV","Category","10","Category2","Two-Year")</f>
        <v>0</v>
      </c>
      <c r="U152" s="235">
        <f>+GETPIVOTDATA("Sum of Old-Total Undg CH FTE",'FTE Pivot for regular counts'!$A$2,"State","WV","Category2","Two-Year")</f>
        <v>0</v>
      </c>
      <c r="V152" s="234">
        <f>+GETPIVOTDATA("Sum of Old-Total Undg CH FTE",'FTE Pivot for regular counts'!$A$2,"State","WV","Category","12","Category2","Technical")</f>
        <v>0</v>
      </c>
      <c r="W152" s="234">
        <f>+GETPIVOTDATA("Sum of Old-Total Undg CH FTE",'FTE Pivot for regular counts'!$A$2,"State","WV","Category","13","Category2","Technical")</f>
        <v>0</v>
      </c>
      <c r="X152" s="234">
        <f>+GETPIVOTDATA("Sum of Old-Total Undg CH FTE",'FTE Pivot for regular counts'!$A$2,"State","WV","Category2","Technical")</f>
        <v>0</v>
      </c>
      <c r="Y152" s="230"/>
    </row>
    <row r="153" spans="1:56" ht="36" customHeight="1">
      <c r="A153" s="648" t="s">
        <v>942</v>
      </c>
      <c r="B153" s="648"/>
      <c r="C153" s="648"/>
      <c r="D153" s="648"/>
      <c r="E153" s="648"/>
      <c r="F153" s="648"/>
      <c r="G153" s="648"/>
      <c r="H153" s="648"/>
      <c r="I153" s="648"/>
      <c r="J153" s="190"/>
      <c r="K153" s="159"/>
      <c r="L153" s="159"/>
    </row>
    <row r="154" spans="1:56" ht="10.5" customHeight="1">
      <c r="I154" s="179" t="s">
        <v>848</v>
      </c>
      <c r="J154" s="192"/>
      <c r="K154" s="221"/>
      <c r="L154" s="221"/>
      <c r="O154" s="179" t="s">
        <v>921</v>
      </c>
    </row>
    <row r="155" spans="1:56" ht="18">
      <c r="A155" s="116" t="s">
        <v>725</v>
      </c>
      <c r="B155" s="116"/>
      <c r="C155" s="116"/>
      <c r="D155" s="116"/>
      <c r="E155" s="116"/>
      <c r="F155" s="116"/>
      <c r="G155" s="116"/>
      <c r="H155" s="116"/>
      <c r="I155" s="116"/>
      <c r="J155" s="116"/>
      <c r="K155" s="116"/>
      <c r="L155" s="192"/>
      <c r="AD155" s="61"/>
      <c r="AE155" s="3"/>
      <c r="AF155" s="3"/>
      <c r="AG155" s="3"/>
      <c r="AH155" s="3"/>
    </row>
    <row r="156" spans="1:56" ht="15.75" customHeight="1">
      <c r="A156" s="120"/>
      <c r="B156" s="120"/>
      <c r="C156" s="120"/>
      <c r="D156" s="120"/>
      <c r="E156" s="120"/>
      <c r="F156" s="120"/>
      <c r="G156" s="120"/>
      <c r="H156" s="120"/>
      <c r="I156" s="120"/>
      <c r="J156" s="120"/>
      <c r="K156" s="120"/>
      <c r="L156" s="200"/>
      <c r="AC156" s="3"/>
      <c r="AI156" s="3"/>
    </row>
    <row r="157" spans="1:56" ht="18.75" customHeight="1">
      <c r="A157" s="122" t="s">
        <v>714</v>
      </c>
      <c r="B157" s="122"/>
      <c r="C157" s="122"/>
      <c r="D157" s="122"/>
      <c r="E157" s="122"/>
      <c r="F157" s="122"/>
      <c r="G157" s="122"/>
      <c r="H157" s="122"/>
      <c r="I157" s="122"/>
      <c r="J157" s="122"/>
      <c r="K157" s="122"/>
      <c r="L157" s="120"/>
      <c r="AC157" s="236"/>
      <c r="AD157" s="236"/>
      <c r="AE157" s="236"/>
      <c r="AF157" s="236"/>
      <c r="AG157" s="236"/>
      <c r="AH157" s="236"/>
      <c r="AI157" s="236"/>
      <c r="AR157" s="61" t="s">
        <v>676</v>
      </c>
      <c r="AY157" s="61" t="s">
        <v>676</v>
      </c>
    </row>
    <row r="158" spans="1:56" ht="15.75">
      <c r="A158" s="122" t="s">
        <v>939</v>
      </c>
      <c r="B158" s="122"/>
      <c r="C158" s="122"/>
      <c r="D158" s="122"/>
      <c r="E158" s="122"/>
      <c r="F158" s="122"/>
      <c r="G158" s="122"/>
      <c r="H158" s="122"/>
      <c r="I158" s="122"/>
      <c r="J158" s="122"/>
      <c r="K158" s="122"/>
      <c r="L158" s="201"/>
      <c r="Q158" s="3" t="s">
        <v>675</v>
      </c>
      <c r="AC158" s="236"/>
      <c r="AD158" s="236"/>
      <c r="AE158" s="236"/>
      <c r="AF158" s="236"/>
      <c r="AG158" s="236"/>
      <c r="AH158" s="236"/>
      <c r="AI158" s="236"/>
      <c r="AR158" s="4" t="s">
        <v>678</v>
      </c>
      <c r="AY158" s="4" t="s">
        <v>675</v>
      </c>
    </row>
    <row r="159" spans="1:56" ht="15.75">
      <c r="E159" s="166"/>
      <c r="G159" s="166"/>
      <c r="H159" s="166"/>
      <c r="I159" s="166"/>
      <c r="J159" s="166"/>
      <c r="K159" s="166"/>
      <c r="L159" s="201"/>
      <c r="M159" s="201"/>
      <c r="P159" s="166"/>
      <c r="Q159" s="237" t="s">
        <v>677</v>
      </c>
      <c r="R159" s="166"/>
      <c r="S159" s="166"/>
      <c r="T159" s="166"/>
      <c r="U159" s="166"/>
      <c r="V159" s="166"/>
      <c r="W159" s="166"/>
      <c r="X159" s="166"/>
      <c r="Y159" s="166"/>
      <c r="Z159" s="166"/>
      <c r="AA159" s="166"/>
      <c r="AC159" s="236"/>
      <c r="AD159" s="238" t="s">
        <v>726</v>
      </c>
      <c r="AE159" s="236"/>
      <c r="AF159" s="236"/>
      <c r="AG159" s="236"/>
      <c r="AH159" s="236"/>
      <c r="AI159" s="236"/>
      <c r="AJ159" s="239"/>
      <c r="AK159" s="240" t="s">
        <v>726</v>
      </c>
      <c r="AL159" s="241"/>
      <c r="AM159" s="241"/>
      <c r="AN159" s="241"/>
      <c r="AO159" s="241"/>
      <c r="AP159" s="241"/>
      <c r="AR159" s="166"/>
      <c r="AS159" s="166" t="s">
        <v>727</v>
      </c>
      <c r="AT159" s="166">
        <v>1</v>
      </c>
      <c r="AU159" s="166">
        <v>2</v>
      </c>
      <c r="AV159" s="166">
        <v>3</v>
      </c>
      <c r="AW159" s="166" t="s">
        <v>679</v>
      </c>
      <c r="AY159" s="166"/>
      <c r="AZ159" s="166" t="s">
        <v>727</v>
      </c>
      <c r="BA159" s="166">
        <v>1</v>
      </c>
      <c r="BB159" s="166">
        <v>2</v>
      </c>
      <c r="BC159" s="166">
        <v>3</v>
      </c>
      <c r="BD159" s="166" t="s">
        <v>679</v>
      </c>
    </row>
    <row r="160" spans="1:56" ht="12.75" customHeight="1" thickBot="1">
      <c r="A160" s="129"/>
      <c r="B160" s="242" t="s">
        <v>722</v>
      </c>
      <c r="C160" s="132"/>
      <c r="D160" s="243">
        <v>1</v>
      </c>
      <c r="F160" s="244">
        <v>2</v>
      </c>
      <c r="H160" s="244">
        <v>3</v>
      </c>
      <c r="J160" s="244" t="s">
        <v>679</v>
      </c>
      <c r="K160" s="245"/>
      <c r="P160" s="134"/>
      <c r="Q160" s="134"/>
      <c r="R160" s="134" t="s">
        <v>728</v>
      </c>
      <c r="S160" s="134"/>
      <c r="T160" s="135" t="s">
        <v>729</v>
      </c>
      <c r="U160" s="134"/>
      <c r="V160" s="135">
        <v>2</v>
      </c>
      <c r="W160" s="134"/>
      <c r="X160" s="135">
        <v>3</v>
      </c>
      <c r="Y160" s="134"/>
      <c r="Z160" s="135" t="s">
        <v>730</v>
      </c>
      <c r="AA160" s="134"/>
      <c r="AC160" s="236"/>
      <c r="AD160" s="246" t="s">
        <v>719</v>
      </c>
      <c r="AE160" s="246"/>
      <c r="AF160" s="247"/>
      <c r="AG160" s="247"/>
      <c r="AH160" s="247"/>
      <c r="AI160" s="247"/>
      <c r="AJ160" s="248"/>
      <c r="AK160" s="249" t="s">
        <v>719</v>
      </c>
      <c r="AL160" s="249"/>
      <c r="AM160" s="250"/>
      <c r="AN160" s="250"/>
      <c r="AO160" s="250"/>
      <c r="AP160" s="250"/>
    </row>
    <row r="161" spans="1:88" ht="78" customHeight="1" thickBot="1">
      <c r="A161" s="251"/>
      <c r="B161" s="245" t="s">
        <v>682</v>
      </c>
      <c r="C161" s="139" t="s">
        <v>683</v>
      </c>
      <c r="D161" s="252" t="s">
        <v>682</v>
      </c>
      <c r="E161" s="139" t="s">
        <v>683</v>
      </c>
      <c r="F161" s="252" t="s">
        <v>682</v>
      </c>
      <c r="G161" s="139" t="s">
        <v>683</v>
      </c>
      <c r="H161" s="252" t="s">
        <v>682</v>
      </c>
      <c r="I161" s="139" t="s">
        <v>683</v>
      </c>
      <c r="J161" s="252" t="s">
        <v>682</v>
      </c>
      <c r="K161" s="139" t="s">
        <v>683</v>
      </c>
      <c r="Q161" s="166"/>
      <c r="R161" s="142" t="s">
        <v>731</v>
      </c>
      <c r="S161" s="142" t="s">
        <v>685</v>
      </c>
      <c r="T161" s="143" t="s">
        <v>731</v>
      </c>
      <c r="U161" s="142" t="s">
        <v>685</v>
      </c>
      <c r="V161" s="143" t="s">
        <v>731</v>
      </c>
      <c r="W161" s="142" t="s">
        <v>685</v>
      </c>
      <c r="X161" s="143" t="s">
        <v>731</v>
      </c>
      <c r="Y161" s="142" t="s">
        <v>685</v>
      </c>
      <c r="Z161" s="143" t="s">
        <v>731</v>
      </c>
      <c r="AA161" s="142" t="s">
        <v>685</v>
      </c>
      <c r="AC161" s="253" t="s">
        <v>678</v>
      </c>
      <c r="AD161" s="254" t="s">
        <v>722</v>
      </c>
      <c r="AE161" s="255">
        <v>1</v>
      </c>
      <c r="AF161" s="256">
        <v>2</v>
      </c>
      <c r="AG161" s="256">
        <v>3</v>
      </c>
      <c r="AH161" s="254" t="s">
        <v>732</v>
      </c>
      <c r="AI161" s="256" t="s">
        <v>679</v>
      </c>
      <c r="AJ161" s="257" t="s">
        <v>675</v>
      </c>
      <c r="AK161" s="258" t="s">
        <v>722</v>
      </c>
      <c r="AL161" s="259">
        <v>1</v>
      </c>
      <c r="AM161" s="259">
        <v>2</v>
      </c>
      <c r="AN161" s="259">
        <v>3</v>
      </c>
      <c r="AO161" s="259" t="s">
        <v>732</v>
      </c>
      <c r="AP161" s="259" t="s">
        <v>679</v>
      </c>
      <c r="AR161" s="166"/>
      <c r="AS161" s="144" t="s">
        <v>686</v>
      </c>
      <c r="AT161" s="144" t="s">
        <v>686</v>
      </c>
      <c r="AU161" s="144" t="s">
        <v>686</v>
      </c>
      <c r="AV161" s="144" t="s">
        <v>686</v>
      </c>
      <c r="AW161" s="144" t="s">
        <v>686</v>
      </c>
      <c r="AY161" s="166"/>
      <c r="AZ161" s="144" t="s">
        <v>686</v>
      </c>
      <c r="BA161" s="144" t="s">
        <v>686</v>
      </c>
      <c r="BB161" s="144" t="s">
        <v>686</v>
      </c>
      <c r="BC161" s="144" t="s">
        <v>686</v>
      </c>
      <c r="BD161" s="144" t="s">
        <v>686</v>
      </c>
    </row>
    <row r="162" spans="1:88" ht="12.75" customHeight="1">
      <c r="A162" s="1" t="s">
        <v>687</v>
      </c>
      <c r="B162" s="230">
        <f>+'NEW-Tables 80-86'!B101+'NEW-Tables 80-86'!B132</f>
        <v>292709.20111111115</v>
      </c>
      <c r="D162" s="260">
        <f>+'NEW-Tables 80-86'!C101+'NEW-Tables 80-86'!C132</f>
        <v>603741.731111111</v>
      </c>
      <c r="F162" s="260">
        <f>+'NEW-Tables 80-86'!D101+'NEW-Tables 80-86'!D132</f>
        <v>307672.98666666669</v>
      </c>
      <c r="H162" s="260">
        <f>+'NEW-Tables 80-86'!E101+'NEW-Tables 80-86'!E132</f>
        <v>126235.41111111111</v>
      </c>
      <c r="J162" s="260">
        <f>+'NEW-Tables 80-86'!F101+'NEW-Tables 80-86'!F132</f>
        <v>1330359.3299999998</v>
      </c>
      <c r="Q162" s="1" t="s">
        <v>687</v>
      </c>
      <c r="R162" s="261"/>
      <c r="S162" s="262">
        <f>C162-R162</f>
        <v>0</v>
      </c>
      <c r="T162" s="151"/>
      <c r="U162" s="262">
        <f>E162-T162</f>
        <v>0</v>
      </c>
      <c r="V162" s="151"/>
      <c r="W162" s="262">
        <f>G162-V162</f>
        <v>0</v>
      </c>
      <c r="X162" s="151"/>
      <c r="Y162" s="262">
        <f>I162-X162</f>
        <v>0</v>
      </c>
      <c r="Z162" s="151"/>
      <c r="AA162" s="262">
        <f>K162-Z162</f>
        <v>0</v>
      </c>
      <c r="AC162" s="236" t="s">
        <v>687</v>
      </c>
      <c r="AD162" s="263">
        <f t="shared" ref="AD162:AI162" si="20">SUM(AD164:AD182)</f>
        <v>269807.69333333336</v>
      </c>
      <c r="AE162" s="263">
        <f t="shared" si="20"/>
        <v>328017.81555555557</v>
      </c>
      <c r="AF162" s="263">
        <f t="shared" si="20"/>
        <v>233691.56777777779</v>
      </c>
      <c r="AG162" s="263">
        <f t="shared" si="20"/>
        <v>124358.44444444445</v>
      </c>
      <c r="AH162" s="263">
        <f t="shared" si="20"/>
        <v>134573.74222222221</v>
      </c>
      <c r="AI162" s="263">
        <f t="shared" si="20"/>
        <v>1330359.3299999998</v>
      </c>
      <c r="AJ162" s="248" t="s">
        <v>687</v>
      </c>
      <c r="AK162" s="264">
        <f t="shared" ref="AK162:AP162" si="21">SUM(AK164:AK182)</f>
        <v>296013.33</v>
      </c>
      <c r="AL162" s="264">
        <f t="shared" si="21"/>
        <v>296171.2</v>
      </c>
      <c r="AM162" s="264">
        <f t="shared" si="21"/>
        <v>219012.42666666667</v>
      </c>
      <c r="AN162" s="264">
        <f t="shared" si="21"/>
        <v>126696.97722222222</v>
      </c>
      <c r="AO162" s="264">
        <f t="shared" si="21"/>
        <v>165412.4011111111</v>
      </c>
      <c r="AP162" s="264">
        <f t="shared" si="21"/>
        <v>1466205.9138888889</v>
      </c>
      <c r="AR162" s="1" t="s">
        <v>687</v>
      </c>
      <c r="AY162" s="1" t="s">
        <v>687</v>
      </c>
      <c r="BH162" s="6"/>
      <c r="BI162" s="6"/>
      <c r="BJ162" s="6"/>
    </row>
    <row r="163" spans="1:88" ht="12.75" customHeight="1">
      <c r="A163" s="265"/>
      <c r="B163" s="266"/>
      <c r="C163" s="267" t="s">
        <v>733</v>
      </c>
      <c r="D163" s="268" t="s">
        <v>721</v>
      </c>
      <c r="E163" s="267" t="s">
        <v>734</v>
      </c>
      <c r="F163" s="268" t="s">
        <v>721</v>
      </c>
      <c r="G163" s="267" t="s">
        <v>735</v>
      </c>
      <c r="H163" s="269" t="s">
        <v>721</v>
      </c>
      <c r="I163" s="267" t="s">
        <v>736</v>
      </c>
      <c r="J163" s="269" t="s">
        <v>721</v>
      </c>
      <c r="K163" s="267" t="s">
        <v>737</v>
      </c>
      <c r="L163" s="1" t="s">
        <v>721</v>
      </c>
      <c r="P163" s="6"/>
      <c r="R163" s="156" t="s">
        <v>738</v>
      </c>
      <c r="S163" s="270"/>
      <c r="T163" s="158" t="s">
        <v>739</v>
      </c>
      <c r="U163" s="270"/>
      <c r="V163" s="158" t="s">
        <v>740</v>
      </c>
      <c r="W163" s="270"/>
      <c r="X163" s="158" t="s">
        <v>741</v>
      </c>
      <c r="Y163" s="270"/>
      <c r="Z163" s="158" t="s">
        <v>742</v>
      </c>
      <c r="AA163" s="270"/>
      <c r="AB163" s="6"/>
      <c r="AC163" s="236"/>
      <c r="AD163" s="263"/>
      <c r="AE163" s="263"/>
      <c r="AF163" s="263"/>
      <c r="AG163" s="263"/>
      <c r="AH163" s="263"/>
      <c r="AI163" s="263"/>
      <c r="AJ163" s="248"/>
      <c r="AK163" s="264"/>
      <c r="AL163" s="264"/>
      <c r="AM163" s="264"/>
      <c r="AN163" s="241"/>
      <c r="AO163" s="241"/>
      <c r="AP163" s="241"/>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row>
    <row r="164" spans="1:88" s="6" customFormat="1" ht="15" customHeight="1">
      <c r="A164" s="1" t="s">
        <v>695</v>
      </c>
      <c r="B164" s="230">
        <f>+'NEW-Tables 80-86'!B103+'NEW-Tables 80-86'!B134</f>
        <v>0</v>
      </c>
      <c r="C164" s="271">
        <f>+GETPIVOTDATA("Sum of New-HS % of Total",'Pivot-HS Student % of Undergrad'!$A$3,"State","AL","Category",7,"Category2","Two-Year")</f>
        <v>0</v>
      </c>
      <c r="D164" s="260">
        <f>+'NEW-Tables 80-86'!C103+'NEW-Tables 80-86'!C134</f>
        <v>15829.333333333334</v>
      </c>
      <c r="E164" s="271">
        <f>+GETPIVOTDATA("Sum of New-HS % of Total",'Pivot-HS Student % of Undergrad'!$A$3,"State","AL","Category",8,"Category2","Two-Year")</f>
        <v>9.9189268867924535E-2</v>
      </c>
      <c r="F164" s="260">
        <f>+'NEW-Tables 80-86'!D103+'NEW-Tables 80-86'!D134</f>
        <v>23782.3</v>
      </c>
      <c r="G164" s="271">
        <f>+GETPIVOTDATA("Sum of New-HS % of Total",'Pivot-HS Student % of Undergrad'!$A$3,"State","AL","Category",9,"Category2","Two-Year")</f>
        <v>7.5857535506097667E-2</v>
      </c>
      <c r="H164" s="260">
        <f>+'NEW-Tables 80-86'!E103+'NEW-Tables 80-86'!E134</f>
        <v>9146.1333333333332</v>
      </c>
      <c r="I164" s="271">
        <f>+GETPIVOTDATA("Sum of New-HS % of Total",'Pivot-HS Student % of Undergrad'!$A$3,"State","AL","Category",10,"Category2","Two-Year")</f>
        <v>0.15335442299842555</v>
      </c>
      <c r="J164" s="260">
        <f>+'NEW-Tables 80-86'!F103+'NEW-Tables 80-86'!F134</f>
        <v>48757.766666666663</v>
      </c>
      <c r="K164" s="271">
        <f>+GETPIVOTDATA("Sum of New-HS % of Total",'Pivot-HS Student % of Undergrad'!$A$3,"State","AL","Category2","Group2")</f>
        <v>9.796934915668136E-2</v>
      </c>
      <c r="L164" s="6" t="s">
        <v>721</v>
      </c>
      <c r="P164" s="1"/>
      <c r="Q164" s="1" t="s">
        <v>695</v>
      </c>
      <c r="R164" s="161">
        <f>+GETPIVOTDATA("Sum of Old-HS % of Total",'Pivot-HS Student % of Undergrad'!$A$3,"State","AL","Category",7,"Category2","Two-Year")</f>
        <v>0</v>
      </c>
      <c r="S164" s="272">
        <f>(C164-R164)*100</f>
        <v>0</v>
      </c>
      <c r="T164" s="151">
        <f>+GETPIVOTDATA("Sum of Old-HS % of Total",'Pivot-HS Student % of Undergrad'!$A$3,"State","AL","Category",8,"Category2","Two-Year")</f>
        <v>9.3370396164685301E-2</v>
      </c>
      <c r="U164" s="272">
        <f>(E164-T164)*100</f>
        <v>0.58188727032392329</v>
      </c>
      <c r="V164" s="151">
        <f>+GETPIVOTDATA("Sum of Old-HS % of Total",'Pivot-HS Student % of Undergrad'!$A$3,"State","AL","Category",9,"Category2","Two-Year")</f>
        <v>6.7931255529596252E-2</v>
      </c>
      <c r="W164" s="272">
        <f>(G164-V164)*100</f>
        <v>0.79262799765014158</v>
      </c>
      <c r="X164" s="151">
        <f>+GETPIVOTDATA("Sum of Old-HS % of Total",'Pivot-HS Student % of Undergrad'!$A$3,"State","AL","Category",10,"Category2","Two-Year")</f>
        <v>0.12860210310088474</v>
      </c>
      <c r="Y164" s="272">
        <f>(I164-X164)*100</f>
        <v>2.4752319897540813</v>
      </c>
      <c r="Z164" s="151">
        <f>+GETPIVOTDATA("Sum of Old-HS % of Total",'Pivot-HS Student % of Undergrad'!$A$3,"State","AL","Category2","Two-Year")</f>
        <v>8.7532575707861771E-2</v>
      </c>
      <c r="AA164" s="272">
        <f>(K164-Z164)*100</f>
        <v>1.043677344881959</v>
      </c>
      <c r="AB164" s="1"/>
      <c r="AC164" s="236" t="s">
        <v>695</v>
      </c>
      <c r="AD164" s="263">
        <f>+B164</f>
        <v>0</v>
      </c>
      <c r="AE164" s="263">
        <f>+D164</f>
        <v>15829.333333333334</v>
      </c>
      <c r="AF164" s="263">
        <f>+F164</f>
        <v>23782.3</v>
      </c>
      <c r="AG164" s="263">
        <f>+H164</f>
        <v>9146.1333333333332</v>
      </c>
      <c r="AH164" s="263"/>
      <c r="AI164" s="263">
        <f>+J164</f>
        <v>48757.766666666663</v>
      </c>
      <c r="AJ164" s="248" t="s">
        <v>695</v>
      </c>
      <c r="AK164" s="264">
        <f>+'NEW-Tables 80-86'!R103+'NEW-Tables 80-86'!Q134</f>
        <v>0</v>
      </c>
      <c r="AL164" s="264">
        <f>+'NEW-Tables 80-86'!S103+'NEW-Tables 80-86'!R134</f>
        <v>16464.533333333333</v>
      </c>
      <c r="AM164" s="264">
        <f>+'NEW-Tables 80-86'!T103+'NEW-Tables 80-86'!S134</f>
        <v>25167.600000000002</v>
      </c>
      <c r="AN164" s="264">
        <f>+'NEW-Tables 80-86'!U103+'NEW-Tables 80-86'!T134</f>
        <v>9671.4333333333343</v>
      </c>
      <c r="AO164" s="264"/>
      <c r="AP164" s="273">
        <f>+'NEW-Tables 80-86'!V103+'NEW-Tables 80-86'!U134</f>
        <v>51303.566666666666</v>
      </c>
      <c r="AQ164" s="1"/>
      <c r="AR164" s="1" t="s">
        <v>695</v>
      </c>
      <c r="AS164" s="274">
        <f>C164*100</f>
        <v>0</v>
      </c>
      <c r="AT164" s="274">
        <f>E164*100</f>
        <v>9.9189268867924536</v>
      </c>
      <c r="AU164" s="274">
        <f>G164*100</f>
        <v>7.5857535506097671</v>
      </c>
      <c r="AV164" s="274">
        <f>I164*100</f>
        <v>15.335442299842555</v>
      </c>
      <c r="AW164" s="274">
        <f>K164*100</f>
        <v>9.7969349156681353</v>
      </c>
      <c r="AY164" s="1" t="s">
        <v>695</v>
      </c>
      <c r="AZ164" s="274">
        <f>R164*100</f>
        <v>0</v>
      </c>
      <c r="BA164" s="274">
        <f>T164*100</f>
        <v>9.3370396164685303</v>
      </c>
      <c r="BB164" s="274">
        <f>V164*100</f>
        <v>6.7931255529596255</v>
      </c>
      <c r="BC164" s="274">
        <f>X164*100</f>
        <v>12.860210310088474</v>
      </c>
      <c r="BD164" s="274">
        <f>Z164*100</f>
        <v>8.7532575707861771</v>
      </c>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row>
    <row r="165" spans="1:88" ht="15" customHeight="1">
      <c r="A165" s="1" t="s">
        <v>696</v>
      </c>
      <c r="B165" s="230">
        <f>+'NEW-Tables 80-86'!B104+'NEW-Tables 80-86'!B135</f>
        <v>0</v>
      </c>
      <c r="C165" s="271">
        <f>+GETPIVOTDATA("Sum of New-HS % of Total",'Pivot-HS Student % of Undergrad'!$A$3,"State","AR","Category",7,"Category2","Two-Year")</f>
        <v>0</v>
      </c>
      <c r="D165" s="260">
        <f>+'NEW-Tables 80-86'!C104+'NEW-Tables 80-86'!C135</f>
        <v>4241.1333333333332</v>
      </c>
      <c r="E165" s="271">
        <f>+GETPIVOTDATA("Sum of New-HS % of Total",'Pivot-HS Student % of Undergrad'!$A$3,"State","AR","Category",8,"Category2","Two-Year")</f>
        <v>0.15532797837056134</v>
      </c>
      <c r="F165" s="260">
        <f>+'NEW-Tables 80-86'!D104+'NEW-Tables 80-86'!D135</f>
        <v>5436.7333333333336</v>
      </c>
      <c r="G165" s="271">
        <f>+GETPIVOTDATA("Sum of New-HS % of Total",'Pivot-HS Student % of Undergrad'!$A$3,"State","AR","Category",9,"Category2","Two-Year")</f>
        <v>6.3726992924672904E-2</v>
      </c>
      <c r="H165" s="260">
        <f>+'NEW-Tables 80-86'!E104+'NEW-Tables 80-86'!E135</f>
        <v>17433.599999999999</v>
      </c>
      <c r="I165" s="271">
        <f>+GETPIVOTDATA("Sum of New-HS % of Total",'Pivot-HS Student % of Undergrad'!$A$3,"State","AR","Category",10,"Category2","Two-Year")</f>
        <v>0.1556113864415076</v>
      </c>
      <c r="J165" s="260">
        <f>+'NEW-Tables 80-86'!F104+'NEW-Tables 80-86'!F135</f>
        <v>27111.466666666667</v>
      </c>
      <c r="K165" s="271">
        <f>+GETPIVOTDATA("Sum of New-HS % of Total",'Pivot-HS Student % of Undergrad'!$A$3,"State","AR","Category2","Group2")</f>
        <v>0.13714123421332181</v>
      </c>
      <c r="Q165" s="1" t="s">
        <v>696</v>
      </c>
      <c r="R165" s="161">
        <f>+GETPIVOTDATA("Sum of Old-HS % of Total",'Pivot-HS Student % of Undergrad'!$A$3,"State","AR","Category",7,"Category2","Two-Year")</f>
        <v>0</v>
      </c>
      <c r="S165" s="272">
        <f t="shared" ref="S165:S182" si="22">(C165-R165)*100</f>
        <v>0</v>
      </c>
      <c r="T165" s="151">
        <f>+GETPIVOTDATA("Sum of Old-HS % of Total",'Pivot-HS Student % of Undergrad'!$A$3,"State","AR","Category",8,"Category2","Two-Year")</f>
        <v>0.13559069529869963</v>
      </c>
      <c r="U165" s="272">
        <f t="shared" ref="U165:U182" si="23">(E165-T165)*100</f>
        <v>1.9737283071861706</v>
      </c>
      <c r="V165" s="151">
        <f>+GETPIVOTDATA("Sum of Old-HS % of Total",'Pivot-HS Student % of Undergrad'!$A$3,"State","AR","Category",9,"Category2","Two-Year")</f>
        <v>6.4812777753333037E-2</v>
      </c>
      <c r="W165" s="272">
        <f t="shared" ref="W165:W182" si="24">(G165-V165)*100</f>
        <v>-0.10857848286601329</v>
      </c>
      <c r="X165" s="151">
        <f>+GETPIVOTDATA("Sum of Old-HS % of Total",'Pivot-HS Student % of Undergrad'!$A$3,"State","AR","Category",10,"Category2","Two-Year")</f>
        <v>0.14322439215219676</v>
      </c>
      <c r="Y165" s="272">
        <f t="shared" ref="Y165:Y182" si="25">(I165-X165)*100</f>
        <v>1.2386994289310838</v>
      </c>
      <c r="Z165" s="151">
        <f>+GETPIVOTDATA("Sum of Old-HS % of Total",'Pivot-HS Student % of Undergrad'!$A$3,"State","AR","Category2","Two-Year")</f>
        <v>0.12575101426813146</v>
      </c>
      <c r="AA165" s="272">
        <f t="shared" ref="AA165:AA182" si="26">(K165-Z165)*100</f>
        <v>1.139021994519035</v>
      </c>
      <c r="AB165" s="275"/>
      <c r="AC165" s="236" t="s">
        <v>696</v>
      </c>
      <c r="AD165" s="263">
        <f>+B165</f>
        <v>0</v>
      </c>
      <c r="AE165" s="263">
        <f>+D165</f>
        <v>4241.1333333333332</v>
      </c>
      <c r="AF165" s="263">
        <f>+F165</f>
        <v>5436.7333333333336</v>
      </c>
      <c r="AG165" s="263">
        <f>+H165</f>
        <v>17433.599999999999</v>
      </c>
      <c r="AH165" s="263"/>
      <c r="AI165" s="263">
        <f>+J165</f>
        <v>27111.466666666667</v>
      </c>
      <c r="AJ165" s="248" t="s">
        <v>696</v>
      </c>
      <c r="AK165" s="264">
        <f>+'NEW-Tables 80-86'!R104+'NEW-Tables 80-86'!Q135</f>
        <v>0</v>
      </c>
      <c r="AL165" s="264">
        <f>+'NEW-Tables 80-86'!S104+'NEW-Tables 80-86'!R135</f>
        <v>4698.7</v>
      </c>
      <c r="AM165" s="264">
        <f>+'NEW-Tables 80-86'!T104+'NEW-Tables 80-86'!S135</f>
        <v>6060.5333333333328</v>
      </c>
      <c r="AN165" s="264">
        <f>+'NEW-Tables 80-86'!U104+'NEW-Tables 80-86'!T135</f>
        <v>18490.099999999999</v>
      </c>
      <c r="AO165" s="264"/>
      <c r="AP165" s="273">
        <f>+'NEW-Tables 80-86'!V104+'NEW-Tables 80-86'!U135</f>
        <v>29249.333333333332</v>
      </c>
      <c r="AR165" s="1" t="s">
        <v>696</v>
      </c>
      <c r="AS165" s="274">
        <f t="shared" ref="AS165:AS182" si="27">C165*100</f>
        <v>0</v>
      </c>
      <c r="AT165" s="274">
        <f t="shared" ref="AT165:AT182" si="28">E165*100</f>
        <v>15.532797837056133</v>
      </c>
      <c r="AU165" s="274">
        <f t="shared" ref="AU165:AU182" si="29">G165*100</f>
        <v>6.3726992924672903</v>
      </c>
      <c r="AV165" s="274">
        <f t="shared" ref="AV165:AV182" si="30">I165*100</f>
        <v>15.561138644150759</v>
      </c>
      <c r="AW165" s="274">
        <f t="shared" ref="AW165:AW182" si="31">K165*100</f>
        <v>13.714123421332181</v>
      </c>
      <c r="AY165" s="1" t="s">
        <v>696</v>
      </c>
      <c r="AZ165" s="274">
        <f t="shared" ref="AZ165:AZ182" si="32">R165*100</f>
        <v>0</v>
      </c>
      <c r="BA165" s="274">
        <f t="shared" ref="BA165:BA182" si="33">T165*100</f>
        <v>13.559069529869964</v>
      </c>
      <c r="BB165" s="274">
        <f t="shared" ref="BB165:BB182" si="34">V165*100</f>
        <v>6.4812777753333037</v>
      </c>
      <c r="BC165" s="274">
        <f t="shared" ref="BC165:BC182" si="35">X165*100</f>
        <v>14.322439215219676</v>
      </c>
      <c r="BD165" s="274">
        <f t="shared" ref="BD165:BD182" si="36">Z165*100</f>
        <v>12.575101426813145</v>
      </c>
    </row>
    <row r="166" spans="1:88" ht="15" customHeight="1">
      <c r="A166" s="1" t="s">
        <v>697</v>
      </c>
      <c r="B166" s="230">
        <f>+'NEW-Tables 80-86'!B105+'NEW-Tables 80-86'!B136</f>
        <v>7603.5</v>
      </c>
      <c r="C166" s="271">
        <f>+GETPIVOTDATA("Sum of New-HS % of Total",'Pivot-HS Student % of Undergrad'!$A$3,"State","DE","Category",7,"Category2","Two-Year")</f>
        <v>0</v>
      </c>
      <c r="D166" s="260">
        <f>+'NEW-Tables 80-86'!C105+'NEW-Tables 80-86'!C136</f>
        <v>0</v>
      </c>
      <c r="E166" s="271">
        <f>+GETPIVOTDATA("Sum of New-HS % of Total",'Pivot-HS Student % of Undergrad'!$A$3,"State","DE","Category",8,"Category2","Two-Year")</f>
        <v>0</v>
      </c>
      <c r="F166" s="260">
        <f>+'NEW-Tables 80-86'!D105+'NEW-Tables 80-86'!D136</f>
        <v>0</v>
      </c>
      <c r="G166" s="271">
        <f>+GETPIVOTDATA("Sum of New-HS % of Total",'Pivot-HS Student % of Undergrad'!$A$3,"State","DE","Category",9,"Category2","Two-Year")</f>
        <v>0</v>
      </c>
      <c r="H166" s="260">
        <f>+'NEW-Tables 80-86'!E105+'NEW-Tables 80-86'!E136</f>
        <v>0</v>
      </c>
      <c r="I166" s="271">
        <f>+GETPIVOTDATA("Sum of New-HS % of Total",'Pivot-HS Student % of Undergrad'!$A$3,"State","DE","Category",10,"Category2","Two-Year")</f>
        <v>0</v>
      </c>
      <c r="J166" s="260">
        <f>+'NEW-Tables 80-86'!F105+'NEW-Tables 80-86'!F136</f>
        <v>7603.5</v>
      </c>
      <c r="K166" s="271">
        <f>+GETPIVOTDATA("Sum of New-HS % of Total",'Pivot-HS Student % of Undergrad'!$A$3,"State","DE","Category2","Group2")</f>
        <v>0</v>
      </c>
      <c r="Q166" s="1" t="s">
        <v>697</v>
      </c>
      <c r="R166" s="161">
        <f>+GETPIVOTDATA("Sum of Old-HS % of Total",'Pivot-HS Student % of Undergrad'!$A$3,"State","DE","Category",7,"Category2","Two-Year")</f>
        <v>0</v>
      </c>
      <c r="S166" s="272">
        <f t="shared" si="22"/>
        <v>0</v>
      </c>
      <c r="T166" s="151">
        <f>+GETPIVOTDATA("Sum of Old-HS % of Total",'Pivot-HS Student % of Undergrad'!$A$3,"State","DE","Category",8,"Category2","Two-Year")</f>
        <v>0</v>
      </c>
      <c r="U166" s="272">
        <f t="shared" si="23"/>
        <v>0</v>
      </c>
      <c r="V166" s="151">
        <f>+GETPIVOTDATA("Sum of Old-HS % of Total",'Pivot-HS Student % of Undergrad'!$A$3,"State","DE","Category",9,"Category2","Two-Year")</f>
        <v>0</v>
      </c>
      <c r="W166" s="272">
        <f t="shared" si="24"/>
        <v>0</v>
      </c>
      <c r="X166" s="151">
        <f>+GETPIVOTDATA("Sum of Old-HS % of Total",'Pivot-HS Student % of Undergrad'!$A$3,"State","DE","Category",10,"Category2","Two-Year")</f>
        <v>0</v>
      </c>
      <c r="Y166" s="272">
        <f t="shared" si="25"/>
        <v>0</v>
      </c>
      <c r="Z166" s="151">
        <f>+GETPIVOTDATA("Sum of Old-HS % of Total",'Pivot-HS Student % of Undergrad'!$A$3,"State","DE","Category2","Two-Year")</f>
        <v>0</v>
      </c>
      <c r="AA166" s="272">
        <f t="shared" si="26"/>
        <v>0</v>
      </c>
      <c r="AC166" s="236" t="s">
        <v>697</v>
      </c>
      <c r="AD166" s="263">
        <f>+B166</f>
        <v>7603.5</v>
      </c>
      <c r="AE166" s="263">
        <f>+D166</f>
        <v>0</v>
      </c>
      <c r="AF166" s="263">
        <f>+F166</f>
        <v>0</v>
      </c>
      <c r="AG166" s="263">
        <f>+H166</f>
        <v>0</v>
      </c>
      <c r="AH166" s="263"/>
      <c r="AI166" s="263">
        <f>+J166</f>
        <v>7603.5</v>
      </c>
      <c r="AJ166" s="248" t="s">
        <v>697</v>
      </c>
      <c r="AK166" s="264">
        <f>+'NEW-Tables 80-86'!R105+'NEW-Tables 80-86'!Q136</f>
        <v>8302.7000000000007</v>
      </c>
      <c r="AL166" s="264">
        <f>+'NEW-Tables 80-86'!S105+'NEW-Tables 80-86'!R136</f>
        <v>0</v>
      </c>
      <c r="AM166" s="264">
        <f>+'NEW-Tables 80-86'!T105+'NEW-Tables 80-86'!S136</f>
        <v>0</v>
      </c>
      <c r="AN166" s="264">
        <f>+'NEW-Tables 80-86'!U105+'NEW-Tables 80-86'!T136</f>
        <v>0</v>
      </c>
      <c r="AO166" s="264"/>
      <c r="AP166" s="273">
        <f>+'NEW-Tables 80-86'!V105+'NEW-Tables 80-86'!U136</f>
        <v>8302.7000000000007</v>
      </c>
      <c r="AR166" s="1" t="s">
        <v>697</v>
      </c>
      <c r="AS166" s="274">
        <f t="shared" si="27"/>
        <v>0</v>
      </c>
      <c r="AT166" s="274">
        <f t="shared" si="28"/>
        <v>0</v>
      </c>
      <c r="AU166" s="274">
        <f t="shared" si="29"/>
        <v>0</v>
      </c>
      <c r="AV166" s="274">
        <f t="shared" si="30"/>
        <v>0</v>
      </c>
      <c r="AW166" s="274">
        <f t="shared" si="31"/>
        <v>0</v>
      </c>
      <c r="AY166" s="1" t="s">
        <v>697</v>
      </c>
      <c r="AZ166" s="274">
        <f t="shared" si="32"/>
        <v>0</v>
      </c>
      <c r="BA166" s="274">
        <f t="shared" si="33"/>
        <v>0</v>
      </c>
      <c r="BB166" s="274">
        <f t="shared" si="34"/>
        <v>0</v>
      </c>
      <c r="BC166" s="274">
        <f t="shared" si="35"/>
        <v>0</v>
      </c>
      <c r="BD166" s="274">
        <f t="shared" si="36"/>
        <v>0</v>
      </c>
    </row>
    <row r="167" spans="1:88" ht="15" customHeight="1">
      <c r="A167" s="1" t="s">
        <v>698</v>
      </c>
      <c r="B167" s="230">
        <f>+'NEW-Tables 80-86'!B106+'NEW-Tables 80-86'!B137</f>
        <v>251634.96</v>
      </c>
      <c r="C167" s="271">
        <f>+GETPIVOTDATA("Sum of New-HS % of Total",'Pivot-HS Student % of Undergrad'!$A$3,"State","FL","Category",7,"Category2","Two-Year")</f>
        <v>5.1142232914582544E-2</v>
      </c>
      <c r="D167" s="260">
        <f>+'NEW-Tables 80-86'!C106+'NEW-Tables 80-86'!C137</f>
        <v>28245.964444444446</v>
      </c>
      <c r="E167" s="271">
        <f>+GETPIVOTDATA("Sum of New-HS % of Total",'Pivot-HS Student % of Undergrad'!$A$3,"State","FL","Category",8,"Category2","Two-Year")</f>
        <v>3.2308046077701373E-2</v>
      </c>
      <c r="F167" s="260">
        <f>+'NEW-Tables 80-86'!D106+'NEW-Tables 80-86'!D137</f>
        <v>0</v>
      </c>
      <c r="G167" s="271">
        <f>+GETPIVOTDATA("Sum of New-HS % of Total",'Pivot-HS Student % of Undergrad'!$A$3,"State","FL","Category",9,"Category2","Two-Year")</f>
        <v>0</v>
      </c>
      <c r="H167" s="260">
        <f>+'NEW-Tables 80-86'!E106+'NEW-Tables 80-86'!E137</f>
        <v>1638.63</v>
      </c>
      <c r="I167" s="271">
        <f>+GETPIVOTDATA("Sum of New-HS % of Total",'Pivot-HS Student % of Undergrad'!$A$3,"State","FL","Category",10,"Category2","Two-Year")</f>
        <v>4.0528178047115886E-2</v>
      </c>
      <c r="J167" s="260">
        <f>+'NEW-Tables 80-86'!F106+'NEW-Tables 80-86'!F137</f>
        <v>281519.55444444448</v>
      </c>
      <c r="K167" s="271">
        <f>+GETPIVOTDATA("Sum of New-HS % of Total",'Pivot-HS Student % of Undergrad'!$A$3,"State","FL","Category2","Group2")</f>
        <v>4.8691706613138444E-2</v>
      </c>
      <c r="Q167" s="1" t="s">
        <v>698</v>
      </c>
      <c r="R167" s="161">
        <f>+GETPIVOTDATA("Sum of Old-HS % of Total",'Pivot-HS Student % of Undergrad'!$A$3,"State","FL","Category",7,"Category2","Two-Year")</f>
        <v>5.1696317480212597E-2</v>
      </c>
      <c r="S167" s="272">
        <f t="shared" si="22"/>
        <v>-5.5408456563005304E-2</v>
      </c>
      <c r="T167" s="276">
        <f>+GETPIVOTDATA("Sum of Old-HS % of Total",'Pivot-HS Student % of Undergrad'!$A$3,"State","FL","Category",8,"Category2","Two-Year")</f>
        <v>2.876395219591573E-2</v>
      </c>
      <c r="U167" s="272">
        <f t="shared" si="23"/>
        <v>0.35440938817856427</v>
      </c>
      <c r="V167" s="151">
        <f>+GETPIVOTDATA("Sum of Old-HS % of Total",'Pivot-HS Student % of Undergrad'!$A$3,"State","FL","Category",9,"Category2","Two-Year")</f>
        <v>0</v>
      </c>
      <c r="W167" s="272">
        <f t="shared" si="24"/>
        <v>0</v>
      </c>
      <c r="X167" s="151">
        <f>+GETPIVOTDATA("Sum of Old-HS % of Total",'Pivot-HS Student % of Undergrad'!$A$3,"State","FL","Category",10,"Category2","Two-Year")</f>
        <v>5.8233018521320047E-2</v>
      </c>
      <c r="Y167" s="272">
        <f t="shared" si="25"/>
        <v>-1.7704840474204162</v>
      </c>
      <c r="Z167" s="151">
        <f>+GETPIVOTDATA("Sum of Old-HS % of Total",'Pivot-HS Student % of Undergrad'!$A$3,"State","FL","Category2","Two-Year")</f>
        <v>4.8802873238416034E-2</v>
      </c>
      <c r="AA167" s="272">
        <f t="shared" si="26"/>
        <v>-1.1116662527758947E-2</v>
      </c>
      <c r="AC167" s="236" t="s">
        <v>698</v>
      </c>
      <c r="AD167" s="263">
        <f>+B167</f>
        <v>251634.96</v>
      </c>
      <c r="AE167" s="263">
        <f>+D167</f>
        <v>28245.964444444446</v>
      </c>
      <c r="AF167" s="263">
        <f>+F167</f>
        <v>0</v>
      </c>
      <c r="AG167" s="263">
        <f>+H167</f>
        <v>1638.63</v>
      </c>
      <c r="AH167" s="263"/>
      <c r="AI167" s="263">
        <f>+J167</f>
        <v>281519.55444444448</v>
      </c>
      <c r="AJ167" s="248" t="s">
        <v>698</v>
      </c>
      <c r="AK167" s="264">
        <f>+'NEW-Tables 80-86'!R106+'NEW-Tables 80-86'!Q137</f>
        <v>275621.4966666667</v>
      </c>
      <c r="AL167" s="264">
        <f>+'NEW-Tables 80-86'!S106+'NEW-Tables 80-86'!R137</f>
        <v>29592.867777777781</v>
      </c>
      <c r="AM167" s="264">
        <f>+'NEW-Tables 80-86'!T106+'NEW-Tables 80-86'!S137</f>
        <v>0</v>
      </c>
      <c r="AN167" s="264">
        <f>+'NEW-Tables 80-86'!U106+'NEW-Tables 80-86'!T137</f>
        <v>1582.8911111111111</v>
      </c>
      <c r="AO167" s="264"/>
      <c r="AP167" s="273">
        <f>+'NEW-Tables 80-86'!V106+'NEW-Tables 80-86'!U137</f>
        <v>306797.25555555557</v>
      </c>
      <c r="AR167" s="1" t="s">
        <v>698</v>
      </c>
      <c r="AS167" s="274">
        <f t="shared" si="27"/>
        <v>5.1142232914582548</v>
      </c>
      <c r="AT167" s="274">
        <f t="shared" si="28"/>
        <v>3.2308046077701373</v>
      </c>
      <c r="AU167" s="274">
        <f t="shared" si="29"/>
        <v>0</v>
      </c>
      <c r="AV167" s="274">
        <f t="shared" si="30"/>
        <v>4.0528178047115881</v>
      </c>
      <c r="AW167" s="274">
        <f t="shared" si="31"/>
        <v>4.8691706613138441</v>
      </c>
      <c r="AY167" s="1" t="s">
        <v>698</v>
      </c>
      <c r="AZ167" s="274">
        <f t="shared" si="32"/>
        <v>5.1696317480212599</v>
      </c>
      <c r="BA167" s="274">
        <f t="shared" si="33"/>
        <v>2.876395219591573</v>
      </c>
      <c r="BB167" s="274">
        <f t="shared" si="34"/>
        <v>0</v>
      </c>
      <c r="BC167" s="274">
        <f t="shared" si="35"/>
        <v>5.8233018521320048</v>
      </c>
      <c r="BD167" s="274">
        <f t="shared" si="36"/>
        <v>4.8802873238416034</v>
      </c>
    </row>
    <row r="168" spans="1:88" ht="15" customHeight="1">
      <c r="B168" s="230"/>
      <c r="C168" s="271"/>
      <c r="D168" s="260"/>
      <c r="E168" s="271"/>
      <c r="F168" s="260"/>
      <c r="G168" s="271"/>
      <c r="H168" s="260"/>
      <c r="I168" s="271"/>
      <c r="J168" s="260"/>
      <c r="K168" s="271"/>
      <c r="R168" s="161"/>
      <c r="S168" s="272"/>
      <c r="T168" s="276"/>
      <c r="U168" s="272"/>
      <c r="V168" s="151"/>
      <c r="W168" s="272"/>
      <c r="X168" s="151"/>
      <c r="Y168" s="272"/>
      <c r="Z168" s="151"/>
      <c r="AA168" s="272"/>
      <c r="AC168" s="236"/>
      <c r="AD168" s="263"/>
      <c r="AE168" s="263"/>
      <c r="AF168" s="263"/>
      <c r="AG168" s="263"/>
      <c r="AH168" s="263"/>
      <c r="AI168" s="263"/>
      <c r="AJ168" s="248"/>
      <c r="AK168" s="264"/>
      <c r="AL168" s="264"/>
      <c r="AM168" s="264"/>
      <c r="AN168" s="264"/>
      <c r="AO168" s="264"/>
      <c r="AP168" s="273"/>
      <c r="AS168" s="274">
        <f t="shared" si="27"/>
        <v>0</v>
      </c>
      <c r="AT168" s="274">
        <f t="shared" si="28"/>
        <v>0</v>
      </c>
      <c r="AU168" s="274">
        <f t="shared" si="29"/>
        <v>0</v>
      </c>
      <c r="AV168" s="274">
        <f t="shared" si="30"/>
        <v>0</v>
      </c>
      <c r="AW168" s="274">
        <f t="shared" si="31"/>
        <v>0</v>
      </c>
      <c r="AZ168" s="274">
        <f t="shared" si="32"/>
        <v>0</v>
      </c>
      <c r="BA168" s="274">
        <f t="shared" si="33"/>
        <v>0</v>
      </c>
      <c r="BB168" s="274">
        <f t="shared" si="34"/>
        <v>0</v>
      </c>
      <c r="BC168" s="274">
        <f t="shared" si="35"/>
        <v>0</v>
      </c>
      <c r="BD168" s="274">
        <f t="shared" si="36"/>
        <v>0</v>
      </c>
    </row>
    <row r="169" spans="1:88" ht="15" customHeight="1">
      <c r="A169" s="1" t="s">
        <v>699</v>
      </c>
      <c r="B169" s="230">
        <f>+'NEW-Tables 80-86'!B108+'NEW-Tables 80-86'!B139</f>
        <v>7924.2666666666664</v>
      </c>
      <c r="C169" s="271">
        <f>+GETPIVOTDATA("Sum of New-HS % of Total",'Pivot-HS Student % of Undergrad'!$A$3,"State","GA","Category",7,"Category2","Two-Year")</f>
        <v>6.1376867680710726E-2</v>
      </c>
      <c r="D169" s="260">
        <f>+'NEW-Tables 80-86'!C108+'NEW-Tables 80-86'!C139</f>
        <v>0</v>
      </c>
      <c r="E169" s="271">
        <f>+GETPIVOTDATA("Sum of New-HS % of Total",'Pivot-HS Student % of Undergrad'!$A$3,"State","GA","Category",8,"Category2","Two-Year")</f>
        <v>0</v>
      </c>
      <c r="F169" s="260">
        <f>+'NEW-Tables 80-86'!D108+'NEW-Tables 80-86'!D139</f>
        <v>0</v>
      </c>
      <c r="G169" s="271">
        <f>+GETPIVOTDATA("Sum of New-HS % of Total",'Pivot-HS Student % of Undergrad'!$A$3,"State","GA","Category",9,"Category2","Two-Year")</f>
        <v>0</v>
      </c>
      <c r="H169" s="260">
        <f>+'NEW-Tables 80-86'!E108+'NEW-Tables 80-86'!E139</f>
        <v>0</v>
      </c>
      <c r="I169" s="271">
        <f>+GETPIVOTDATA("Sum of New-HS % of Total",'Pivot-HS Student % of Undergrad'!$A$3,"State","GA","Category",10,"Category2","Two-Year")</f>
        <v>0</v>
      </c>
      <c r="J169" s="260">
        <f>+'NEW-Tables 80-86'!F108+'NEW-Tables 80-86'!F139</f>
        <v>7924.2666666666664</v>
      </c>
      <c r="K169" s="271">
        <f>+GETPIVOTDATA("Sum of New-HS % of Total",'Pivot-HS Student % of Undergrad'!$A$3,"State","GA","Category2","Group2")</f>
        <v>6.1376867680710726E-2</v>
      </c>
      <c r="Q169" s="1" t="s">
        <v>699</v>
      </c>
      <c r="R169" s="161">
        <f>+GETPIVOTDATA("Sum of Old-HS % of Total",'Pivot-HS Student % of Undergrad'!$A$3,"State","GA","Category",7,"Category2","Two-Year")</f>
        <v>6.4015483889605068E-2</v>
      </c>
      <c r="S169" s="272">
        <f t="shared" si="22"/>
        <v>-0.26386162088943427</v>
      </c>
      <c r="T169" s="151">
        <f>+GETPIVOTDATA("Sum of Old-HS % of Total",'Pivot-HS Student % of Undergrad'!$A$3,"State","GA","Category",8,"Category2","Two-Year")</f>
        <v>0</v>
      </c>
      <c r="U169" s="272">
        <f t="shared" si="23"/>
        <v>0</v>
      </c>
      <c r="V169" s="151">
        <f>+GETPIVOTDATA("Sum of Old-HS % of Total",'Pivot-HS Student % of Undergrad'!$A$3,"State","GA","Category",9,"Category2","Two-Year")</f>
        <v>0</v>
      </c>
      <c r="W169" s="272">
        <f t="shared" si="24"/>
        <v>0</v>
      </c>
      <c r="X169" s="151">
        <f>+GETPIVOTDATA("Sum of Old-HS % of Total",'Pivot-HS Student % of Undergrad'!$A$3,"State","GA","Category",10,"Category2","Two-Year")</f>
        <v>0</v>
      </c>
      <c r="Y169" s="272">
        <f t="shared" si="25"/>
        <v>0</v>
      </c>
      <c r="Z169" s="151">
        <f>+GETPIVOTDATA("Sum of Old-HS % of Total",'Pivot-HS Student % of Undergrad'!$A$3,"State","GA","Category2","Two-Year")</f>
        <v>6.4015483889605068E-2</v>
      </c>
      <c r="AA169" s="272">
        <f t="shared" si="26"/>
        <v>-0.26386162088943427</v>
      </c>
      <c r="AC169" s="236" t="s">
        <v>699</v>
      </c>
      <c r="AD169" s="263">
        <f>+B169</f>
        <v>7924.2666666666664</v>
      </c>
      <c r="AE169" s="263">
        <f>+D169</f>
        <v>0</v>
      </c>
      <c r="AF169" s="263">
        <f>+F169</f>
        <v>0</v>
      </c>
      <c r="AG169" s="263">
        <f>+H169</f>
        <v>0</v>
      </c>
      <c r="AH169" s="263"/>
      <c r="AI169" s="263">
        <f>+J169</f>
        <v>7924.2666666666664</v>
      </c>
      <c r="AJ169" s="248" t="s">
        <v>699</v>
      </c>
      <c r="AK169" s="264">
        <f>+'NEW-Tables 80-86'!R108+'NEW-Tables 80-86'!Q139</f>
        <v>9231.1</v>
      </c>
      <c r="AL169" s="264">
        <f>+'NEW-Tables 80-86'!S108+'NEW-Tables 80-86'!R139</f>
        <v>0</v>
      </c>
      <c r="AM169" s="264">
        <f>+'NEW-Tables 80-86'!T108+'NEW-Tables 80-86'!S139</f>
        <v>0</v>
      </c>
      <c r="AN169" s="264">
        <f>+'NEW-Tables 80-86'!U108+'NEW-Tables 80-86'!T139</f>
        <v>0</v>
      </c>
      <c r="AO169" s="264"/>
      <c r="AP169" s="273">
        <f>+'NEW-Tables 80-86'!V108+'NEW-Tables 80-86'!U139</f>
        <v>9231.1</v>
      </c>
      <c r="AR169" s="1" t="s">
        <v>699</v>
      </c>
      <c r="AS169" s="274">
        <f t="shared" si="27"/>
        <v>6.1376867680710729</v>
      </c>
      <c r="AT169" s="274">
        <f t="shared" si="28"/>
        <v>0</v>
      </c>
      <c r="AU169" s="274">
        <f t="shared" si="29"/>
        <v>0</v>
      </c>
      <c r="AV169" s="274">
        <f t="shared" si="30"/>
        <v>0</v>
      </c>
      <c r="AW169" s="274">
        <f t="shared" si="31"/>
        <v>6.1376867680710729</v>
      </c>
      <c r="AY169" s="1" t="s">
        <v>699</v>
      </c>
      <c r="AZ169" s="274">
        <f t="shared" si="32"/>
        <v>6.4015483889605065</v>
      </c>
      <c r="BA169" s="274">
        <f t="shared" si="33"/>
        <v>0</v>
      </c>
      <c r="BB169" s="274">
        <f t="shared" si="34"/>
        <v>0</v>
      </c>
      <c r="BC169" s="274">
        <f t="shared" si="35"/>
        <v>0</v>
      </c>
      <c r="BD169" s="274">
        <f t="shared" si="36"/>
        <v>6.4015483889605065</v>
      </c>
    </row>
    <row r="170" spans="1:88" ht="15" customHeight="1">
      <c r="A170" s="1" t="s">
        <v>700</v>
      </c>
      <c r="B170" s="230">
        <f>+'NEW-Tables 80-86'!B109+'NEW-Tables 80-86'!B140</f>
        <v>0</v>
      </c>
      <c r="C170" s="271">
        <f>+GETPIVOTDATA("Sum of New-HS % of Total",'Pivot-HS Student % of Undergrad'!$A$3,"State","KY","Category",7,"Category2","Two-Year")</f>
        <v>0</v>
      </c>
      <c r="D170" s="260">
        <f>+'NEW-Tables 80-86'!C109+'NEW-Tables 80-86'!C140</f>
        <v>11972.366666666667</v>
      </c>
      <c r="E170" s="271">
        <f>+GETPIVOTDATA("Sum of New-HS % of Total",'Pivot-HS Student % of Undergrad'!$A$3,"State","KY","Category",8,"Category2","Two-Year")</f>
        <v>0.13892825422987937</v>
      </c>
      <c r="F170" s="260">
        <f>+'NEW-Tables 80-86'!D109+'NEW-Tables 80-86'!D140</f>
        <v>12706.333333333334</v>
      </c>
      <c r="G170" s="271">
        <f>+GETPIVOTDATA("Sum of New-HS % of Total",'Pivot-HS Student % of Undergrad'!$A$3,"State","KY","Category",9,"Category2","Two-Year")</f>
        <v>0.16935386552637793</v>
      </c>
      <c r="H170" s="260">
        <f>+'NEW-Tables 80-86'!E109+'NEW-Tables 80-86'!E140</f>
        <v>9876.2999999999993</v>
      </c>
      <c r="I170" s="271">
        <f>+GETPIVOTDATA("Sum of New-HS % of Total",'Pivot-HS Student % of Undergrad'!$A$3,"State","KY","Category",10,"Category2","Two-Year")</f>
        <v>0.1493913037608551</v>
      </c>
      <c r="J170" s="260">
        <f>+'NEW-Tables 80-86'!F109+'NEW-Tables 80-86'!F140</f>
        <v>34555</v>
      </c>
      <c r="K170" s="271">
        <f>+GETPIVOTDATA("Sum of New-HS % of Total",'Pivot-HS Student % of Undergrad'!$A$3,"State","KY","Category2","Group2")</f>
        <v>0.15310664158587758</v>
      </c>
      <c r="Q170" s="1" t="s">
        <v>700</v>
      </c>
      <c r="R170" s="161">
        <f>+GETPIVOTDATA("Sum of Old-HS % of Total",'Pivot-HS Student % of Undergrad'!$A$3,"State","KY","Category",7,"Category2","Two-Year")</f>
        <v>0</v>
      </c>
      <c r="S170" s="272">
        <f t="shared" si="22"/>
        <v>0</v>
      </c>
      <c r="T170" s="151">
        <f>+GETPIVOTDATA("Sum of Old-HS % of Total",'Pivot-HS Student % of Undergrad'!$A$3,"State","KY","Category",8,"Category2","Two-Year")</f>
        <v>0.12171429741238127</v>
      </c>
      <c r="U170" s="272">
        <f t="shared" si="23"/>
        <v>1.7213956817498099</v>
      </c>
      <c r="V170" s="151">
        <f>+GETPIVOTDATA("Sum of Old-HS % of Total",'Pivot-HS Student % of Undergrad'!$A$3,"State","KY","Category",9,"Category2","Two-Year")</f>
        <v>0.14603717309860692</v>
      </c>
      <c r="W170" s="272">
        <f t="shared" si="24"/>
        <v>2.3316692427771013</v>
      </c>
      <c r="X170" s="151">
        <f>+GETPIVOTDATA("Sum of Old-HS % of Total",'Pivot-HS Student % of Undergrad'!$A$3,"State","KY","Category",10,"Category2","Two-Year")</f>
        <v>0.12747600966730724</v>
      </c>
      <c r="Y170" s="272">
        <f t="shared" si="25"/>
        <v>2.1915294093547866</v>
      </c>
      <c r="Z170" s="151">
        <f>+GETPIVOTDATA("Sum of Old-HS % of Total",'Pivot-HS Student % of Undergrad'!$A$3,"State","KY","Category2","Two-Year")</f>
        <v>0.13227295730380972</v>
      </c>
      <c r="AA170" s="272">
        <f t="shared" si="26"/>
        <v>2.0833684282067861</v>
      </c>
      <c r="AC170" s="236" t="s">
        <v>700</v>
      </c>
      <c r="AD170" s="263">
        <f>+B170</f>
        <v>0</v>
      </c>
      <c r="AE170" s="263">
        <f>+D170</f>
        <v>11972.366666666667</v>
      </c>
      <c r="AF170" s="263">
        <f>+F170</f>
        <v>12706.333333333334</v>
      </c>
      <c r="AG170" s="263">
        <f>+H170</f>
        <v>9876.2999999999993</v>
      </c>
      <c r="AH170" s="263"/>
      <c r="AI170" s="263">
        <f>+J170</f>
        <v>34555</v>
      </c>
      <c r="AJ170" s="248" t="s">
        <v>700</v>
      </c>
      <c r="AK170" s="264">
        <f>+'NEW-Tables 80-86'!R109+'NEW-Tables 80-86'!Q140</f>
        <v>0</v>
      </c>
      <c r="AL170" s="264">
        <f>+'NEW-Tables 80-86'!S109+'NEW-Tables 80-86'!R140</f>
        <v>13026.133333333333</v>
      </c>
      <c r="AM170" s="264">
        <f>+'NEW-Tables 80-86'!T109+'NEW-Tables 80-86'!S140</f>
        <v>13746.499999999998</v>
      </c>
      <c r="AN170" s="264">
        <f>+'NEW-Tables 80-86'!U109+'NEW-Tables 80-86'!T140</f>
        <v>10771.7</v>
      </c>
      <c r="AO170" s="264"/>
      <c r="AP170" s="273">
        <f>+'NEW-Tables 80-86'!V109+'NEW-Tables 80-86'!U140</f>
        <v>37544.333333333328</v>
      </c>
      <c r="AR170" s="1" t="s">
        <v>700</v>
      </c>
      <c r="AS170" s="274">
        <f t="shared" si="27"/>
        <v>0</v>
      </c>
      <c r="AT170" s="274">
        <f t="shared" si="28"/>
        <v>13.892825422987936</v>
      </c>
      <c r="AU170" s="274">
        <f t="shared" si="29"/>
        <v>16.935386552637794</v>
      </c>
      <c r="AV170" s="274">
        <f t="shared" si="30"/>
        <v>14.93913037608551</v>
      </c>
      <c r="AW170" s="274">
        <f t="shared" si="31"/>
        <v>15.310664158587759</v>
      </c>
      <c r="AY170" s="1" t="s">
        <v>700</v>
      </c>
      <c r="AZ170" s="274">
        <f t="shared" si="32"/>
        <v>0</v>
      </c>
      <c r="BA170" s="274">
        <f t="shared" si="33"/>
        <v>12.171429741238127</v>
      </c>
      <c r="BB170" s="274">
        <f t="shared" si="34"/>
        <v>14.603717309860691</v>
      </c>
      <c r="BC170" s="274">
        <f t="shared" si="35"/>
        <v>12.747600966730724</v>
      </c>
      <c r="BD170" s="274">
        <f t="shared" si="36"/>
        <v>13.227295730380973</v>
      </c>
    </row>
    <row r="171" spans="1:88" ht="15" customHeight="1">
      <c r="A171" s="1" t="s">
        <v>701</v>
      </c>
      <c r="B171" s="230">
        <f>+'NEW-Tables 80-86'!B110+'NEW-Tables 80-86'!B141</f>
        <v>0</v>
      </c>
      <c r="C171" s="271">
        <f>+GETPIVOTDATA("Sum of New-HS % of Total",'Pivot-HS Student % of Undergrad'!$A$3,"State","LA","Category",7,"Category2","Two-Year")</f>
        <v>0</v>
      </c>
      <c r="D171" s="260">
        <f>+'NEW-Tables 80-86'!C110+'NEW-Tables 80-86'!C141</f>
        <v>13475.433333333334</v>
      </c>
      <c r="E171" s="271">
        <f>+GETPIVOTDATA("Sum of New-HS % of Total",'Pivot-HS Student % of Undergrad'!$A$3,"State","LA","Category",8,"Category2","Two-Year")</f>
        <v>2.4209487388160679E-2</v>
      </c>
      <c r="F171" s="260">
        <f>+'NEW-Tables 80-86'!D110+'NEW-Tables 80-86'!D141</f>
        <v>14649.033333333333</v>
      </c>
      <c r="G171" s="271">
        <f>+GETPIVOTDATA("Sum of New-HS % of Total",'Pivot-HS Student % of Undergrad'!$A$3,"State","LA","Category",9,"Category2","Two-Year")</f>
        <v>8.0544563805120248E-2</v>
      </c>
      <c r="H171" s="260">
        <f>+'NEW-Tables 80-86'!E110+'NEW-Tables 80-86'!E141</f>
        <v>2976.0666666666666</v>
      </c>
      <c r="I171" s="271">
        <f>+GETPIVOTDATA("Sum of New-HS % of Total",'Pivot-HS Student % of Undergrad'!$A$3,"State","LA","Category",10,"Category2","Two-Year")</f>
        <v>0.1494590174951278</v>
      </c>
      <c r="J171" s="260">
        <f>+'NEW-Tables 80-86'!F110+'NEW-Tables 80-86'!F141</f>
        <v>31100.533333333333</v>
      </c>
      <c r="K171" s="271">
        <f>+GETPIVOTDATA("Sum of New-HS % of Total",'Pivot-HS Student % of Undergrad'!$A$3,"State","LA","Category2","Group2")</f>
        <v>6.2729899594433536E-2</v>
      </c>
      <c r="Q171" s="1" t="s">
        <v>701</v>
      </c>
      <c r="R171" s="161">
        <f>+GETPIVOTDATA("Sum of Old-HS % of Total",'Pivot-HS Student % of Undergrad'!$A$3,"State","LA","Category",7,"Category2","Two-Year")</f>
        <v>0</v>
      </c>
      <c r="S171" s="272">
        <f t="shared" si="22"/>
        <v>0</v>
      </c>
      <c r="T171" s="151">
        <f>+GETPIVOTDATA("Sum of Old-HS % of Total",'Pivot-HS Student % of Undergrad'!$A$3,"State","LA","Category",8,"Category2","Two-Year")</f>
        <v>1.9639269247296844E-2</v>
      </c>
      <c r="U171" s="272">
        <f t="shared" si="23"/>
        <v>0.45702181408638354</v>
      </c>
      <c r="V171" s="151">
        <f>+GETPIVOTDATA("Sum of Old-HS % of Total",'Pivot-HS Student % of Undergrad'!$A$3,"State","LA","Category",9,"Category2","Two-Year")</f>
        <v>6.4039658799031784E-2</v>
      </c>
      <c r="W171" s="272">
        <f t="shared" si="24"/>
        <v>1.6504905006088464</v>
      </c>
      <c r="X171" s="151">
        <f>+GETPIVOTDATA("Sum of Old-HS % of Total",'Pivot-HS Student % of Undergrad'!$A$3,"State","LA","Category",10,"Category2","Two-Year")</f>
        <v>0.12845663994727199</v>
      </c>
      <c r="Y171" s="272">
        <f t="shared" si="25"/>
        <v>2.1002377547855806</v>
      </c>
      <c r="Z171" s="151">
        <f>+GETPIVOTDATA("Sum of Old-HS % of Total",'Pivot-HS Student % of Undergrad'!$A$3,"State","LA","Category2","Two-Year")</f>
        <v>5.1653834577802586E-2</v>
      </c>
      <c r="AA171" s="272">
        <f t="shared" si="26"/>
        <v>1.1076065016630949</v>
      </c>
      <c r="AC171" s="236" t="s">
        <v>701</v>
      </c>
      <c r="AD171" s="263">
        <f>+B171</f>
        <v>0</v>
      </c>
      <c r="AE171" s="263">
        <f>+D171</f>
        <v>13475.433333333334</v>
      </c>
      <c r="AF171" s="263">
        <f>+F171</f>
        <v>14649.033333333333</v>
      </c>
      <c r="AG171" s="263">
        <f>+H171</f>
        <v>2976.0666666666666</v>
      </c>
      <c r="AH171" s="263"/>
      <c r="AI171" s="263">
        <f>+J171</f>
        <v>31100.533333333333</v>
      </c>
      <c r="AJ171" s="248" t="s">
        <v>701</v>
      </c>
      <c r="AK171" s="264">
        <f>+'NEW-Tables 80-86'!R110+'NEW-Tables 80-86'!Q141</f>
        <v>0</v>
      </c>
      <c r="AL171" s="264">
        <f>+'NEW-Tables 80-86'!S110+'NEW-Tables 80-86'!R141</f>
        <v>14350.5</v>
      </c>
      <c r="AM171" s="264">
        <f>+'NEW-Tables 80-86'!T110+'NEW-Tables 80-86'!S141</f>
        <v>15767.833333333334</v>
      </c>
      <c r="AN171" s="264">
        <f>+'NEW-Tables 80-86'!U110+'NEW-Tables 80-86'!T141</f>
        <v>3439.0333333333333</v>
      </c>
      <c r="AO171" s="264"/>
      <c r="AP171" s="273">
        <f>+'NEW-Tables 80-86'!V110+'NEW-Tables 80-86'!U141</f>
        <v>33557.366666666669</v>
      </c>
      <c r="AR171" s="1" t="s">
        <v>701</v>
      </c>
      <c r="AS171" s="274">
        <f t="shared" si="27"/>
        <v>0</v>
      </c>
      <c r="AT171" s="274">
        <f t="shared" si="28"/>
        <v>2.420948738816068</v>
      </c>
      <c r="AU171" s="274">
        <f t="shared" si="29"/>
        <v>8.0544563805120255</v>
      </c>
      <c r="AV171" s="274">
        <f t="shared" si="30"/>
        <v>14.94590174951278</v>
      </c>
      <c r="AW171" s="274">
        <f t="shared" si="31"/>
        <v>6.272989959443354</v>
      </c>
      <c r="AY171" s="1" t="s">
        <v>701</v>
      </c>
      <c r="AZ171" s="274">
        <f t="shared" si="32"/>
        <v>0</v>
      </c>
      <c r="BA171" s="274">
        <f t="shared" si="33"/>
        <v>1.9639269247296844</v>
      </c>
      <c r="BB171" s="274">
        <f t="shared" si="34"/>
        <v>6.4039658799031782</v>
      </c>
      <c r="BC171" s="274">
        <f t="shared" si="35"/>
        <v>12.8456639947272</v>
      </c>
      <c r="BD171" s="274">
        <f t="shared" si="36"/>
        <v>5.1653834577802584</v>
      </c>
    </row>
    <row r="172" spans="1:88" ht="15" customHeight="1">
      <c r="A172" s="1" t="s">
        <v>829</v>
      </c>
      <c r="B172" s="230">
        <f>+'NEW-Tables 80-86'!B111+'NEW-Tables 80-86'!B142</f>
        <v>0</v>
      </c>
      <c r="C172" s="271">
        <f>+GETPIVOTDATA("Sum of New-HS % of Total",'Pivot-HS Student % of Undergrad'!$A$3,"State","MD","Category",7,"Category2","Two-Year")</f>
        <v>0</v>
      </c>
      <c r="D172" s="260">
        <f>+'NEW-Tables 80-86'!C111+'NEW-Tables 80-86'!C142</f>
        <v>52737.833333333343</v>
      </c>
      <c r="E172" s="271">
        <f>+GETPIVOTDATA("Sum of New-HS % of Total",'Pivot-HS Student % of Undergrad'!$A$3,"State","MD","Category",8,"Category2","Two-Year")</f>
        <v>0</v>
      </c>
      <c r="F172" s="260">
        <f>+'NEW-Tables 80-86'!D111+'NEW-Tables 80-86'!D142</f>
        <v>16908.533333333333</v>
      </c>
      <c r="G172" s="271">
        <f>+GETPIVOTDATA("Sum of New-HS % of Total",'Pivot-HS Student % of Undergrad'!$A$3,"State","MD","Category",9,"Category2","Two-Year")</f>
        <v>0</v>
      </c>
      <c r="H172" s="260">
        <f>+'NEW-Tables 80-86'!E111+'NEW-Tables 80-86'!E142</f>
        <v>5232.8666666666668</v>
      </c>
      <c r="I172" s="271">
        <f>+GETPIVOTDATA("Sum of New-HS % of Total",'Pivot-HS Student % of Undergrad'!$A$3,"State","MD","Category",10,"Category2","Two-Year")</f>
        <v>0</v>
      </c>
      <c r="J172" s="260">
        <f>+'NEW-Tables 80-86'!F111+'NEW-Tables 80-86'!F142</f>
        <v>74879.233333333337</v>
      </c>
      <c r="K172" s="271">
        <f>+GETPIVOTDATA("Sum of New-HS % of Total",'Pivot-HS Student % of Undergrad'!$A$3,"State","MD","Category2","Group2")</f>
        <v>0</v>
      </c>
      <c r="Q172" s="1" t="s">
        <v>702</v>
      </c>
      <c r="R172" s="161">
        <f>+GETPIVOTDATA("Sum of Old-HS % of Total",'Pivot-HS Student % of Undergrad'!$A$3,"State","MD","Category",7,"Category2","Two-Year")</f>
        <v>0</v>
      </c>
      <c r="S172" s="272">
        <f t="shared" si="22"/>
        <v>0</v>
      </c>
      <c r="T172" s="151">
        <f>+GETPIVOTDATA("Sum of Old-HS % of Total",'Pivot-HS Student % of Undergrad'!$A$3,"State","MD","Category",8,"Category2","Two-Year")</f>
        <v>0</v>
      </c>
      <c r="U172" s="272">
        <f t="shared" si="23"/>
        <v>0</v>
      </c>
      <c r="V172" s="151">
        <f>+GETPIVOTDATA("Sum of Old-HS % of Total",'Pivot-HS Student % of Undergrad'!$A$3,"State","MD","Category",9,"Category2","Two-Year")</f>
        <v>0</v>
      </c>
      <c r="W172" s="272">
        <f t="shared" si="24"/>
        <v>0</v>
      </c>
      <c r="X172" s="151">
        <f>+GETPIVOTDATA("Sum of Old-HS % of Total",'Pivot-HS Student % of Undergrad'!$A$3,"State","MD","Category",10,"Category2","Two-Year")</f>
        <v>0</v>
      </c>
      <c r="Y172" s="272">
        <f t="shared" si="25"/>
        <v>0</v>
      </c>
      <c r="Z172" s="151">
        <f>+GETPIVOTDATA("Sum of Old-HS % of Total",'Pivot-HS Student % of Undergrad'!$A$3,"State","MD","Category2","Two-Year")</f>
        <v>0</v>
      </c>
      <c r="AA172" s="272">
        <f t="shared" si="26"/>
        <v>0</v>
      </c>
      <c r="AC172" s="236" t="s">
        <v>702</v>
      </c>
      <c r="AD172" s="263">
        <f>+B172</f>
        <v>0</v>
      </c>
      <c r="AE172" s="263">
        <f>+D172</f>
        <v>52737.833333333343</v>
      </c>
      <c r="AF172" s="263">
        <f>+F172</f>
        <v>16908.533333333333</v>
      </c>
      <c r="AG172" s="263">
        <f>+H172</f>
        <v>5232.8666666666668</v>
      </c>
      <c r="AH172" s="263"/>
      <c r="AI172" s="263">
        <f>+J172</f>
        <v>74879.233333333337</v>
      </c>
      <c r="AJ172" s="248" t="s">
        <v>702</v>
      </c>
      <c r="AK172" s="264">
        <f>+'NEW-Tables 80-86'!R111+'NEW-Tables 80-86'!Q142</f>
        <v>0</v>
      </c>
      <c r="AL172" s="264">
        <f>+'NEW-Tables 80-86'!S111+'NEW-Tables 80-86'!R142</f>
        <v>58575.316666666666</v>
      </c>
      <c r="AM172" s="264">
        <f>+'NEW-Tables 80-86'!T111+'NEW-Tables 80-86'!S142</f>
        <v>18163.383333333331</v>
      </c>
      <c r="AN172" s="264">
        <f>+'NEW-Tables 80-86'!U111+'NEW-Tables 80-86'!T142</f>
        <v>5960.6416666666664</v>
      </c>
      <c r="AO172" s="264"/>
      <c r="AP172" s="273">
        <f>+'NEW-Tables 80-86'!V111+'NEW-Tables 80-86'!U142</f>
        <v>82699.34166666666</v>
      </c>
      <c r="AR172" s="1" t="s">
        <v>702</v>
      </c>
      <c r="AS172" s="274">
        <f t="shared" si="27"/>
        <v>0</v>
      </c>
      <c r="AT172" s="274">
        <f t="shared" si="28"/>
        <v>0</v>
      </c>
      <c r="AU172" s="274">
        <f t="shared" si="29"/>
        <v>0</v>
      </c>
      <c r="AV172" s="274">
        <f t="shared" si="30"/>
        <v>0</v>
      </c>
      <c r="AW172" s="274">
        <f t="shared" si="31"/>
        <v>0</v>
      </c>
      <c r="AY172" s="1" t="s">
        <v>702</v>
      </c>
      <c r="AZ172" s="274">
        <f t="shared" si="32"/>
        <v>0</v>
      </c>
      <c r="BA172" s="274">
        <f t="shared" si="33"/>
        <v>0</v>
      </c>
      <c r="BB172" s="274">
        <f t="shared" si="34"/>
        <v>0</v>
      </c>
      <c r="BC172" s="274">
        <f t="shared" si="35"/>
        <v>0</v>
      </c>
      <c r="BD172" s="274">
        <f t="shared" si="36"/>
        <v>0</v>
      </c>
    </row>
    <row r="173" spans="1:88" ht="15" customHeight="1">
      <c r="B173" s="230"/>
      <c r="C173" s="271"/>
      <c r="D173" s="260"/>
      <c r="E173" s="271"/>
      <c r="F173" s="260"/>
      <c r="G173" s="271"/>
      <c r="H173" s="260"/>
      <c r="I173" s="271"/>
      <c r="J173" s="260"/>
      <c r="K173" s="271"/>
      <c r="R173" s="161"/>
      <c r="S173" s="272"/>
      <c r="T173" s="151"/>
      <c r="U173" s="272"/>
      <c r="V173" s="151"/>
      <c r="W173" s="272"/>
      <c r="X173" s="151"/>
      <c r="Y173" s="272"/>
      <c r="Z173" s="151"/>
      <c r="AA173" s="272"/>
      <c r="AC173" s="236"/>
      <c r="AD173" s="263"/>
      <c r="AE173" s="263"/>
      <c r="AF173" s="263"/>
      <c r="AG173" s="263"/>
      <c r="AH173" s="263"/>
      <c r="AI173" s="263"/>
      <c r="AJ173" s="248"/>
      <c r="AK173" s="264"/>
      <c r="AL173" s="264"/>
      <c r="AM173" s="264"/>
      <c r="AN173" s="264"/>
      <c r="AO173" s="264"/>
      <c r="AP173" s="273"/>
      <c r="AS173" s="274">
        <f t="shared" si="27"/>
        <v>0</v>
      </c>
      <c r="AT173" s="274">
        <f t="shared" si="28"/>
        <v>0</v>
      </c>
      <c r="AU173" s="274">
        <f t="shared" si="29"/>
        <v>0</v>
      </c>
      <c r="AV173" s="274">
        <f t="shared" si="30"/>
        <v>0</v>
      </c>
      <c r="AW173" s="274">
        <f t="shared" si="31"/>
        <v>0</v>
      </c>
      <c r="AZ173" s="274">
        <f t="shared" si="32"/>
        <v>0</v>
      </c>
      <c r="BA173" s="274">
        <f t="shared" si="33"/>
        <v>0</v>
      </c>
      <c r="BB173" s="274">
        <f t="shared" si="34"/>
        <v>0</v>
      </c>
      <c r="BC173" s="274">
        <f t="shared" si="35"/>
        <v>0</v>
      </c>
      <c r="BD173" s="274">
        <f t="shared" si="36"/>
        <v>0</v>
      </c>
    </row>
    <row r="174" spans="1:88" ht="15" customHeight="1">
      <c r="A174" s="1" t="s">
        <v>703</v>
      </c>
      <c r="B174" s="230">
        <f>+'NEW-Tables 80-86'!B113+'NEW-Tables 80-86'!B144</f>
        <v>0</v>
      </c>
      <c r="C174" s="271">
        <f>+GETPIVOTDATA("Sum of New-HS % of Total",'Pivot-HS Student % of Undergrad'!$A$3,"State","MS","Category",7,"Category2","Two-Year")</f>
        <v>0</v>
      </c>
      <c r="D174" s="260">
        <f>+'NEW-Tables 80-86'!C113+'NEW-Tables 80-86'!C144</f>
        <v>23957.566666666666</v>
      </c>
      <c r="E174" s="271">
        <f>+GETPIVOTDATA("Sum of New-HS % of Total",'Pivot-HS Student % of Undergrad'!$A$3,"State","MS","Category",8,"Category2","Two-Year")</f>
        <v>9.0941344905645677E-2</v>
      </c>
      <c r="F174" s="260">
        <f>+'NEW-Tables 80-86'!D113+'NEW-Tables 80-86'!D144</f>
        <v>28504</v>
      </c>
      <c r="G174" s="271">
        <f>+GETPIVOTDATA("Sum of New-HS % of Total",'Pivot-HS Student % of Undergrad'!$A$3,"State","MS","Category",9,"Category2","Two-Year")</f>
        <v>8.0308026943586866E-2</v>
      </c>
      <c r="H174" s="260">
        <f>+'NEW-Tables 80-86'!E113+'NEW-Tables 80-86'!E144</f>
        <v>3206.1</v>
      </c>
      <c r="I174" s="271">
        <f>+GETPIVOTDATA("Sum of New-HS % of Total",'Pivot-HS Student % of Undergrad'!$A$3,"State","MS","Category",10,"Category2","Two-Year")</f>
        <v>4.7503197030660305E-2</v>
      </c>
      <c r="J174" s="260">
        <f>+'NEW-Tables 80-86'!F113+'NEW-Tables 80-86'!F144</f>
        <v>55667.666666666664</v>
      </c>
      <c r="K174" s="271">
        <f>+GETPIVOTDATA("Sum of New-HS % of Total",'Pivot-HS Student % of Undergrad'!$A$3,"State","MS","Category2","Group2")</f>
        <v>8.299491625898936E-2</v>
      </c>
      <c r="Q174" s="1" t="s">
        <v>703</v>
      </c>
      <c r="R174" s="161">
        <f>+GETPIVOTDATA("Sum of Old-HS % of Total",'Pivot-HS Student % of Undergrad'!$A$3,"State","MS","Category",7,"Category2","Two-Year")</f>
        <v>0</v>
      </c>
      <c r="S174" s="272">
        <f t="shared" si="22"/>
        <v>0</v>
      </c>
      <c r="T174" s="151">
        <f>+GETPIVOTDATA("Sum of Old-HS % of Total",'Pivot-HS Student % of Undergrad'!$A$3,"State","MS","Category",8,"Category2","Two-Year")</f>
        <v>8.5544344269191691E-2</v>
      </c>
      <c r="U174" s="272">
        <f t="shared" si="23"/>
        <v>0.53970006364539858</v>
      </c>
      <c r="V174" s="151">
        <f>+GETPIVOTDATA("Sum of Old-HS % of Total",'Pivot-HS Student % of Undergrad'!$A$3,"State","MS","Category",9,"Category2","Two-Year")</f>
        <v>7.2837163539250821E-2</v>
      </c>
      <c r="W174" s="272">
        <f t="shared" si="24"/>
        <v>0.74708634043360456</v>
      </c>
      <c r="X174" s="151">
        <f>+GETPIVOTDATA("Sum of Old-HS % of Total",'Pivot-HS Student % of Undergrad'!$A$3,"State","MS","Category",10,"Category2","Two-Year")</f>
        <v>6.1167703298607767E-2</v>
      </c>
      <c r="Y174" s="272">
        <f t="shared" si="25"/>
        <v>-1.3664506267947463</v>
      </c>
      <c r="Z174" s="151">
        <f>+GETPIVOTDATA("Sum of Old-HS % of Total",'Pivot-HS Student % of Undergrad'!$A$3,"State","MS","Category2","Two-Year")</f>
        <v>7.7710404797618177E-2</v>
      </c>
      <c r="AA174" s="272">
        <f t="shared" si="26"/>
        <v>0.5284511461371183</v>
      </c>
      <c r="AC174" s="236" t="s">
        <v>703</v>
      </c>
      <c r="AD174" s="263">
        <f>+B174</f>
        <v>0</v>
      </c>
      <c r="AE174" s="263">
        <f>+D174</f>
        <v>23957.566666666666</v>
      </c>
      <c r="AF174" s="263">
        <f>+F174</f>
        <v>28504</v>
      </c>
      <c r="AG174" s="263">
        <f>+H174</f>
        <v>3206.1</v>
      </c>
      <c r="AH174" s="263"/>
      <c r="AI174" s="263">
        <f>+J174</f>
        <v>55667.666666666664</v>
      </c>
      <c r="AJ174" s="248" t="s">
        <v>703</v>
      </c>
      <c r="AK174" s="264">
        <f>+'NEW-Tables 80-86'!R113+'NEW-Tables 80-86'!Q144</f>
        <v>0</v>
      </c>
      <c r="AL174" s="264">
        <f>+'NEW-Tables 80-86'!S113+'NEW-Tables 80-86'!R144</f>
        <v>25751.166666666664</v>
      </c>
      <c r="AM174" s="264">
        <f>+'NEW-Tables 80-86'!T113+'NEW-Tables 80-86'!S144</f>
        <v>29643.749999999996</v>
      </c>
      <c r="AN174" s="264">
        <f>+'NEW-Tables 80-86'!U113+'NEW-Tables 80-86'!T144</f>
        <v>3462.0666666666666</v>
      </c>
      <c r="AO174" s="264"/>
      <c r="AP174" s="273">
        <f>+'NEW-Tables 80-86'!V113+'NEW-Tables 80-86'!U144</f>
        <v>58856.983333333323</v>
      </c>
      <c r="AR174" s="1" t="s">
        <v>703</v>
      </c>
      <c r="AS174" s="274">
        <f t="shared" si="27"/>
        <v>0</v>
      </c>
      <c r="AT174" s="274">
        <f t="shared" si="28"/>
        <v>9.0941344905645671</v>
      </c>
      <c r="AU174" s="274">
        <f t="shared" si="29"/>
        <v>8.0308026943586874</v>
      </c>
      <c r="AV174" s="274">
        <f t="shared" si="30"/>
        <v>4.7503197030660305</v>
      </c>
      <c r="AW174" s="274">
        <f t="shared" si="31"/>
        <v>8.299491625898936</v>
      </c>
      <c r="AY174" s="1" t="s">
        <v>703</v>
      </c>
      <c r="AZ174" s="274">
        <f t="shared" si="32"/>
        <v>0</v>
      </c>
      <c r="BA174" s="274">
        <f t="shared" si="33"/>
        <v>8.554434426919169</v>
      </c>
      <c r="BB174" s="274">
        <f t="shared" si="34"/>
        <v>7.2837163539250822</v>
      </c>
      <c r="BC174" s="274">
        <f t="shared" si="35"/>
        <v>6.1167703298607767</v>
      </c>
      <c r="BD174" s="274">
        <f t="shared" si="36"/>
        <v>7.771040479761818</v>
      </c>
    </row>
    <row r="175" spans="1:88" ht="15" customHeight="1">
      <c r="A175" s="1" t="s">
        <v>704</v>
      </c>
      <c r="B175" s="230">
        <f>+'NEW-Tables 80-86'!B114+'NEW-Tables 80-86'!B145</f>
        <v>0</v>
      </c>
      <c r="C175" s="271">
        <f>+GETPIVOTDATA("Sum of New-HS % of Total",'Pivot-HS Student % of Undergrad'!$A$3,"State","NC","Category",7,"Category2","Two-Year")</f>
        <v>0</v>
      </c>
      <c r="D175" s="260">
        <f>+'NEW-Tables 80-86'!C114+'NEW-Tables 80-86'!C145</f>
        <v>75410.017777777772</v>
      </c>
      <c r="E175" s="271">
        <f>+GETPIVOTDATA("Sum of New-HS % of Total",'Pivot-HS Student % of Undergrad'!$A$3,"State","NC","Category",8,"Category2","Two-Year")</f>
        <v>0.11773833475942935</v>
      </c>
      <c r="F175" s="260">
        <f>+'NEW-Tables 80-86'!D114+'NEW-Tables 80-86'!D145</f>
        <v>64459.43444444445</v>
      </c>
      <c r="G175" s="271">
        <f>+GETPIVOTDATA("Sum of New-HS % of Total",'Pivot-HS Student % of Undergrad'!$A$3,"State","NC","Category",9,"Category2","Two-Year")</f>
        <v>0.23357004739622533</v>
      </c>
      <c r="H175" s="260">
        <f>+'NEW-Tables 80-86'!E114+'NEW-Tables 80-86'!E145</f>
        <v>30962.89777777778</v>
      </c>
      <c r="I175" s="271">
        <f>+GETPIVOTDATA("Sum of New-HS % of Total",'Pivot-HS Student % of Undergrad'!$A$3,"State","NC","Category",10,"Category2","Two-Year")</f>
        <v>0.2869080705128248</v>
      </c>
      <c r="J175" s="260">
        <f>+'NEW-Tables 80-86'!F114+'NEW-Tables 80-86'!F145</f>
        <v>170832.35</v>
      </c>
      <c r="K175" s="271">
        <f>+GETPIVOTDATA("Sum of New-HS % of Total",'Pivot-HS Student % of Undergrad'!$A$3,"State","NC","Category2","Group2")</f>
        <v>0.19002785149858933</v>
      </c>
      <c r="Q175" s="1" t="s">
        <v>704</v>
      </c>
      <c r="R175" s="161">
        <f>+GETPIVOTDATA("Sum of Old-HS % of Total",'Pivot-HS Student % of Undergrad'!$A$3,"State","NC","Category",7,"Category2","Two-Year")</f>
        <v>0</v>
      </c>
      <c r="S175" s="272">
        <f t="shared" si="22"/>
        <v>0</v>
      </c>
      <c r="T175" s="151">
        <f>+GETPIVOTDATA("Sum of Old-HS % of Total",'Pivot-HS Student % of Undergrad'!$A$3,"State","NC","Category",8,"Category2","Two-Year")</f>
        <v>0.11472596064738695</v>
      </c>
      <c r="U175" s="272">
        <f t="shared" si="23"/>
        <v>0.30123741120424014</v>
      </c>
      <c r="V175" s="151">
        <f>+GETPIVOTDATA("Sum of Old-HS % of Total",'Pivot-HS Student % of Undergrad'!$A$3,"State","NC","Category",9,"Category2","Two-Year")</f>
        <v>0.22943686786631312</v>
      </c>
      <c r="W175" s="272">
        <f t="shared" si="24"/>
        <v>0.4133179529912212</v>
      </c>
      <c r="X175" s="151">
        <f>+GETPIVOTDATA("Sum of Old-HS % of Total",'Pivot-HS Student % of Undergrad'!$A$3,"State","NC","Category",10,"Category2","Two-Year")</f>
        <v>0.29536511732024828</v>
      </c>
      <c r="Y175" s="272">
        <f t="shared" si="25"/>
        <v>-0.8457046807423485</v>
      </c>
      <c r="Z175" s="151">
        <f>+GETPIVOTDATA("Sum of Old-HS % of Total",'Pivot-HS Student % of Undergrad'!$A$3,"State","NC","Category2","Two-Year")</f>
        <v>0.18772896126872143</v>
      </c>
      <c r="AA175" s="272">
        <f t="shared" si="26"/>
        <v>0.22988902298679004</v>
      </c>
      <c r="AC175" s="236" t="s">
        <v>704</v>
      </c>
      <c r="AD175" s="263">
        <f>+B175</f>
        <v>0</v>
      </c>
      <c r="AE175" s="263">
        <f>+D175</f>
        <v>75410.017777777772</v>
      </c>
      <c r="AF175" s="263">
        <f>+F175</f>
        <v>64459.43444444445</v>
      </c>
      <c r="AG175" s="263">
        <f>+H175</f>
        <v>30962.89777777778</v>
      </c>
      <c r="AH175" s="263"/>
      <c r="AI175" s="263">
        <f>+J175</f>
        <v>170832.35</v>
      </c>
      <c r="AJ175" s="248" t="s">
        <v>704</v>
      </c>
      <c r="AK175" s="264">
        <f>+'NEW-Tables 80-86'!R114+'NEW-Tables 80-86'!Q145</f>
        <v>0</v>
      </c>
      <c r="AL175" s="264">
        <f>+'NEW-Tables 80-86'!S114+'NEW-Tables 80-86'!R145</f>
        <v>78091.832222222234</v>
      </c>
      <c r="AM175" s="264">
        <f>+'NEW-Tables 80-86'!T114+'NEW-Tables 80-86'!S145</f>
        <v>64149.21333333334</v>
      </c>
      <c r="AN175" s="264">
        <f>+'NEW-Tables 80-86'!U114+'NEW-Tables 80-86'!T145</f>
        <v>31269.253333333334</v>
      </c>
      <c r="AO175" s="264"/>
      <c r="AP175" s="273">
        <f>+'NEW-Tables 80-86'!V114+'NEW-Tables 80-86'!U145</f>
        <v>173510.29888888891</v>
      </c>
      <c r="AR175" s="1" t="s">
        <v>704</v>
      </c>
      <c r="AS175" s="274">
        <f t="shared" si="27"/>
        <v>0</v>
      </c>
      <c r="AT175" s="274">
        <f t="shared" si="28"/>
        <v>11.773833475942935</v>
      </c>
      <c r="AU175" s="274">
        <f t="shared" si="29"/>
        <v>23.357004739622532</v>
      </c>
      <c r="AV175" s="274">
        <f t="shared" si="30"/>
        <v>28.69080705128248</v>
      </c>
      <c r="AW175" s="274">
        <f t="shared" si="31"/>
        <v>19.002785149858934</v>
      </c>
      <c r="AY175" s="1" t="s">
        <v>704</v>
      </c>
      <c r="AZ175" s="274">
        <f t="shared" si="32"/>
        <v>0</v>
      </c>
      <c r="BA175" s="274">
        <f t="shared" si="33"/>
        <v>11.472596064738696</v>
      </c>
      <c r="BB175" s="274">
        <f t="shared" si="34"/>
        <v>22.943686786631311</v>
      </c>
      <c r="BC175" s="274">
        <f t="shared" si="35"/>
        <v>29.536511732024827</v>
      </c>
      <c r="BD175" s="274">
        <f t="shared" si="36"/>
        <v>18.772896126872144</v>
      </c>
    </row>
    <row r="176" spans="1:88" ht="15" customHeight="1">
      <c r="A176" s="1" t="s">
        <v>705</v>
      </c>
      <c r="B176" s="230">
        <f>+'NEW-Tables 80-86'!B115+'NEW-Tables 80-86'!B146</f>
        <v>0</v>
      </c>
      <c r="C176" s="271">
        <f>+GETPIVOTDATA("Sum of New-HS % of Total",'Pivot-HS Student % of Undergrad'!$A$3,"State","OK","Category",7,"Category2","Two-Year")</f>
        <v>0</v>
      </c>
      <c r="D176" s="260">
        <f>+'NEW-Tables 80-86'!C115+'NEW-Tables 80-86'!C146</f>
        <v>0</v>
      </c>
      <c r="E176" s="271">
        <f>+GETPIVOTDATA("Sum of New-HS % of Total",'Pivot-HS Student % of Undergrad'!$A$3,"State","OK","Category",8,"Category2","Two-Year")</f>
        <v>0</v>
      </c>
      <c r="F176" s="260">
        <f>+'NEW-Tables 80-86'!D115+'NEW-Tables 80-86'!D146</f>
        <v>0</v>
      </c>
      <c r="G176" s="271">
        <f>+GETPIVOTDATA("Sum of New-HS % of Total",'Pivot-HS Student % of Undergrad'!$A$3,"State","OK","Category",9,"Category2","Two-Year")</f>
        <v>0</v>
      </c>
      <c r="H176" s="260">
        <f>+'NEW-Tables 80-86'!E115+'NEW-Tables 80-86'!E146</f>
        <v>0</v>
      </c>
      <c r="I176" s="271">
        <f>+GETPIVOTDATA("Sum of New-HS % of Total",'Pivot-HS Student % of Undergrad'!$A$3,"State","OK","Category",10,"Category2","Two-Year")</f>
        <v>0</v>
      </c>
      <c r="J176" s="260">
        <f>+'NEW-Tables 80-86'!F115+'NEW-Tables 80-86'!F146</f>
        <v>0</v>
      </c>
      <c r="K176" s="271">
        <f>+GETPIVOTDATA("Sum of New-HS % of Total",'Pivot-HS Student % of Undergrad'!$A$3,"State","OK","Category2","Group2")</f>
        <v>0</v>
      </c>
      <c r="Q176" s="1" t="s">
        <v>705</v>
      </c>
      <c r="R176" s="161">
        <f>+GETPIVOTDATA("Sum of Old-HS % of Total",'Pivot-HS Student % of Undergrad'!$A$3,"State","OK","Category",7,"Category2","Two-Year")</f>
        <v>0</v>
      </c>
      <c r="S176" s="272">
        <f t="shared" si="22"/>
        <v>0</v>
      </c>
      <c r="T176" s="151">
        <f>+GETPIVOTDATA("Sum of Old-HS % of Total",'Pivot-HS Student % of Undergrad'!$A$3,"State","OK","Category",8,"Category2","Two-Year")</f>
        <v>0</v>
      </c>
      <c r="U176" s="272">
        <f t="shared" si="23"/>
        <v>0</v>
      </c>
      <c r="V176" s="151">
        <f>+GETPIVOTDATA("Sum of Old-HS % of Total",'Pivot-HS Student % of Undergrad'!$A$3,"State","OK","Category",9,"Category2","Two-Year")</f>
        <v>0</v>
      </c>
      <c r="W176" s="272">
        <f t="shared" si="24"/>
        <v>0</v>
      </c>
      <c r="X176" s="151">
        <f>+GETPIVOTDATA("Sum of Old-HS % of Total",'Pivot-HS Student % of Undergrad'!$A$3,"State","OK","Category",10,"Category2","Two-Year")</f>
        <v>0</v>
      </c>
      <c r="Y176" s="272">
        <f t="shared" si="25"/>
        <v>0</v>
      </c>
      <c r="Z176" s="151">
        <f>+GETPIVOTDATA("Sum of Old-HS % of Total",'Pivot-HS Student % of Undergrad'!$A$3,"State","OK","Category2","Two-Year")</f>
        <v>0</v>
      </c>
      <c r="AA176" s="272">
        <f t="shared" si="26"/>
        <v>0</v>
      </c>
      <c r="AC176" s="236" t="s">
        <v>705</v>
      </c>
      <c r="AD176" s="263">
        <f>+B176</f>
        <v>0</v>
      </c>
      <c r="AE176" s="263">
        <f>+D176</f>
        <v>0</v>
      </c>
      <c r="AF176" s="263">
        <f>+F176</f>
        <v>0</v>
      </c>
      <c r="AG176" s="263">
        <f>+H176</f>
        <v>0</v>
      </c>
      <c r="AH176" s="263"/>
      <c r="AI176" s="263">
        <f>+J176</f>
        <v>0</v>
      </c>
      <c r="AJ176" s="248" t="s">
        <v>705</v>
      </c>
      <c r="AK176" s="264">
        <f>+'NEW-Tables 80-86'!R115+'NEW-Tables 80-86'!Q146</f>
        <v>0</v>
      </c>
      <c r="AL176" s="264">
        <f>+'NEW-Tables 80-86'!S115+'NEW-Tables 80-86'!R146</f>
        <v>0</v>
      </c>
      <c r="AM176" s="264">
        <f>+'NEW-Tables 80-86'!T115+'NEW-Tables 80-86'!S146</f>
        <v>0</v>
      </c>
      <c r="AN176" s="264">
        <f>+'NEW-Tables 80-86'!U115+'NEW-Tables 80-86'!T146</f>
        <v>0</v>
      </c>
      <c r="AO176" s="264"/>
      <c r="AP176" s="273">
        <f>+'NEW-Tables 80-86'!V115+'NEW-Tables 80-86'!U146</f>
        <v>0</v>
      </c>
      <c r="AR176" s="1" t="s">
        <v>705</v>
      </c>
      <c r="AS176" s="274">
        <f t="shared" si="27"/>
        <v>0</v>
      </c>
      <c r="AT176" s="274">
        <f t="shared" si="28"/>
        <v>0</v>
      </c>
      <c r="AU176" s="274">
        <f t="shared" si="29"/>
        <v>0</v>
      </c>
      <c r="AV176" s="274">
        <f t="shared" si="30"/>
        <v>0</v>
      </c>
      <c r="AW176" s="274">
        <f t="shared" si="31"/>
        <v>0</v>
      </c>
      <c r="AY176" s="1" t="s">
        <v>705</v>
      </c>
      <c r="AZ176" s="274">
        <f t="shared" si="32"/>
        <v>0</v>
      </c>
      <c r="BA176" s="274">
        <f t="shared" si="33"/>
        <v>0</v>
      </c>
      <c r="BB176" s="274">
        <f t="shared" si="34"/>
        <v>0</v>
      </c>
      <c r="BC176" s="274">
        <f t="shared" si="35"/>
        <v>0</v>
      </c>
      <c r="BD176" s="274">
        <f t="shared" si="36"/>
        <v>0</v>
      </c>
    </row>
    <row r="177" spans="1:56" ht="15" customHeight="1">
      <c r="A177" s="1" t="s">
        <v>706</v>
      </c>
      <c r="B177" s="230">
        <f>+'NEW-Tables 80-86'!B116+'NEW-Tables 80-86'!B147</f>
        <v>0</v>
      </c>
      <c r="C177" s="271">
        <f>+GETPIVOTDATA("Sum of New-HS % of Total",'Pivot-HS Student % of Undergrad'!$A$3,"State","SC","Category",7,"Category2","Two-Year")</f>
        <v>0</v>
      </c>
      <c r="D177" s="260">
        <f>+'NEW-Tables 80-86'!C116+'NEW-Tables 80-86'!C147</f>
        <v>25749.433333333334</v>
      </c>
      <c r="E177" s="271">
        <f>+GETPIVOTDATA("Sum of New-HS % of Total",'Pivot-HS Student % of Undergrad'!$A$3,"State","SC","Category",8,"Category2","Two-Year")</f>
        <v>9.9247491530557952E-2</v>
      </c>
      <c r="F177" s="260">
        <f>+'NEW-Tables 80-86'!D116+'NEW-Tables 80-86'!D147</f>
        <v>18390.966666666667</v>
      </c>
      <c r="G177" s="271">
        <f>+GETPIVOTDATA("Sum of New-HS % of Total",'Pivot-HS Student % of Undergrad'!$A$3,"State","SC","Category",9,"Category2","Two-Year")</f>
        <v>0.10503163690869974</v>
      </c>
      <c r="H177" s="260">
        <f>+'NEW-Tables 80-86'!E116+'NEW-Tables 80-86'!E147</f>
        <v>9343.9333333333325</v>
      </c>
      <c r="I177" s="271">
        <f>+GETPIVOTDATA("Sum of New-HS % of Total",'Pivot-HS Student % of Undergrad'!$A$3,"State","SC","Category",10,"Category2","Two-Year")</f>
        <v>0.26565900156251115</v>
      </c>
      <c r="J177" s="260">
        <f>+'NEW-Tables 80-86'!F116+'NEW-Tables 80-86'!F147</f>
        <v>53484.333333333336</v>
      </c>
      <c r="K177" s="271">
        <f>+GETPIVOTDATA("Sum of New-HS % of Total",'Pivot-HS Student % of Undergrad'!$A$3,"State","SC","Category2","Group2")</f>
        <v>0.13030918711398354</v>
      </c>
      <c r="Q177" s="1" t="s">
        <v>706</v>
      </c>
      <c r="R177" s="161">
        <f>+GETPIVOTDATA("Sum of Old-HS % of Total",'Pivot-HS Student % of Undergrad'!$A$3,"State","SC","Category",7,"Category2","Two-Year")</f>
        <v>0</v>
      </c>
      <c r="S177" s="272">
        <f t="shared" si="22"/>
        <v>0</v>
      </c>
      <c r="T177" s="151">
        <f>+GETPIVOTDATA("Sum of Old-HS % of Total",'Pivot-HS Student % of Undergrad'!$A$3,"State","SC","Category",8,"Category2","Two-Year")</f>
        <v>8.7488928824746515E-2</v>
      </c>
      <c r="U177" s="272">
        <f t="shared" si="23"/>
        <v>1.1758562705811437</v>
      </c>
      <c r="V177" s="151">
        <f>+GETPIVOTDATA("Sum of Old-HS % of Total",'Pivot-HS Student % of Undergrad'!$A$3,"State","SC","Category",9,"Category2","Two-Year")</f>
        <v>9.8981127867755689E-2</v>
      </c>
      <c r="W177" s="272">
        <f t="shared" si="24"/>
        <v>0.60505090409440498</v>
      </c>
      <c r="X177" s="151">
        <f>+GETPIVOTDATA("Sum of Old-HS % of Total",'Pivot-HS Student % of Undergrad'!$A$3,"State","SC","Category",10,"Category2","Two-Year")</f>
        <v>0.2421216632621265</v>
      </c>
      <c r="Y177" s="272">
        <f t="shared" si="25"/>
        <v>2.3537338300384651</v>
      </c>
      <c r="Z177" s="151">
        <f>+GETPIVOTDATA("Sum of Old-HS % of Total",'Pivot-HS Student % of Undergrad'!$A$3,"State","SC","Category2","Two-Year")</f>
        <v>0.11801630271328747</v>
      </c>
      <c r="AA177" s="272">
        <f t="shared" si="26"/>
        <v>1.2292884400696065</v>
      </c>
      <c r="AC177" s="236" t="s">
        <v>706</v>
      </c>
      <c r="AD177" s="263">
        <f>+B177</f>
        <v>0</v>
      </c>
      <c r="AE177" s="263">
        <f>+D177</f>
        <v>25749.433333333334</v>
      </c>
      <c r="AF177" s="263">
        <f>+F177</f>
        <v>18390.966666666667</v>
      </c>
      <c r="AG177" s="263">
        <f>+H177</f>
        <v>9343.9333333333325</v>
      </c>
      <c r="AH177" s="263"/>
      <c r="AI177" s="263">
        <f>+J177</f>
        <v>53484.333333333336</v>
      </c>
      <c r="AJ177" s="248" t="s">
        <v>706</v>
      </c>
      <c r="AK177" s="264">
        <f>+'NEW-Tables 80-86'!R116+'NEW-Tables 80-86'!Q147</f>
        <v>0</v>
      </c>
      <c r="AL177" s="264">
        <f>+'NEW-Tables 80-86'!S116+'NEW-Tables 80-86'!R147</f>
        <v>27210.300000000003</v>
      </c>
      <c r="AM177" s="264">
        <f>+'NEW-Tables 80-86'!T116+'NEW-Tables 80-86'!S147</f>
        <v>19132.266666666666</v>
      </c>
      <c r="AN177" s="264">
        <f>+'NEW-Tables 80-86'!U116+'NEW-Tables 80-86'!T147</f>
        <v>9627.6666666666661</v>
      </c>
      <c r="AO177" s="264"/>
      <c r="AP177" s="273">
        <f>+'NEW-Tables 80-86'!V116+'NEW-Tables 80-86'!U147</f>
        <v>55970.23333333333</v>
      </c>
      <c r="AR177" s="1" t="s">
        <v>706</v>
      </c>
      <c r="AS177" s="274">
        <f t="shared" si="27"/>
        <v>0</v>
      </c>
      <c r="AT177" s="274">
        <f t="shared" si="28"/>
        <v>9.9247491530557959</v>
      </c>
      <c r="AU177" s="274">
        <f t="shared" si="29"/>
        <v>10.503163690869973</v>
      </c>
      <c r="AV177" s="274">
        <f t="shared" si="30"/>
        <v>26.565900156251114</v>
      </c>
      <c r="AW177" s="274">
        <f t="shared" si="31"/>
        <v>13.030918711398353</v>
      </c>
      <c r="AY177" s="1" t="s">
        <v>706</v>
      </c>
      <c r="AZ177" s="274">
        <f t="shared" si="32"/>
        <v>0</v>
      </c>
      <c r="BA177" s="274">
        <f t="shared" si="33"/>
        <v>8.7488928824746512</v>
      </c>
      <c r="BB177" s="274">
        <f t="shared" si="34"/>
        <v>9.8981127867755685</v>
      </c>
      <c r="BC177" s="274">
        <f t="shared" si="35"/>
        <v>24.21216632621265</v>
      </c>
      <c r="BD177" s="274">
        <f t="shared" si="36"/>
        <v>11.801630271328747</v>
      </c>
    </row>
    <row r="178" spans="1:56" ht="15" customHeight="1">
      <c r="B178" s="230"/>
      <c r="C178" s="271"/>
      <c r="D178" s="260"/>
      <c r="E178" s="271"/>
      <c r="F178" s="260"/>
      <c r="G178" s="271"/>
      <c r="H178" s="260"/>
      <c r="I178" s="271"/>
      <c r="J178" s="260"/>
      <c r="K178" s="271"/>
      <c r="R178" s="161"/>
      <c r="S178" s="272"/>
      <c r="T178" s="151"/>
      <c r="U178" s="272"/>
      <c r="V178" s="151"/>
      <c r="W178" s="272"/>
      <c r="X178" s="151"/>
      <c r="Y178" s="272"/>
      <c r="Z178" s="151"/>
      <c r="AA178" s="272"/>
      <c r="AC178" s="236"/>
      <c r="AD178" s="263"/>
      <c r="AE178" s="263"/>
      <c r="AF178" s="263"/>
      <c r="AG178" s="263"/>
      <c r="AH178" s="263"/>
      <c r="AI178" s="263"/>
      <c r="AJ178" s="248"/>
      <c r="AK178" s="264"/>
      <c r="AL178" s="264"/>
      <c r="AM178" s="264"/>
      <c r="AN178" s="264"/>
      <c r="AO178" s="264"/>
      <c r="AP178" s="273"/>
      <c r="AS178" s="274">
        <f t="shared" si="27"/>
        <v>0</v>
      </c>
      <c r="AT178" s="274">
        <f t="shared" si="28"/>
        <v>0</v>
      </c>
      <c r="AU178" s="274">
        <f t="shared" si="29"/>
        <v>0</v>
      </c>
      <c r="AV178" s="274">
        <f t="shared" si="30"/>
        <v>0</v>
      </c>
      <c r="AW178" s="274">
        <f t="shared" si="31"/>
        <v>0</v>
      </c>
      <c r="AZ178" s="274">
        <f t="shared" si="32"/>
        <v>0</v>
      </c>
      <c r="BA178" s="274">
        <f t="shared" si="33"/>
        <v>0</v>
      </c>
      <c r="BB178" s="274">
        <f t="shared" si="34"/>
        <v>0</v>
      </c>
      <c r="BC178" s="274">
        <f t="shared" si="35"/>
        <v>0</v>
      </c>
      <c r="BD178" s="274">
        <f t="shared" si="36"/>
        <v>0</v>
      </c>
    </row>
    <row r="179" spans="1:56" ht="11.25" customHeight="1">
      <c r="A179" s="1" t="s">
        <v>707</v>
      </c>
      <c r="B179" s="230">
        <f>+'NEW-Tables 80-86'!B118+'NEW-Tables 80-86'!B149</f>
        <v>0</v>
      </c>
      <c r="C179" s="271">
        <f>+GETPIVOTDATA("Sum of New-HS % of Total",'Pivot-HS Student % of Undergrad'!$A$3,"State","TN","Category",7,"Category2","Two-Year")</f>
        <v>0</v>
      </c>
      <c r="D179" s="260">
        <f>+'NEW-Tables 80-86'!C118+'NEW-Tables 80-86'!C149</f>
        <v>24708.066666666669</v>
      </c>
      <c r="E179" s="271">
        <f>+GETPIVOTDATA("Sum of New-HS % of Total",'Pivot-HS Student % of Undergrad'!$A$3,"State","TN","Category",8,"Category2","Two-Year")</f>
        <v>7.3590001645886235E-2</v>
      </c>
      <c r="F179" s="260">
        <f>+'NEW-Tables 80-86'!D118+'NEW-Tables 80-86'!D149</f>
        <v>22793.766666666666</v>
      </c>
      <c r="G179" s="271">
        <f>+GETPIVOTDATA("Sum of New-HS % of Total",'Pivot-HS Student % of Undergrad'!$A$3,"State","TN","Category",9,"Category2","Two-Year")</f>
        <v>0.11984855508742888</v>
      </c>
      <c r="H179" s="260">
        <f>+'NEW-Tables 80-86'!E118+'NEW-Tables 80-86'!E149</f>
        <v>1727.2</v>
      </c>
      <c r="I179" s="271">
        <f>+GETPIVOTDATA("Sum of New-HS % of Total",'Pivot-HS Student % of Undergrad'!$A$3,"State","TN","Category",10,"Category2","Two-Year")</f>
        <v>0.10741855797437085</v>
      </c>
      <c r="J179" s="260">
        <f>+'NEW-Tables 80-86'!F118+'NEW-Tables 80-86'!F149</f>
        <v>49229.033333333333</v>
      </c>
      <c r="K179" s="271">
        <f>+GETPIVOTDATA("Sum of New-HS % of Total",'Pivot-HS Student % of Undergrad'!$A$3,"State","TN","Category2","Group2")</f>
        <v>9.6195266885191727E-2</v>
      </c>
      <c r="Q179" s="1" t="s">
        <v>707</v>
      </c>
      <c r="R179" s="161">
        <f>+GETPIVOTDATA("Sum of Old-HS % of Total",'Pivot-HS Student % of Undergrad'!$A$3,"State","TN","Category",7,"Category2","Two-Year")</f>
        <v>0</v>
      </c>
      <c r="S179" s="272">
        <f t="shared" si="22"/>
        <v>0</v>
      </c>
      <c r="T179" s="151">
        <f>+GETPIVOTDATA("Sum of Old-HS % of Total",'Pivot-HS Student % of Undergrad'!$A$3,"State","TN","Category",8,"Category2","Two-Year")</f>
        <v>6.5751256459760724E-2</v>
      </c>
      <c r="U179" s="272">
        <f t="shared" si="23"/>
        <v>0.7838745186125512</v>
      </c>
      <c r="V179" s="151">
        <f>+GETPIVOTDATA("Sum of Old-HS % of Total",'Pivot-HS Student % of Undergrad'!$A$3,"State","TN","Category",9,"Category2","Two-Year")</f>
        <v>0.11195833573113886</v>
      </c>
      <c r="W179" s="272">
        <f t="shared" si="24"/>
        <v>0.78902193562900158</v>
      </c>
      <c r="X179" s="151">
        <f>+GETPIVOTDATA("Sum of Old-HS % of Total",'Pivot-HS Student % of Undergrad'!$A$3,"State","TN","Category",10,"Category2","Two-Year")</f>
        <v>0.1067929141038825</v>
      </c>
      <c r="Y179" s="272">
        <f t="shared" si="25"/>
        <v>6.2564387048834325E-2</v>
      </c>
      <c r="Z179" s="151">
        <f>+GETPIVOTDATA("Sum of Old-HS % of Total",'Pivot-HS Student % of Undergrad'!$A$3,"State","TN","Category2","Two-Year")</f>
        <v>8.8194387213071032E-2</v>
      </c>
      <c r="AA179" s="272">
        <f t="shared" si="26"/>
        <v>0.80008796721206954</v>
      </c>
      <c r="AC179" s="236" t="s">
        <v>707</v>
      </c>
      <c r="AD179" s="263">
        <f>+B179</f>
        <v>0</v>
      </c>
      <c r="AE179" s="263">
        <f>+D179</f>
        <v>24708.066666666669</v>
      </c>
      <c r="AF179" s="263">
        <f>+F179</f>
        <v>22793.766666666666</v>
      </c>
      <c r="AG179" s="263">
        <f>+H179</f>
        <v>1727.2</v>
      </c>
      <c r="AH179" s="263"/>
      <c r="AI179" s="263">
        <f>+J179</f>
        <v>49229.033333333333</v>
      </c>
      <c r="AJ179" s="248" t="s">
        <v>707</v>
      </c>
      <c r="AK179" s="264">
        <f>+'NEW-Tables 80-86'!R118+'NEW-Tables 80-86'!Q149</f>
        <v>0</v>
      </c>
      <c r="AL179" s="264">
        <f>+'NEW-Tables 80-86'!S118+'NEW-Tables 80-86'!R149</f>
        <v>28409.85</v>
      </c>
      <c r="AM179" s="264">
        <f>+'NEW-Tables 80-86'!T118+'NEW-Tables 80-86'!S149</f>
        <v>25486.266666666663</v>
      </c>
      <c r="AN179" s="264">
        <f>+'NEW-Tables 80-86'!U118+'NEW-Tables 80-86'!T149</f>
        <v>1717.9666666666667</v>
      </c>
      <c r="AO179" s="264"/>
      <c r="AP179" s="273">
        <f>+'NEW-Tables 80-86'!V118+'NEW-Tables 80-86'!U149</f>
        <v>55614.083333333328</v>
      </c>
      <c r="AR179" s="1" t="s">
        <v>707</v>
      </c>
      <c r="AS179" s="274">
        <f t="shared" si="27"/>
        <v>0</v>
      </c>
      <c r="AT179" s="274">
        <f t="shared" si="28"/>
        <v>7.3590001645886236</v>
      </c>
      <c r="AU179" s="274">
        <f t="shared" si="29"/>
        <v>11.984855508742887</v>
      </c>
      <c r="AV179" s="274">
        <f t="shared" si="30"/>
        <v>10.741855797437085</v>
      </c>
      <c r="AW179" s="274">
        <f t="shared" si="31"/>
        <v>9.6195266885191728</v>
      </c>
      <c r="AY179" s="1" t="s">
        <v>707</v>
      </c>
      <c r="AZ179" s="274">
        <f t="shared" si="32"/>
        <v>0</v>
      </c>
      <c r="BA179" s="274">
        <f t="shared" si="33"/>
        <v>6.5751256459760725</v>
      </c>
      <c r="BB179" s="274">
        <f t="shared" si="34"/>
        <v>11.195833573113886</v>
      </c>
      <c r="BC179" s="274">
        <f t="shared" si="35"/>
        <v>10.679291410388251</v>
      </c>
      <c r="BD179" s="274">
        <f t="shared" si="36"/>
        <v>8.8194387213071028</v>
      </c>
    </row>
    <row r="180" spans="1:56" ht="15" customHeight="1">
      <c r="A180" s="1" t="s">
        <v>708</v>
      </c>
      <c r="B180" s="230">
        <f>+'NEW-Tables 80-86'!B119+'NEW-Tables 80-86'!B150</f>
        <v>22901.507777777777</v>
      </c>
      <c r="C180" s="271">
        <f>+GETPIVOTDATA("Sum of New-HS % of Total",'Pivot-HS Student % of Undergrad'!$A$3,"State","TX","Category",7,"Category2","Two-Year")</f>
        <v>0.29744976793242711</v>
      </c>
      <c r="D180" s="260">
        <f>+'NEW-Tables 80-86'!C119+'NEW-Tables 80-86'!C150</f>
        <v>275723.91555555549</v>
      </c>
      <c r="E180" s="271">
        <f>+GETPIVOTDATA("Sum of New-HS % of Total",'Pivot-HS Student % of Undergrad'!$A$3,"State","TX","Category",8,"Category2","Two-Year")</f>
        <v>0.16827254332055627</v>
      </c>
      <c r="F180" s="260">
        <f>+'NEW-Tables 80-86'!D119+'NEW-Tables 80-86'!D150</f>
        <v>73981.418888888889</v>
      </c>
      <c r="G180" s="271">
        <f>+GETPIVOTDATA("Sum of New-HS % of Total",'Pivot-HS Student % of Undergrad'!$A$3,"State","TX","Category",9,"Category2","Two-Year")</f>
        <v>0.2240845964773337</v>
      </c>
      <c r="H180" s="260">
        <f>+'NEW-Tables 80-86'!E119+'NEW-Tables 80-86'!E150</f>
        <v>13598.433333333331</v>
      </c>
      <c r="I180" s="271">
        <f>+GETPIVOTDATA("Sum of New-HS % of Total",'Pivot-HS Student % of Undergrad'!$A$3,"State","TX","Category",10,"Category2","Two-Year")</f>
        <v>0.20774590950893895</v>
      </c>
      <c r="J180" s="260">
        <f>+'NEW-Tables 80-86'!F119+'NEW-Tables 80-86'!F150</f>
        <v>386205.27555555548</v>
      </c>
      <c r="K180" s="271">
        <f>+GETPIVOTDATA("Sum of New-HS % of Total",'Pivot-HS Student % of Undergrad'!$A$3,"State","TX","Category2","Group2")</f>
        <v>0.18795467779773933</v>
      </c>
      <c r="Q180" s="1" t="s">
        <v>708</v>
      </c>
      <c r="R180" s="161">
        <f>+GETPIVOTDATA("Sum of Old-HS % of Total",'Pivot-HS Student % of Undergrad'!$A$3,"State","TX","Category",7,"Category2","Two-Year")</f>
        <v>0.32301528667373725</v>
      </c>
      <c r="S180" s="272">
        <f t="shared" si="22"/>
        <v>-2.5565518741310136</v>
      </c>
      <c r="T180" s="151">
        <f>+GETPIVOTDATA("Sum of Old-HS % of Total",'Pivot-HS Student % of Undergrad'!$A$3,"State","TX","Category",8,"Category2","Two-Year")</f>
        <v>0.15280065007059612</v>
      </c>
      <c r="U180" s="272">
        <f t="shared" si="23"/>
        <v>1.5471893249960149</v>
      </c>
      <c r="V180" s="151">
        <f>+GETPIVOTDATA("Sum of Old-HS % of Total",'Pivot-HS Student % of Undergrad'!$A$3,"State","TX","Category",9,"Category2","Two-Year")</f>
        <v>0.20006440661083635</v>
      </c>
      <c r="W180" s="272">
        <f t="shared" si="24"/>
        <v>2.4020189866497343</v>
      </c>
      <c r="X180" s="151">
        <f>+GETPIVOTDATA("Sum of Old-HS % of Total",'Pivot-HS Student % of Undergrad'!$A$3,"State","TX","Category",10,"Category2","Two-Year")</f>
        <v>0.19365509774978762</v>
      </c>
      <c r="Y180" s="272">
        <f t="shared" si="25"/>
        <v>1.4090811759151334</v>
      </c>
      <c r="Z180" s="151">
        <f>+GETPIVOTDATA("Sum of Old-HS % of Total",'Pivot-HS Student % of Undergrad'!$A$3,"State","TX","Category2","Two-Year")</f>
        <v>0.17183588527672874</v>
      </c>
      <c r="AA180" s="272">
        <f t="shared" si="26"/>
        <v>1.6118792521010588</v>
      </c>
      <c r="AC180" s="236" t="s">
        <v>708</v>
      </c>
      <c r="AD180" s="277">
        <f>+'FTE Pivot for regular counts'!AF171</f>
        <v>0</v>
      </c>
      <c r="AE180" s="277">
        <f>+'FTE Pivot for regular counts'!AG171</f>
        <v>0</v>
      </c>
      <c r="AF180" s="277">
        <f>+'FTE Pivot for regular counts'!AH171</f>
        <v>0</v>
      </c>
      <c r="AG180" s="277">
        <f>+'FTE Pivot for regular counts'!AI171</f>
        <v>13598.433333333332</v>
      </c>
      <c r="AH180" s="277">
        <f>+'FTE Pivot for regular counts'!AJ171</f>
        <v>44162.825555555552</v>
      </c>
      <c r="AI180" s="263">
        <f>+J180</f>
        <v>386205.27555555548</v>
      </c>
      <c r="AJ180" s="248" t="s">
        <v>708</v>
      </c>
      <c r="AK180" s="264">
        <f>+'FTE Pivot for regular counts'!AF170</f>
        <v>0</v>
      </c>
      <c r="AL180" s="278">
        <f>+'FTE Pivot for regular counts'!AG170</f>
        <v>0</v>
      </c>
      <c r="AM180" s="278">
        <f>+'FTE Pivot for regular counts'!AH170</f>
        <v>0</v>
      </c>
      <c r="AN180" s="278">
        <f>+'FTE Pivot for regular counts'!AI170</f>
        <v>10254.957777777779</v>
      </c>
      <c r="AO180" s="278">
        <f>+'FTE Pivot for regular counts'!AJ170</f>
        <v>71613.201111111121</v>
      </c>
      <c r="AP180" s="273">
        <f>+'NEW-Tables 80-86'!V119+'NEW-Tables 80-86'!U150</f>
        <v>457343.73777777789</v>
      </c>
      <c r="AR180" s="1" t="s">
        <v>708</v>
      </c>
      <c r="AS180" s="274">
        <f t="shared" si="27"/>
        <v>29.74497679324271</v>
      </c>
      <c r="AT180" s="274">
        <f t="shared" si="28"/>
        <v>16.827254332055627</v>
      </c>
      <c r="AU180" s="274">
        <f t="shared" si="29"/>
        <v>22.40845964773337</v>
      </c>
      <c r="AV180" s="274">
        <f t="shared" si="30"/>
        <v>20.774590950893895</v>
      </c>
      <c r="AW180" s="274">
        <f t="shared" si="31"/>
        <v>18.795467779773933</v>
      </c>
      <c r="AY180" s="1" t="s">
        <v>708</v>
      </c>
      <c r="AZ180" s="274">
        <f t="shared" si="32"/>
        <v>32.301528667373724</v>
      </c>
      <c r="BA180" s="274">
        <f t="shared" si="33"/>
        <v>15.280065007059612</v>
      </c>
      <c r="BB180" s="274">
        <f t="shared" si="34"/>
        <v>20.006440661083637</v>
      </c>
      <c r="BC180" s="274">
        <f t="shared" si="35"/>
        <v>19.365509774978761</v>
      </c>
      <c r="BD180" s="274">
        <f t="shared" si="36"/>
        <v>17.183588527672875</v>
      </c>
    </row>
    <row r="181" spans="1:56" ht="15" customHeight="1">
      <c r="A181" s="1" t="s">
        <v>709</v>
      </c>
      <c r="B181" s="230">
        <f>+'NEW-Tables 80-86'!B120+'NEW-Tables 80-86'!B151</f>
        <v>0</v>
      </c>
      <c r="C181" s="271">
        <f>+GETPIVOTDATA("Sum of New-HS % of Total",'Pivot-HS Student % of Undergrad'!$A$3,"State","VA","Category",7,"Category2","Two-Year")</f>
        <v>0</v>
      </c>
      <c r="D181" s="260">
        <f>+'NEW-Tables 80-86'!C120+'NEW-Tables 80-86'!C151</f>
        <v>51690.666666666664</v>
      </c>
      <c r="E181" s="271">
        <f>+GETPIVOTDATA("Sum of New-HS % of Total",'Pivot-HS Student % of Undergrad'!$A$3,"State","VA","Category",8,"Category2","Two-Year")</f>
        <v>0.23188325423029302</v>
      </c>
      <c r="F181" s="260">
        <f>+'NEW-Tables 80-86'!D120+'NEW-Tables 80-86'!D151</f>
        <v>24733.466666666667</v>
      </c>
      <c r="G181" s="271">
        <f>+GETPIVOTDATA("Sum of New-HS % of Total",'Pivot-HS Student % of Undergrad'!$A$3,"State","VA","Category",9,"Category2","Two-Year")</f>
        <v>0.41932523274807143</v>
      </c>
      <c r="H181" s="260">
        <f>+'NEW-Tables 80-86'!E120+'NEW-Tables 80-86'!E151</f>
        <v>15071.65</v>
      </c>
      <c r="I181" s="271">
        <f>+GETPIVOTDATA("Sum of New-HS % of Total",'Pivot-HS Student % of Undergrad'!$A$3,"State","VA","Category",10,"Category2","Two-Year")</f>
        <v>0.60378923342832402</v>
      </c>
      <c r="J181" s="260">
        <f>+'NEW-Tables 80-86'!F120+'NEW-Tables 80-86'!F151</f>
        <v>91495.783333333326</v>
      </c>
      <c r="K181" s="271">
        <f>+GETPIVOTDATA("Sum of New-HS % of Total",'Pivot-HS Student % of Undergrad'!$A$3,"State","VA","Category2","Group2")</f>
        <v>0.34381548002121043</v>
      </c>
      <c r="Q181" s="1" t="s">
        <v>709</v>
      </c>
      <c r="R181" s="161">
        <f>+GETPIVOTDATA("Sum of Old-HS % of Total",'Pivot-HS Student % of Undergrad'!$A$3,"State","VA","Category",7,"Category2","Two-Year")</f>
        <v>0</v>
      </c>
      <c r="S181" s="272">
        <f t="shared" si="22"/>
        <v>0</v>
      </c>
      <c r="T181" s="151">
        <f>+GETPIVOTDATA("Sum of Old-HS % of Total",'Pivot-HS Student % of Undergrad'!$A$3,"State","VA","Category",8,"Category2","Two-Year")</f>
        <v>0.21559257603561302</v>
      </c>
      <c r="U181" s="272">
        <f t="shared" si="23"/>
        <v>1.6290678194679997</v>
      </c>
      <c r="V181" s="151">
        <f>+GETPIVOTDATA("Sum of Old-HS % of Total",'Pivot-HS Student % of Undergrad'!$A$3,"State","VA","Category",9,"Category2","Two-Year")</f>
        <v>0.40649022106929683</v>
      </c>
      <c r="W181" s="272">
        <f t="shared" si="24"/>
        <v>1.2835011678774599</v>
      </c>
      <c r="X181" s="151">
        <f>+GETPIVOTDATA("Sum of Old-HS % of Total",'Pivot-HS Student % of Undergrad'!$A$3,"State","VA","Category",10,"Category2","Two-Year")</f>
        <v>0.59672061957920952</v>
      </c>
      <c r="Y181" s="272">
        <f t="shared" si="25"/>
        <v>0.70686138491145023</v>
      </c>
      <c r="Z181" s="151">
        <f>+GETPIVOTDATA("Sum of Old-HS % of Total",'Pivot-HS Student % of Undergrad'!$A$3,"State","VA","Category2","Two-Year")</f>
        <v>0.33101026229609404</v>
      </c>
      <c r="AA181" s="272">
        <f t="shared" si="26"/>
        <v>1.2805217725116391</v>
      </c>
      <c r="AC181" s="263" t="s">
        <v>709</v>
      </c>
      <c r="AD181" s="263"/>
      <c r="AE181" s="263">
        <f>+D181</f>
        <v>51690.666666666664</v>
      </c>
      <c r="AF181" s="263">
        <f>+F181</f>
        <v>24733.466666666667</v>
      </c>
      <c r="AG181" s="277">
        <f>'FTE Pivot for regular counts'!AI183</f>
        <v>13194.683333333334</v>
      </c>
      <c r="AH181" s="277">
        <f>+'FTE Pivot for regular counts'!AJ183</f>
        <v>90410.916666666672</v>
      </c>
      <c r="AI181" s="263">
        <f>+J181</f>
        <v>91495.783333333326</v>
      </c>
      <c r="AJ181" s="248" t="s">
        <v>709</v>
      </c>
      <c r="AK181" s="264"/>
      <c r="AL181" s="264"/>
      <c r="AM181" s="264"/>
      <c r="AN181" s="278">
        <f>'FTE Pivot for regular counts'!AI182</f>
        <v>13804.266666666666</v>
      </c>
      <c r="AO181" s="278">
        <f>+'FTE Pivot for regular counts'!AJ182</f>
        <v>93799.2</v>
      </c>
      <c r="AP181" s="273">
        <f>+'NEW-Tables 80-86'!V120+'NEW-Tables 80-86'!U151</f>
        <v>95027.466666666674</v>
      </c>
      <c r="AR181" s="1" t="s">
        <v>709</v>
      </c>
      <c r="AS181" s="274">
        <f t="shared" si="27"/>
        <v>0</v>
      </c>
      <c r="AT181" s="274">
        <f t="shared" si="28"/>
        <v>23.188325423029301</v>
      </c>
      <c r="AU181" s="274">
        <f t="shared" si="29"/>
        <v>41.932523274807146</v>
      </c>
      <c r="AV181" s="274">
        <f t="shared" si="30"/>
        <v>60.378923342832401</v>
      </c>
      <c r="AW181" s="274">
        <f t="shared" si="31"/>
        <v>34.381548002121043</v>
      </c>
      <c r="AY181" s="1" t="s">
        <v>709</v>
      </c>
      <c r="AZ181" s="274">
        <f t="shared" si="32"/>
        <v>0</v>
      </c>
      <c r="BA181" s="274">
        <f t="shared" si="33"/>
        <v>21.559257603561303</v>
      </c>
      <c r="BB181" s="274">
        <f t="shared" si="34"/>
        <v>40.649022106929685</v>
      </c>
      <c r="BC181" s="274">
        <f t="shared" si="35"/>
        <v>59.672061957920953</v>
      </c>
      <c r="BD181" s="274">
        <f t="shared" si="36"/>
        <v>33.101026229609403</v>
      </c>
    </row>
    <row r="182" spans="1:56" ht="15" customHeight="1">
      <c r="A182" s="166" t="s">
        <v>710</v>
      </c>
      <c r="B182" s="234">
        <f>+'NEW-Tables 80-86'!B121+'NEW-Tables 80-86'!B152</f>
        <v>2644.9666666666667</v>
      </c>
      <c r="C182" s="279">
        <f>+GETPIVOTDATA("Sum of New-HS % of Total",'Pivot-HS Student % of Undergrad'!$A$3,"State","WV","Category",7,"Category2","Two-Year")</f>
        <v>0.13625880603410251</v>
      </c>
      <c r="D182" s="280">
        <f>+'NEW-Tables 80-86'!C121+'NEW-Tables 80-86'!C152</f>
        <v>0</v>
      </c>
      <c r="E182" s="279">
        <f>+GETPIVOTDATA("Sum of New-HS % of Total",'Pivot-HS Student % of Undergrad'!$A$3,"State","WV","Category",8,"Category2","Two-Year")</f>
        <v>0</v>
      </c>
      <c r="F182" s="280">
        <f>+'NEW-Tables 80-86'!D121+'NEW-Tables 80-86'!D152</f>
        <v>1327</v>
      </c>
      <c r="G182" s="279">
        <f>+GETPIVOTDATA("Sum of New-HS % of Total",'Pivot-HS Student % of Undergrad'!$A$3,"State","WV","Category",9,"Category2","Two-Year")</f>
        <v>0.1777694046721929</v>
      </c>
      <c r="H182" s="280">
        <f>+'NEW-Tables 80-86'!E121+'NEW-Tables 80-86'!E152</f>
        <v>6021.5999999999995</v>
      </c>
      <c r="I182" s="279">
        <f>+GETPIVOTDATA("Sum of New-HS % of Total",'Pivot-HS Student % of Undergrad'!$A$3,"State","WV","Category",10,"Category2","Two-Year")</f>
        <v>7.8035738009831268E-2</v>
      </c>
      <c r="J182" s="280">
        <f>+'NEW-Tables 80-86'!F121+'NEW-Tables 80-86'!F152</f>
        <v>9993.5666666666657</v>
      </c>
      <c r="K182" s="279">
        <f>+GETPIVOTDATA("Sum of New-HS % of Total",'Pivot-HS Student % of Undergrad'!$A$3,"State","WV","Category2","Group2")</f>
        <v>0.10668863635605573</v>
      </c>
      <c r="Q182" s="166" t="s">
        <v>710</v>
      </c>
      <c r="R182" s="171">
        <f>+GETPIVOTDATA("Sum of Old-HS % of Total",'Pivot-HS Student % of Undergrad'!$A$3,"State","WV","Category",7,"Category2","Two-Year")</f>
        <v>0.13982808691291215</v>
      </c>
      <c r="S182" s="272">
        <f t="shared" si="22"/>
        <v>-0.35692808788096442</v>
      </c>
      <c r="T182" s="173">
        <f>+GETPIVOTDATA("Sum of Old-HS % of Total",'Pivot-HS Student % of Undergrad'!$A$3,"State","WV","Category",8,"Category2","Two-Year")</f>
        <v>0</v>
      </c>
      <c r="U182" s="272">
        <f t="shared" si="23"/>
        <v>0</v>
      </c>
      <c r="V182" s="173">
        <f>+GETPIVOTDATA("Sum of Old-HS % of Total",'Pivot-HS Student % of Undergrad'!$A$3,"State","WV","Category",9,"Category2","Two-Year")</f>
        <v>0.15360336975246008</v>
      </c>
      <c r="W182" s="272">
        <f t="shared" si="24"/>
        <v>2.4166034919732819</v>
      </c>
      <c r="X182" s="173">
        <f>+GETPIVOTDATA("Sum of Old-HS % of Total",'Pivot-HS Student % of Undergrad'!$A$3,"State","WV","Category",10,"Category2","Two-Year")</f>
        <v>7.6824680210684726E-2</v>
      </c>
      <c r="Y182" s="272">
        <f t="shared" si="25"/>
        <v>0.12110577991465421</v>
      </c>
      <c r="Z182" s="173">
        <f>+GETPIVOTDATA("Sum of Old-HS % of Total",'Pivot-HS Student % of Undergrad'!$A$3,"State","WV","Category2","Two-Year")</f>
        <v>0.10452683398453429</v>
      </c>
      <c r="AA182" s="272">
        <f t="shared" si="26"/>
        <v>0.21618023715214429</v>
      </c>
      <c r="AC182" s="263" t="s">
        <v>710</v>
      </c>
      <c r="AD182" s="263">
        <f>+B182</f>
        <v>2644.9666666666667</v>
      </c>
      <c r="AE182" s="263">
        <f>+D182</f>
        <v>0</v>
      </c>
      <c r="AF182" s="263">
        <f>+F182</f>
        <v>1327</v>
      </c>
      <c r="AG182" s="263">
        <f>+H182</f>
        <v>6021.5999999999995</v>
      </c>
      <c r="AH182" s="236"/>
      <c r="AI182" s="263">
        <f>+J182</f>
        <v>9993.5666666666657</v>
      </c>
      <c r="AJ182" s="281" t="s">
        <v>710</v>
      </c>
      <c r="AK182" s="282">
        <f>+'NEW-Tables 80-86'!R121+'NEW-Tables 80-86'!Q152</f>
        <v>2858.0333333333333</v>
      </c>
      <c r="AL182" s="282">
        <f>+'NEW-Tables 80-86'!S121+'NEW-Tables 80-86'!R152</f>
        <v>0</v>
      </c>
      <c r="AM182" s="282">
        <f>+'NEW-Tables 80-86'!T121+'NEW-Tables 80-86'!S152</f>
        <v>1695.0799999999997</v>
      </c>
      <c r="AN182" s="282">
        <f>+'NEW-Tables 80-86'!U121+'NEW-Tables 80-86'!T152</f>
        <v>6645</v>
      </c>
      <c r="AO182" s="282"/>
      <c r="AP182" s="283">
        <f>+'NEW-Tables 80-86'!V121+'NEW-Tables 80-86'!U152</f>
        <v>11198.113333333333</v>
      </c>
      <c r="AR182" s="166" t="s">
        <v>710</v>
      </c>
      <c r="AS182" s="284">
        <f t="shared" si="27"/>
        <v>13.62588060341025</v>
      </c>
      <c r="AT182" s="284">
        <f t="shared" si="28"/>
        <v>0</v>
      </c>
      <c r="AU182" s="284">
        <f t="shared" si="29"/>
        <v>17.776940467219291</v>
      </c>
      <c r="AV182" s="284">
        <f t="shared" si="30"/>
        <v>7.803573800983127</v>
      </c>
      <c r="AW182" s="284">
        <f t="shared" si="31"/>
        <v>10.668863635605573</v>
      </c>
      <c r="AY182" s="166" t="s">
        <v>710</v>
      </c>
      <c r="AZ182" s="284">
        <f t="shared" si="32"/>
        <v>13.982808691291215</v>
      </c>
      <c r="BA182" s="284">
        <f t="shared" si="33"/>
        <v>0</v>
      </c>
      <c r="BB182" s="284">
        <f t="shared" si="34"/>
        <v>15.360336975246009</v>
      </c>
      <c r="BC182" s="284">
        <f t="shared" si="35"/>
        <v>7.6824680210684724</v>
      </c>
      <c r="BD182" s="284">
        <f t="shared" si="36"/>
        <v>10.452683398453429</v>
      </c>
    </row>
    <row r="183" spans="1:56" ht="34.5" customHeight="1">
      <c r="A183" s="648" t="s">
        <v>945</v>
      </c>
      <c r="B183" s="648"/>
      <c r="C183" s="648"/>
      <c r="D183" s="648"/>
      <c r="E183" s="648"/>
      <c r="F183" s="648"/>
      <c r="G183" s="648"/>
      <c r="H183" s="648"/>
      <c r="I183" s="648"/>
      <c r="J183" s="648"/>
      <c r="K183" s="648"/>
    </row>
    <row r="184" spans="1:56">
      <c r="A184" s="645" t="s">
        <v>830</v>
      </c>
      <c r="B184" s="645"/>
      <c r="C184" s="645"/>
      <c r="D184" s="645"/>
      <c r="E184" s="645"/>
      <c r="F184" s="645"/>
      <c r="G184" s="645"/>
      <c r="H184" s="645"/>
      <c r="I184" s="645"/>
      <c r="J184" s="403"/>
      <c r="K184" s="403"/>
    </row>
    <row r="185" spans="1:56" ht="10.5" customHeight="1">
      <c r="K185" s="179"/>
      <c r="L185" s="159"/>
      <c r="M185" s="159"/>
      <c r="O185" s="179" t="s">
        <v>921</v>
      </c>
    </row>
    <row r="186" spans="1:56" ht="18" customHeight="1">
      <c r="A186" s="116" t="s">
        <v>743</v>
      </c>
      <c r="B186" s="119"/>
      <c r="C186" s="119"/>
      <c r="D186" s="119"/>
      <c r="E186" s="119"/>
      <c r="F186" s="119"/>
      <c r="G186" s="119"/>
      <c r="H186" s="119"/>
      <c r="I186" s="119"/>
      <c r="M186" s="222"/>
      <c r="S186" s="192"/>
    </row>
    <row r="187" spans="1:56" ht="15.75">
      <c r="A187" s="120"/>
      <c r="B187" s="119"/>
      <c r="C187" s="119"/>
      <c r="D187" s="119"/>
      <c r="E187" s="119"/>
      <c r="F187" s="119"/>
      <c r="G187" s="119"/>
      <c r="H187" s="119"/>
      <c r="I187" s="119"/>
      <c r="M187" s="222"/>
      <c r="S187" s="192"/>
      <c r="AA187" s="3"/>
      <c r="AB187" s="61"/>
      <c r="AC187" s="236"/>
      <c r="AD187" s="238" t="s">
        <v>726</v>
      </c>
      <c r="AE187" s="236"/>
      <c r="AF187" s="236"/>
      <c r="AG187" s="236"/>
      <c r="AH187" s="236"/>
      <c r="AI187" s="236"/>
      <c r="AJ187" s="238" t="s">
        <v>726</v>
      </c>
      <c r="AK187" s="236"/>
      <c r="AL187" s="236"/>
      <c r="AO187" s="61" t="s">
        <v>676</v>
      </c>
      <c r="AT187" s="61" t="s">
        <v>676</v>
      </c>
    </row>
    <row r="188" spans="1:56" ht="15.75" customHeight="1">
      <c r="A188" s="122" t="s">
        <v>714</v>
      </c>
      <c r="B188" s="119"/>
      <c r="C188" s="119"/>
      <c r="D188" s="119"/>
      <c r="E188" s="119"/>
      <c r="F188" s="119"/>
      <c r="G188" s="119"/>
      <c r="H188" s="119"/>
      <c r="I188" s="119"/>
      <c r="M188" s="222"/>
      <c r="S188" s="192"/>
      <c r="AA188" s="3"/>
      <c r="AB188" s="3"/>
      <c r="AC188" s="236"/>
      <c r="AD188" s="285" t="s">
        <v>678</v>
      </c>
      <c r="AE188" s="236"/>
      <c r="AF188" s="236"/>
      <c r="AG188" s="236"/>
      <c r="AH188" s="236"/>
      <c r="AI188" s="236"/>
      <c r="AJ188" s="285" t="s">
        <v>675</v>
      </c>
      <c r="AK188" s="236"/>
      <c r="AL188" s="236"/>
      <c r="AO188" s="4" t="s">
        <v>678</v>
      </c>
      <c r="AT188" s="4" t="s">
        <v>675</v>
      </c>
    </row>
    <row r="189" spans="1:56" ht="15.75">
      <c r="A189" s="122" t="s">
        <v>940</v>
      </c>
      <c r="B189" s="119"/>
      <c r="C189" s="119"/>
      <c r="D189" s="119"/>
      <c r="E189" s="119"/>
      <c r="F189" s="119"/>
      <c r="G189" s="119"/>
      <c r="H189" s="119"/>
      <c r="I189" s="119"/>
      <c r="M189" s="222"/>
      <c r="Q189" s="3" t="s">
        <v>675</v>
      </c>
      <c r="S189" s="192"/>
      <c r="AA189" s="3"/>
      <c r="AB189" s="3"/>
      <c r="AC189" s="236"/>
      <c r="AD189" s="236"/>
      <c r="AE189" s="236"/>
      <c r="AF189" s="236"/>
      <c r="AG189" s="236"/>
      <c r="AH189" s="236"/>
      <c r="AI189" s="236"/>
      <c r="AJ189" s="236"/>
      <c r="AK189" s="236"/>
      <c r="AL189" s="236"/>
    </row>
    <row r="190" spans="1:56">
      <c r="C190" s="166"/>
      <c r="D190" s="166"/>
      <c r="E190" s="166"/>
      <c r="F190" s="166"/>
      <c r="G190" s="166"/>
      <c r="M190" s="222"/>
      <c r="Q190" s="237" t="s">
        <v>677</v>
      </c>
      <c r="R190" s="166"/>
      <c r="S190" s="166"/>
      <c r="T190" s="166"/>
      <c r="U190" s="166"/>
      <c r="V190" s="166"/>
      <c r="W190" s="166"/>
      <c r="AA190" s="3"/>
      <c r="AB190" s="3"/>
      <c r="AC190" s="236"/>
      <c r="AD190" s="286" t="s">
        <v>726</v>
      </c>
      <c r="AE190" s="236"/>
      <c r="AF190" s="236"/>
      <c r="AG190" s="236"/>
      <c r="AH190" s="236"/>
      <c r="AI190" s="236"/>
      <c r="AJ190" s="286" t="s">
        <v>726</v>
      </c>
      <c r="AK190" s="236"/>
      <c r="AL190" s="236"/>
    </row>
    <row r="191" spans="1:56" ht="28.5" customHeight="1">
      <c r="A191" s="129"/>
      <c r="B191" s="287">
        <v>1</v>
      </c>
      <c r="D191" s="288">
        <v>2</v>
      </c>
      <c r="F191" s="289" t="s">
        <v>679</v>
      </c>
      <c r="M191" s="222"/>
      <c r="Q191" s="72"/>
      <c r="R191" s="72" t="s">
        <v>744</v>
      </c>
      <c r="T191" s="290">
        <v>2</v>
      </c>
      <c r="V191" s="290" t="s">
        <v>745</v>
      </c>
      <c r="AA191" s="3"/>
      <c r="AB191" s="3"/>
      <c r="AC191" s="236"/>
      <c r="AD191" s="291" t="s">
        <v>720</v>
      </c>
      <c r="AE191" s="292"/>
      <c r="AF191" s="293"/>
      <c r="AG191" s="294"/>
      <c r="AH191" s="236"/>
      <c r="AI191" s="236"/>
      <c r="AJ191" s="291" t="s">
        <v>720</v>
      </c>
      <c r="AK191" s="292"/>
      <c r="AL191" s="293"/>
      <c r="AP191" s="291">
        <v>1</v>
      </c>
      <c r="AQ191" s="292">
        <v>2</v>
      </c>
      <c r="AR191" s="293" t="s">
        <v>679</v>
      </c>
      <c r="AU191" s="291">
        <v>1</v>
      </c>
      <c r="AV191" s="292">
        <v>2</v>
      </c>
      <c r="AW191" s="293" t="s">
        <v>679</v>
      </c>
    </row>
    <row r="192" spans="1:56" ht="78" customHeight="1">
      <c r="A192" s="251"/>
      <c r="B192" s="245" t="s">
        <v>682</v>
      </c>
      <c r="C192" s="139" t="s">
        <v>683</v>
      </c>
      <c r="D192" s="252" t="s">
        <v>682</v>
      </c>
      <c r="E192" s="139" t="s">
        <v>683</v>
      </c>
      <c r="F192" s="252" t="s">
        <v>682</v>
      </c>
      <c r="G192" s="139" t="s">
        <v>683</v>
      </c>
      <c r="M192" s="222"/>
      <c r="Q192" s="166"/>
      <c r="R192" s="142" t="s">
        <v>731</v>
      </c>
      <c r="S192" s="142" t="s">
        <v>685</v>
      </c>
      <c r="T192" s="143" t="s">
        <v>731</v>
      </c>
      <c r="U192" s="142" t="s">
        <v>685</v>
      </c>
      <c r="V192" s="143" t="s">
        <v>731</v>
      </c>
      <c r="W192" s="142" t="s">
        <v>685</v>
      </c>
      <c r="X192" s="295"/>
      <c r="Y192" s="295"/>
      <c r="AA192" s="3"/>
      <c r="AB192" s="3"/>
      <c r="AC192" s="236"/>
      <c r="AD192" s="296">
        <v>1</v>
      </c>
      <c r="AE192" s="297">
        <v>2</v>
      </c>
      <c r="AF192" s="256" t="s">
        <v>679</v>
      </c>
      <c r="AG192" s="256"/>
      <c r="AH192" s="236"/>
      <c r="AI192" s="236"/>
      <c r="AJ192" s="296">
        <v>1</v>
      </c>
      <c r="AK192" s="297">
        <v>2</v>
      </c>
      <c r="AL192" s="256" t="s">
        <v>679</v>
      </c>
      <c r="AP192" s="144" t="s">
        <v>686</v>
      </c>
      <c r="AQ192" s="144" t="s">
        <v>686</v>
      </c>
      <c r="AR192" s="144" t="s">
        <v>686</v>
      </c>
      <c r="AU192" s="144" t="s">
        <v>686</v>
      </c>
      <c r="AV192" s="144" t="s">
        <v>686</v>
      </c>
      <c r="AW192" s="144" t="s">
        <v>686</v>
      </c>
    </row>
    <row r="193" spans="1:49" ht="12.75" customHeight="1">
      <c r="A193" s="1" t="s">
        <v>687</v>
      </c>
      <c r="B193" s="230">
        <f>+'NEW-Tables 80-86'!G101+'NEW-Tables 80-86'!G132</f>
        <v>75237.780000000028</v>
      </c>
      <c r="D193" s="260">
        <f>+'NEW-Tables 80-86'!H101+'NEW-Tables 80-86'!H132</f>
        <v>23264.785555555554</v>
      </c>
      <c r="F193" s="260">
        <f>+'NEW-Tables 80-86'!I101+'NEW-Tables 80-86'!I132</f>
        <v>98502.565555555571</v>
      </c>
      <c r="M193" s="222"/>
      <c r="Q193" s="1" t="s">
        <v>687</v>
      </c>
      <c r="R193" s="149"/>
      <c r="S193" s="262">
        <f>C193-R193</f>
        <v>0</v>
      </c>
      <c r="T193" s="151"/>
      <c r="U193" s="262">
        <f>E193-T193</f>
        <v>0</v>
      </c>
      <c r="V193" s="151"/>
      <c r="W193" s="262">
        <f>G193-V193</f>
        <v>0</v>
      </c>
      <c r="X193" s="271"/>
      <c r="Y193" s="298"/>
      <c r="AA193" s="3"/>
      <c r="AB193" s="3"/>
      <c r="AC193" s="236" t="s">
        <v>687</v>
      </c>
      <c r="AD193" s="299">
        <f>SUM(AD195:AD213)</f>
        <v>75237.780000000028</v>
      </c>
      <c r="AE193" s="263">
        <f>SUM(AE195:AE213)</f>
        <v>23264.785555555554</v>
      </c>
      <c r="AF193" s="263">
        <f>SUM(AF195:AF213)</f>
        <v>98502.565555555571</v>
      </c>
      <c r="AG193" s="263"/>
      <c r="AH193" s="236"/>
      <c r="AI193" s="236" t="s">
        <v>687</v>
      </c>
      <c r="AJ193" s="263">
        <f>SUM(AJ195:AJ213)</f>
        <v>83245.695444444456</v>
      </c>
      <c r="AK193" s="263">
        <f>SUM(AK195:AK213)</f>
        <v>32744.78122222222</v>
      </c>
      <c r="AL193" s="263">
        <f>SUM(AL195:AL213)</f>
        <v>115990.47666666668</v>
      </c>
      <c r="AO193" s="236" t="s">
        <v>687</v>
      </c>
      <c r="AT193" s="236" t="s">
        <v>687</v>
      </c>
    </row>
    <row r="194" spans="1:49" ht="10.5" customHeight="1">
      <c r="A194" s="265"/>
      <c r="B194" s="265"/>
      <c r="C194" s="267" t="s">
        <v>746</v>
      </c>
      <c r="D194" s="269" t="s">
        <v>721</v>
      </c>
      <c r="E194" s="267" t="s">
        <v>747</v>
      </c>
      <c r="F194" s="269" t="s">
        <v>721</v>
      </c>
      <c r="G194" s="267" t="s">
        <v>748</v>
      </c>
      <c r="J194" s="1" t="s">
        <v>721</v>
      </c>
      <c r="M194" s="222"/>
      <c r="R194" s="156"/>
      <c r="S194" s="262"/>
      <c r="T194" s="158"/>
      <c r="U194" s="262"/>
      <c r="V194" s="158"/>
      <c r="W194" s="262"/>
      <c r="X194" s="271"/>
      <c r="Y194" s="300"/>
      <c r="AA194" s="3"/>
      <c r="AB194" s="3"/>
      <c r="AC194" s="236"/>
      <c r="AD194" s="263"/>
      <c r="AE194" s="263"/>
      <c r="AF194" s="263"/>
      <c r="AG194" s="263"/>
      <c r="AH194" s="236"/>
      <c r="AI194" s="236"/>
      <c r="AJ194" s="263"/>
      <c r="AK194" s="263"/>
      <c r="AL194" s="263"/>
      <c r="AO194" s="236"/>
      <c r="AT194" s="236"/>
    </row>
    <row r="195" spans="1:49">
      <c r="A195" s="1" t="s">
        <v>695</v>
      </c>
      <c r="B195" s="230">
        <f>+'NEW-Tables 80-86'!G103+'NEW-Tables 80-86'!G134</f>
        <v>1323.2666666666667</v>
      </c>
      <c r="C195" s="271">
        <f>+GETPIVOTDATA("Sum of New-HS % of Total",'Pivot-HS Student % of Undergrad'!$A$3,"State","AL","Category",12,"Category2","Technical")</f>
        <v>4.3327119754143786E-2</v>
      </c>
      <c r="D195" s="260">
        <f>+'NEW-Tables 80-86'!H103+'NEW-Tables 80-86'!H134</f>
        <v>1273.2666666666667</v>
      </c>
      <c r="E195" s="271">
        <f>+GETPIVOTDATA("Sum of New-HS % of Total",'Pivot-HS Student % of Undergrad'!$A$3,"State","AL","Category",13,"Category2","Technical")</f>
        <v>5.2594376668935544E-2</v>
      </c>
      <c r="F195" s="260">
        <f>+'NEW-Tables 80-86'!I103+'NEW-Tables 80-86'!I134</f>
        <v>2596.5333333333333</v>
      </c>
      <c r="G195" s="271">
        <f>+GETPIVOTDATA("Sum of New-HS % of Total",'Pivot-HS Student % of Undergrad'!$A$3,"State","AL","Category2","Group3")</f>
        <v>4.7871521002362125E-2</v>
      </c>
      <c r="M195" s="222"/>
      <c r="Q195" s="1" t="s">
        <v>695</v>
      </c>
      <c r="R195" s="161">
        <f>+GETPIVOTDATA("Sum of Old-HS % of Total",'Pivot-HS Student % of Undergrad'!$A$3,"State","AL","Category",12,"Category2","Technical")</f>
        <v>4.2444029850746266E-2</v>
      </c>
      <c r="S195" s="272">
        <f>(C195-R195)*100</f>
        <v>8.8308990339752008E-2</v>
      </c>
      <c r="T195" s="151">
        <f>+GETPIVOTDATA("Sum of Old-HS % of Total",'Pivot-HS Student % of Undergrad'!$A$3,"State","AL","Category",13,"Category2","Technical")</f>
        <v>6.3021141535316585E-2</v>
      </c>
      <c r="U195" s="272">
        <f>(E195-T195)*100</f>
        <v>-1.0426764866381042</v>
      </c>
      <c r="V195" s="151">
        <f>+GETPIVOTDATA("Sum of Old-HS % of Total",'Pivot-HS Student % of Undergrad'!$A$3,"State","AL","Category2","Technical")</f>
        <v>5.2262751238545062E-2</v>
      </c>
      <c r="W195" s="272">
        <f>(G195-V195)*100</f>
        <v>-0.4391230236182937</v>
      </c>
      <c r="X195" s="271"/>
      <c r="Y195" s="300"/>
      <c r="AA195" s="3"/>
      <c r="AB195" s="3"/>
      <c r="AC195" s="236" t="s">
        <v>695</v>
      </c>
      <c r="AD195" s="299">
        <f>+B195</f>
        <v>1323.2666666666667</v>
      </c>
      <c r="AE195" s="263">
        <f>+D195</f>
        <v>1273.2666666666667</v>
      </c>
      <c r="AF195" s="263">
        <f>+F195</f>
        <v>2596.5333333333333</v>
      </c>
      <c r="AG195" s="263"/>
      <c r="AH195" s="236"/>
      <c r="AI195" s="236" t="s">
        <v>695</v>
      </c>
      <c r="AJ195" s="301">
        <f>+'NEW-Tables 80-86'!W103+'NEW-Tables 80-86'!V134</f>
        <v>1357.8666666666666</v>
      </c>
      <c r="AK195" s="263">
        <f>+'NEW-Tables 80-86'!X103+'NEW-Tables 80-86'!W134</f>
        <v>1239.2666666666667</v>
      </c>
      <c r="AL195" s="263">
        <f>+'NEW-Tables 80-86'!Y103+'NEW-Tables 80-86'!X134</f>
        <v>2597.1333333333332</v>
      </c>
      <c r="AO195" s="236" t="s">
        <v>695</v>
      </c>
      <c r="AP195" s="302">
        <f>C195*100</f>
        <v>4.3327119754143784</v>
      </c>
      <c r="AQ195" s="302">
        <f>E195*100</f>
        <v>5.2594376668935547</v>
      </c>
      <c r="AR195" s="302">
        <f>G195*100</f>
        <v>4.7871521002362121</v>
      </c>
      <c r="AT195" s="236" t="s">
        <v>695</v>
      </c>
      <c r="AU195" s="302">
        <f>R195*100</f>
        <v>4.2444029850746263</v>
      </c>
      <c r="AV195" s="302">
        <f>T195*100</f>
        <v>6.3021141535316589</v>
      </c>
      <c r="AW195" s="302">
        <f>V195*100</f>
        <v>5.2262751238545064</v>
      </c>
    </row>
    <row r="196" spans="1:49">
      <c r="A196" s="1" t="s">
        <v>696</v>
      </c>
      <c r="B196" s="230">
        <f>+'NEW-Tables 80-86'!G104+'NEW-Tables 80-86'!G135</f>
        <v>0</v>
      </c>
      <c r="C196" s="271">
        <f>+GETPIVOTDATA("Sum of New-HS % of Total",'Pivot-HS Student % of Undergrad'!$A$3,"State","AR","Category",12,"Category2","Technical")</f>
        <v>0</v>
      </c>
      <c r="D196" s="260">
        <f>+'NEW-Tables 80-86'!H104+'NEW-Tables 80-86'!H135</f>
        <v>0</v>
      </c>
      <c r="E196" s="271">
        <f>+GETPIVOTDATA("Sum of New-HS % of Total",'Pivot-HS Student % of Undergrad'!$A$3,"State","AR","Category",13,"Category2","Technical")</f>
        <v>0</v>
      </c>
      <c r="F196" s="260">
        <f>+'NEW-Tables 80-86'!I104+'NEW-Tables 80-86'!I135</f>
        <v>0</v>
      </c>
      <c r="G196" s="271">
        <f>+GETPIVOTDATA("Sum of New-HS % of Total",'Pivot-HS Student % of Undergrad'!$A$3,"State","AR","Category2","Group3")</f>
        <v>0</v>
      </c>
      <c r="M196" s="222"/>
      <c r="Q196" s="1" t="s">
        <v>696</v>
      </c>
      <c r="R196" s="161">
        <f>+GETPIVOTDATA("Sum of Old-HS % of Total",'Pivot-HS Student % of Undergrad'!$A$3,"State","AR","Category",12,"Category2","Technical")</f>
        <v>0</v>
      </c>
      <c r="S196" s="272">
        <f t="shared" ref="S196:S213" si="37">(C196-R196)*100</f>
        <v>0</v>
      </c>
      <c r="T196" s="151">
        <f>+GETPIVOTDATA("Sum of Old-HS % of Total",'Pivot-HS Student % of Undergrad'!$A$3,"State","AR","Category",13,"Category2","Technical")</f>
        <v>0</v>
      </c>
      <c r="U196" s="272">
        <f t="shared" ref="U196:U213" si="38">(E196-T196)*100</f>
        <v>0</v>
      </c>
      <c r="V196" s="151">
        <f>+GETPIVOTDATA("Sum of Old-HS % of Total",'Pivot-HS Student % of Undergrad'!$A$3,"State","AR","Category2","Technical")</f>
        <v>0</v>
      </c>
      <c r="W196" s="272">
        <f t="shared" ref="W196:W213" si="39">(G196-V196)*100</f>
        <v>0</v>
      </c>
      <c r="X196" s="271"/>
      <c r="Y196" s="303"/>
      <c r="AA196" s="3"/>
      <c r="AB196" s="3"/>
      <c r="AC196" s="236" t="s">
        <v>696</v>
      </c>
      <c r="AD196" s="299">
        <f>+B196</f>
        <v>0</v>
      </c>
      <c r="AE196" s="263">
        <f>+D196</f>
        <v>0</v>
      </c>
      <c r="AF196" s="263">
        <f>+F196</f>
        <v>0</v>
      </c>
      <c r="AG196" s="263"/>
      <c r="AH196" s="236"/>
      <c r="AI196" s="236" t="s">
        <v>696</v>
      </c>
      <c r="AJ196" s="301">
        <f>+'NEW-Tables 80-86'!W104+'NEW-Tables 80-86'!V135</f>
        <v>0</v>
      </c>
      <c r="AK196" s="263">
        <f>+'NEW-Tables 80-86'!X104+'NEW-Tables 80-86'!W135</f>
        <v>0</v>
      </c>
      <c r="AL196" s="263">
        <f>+'NEW-Tables 80-86'!Y104+'NEW-Tables 80-86'!X135</f>
        <v>0</v>
      </c>
      <c r="AO196" s="236" t="s">
        <v>696</v>
      </c>
      <c r="AP196" s="302">
        <f t="shared" ref="AP196:AP213" si="40">C196*100</f>
        <v>0</v>
      </c>
      <c r="AQ196" s="302">
        <f t="shared" ref="AQ196:AQ213" si="41">E196*100</f>
        <v>0</v>
      </c>
      <c r="AR196" s="302">
        <f t="shared" ref="AR196:AR213" si="42">G196*100</f>
        <v>0</v>
      </c>
      <c r="AT196" s="236" t="s">
        <v>696</v>
      </c>
      <c r="AU196" s="302">
        <f t="shared" ref="AU196:AU213" si="43">R196*100</f>
        <v>0</v>
      </c>
      <c r="AV196" s="302">
        <f t="shared" ref="AV196:AV213" si="44">T196*100</f>
        <v>0</v>
      </c>
      <c r="AW196" s="302">
        <f t="shared" ref="AW196:AW213" si="45">V196*100</f>
        <v>0</v>
      </c>
    </row>
    <row r="197" spans="1:49">
      <c r="A197" s="1" t="s">
        <v>697</v>
      </c>
      <c r="B197" s="230">
        <f>+'NEW-Tables 80-86'!G105+'NEW-Tables 80-86'!G136</f>
        <v>0</v>
      </c>
      <c r="C197" s="271">
        <f>+GETPIVOTDATA("Sum of New-HS % of Total",'Pivot-HS Student % of Undergrad'!$A$3,"State","DE","Category",12,"Category2","Technical")</f>
        <v>0</v>
      </c>
      <c r="D197" s="260">
        <f>+'NEW-Tables 80-86'!H105+'NEW-Tables 80-86'!H136</f>
        <v>0</v>
      </c>
      <c r="E197" s="271">
        <f>+GETPIVOTDATA("Sum of New-HS % of Total",'Pivot-HS Student % of Undergrad'!$A$3,"State","DE","Category",13,"Category2","Technical")</f>
        <v>0</v>
      </c>
      <c r="F197" s="260">
        <f>+'NEW-Tables 80-86'!I105+'NEW-Tables 80-86'!I136</f>
        <v>0</v>
      </c>
      <c r="G197" s="271">
        <f>+GETPIVOTDATA("Sum of New-HS % of Total",'Pivot-HS Student % of Undergrad'!$A$3,"State","DE","Category2","Group3")</f>
        <v>0</v>
      </c>
      <c r="M197" s="222"/>
      <c r="Q197" s="1" t="s">
        <v>697</v>
      </c>
      <c r="R197" s="161">
        <f>+GETPIVOTDATA("Sum of Old-HS % of Total",'Pivot-HS Student % of Undergrad'!$A$3,"State","DE","Category",12,"Category2","Technical")</f>
        <v>0</v>
      </c>
      <c r="S197" s="272">
        <f t="shared" si="37"/>
        <v>0</v>
      </c>
      <c r="T197" s="151">
        <f>+GETPIVOTDATA("Sum of Old-HS % of Total",'Pivot-HS Student % of Undergrad'!$A$3,"State","DE","Category",13,"Category2","Technical")</f>
        <v>0</v>
      </c>
      <c r="U197" s="272">
        <f t="shared" si="38"/>
        <v>0</v>
      </c>
      <c r="V197" s="151">
        <f>+GETPIVOTDATA("Sum of Old-HS % of Total",'Pivot-HS Student % of Undergrad'!$A$3,"State","DE","Category2","Technical")</f>
        <v>0</v>
      </c>
      <c r="W197" s="272">
        <f t="shared" si="39"/>
        <v>0</v>
      </c>
      <c r="X197" s="271"/>
      <c r="Y197" s="300"/>
      <c r="AA197" s="3"/>
      <c r="AB197" s="3"/>
      <c r="AC197" s="236" t="s">
        <v>697</v>
      </c>
      <c r="AD197" s="299">
        <f>+B197</f>
        <v>0</v>
      </c>
      <c r="AE197" s="263">
        <f>+D197</f>
        <v>0</v>
      </c>
      <c r="AF197" s="263">
        <f>+F197</f>
        <v>0</v>
      </c>
      <c r="AG197" s="263"/>
      <c r="AH197" s="236"/>
      <c r="AI197" s="236" t="s">
        <v>697</v>
      </c>
      <c r="AJ197" s="301">
        <f>+'NEW-Tables 80-86'!W105+'NEW-Tables 80-86'!V136</f>
        <v>0</v>
      </c>
      <c r="AK197" s="263">
        <f>+'NEW-Tables 80-86'!X105+'NEW-Tables 80-86'!W136</f>
        <v>0</v>
      </c>
      <c r="AL197" s="263">
        <f>+'NEW-Tables 80-86'!Y105+'NEW-Tables 80-86'!X136</f>
        <v>0</v>
      </c>
      <c r="AO197" s="236" t="s">
        <v>697</v>
      </c>
      <c r="AP197" s="302">
        <f t="shared" si="40"/>
        <v>0</v>
      </c>
      <c r="AQ197" s="302">
        <f t="shared" si="41"/>
        <v>0</v>
      </c>
      <c r="AR197" s="302">
        <f t="shared" si="42"/>
        <v>0</v>
      </c>
      <c r="AT197" s="236" t="s">
        <v>697</v>
      </c>
      <c r="AU197" s="302">
        <f t="shared" si="43"/>
        <v>0</v>
      </c>
      <c r="AV197" s="302">
        <f t="shared" si="44"/>
        <v>0</v>
      </c>
      <c r="AW197" s="302">
        <f t="shared" si="45"/>
        <v>0</v>
      </c>
    </row>
    <row r="198" spans="1:49">
      <c r="A198" s="1" t="s">
        <v>698</v>
      </c>
      <c r="B198" s="230">
        <f>+'NEW-Tables 80-86'!G106+'NEW-Tables 80-86'!G137</f>
        <v>0</v>
      </c>
      <c r="C198" s="271">
        <f>+GETPIVOTDATA("Sum of New-HS % of Total",'Pivot-HS Student % of Undergrad'!$A$3,"State","FL","Category",12,"Category2","Technical")</f>
        <v>0</v>
      </c>
      <c r="D198" s="260">
        <f>+'NEW-Tables 80-86'!H106+'NEW-Tables 80-86'!H137</f>
        <v>0</v>
      </c>
      <c r="E198" s="271">
        <f>+GETPIVOTDATA("Sum of New-HS % of Total",'Pivot-HS Student % of Undergrad'!$A$3,"State","FL","Category",13,"Category2","Technical")</f>
        <v>0</v>
      </c>
      <c r="F198" s="260">
        <f>+'NEW-Tables 80-86'!I106+'NEW-Tables 80-86'!I137</f>
        <v>0</v>
      </c>
      <c r="G198" s="271">
        <f>+GETPIVOTDATA("Sum of New-HS % of Total",'Pivot-HS Student % of Undergrad'!$A$3,"State","FL","Category2","Group3")</f>
        <v>0</v>
      </c>
      <c r="M198" s="222"/>
      <c r="Q198" s="1" t="s">
        <v>698</v>
      </c>
      <c r="R198" s="161">
        <f>+GETPIVOTDATA("Sum of Old-HS % of Total",'Pivot-HS Student % of Undergrad'!$A$3,"State","FL","Category",12,"Category2","Technical")</f>
        <v>0</v>
      </c>
      <c r="S198" s="272">
        <f t="shared" si="37"/>
        <v>0</v>
      </c>
      <c r="T198" s="151">
        <f>+GETPIVOTDATA("Sum of Old-HS % of Total",'Pivot-HS Student % of Undergrad'!$A$3,"State","FL","Category",13,"Category2","Technical")</f>
        <v>0</v>
      </c>
      <c r="U198" s="272">
        <f t="shared" si="38"/>
        <v>0</v>
      </c>
      <c r="V198" s="151">
        <f>+GETPIVOTDATA("Sum of Old-HS % of Total",'Pivot-HS Student % of Undergrad'!$A$3,"State","FL","Category2","Technical")</f>
        <v>0</v>
      </c>
      <c r="W198" s="272">
        <f t="shared" si="39"/>
        <v>0</v>
      </c>
      <c r="X198" s="271"/>
      <c r="Y198" s="300"/>
      <c r="AA198" s="3"/>
      <c r="AB198" s="3"/>
      <c r="AC198" s="236" t="s">
        <v>698</v>
      </c>
      <c r="AD198" s="299">
        <f>+B198</f>
        <v>0</v>
      </c>
      <c r="AE198" s="263">
        <f>+D198</f>
        <v>0</v>
      </c>
      <c r="AF198" s="263">
        <f>+F198</f>
        <v>0</v>
      </c>
      <c r="AG198" s="263"/>
      <c r="AH198" s="236"/>
      <c r="AI198" s="236" t="s">
        <v>698</v>
      </c>
      <c r="AJ198" s="301">
        <f>+'NEW-Tables 80-86'!W106+'NEW-Tables 80-86'!V137</f>
        <v>0</v>
      </c>
      <c r="AK198" s="263">
        <f>+'NEW-Tables 80-86'!X106+'NEW-Tables 80-86'!W137</f>
        <v>0</v>
      </c>
      <c r="AL198" s="263">
        <f>+'NEW-Tables 80-86'!Y106+'NEW-Tables 80-86'!X137</f>
        <v>0</v>
      </c>
      <c r="AO198" s="236" t="s">
        <v>698</v>
      </c>
      <c r="AP198" s="302">
        <f t="shared" si="40"/>
        <v>0</v>
      </c>
      <c r="AQ198" s="302">
        <f t="shared" si="41"/>
        <v>0</v>
      </c>
      <c r="AR198" s="302">
        <f t="shared" si="42"/>
        <v>0</v>
      </c>
      <c r="AT198" s="236" t="s">
        <v>698</v>
      </c>
      <c r="AU198" s="302">
        <f t="shared" si="43"/>
        <v>0</v>
      </c>
      <c r="AV198" s="302">
        <f t="shared" si="44"/>
        <v>0</v>
      </c>
      <c r="AW198" s="302">
        <f t="shared" si="45"/>
        <v>0</v>
      </c>
    </row>
    <row r="199" spans="1:49">
      <c r="B199" s="230"/>
      <c r="C199" s="271"/>
      <c r="D199" s="260"/>
      <c r="E199" s="271"/>
      <c r="F199" s="260"/>
      <c r="G199" s="271"/>
      <c r="M199" s="222"/>
      <c r="R199" s="161"/>
      <c r="S199" s="272"/>
      <c r="T199" s="151"/>
      <c r="U199" s="272"/>
      <c r="V199" s="151"/>
      <c r="W199" s="272"/>
      <c r="X199" s="271"/>
      <c r="Y199" s="300"/>
      <c r="AA199" s="3"/>
      <c r="AB199" s="3"/>
      <c r="AC199" s="236"/>
      <c r="AD199" s="299"/>
      <c r="AE199" s="263"/>
      <c r="AF199" s="263"/>
      <c r="AG199" s="263"/>
      <c r="AH199" s="236"/>
      <c r="AI199" s="236"/>
      <c r="AJ199" s="301"/>
      <c r="AK199" s="263"/>
      <c r="AL199" s="263"/>
      <c r="AO199" s="236"/>
      <c r="AP199" s="302">
        <f t="shared" si="40"/>
        <v>0</v>
      </c>
      <c r="AQ199" s="302">
        <f t="shared" si="41"/>
        <v>0</v>
      </c>
      <c r="AR199" s="302">
        <f t="shared" si="42"/>
        <v>0</v>
      </c>
      <c r="AT199" s="236"/>
      <c r="AU199" s="302">
        <f t="shared" si="43"/>
        <v>0</v>
      </c>
      <c r="AV199" s="302">
        <f t="shared" si="44"/>
        <v>0</v>
      </c>
      <c r="AW199" s="302">
        <f t="shared" si="45"/>
        <v>0</v>
      </c>
    </row>
    <row r="200" spans="1:49">
      <c r="A200" s="1" t="s">
        <v>699</v>
      </c>
      <c r="B200" s="230">
        <f>+'NEW-Tables 80-86'!G108+'NEW-Tables 80-86'!G139</f>
        <v>60385.116666666683</v>
      </c>
      <c r="C200" s="271">
        <f>+GETPIVOTDATA("Sum of New-HS % of Total",'Pivot-HS Student % of Undergrad'!$A$3,"State","GA","Category",12,"Category2","Technical")</f>
        <v>0.14032519602650434</v>
      </c>
      <c r="D200" s="260">
        <f>+'NEW-Tables 80-86'!H108+'NEW-Tables 80-86'!H139</f>
        <v>0</v>
      </c>
      <c r="E200" s="271">
        <f>+GETPIVOTDATA("Sum of New-HS % of Total",'Pivot-HS Student % of Undergrad'!$A$3,"State","GA","Category",13,"Category2","Technical")</f>
        <v>0</v>
      </c>
      <c r="F200" s="260">
        <f>+'NEW-Tables 80-86'!I108+'NEW-Tables 80-86'!I139</f>
        <v>60385.116666666683</v>
      </c>
      <c r="G200" s="271">
        <f>+GETPIVOTDATA("Sum of New-HS % of Total",'Pivot-HS Student % of Undergrad'!$A$3,"State","GA","Category2","Group3")</f>
        <v>0.14032519602650434</v>
      </c>
      <c r="M200" s="222"/>
      <c r="Q200" s="1" t="s">
        <v>699</v>
      </c>
      <c r="R200" s="161">
        <f>+GETPIVOTDATA("Sum of Old-HS % of Total",'Pivot-HS Student % of Undergrad'!$A$3,"State","GA","Category",12,"Category2","Technical")</f>
        <v>0.16323671819831673</v>
      </c>
      <c r="S200" s="272">
        <f t="shared" si="37"/>
        <v>-2.2911522171812386</v>
      </c>
      <c r="T200" s="151">
        <f>+GETPIVOTDATA("Sum of Old-HS % of Total",'Pivot-HS Student % of Undergrad'!$A$3,"State","GA","Category",13,"Category2","Technical")</f>
        <v>0</v>
      </c>
      <c r="U200" s="272">
        <f t="shared" si="38"/>
        <v>0</v>
      </c>
      <c r="V200" s="151">
        <f>+GETPIVOTDATA("Sum of Old-HS % of Total",'Pivot-HS Student % of Undergrad'!$A$3,"State","GA","Category2","Technical")</f>
        <v>0.16323671819831673</v>
      </c>
      <c r="W200" s="272">
        <f t="shared" si="39"/>
        <v>-2.2911522171812386</v>
      </c>
      <c r="X200" s="271"/>
      <c r="Y200" s="300"/>
      <c r="AA200" s="3"/>
      <c r="AB200" s="3"/>
      <c r="AC200" s="236" t="s">
        <v>699</v>
      </c>
      <c r="AD200" s="299">
        <f>+B200</f>
        <v>60385.116666666683</v>
      </c>
      <c r="AE200" s="263">
        <f>+D200</f>
        <v>0</v>
      </c>
      <c r="AF200" s="263">
        <f>+F200</f>
        <v>60385.116666666683</v>
      </c>
      <c r="AG200" s="263"/>
      <c r="AH200" s="236"/>
      <c r="AI200" s="236" t="s">
        <v>699</v>
      </c>
      <c r="AJ200" s="301">
        <f>+'NEW-Tables 80-86'!W108+'NEW-Tables 80-86'!V139</f>
        <v>65212.350000000013</v>
      </c>
      <c r="AK200" s="263">
        <f>+'NEW-Tables 80-86'!X108+'NEW-Tables 80-86'!W139</f>
        <v>0</v>
      </c>
      <c r="AL200" s="263">
        <f>+'NEW-Tables 80-86'!Y108+'NEW-Tables 80-86'!X139</f>
        <v>65212.350000000013</v>
      </c>
      <c r="AO200" s="236" t="s">
        <v>699</v>
      </c>
      <c r="AP200" s="302">
        <f t="shared" si="40"/>
        <v>14.032519602650433</v>
      </c>
      <c r="AQ200" s="302">
        <f t="shared" si="41"/>
        <v>0</v>
      </c>
      <c r="AR200" s="302">
        <f t="shared" si="42"/>
        <v>14.032519602650433</v>
      </c>
      <c r="AT200" s="236" t="s">
        <v>699</v>
      </c>
      <c r="AU200" s="302">
        <f t="shared" si="43"/>
        <v>16.323671819831674</v>
      </c>
      <c r="AV200" s="302">
        <f t="shared" si="44"/>
        <v>0</v>
      </c>
      <c r="AW200" s="302">
        <f t="shared" si="45"/>
        <v>16.323671819831674</v>
      </c>
    </row>
    <row r="201" spans="1:49">
      <c r="A201" s="1" t="s">
        <v>700</v>
      </c>
      <c r="B201" s="230">
        <f>+'NEW-Tables 80-86'!G109+'NEW-Tables 80-86'!G140</f>
        <v>4928.6333333333332</v>
      </c>
      <c r="C201" s="271">
        <f>+GETPIVOTDATA("Sum of New-HS % of Total",'Pivot-HS Student % of Undergrad'!$A$3,"State","KY","Category",12,"Category2","Technical")</f>
        <v>0.20161099425804313</v>
      </c>
      <c r="D201" s="260">
        <f>+'NEW-Tables 80-86'!H109+'NEW-Tables 80-86'!H140</f>
        <v>0</v>
      </c>
      <c r="E201" s="271">
        <f>+GETPIVOTDATA("Sum of New-HS % of Total",'Pivot-HS Student % of Undergrad'!$A$3,"State","KY","Category",13,"Category2","Technical")</f>
        <v>0</v>
      </c>
      <c r="F201" s="260">
        <f>+'NEW-Tables 80-86'!I109+'NEW-Tables 80-86'!I140</f>
        <v>4928.6333333333332</v>
      </c>
      <c r="G201" s="271">
        <f>+GETPIVOTDATA("Sum of New-HS % of Total",'Pivot-HS Student % of Undergrad'!$A$3,"State","KY","Category2","Group3")</f>
        <v>0.20161099425804313</v>
      </c>
      <c r="M201" s="222"/>
      <c r="Q201" s="1" t="s">
        <v>700</v>
      </c>
      <c r="R201" s="161">
        <f>+GETPIVOTDATA("Sum of Old-HS % of Total",'Pivot-HS Student % of Undergrad'!$A$3,"State","KY","Category",12,"Category2","Technical")</f>
        <v>0.16373387294092751</v>
      </c>
      <c r="S201" s="272">
        <f t="shared" si="37"/>
        <v>3.7877121317115625</v>
      </c>
      <c r="T201" s="151">
        <f>+GETPIVOTDATA("Sum of Old-HS % of Total",'Pivot-HS Student % of Undergrad'!$A$3,"State","KY","Category",13,"Category2","Technical")</f>
        <v>0</v>
      </c>
      <c r="U201" s="272">
        <f t="shared" si="38"/>
        <v>0</v>
      </c>
      <c r="V201" s="151">
        <f>+GETPIVOTDATA("Sum of Old-HS % of Total",'Pivot-HS Student % of Undergrad'!$A$3,"State","KY","Category2","Technical")</f>
        <v>0.16373387294092751</v>
      </c>
      <c r="W201" s="272">
        <f t="shared" si="39"/>
        <v>3.7877121317115625</v>
      </c>
      <c r="X201" s="271"/>
      <c r="Y201" s="300"/>
      <c r="AA201" s="3"/>
      <c r="AB201" s="3"/>
      <c r="AC201" s="236" t="s">
        <v>700</v>
      </c>
      <c r="AD201" s="299">
        <f>+B201</f>
        <v>4928.6333333333332</v>
      </c>
      <c r="AE201" s="263">
        <f>+D201</f>
        <v>0</v>
      </c>
      <c r="AF201" s="263">
        <f>+F201</f>
        <v>4928.6333333333332</v>
      </c>
      <c r="AG201" s="263"/>
      <c r="AH201" s="236"/>
      <c r="AI201" s="236" t="s">
        <v>700</v>
      </c>
      <c r="AJ201" s="301">
        <f>+'NEW-Tables 80-86'!W109+'NEW-Tables 80-86'!V140</f>
        <v>5040.7</v>
      </c>
      <c r="AK201" s="263">
        <f>+'NEW-Tables 80-86'!X109+'NEW-Tables 80-86'!W140</f>
        <v>0</v>
      </c>
      <c r="AL201" s="263">
        <f>+'NEW-Tables 80-86'!Y109+'NEW-Tables 80-86'!X140</f>
        <v>5040.7</v>
      </c>
      <c r="AO201" s="236" t="s">
        <v>700</v>
      </c>
      <c r="AP201" s="302">
        <f t="shared" si="40"/>
        <v>20.161099425804313</v>
      </c>
      <c r="AQ201" s="302">
        <f t="shared" si="41"/>
        <v>0</v>
      </c>
      <c r="AR201" s="302">
        <f t="shared" si="42"/>
        <v>20.161099425804313</v>
      </c>
      <c r="AT201" s="236" t="s">
        <v>700</v>
      </c>
      <c r="AU201" s="302">
        <f t="shared" si="43"/>
        <v>16.373387294092751</v>
      </c>
      <c r="AV201" s="302">
        <f t="shared" si="44"/>
        <v>0</v>
      </c>
      <c r="AW201" s="302">
        <f t="shared" si="45"/>
        <v>16.373387294092751</v>
      </c>
    </row>
    <row r="202" spans="1:49">
      <c r="A202" s="1" t="s">
        <v>701</v>
      </c>
      <c r="B202" s="230">
        <f>+'NEW-Tables 80-86'!G110+'NEW-Tables 80-86'!G141</f>
        <v>6829.2666666666673</v>
      </c>
      <c r="C202" s="271">
        <f>+GETPIVOTDATA("Sum of New-HS % of Total",'Pivot-HS Student % of Undergrad'!$A$3,"State","LA","Category",12,"Category2","Technical")</f>
        <v>0.10377395327951268</v>
      </c>
      <c r="D202" s="260">
        <f>+'NEW-Tables 80-86'!H110+'NEW-Tables 80-86'!H141</f>
        <v>684.5333333333333</v>
      </c>
      <c r="E202" s="271">
        <f>+GETPIVOTDATA("Sum of New-HS % of Total",'Pivot-HS Student % of Undergrad'!$A$3,"State","LA","Category",13,"Category2","Technical")</f>
        <v>0.10347682119205298</v>
      </c>
      <c r="F202" s="260">
        <f>+'NEW-Tables 80-86'!I110+'NEW-Tables 80-86'!I141</f>
        <v>7513.8000000000011</v>
      </c>
      <c r="G202" s="271">
        <f>+GETPIVOTDATA("Sum of New-HS % of Total",'Pivot-HS Student % of Undergrad'!$A$3,"State","LA","Category2","Group3")</f>
        <v>0.10374688351211549</v>
      </c>
      <c r="M202" s="222"/>
      <c r="Q202" s="1" t="s">
        <v>701</v>
      </c>
      <c r="R202" s="161">
        <f>+GETPIVOTDATA("Sum of Old-HS % of Total",'Pivot-HS Student % of Undergrad'!$A$3,"State","LA","Category",12,"Category2","Technical")</f>
        <v>8.4216675279157022E-2</v>
      </c>
      <c r="S202" s="272">
        <f t="shared" si="37"/>
        <v>1.9557278000355658</v>
      </c>
      <c r="T202" s="151">
        <f>+GETPIVOTDATA("Sum of Old-HS % of Total",'Pivot-HS Student % of Undergrad'!$A$3,"State","LA","Category",13,"Category2","Technical")</f>
        <v>5.9063225693379483E-2</v>
      </c>
      <c r="U202" s="272">
        <f t="shared" si="38"/>
        <v>4.4413595498673502</v>
      </c>
      <c r="V202" s="151">
        <f>+GETPIVOTDATA("Sum of Old-HS % of Total",'Pivot-HS Student % of Undergrad'!$A$3,"State","LA","Category2","Technical")</f>
        <v>8.18770173779792E-2</v>
      </c>
      <c r="W202" s="272">
        <f t="shared" si="39"/>
        <v>2.1869866134136289</v>
      </c>
      <c r="X202" s="271"/>
      <c r="Y202" s="300"/>
      <c r="AA202" s="3"/>
      <c r="AB202" s="3"/>
      <c r="AC202" s="236" t="s">
        <v>701</v>
      </c>
      <c r="AD202" s="299">
        <f>+B202</f>
        <v>6829.2666666666673</v>
      </c>
      <c r="AE202" s="263">
        <f>+D202</f>
        <v>684.5333333333333</v>
      </c>
      <c r="AF202" s="263">
        <f>+F202</f>
        <v>7513.8000000000011</v>
      </c>
      <c r="AG202" s="263"/>
      <c r="AH202" s="236"/>
      <c r="AI202" s="236" t="s">
        <v>701</v>
      </c>
      <c r="AJ202" s="301">
        <f>+'NEW-Tables 80-86'!W110+'NEW-Tables 80-86'!V141</f>
        <v>7418.1666666666661</v>
      </c>
      <c r="AK202" s="263">
        <f>+'NEW-Tables 80-86'!X110+'NEW-Tables 80-86'!W141</f>
        <v>760.76666666666665</v>
      </c>
      <c r="AL202" s="263">
        <f>+'NEW-Tables 80-86'!Y110+'NEW-Tables 80-86'!X141</f>
        <v>8178.9333333333325</v>
      </c>
      <c r="AO202" s="236" t="s">
        <v>701</v>
      </c>
      <c r="AP202" s="302">
        <f t="shared" si="40"/>
        <v>10.377395327951268</v>
      </c>
      <c r="AQ202" s="302">
        <f t="shared" si="41"/>
        <v>10.347682119205299</v>
      </c>
      <c r="AR202" s="302">
        <f t="shared" si="42"/>
        <v>10.37468835121155</v>
      </c>
      <c r="AT202" s="236" t="s">
        <v>701</v>
      </c>
      <c r="AU202" s="302">
        <f t="shared" si="43"/>
        <v>8.4216675279157016</v>
      </c>
      <c r="AV202" s="302">
        <f t="shared" si="44"/>
        <v>5.9063225693379486</v>
      </c>
      <c r="AW202" s="302">
        <f t="shared" si="45"/>
        <v>8.1877017377979193</v>
      </c>
    </row>
    <row r="203" spans="1:49">
      <c r="A203" s="1" t="s">
        <v>702</v>
      </c>
      <c r="B203" s="230">
        <f>+'NEW-Tables 80-86'!G111+'NEW-Tables 80-86'!G142</f>
        <v>0</v>
      </c>
      <c r="C203" s="271">
        <f>+GETPIVOTDATA("Sum of New-HS % of Total",'Pivot-HS Student % of Undergrad'!$A$3,"State","MD","Category",12,"Category2","Technical")</f>
        <v>0</v>
      </c>
      <c r="D203" s="260">
        <f>+'NEW-Tables 80-86'!H111+'NEW-Tables 80-86'!H142</f>
        <v>0</v>
      </c>
      <c r="E203" s="271">
        <f>+GETPIVOTDATA("Sum of New-HS % of Total",'Pivot-HS Student % of Undergrad'!$A$3,"State","MD","Category",13,"Category2","Technical")</f>
        <v>0</v>
      </c>
      <c r="F203" s="260">
        <f>+'NEW-Tables 80-86'!I111+'NEW-Tables 80-86'!I142</f>
        <v>0</v>
      </c>
      <c r="G203" s="271">
        <f>+GETPIVOTDATA("Sum of New-HS % of Total",'Pivot-HS Student % of Undergrad'!$A$3,"State","MD","Category2","Group3")</f>
        <v>0</v>
      </c>
      <c r="M203" s="222"/>
      <c r="Q203" s="1" t="s">
        <v>702</v>
      </c>
      <c r="R203" s="161">
        <f>+GETPIVOTDATA("Sum of Old-HS % of Total",'Pivot-HS Student % of Undergrad'!$A$3,"State","MD","Category",12,"Category2","Technical")</f>
        <v>0</v>
      </c>
      <c r="S203" s="272">
        <f t="shared" si="37"/>
        <v>0</v>
      </c>
      <c r="T203" s="151">
        <f>+GETPIVOTDATA("Sum of Old-HS % of Total",'Pivot-HS Student % of Undergrad'!$A$3,"State","MD","Category",13,"Category2","Technical")</f>
        <v>0</v>
      </c>
      <c r="U203" s="272">
        <f t="shared" si="38"/>
        <v>0</v>
      </c>
      <c r="V203" s="151">
        <f>+GETPIVOTDATA("Sum of Old-HS % of Total",'Pivot-HS Student % of Undergrad'!$A$3,"State","MD","Category2","Technical")</f>
        <v>0</v>
      </c>
      <c r="W203" s="272">
        <f t="shared" si="39"/>
        <v>0</v>
      </c>
      <c r="X203" s="271"/>
      <c r="Y203" s="300"/>
      <c r="AA203" s="3"/>
      <c r="AB203" s="3"/>
      <c r="AC203" s="236" t="s">
        <v>702</v>
      </c>
      <c r="AD203" s="299">
        <f>+B203</f>
        <v>0</v>
      </c>
      <c r="AE203" s="263">
        <f>+D203</f>
        <v>0</v>
      </c>
      <c r="AF203" s="263">
        <f>+F203</f>
        <v>0</v>
      </c>
      <c r="AG203" s="263"/>
      <c r="AH203" s="236"/>
      <c r="AI203" s="236" t="s">
        <v>702</v>
      </c>
      <c r="AJ203" s="301">
        <f>+'NEW-Tables 80-86'!W111+'NEW-Tables 80-86'!V142</f>
        <v>0</v>
      </c>
      <c r="AK203" s="263">
        <f>+'NEW-Tables 80-86'!X111+'NEW-Tables 80-86'!W142</f>
        <v>0</v>
      </c>
      <c r="AL203" s="263">
        <f>+'NEW-Tables 80-86'!Y111+'NEW-Tables 80-86'!X142</f>
        <v>0</v>
      </c>
      <c r="AO203" s="236" t="s">
        <v>702</v>
      </c>
      <c r="AP203" s="302">
        <f t="shared" si="40"/>
        <v>0</v>
      </c>
      <c r="AQ203" s="302">
        <f t="shared" si="41"/>
        <v>0</v>
      </c>
      <c r="AR203" s="302">
        <f t="shared" si="42"/>
        <v>0</v>
      </c>
      <c r="AT203" s="236" t="s">
        <v>702</v>
      </c>
      <c r="AU203" s="302">
        <f t="shared" si="43"/>
        <v>0</v>
      </c>
      <c r="AV203" s="302">
        <f t="shared" si="44"/>
        <v>0</v>
      </c>
      <c r="AW203" s="302">
        <f t="shared" si="45"/>
        <v>0</v>
      </c>
    </row>
    <row r="204" spans="1:49">
      <c r="B204" s="230"/>
      <c r="C204" s="271"/>
      <c r="D204" s="260"/>
      <c r="E204" s="271"/>
      <c r="F204" s="260"/>
      <c r="G204" s="271"/>
      <c r="M204" s="222"/>
      <c r="R204" s="161"/>
      <c r="S204" s="272"/>
      <c r="T204" s="151"/>
      <c r="U204" s="272"/>
      <c r="V204" s="151"/>
      <c r="W204" s="272"/>
      <c r="X204" s="271"/>
      <c r="Y204" s="300"/>
      <c r="AA204" s="3"/>
      <c r="AB204" s="3"/>
      <c r="AC204" s="236"/>
      <c r="AD204" s="299"/>
      <c r="AE204" s="263"/>
      <c r="AF204" s="263"/>
      <c r="AG204" s="263"/>
      <c r="AH204" s="236"/>
      <c r="AI204" s="236"/>
      <c r="AJ204" s="301"/>
      <c r="AK204" s="263"/>
      <c r="AL204" s="263"/>
      <c r="AO204" s="236"/>
      <c r="AP204" s="302">
        <f t="shared" si="40"/>
        <v>0</v>
      </c>
      <c r="AQ204" s="302">
        <f t="shared" si="41"/>
        <v>0</v>
      </c>
      <c r="AR204" s="302">
        <f t="shared" si="42"/>
        <v>0</v>
      </c>
      <c r="AT204" s="236"/>
      <c r="AU204" s="302">
        <f t="shared" si="43"/>
        <v>0</v>
      </c>
      <c r="AV204" s="302">
        <f t="shared" si="44"/>
        <v>0</v>
      </c>
      <c r="AW204" s="302">
        <f t="shared" si="45"/>
        <v>0</v>
      </c>
    </row>
    <row r="205" spans="1:49">
      <c r="A205" s="1" t="s">
        <v>703</v>
      </c>
      <c r="B205" s="230">
        <f>+'NEW-Tables 80-86'!G113+'NEW-Tables 80-86'!G144</f>
        <v>0</v>
      </c>
      <c r="C205" s="271">
        <f>+GETPIVOTDATA("Sum of New-HS % of Total",'Pivot-HS Student % of Undergrad'!$A$3,"State","MS","Category",12,"Category2","Technical")</f>
        <v>0</v>
      </c>
      <c r="D205" s="260">
        <f>+'NEW-Tables 80-86'!H113+'NEW-Tables 80-86'!H144</f>
        <v>0</v>
      </c>
      <c r="E205" s="271">
        <f>+GETPIVOTDATA("Sum of New-HS % of Total",'Pivot-HS Student % of Undergrad'!$A$3,"State","MS","Category",13,"Category2","Technical")</f>
        <v>0</v>
      </c>
      <c r="F205" s="260">
        <f>+'NEW-Tables 80-86'!I113+'NEW-Tables 80-86'!I144</f>
        <v>0</v>
      </c>
      <c r="G205" s="271">
        <f>+GETPIVOTDATA("Sum of New-HS % of Total",'Pivot-HS Student % of Undergrad'!$A$3,"State","MS","Category2","Group3")</f>
        <v>0</v>
      </c>
      <c r="M205" s="222"/>
      <c r="Q205" s="1" t="s">
        <v>703</v>
      </c>
      <c r="R205" s="161">
        <f>+GETPIVOTDATA("Sum of Old-HS % of Total",'Pivot-HS Student % of Undergrad'!$A$3,"State","MS","Category",12,"Category2","Technical")</f>
        <v>0</v>
      </c>
      <c r="S205" s="272">
        <f t="shared" si="37"/>
        <v>0</v>
      </c>
      <c r="T205" s="151">
        <f>+GETPIVOTDATA("Sum of Old-HS % of Total",'Pivot-HS Student % of Undergrad'!$A$3,"State","MS","Category",13,"Category2","Technical")</f>
        <v>0</v>
      </c>
      <c r="U205" s="272">
        <f t="shared" si="38"/>
        <v>0</v>
      </c>
      <c r="V205" s="151">
        <f>+GETPIVOTDATA("Sum of Old-HS % of Total",'Pivot-HS Student % of Undergrad'!$A$3,"State","MS","Category2","Technical")</f>
        <v>0</v>
      </c>
      <c r="W205" s="272">
        <f t="shared" si="39"/>
        <v>0</v>
      </c>
      <c r="X205" s="271"/>
      <c r="Y205" s="300"/>
      <c r="AA205" s="3"/>
      <c r="AB205" s="3"/>
      <c r="AC205" s="236" t="s">
        <v>703</v>
      </c>
      <c r="AD205" s="299">
        <f>+B205</f>
        <v>0</v>
      </c>
      <c r="AE205" s="263">
        <f>+D205</f>
        <v>0</v>
      </c>
      <c r="AF205" s="263">
        <f>+F205</f>
        <v>0</v>
      </c>
      <c r="AG205" s="263"/>
      <c r="AH205" s="236"/>
      <c r="AI205" s="236" t="s">
        <v>703</v>
      </c>
      <c r="AJ205" s="301">
        <f>+'NEW-Tables 80-86'!W113+'NEW-Tables 80-86'!V144</f>
        <v>0</v>
      </c>
      <c r="AK205" s="263">
        <f>+'NEW-Tables 80-86'!X113+'NEW-Tables 80-86'!W144</f>
        <v>0</v>
      </c>
      <c r="AL205" s="263">
        <f>+'NEW-Tables 80-86'!Y113+'NEW-Tables 80-86'!X144</f>
        <v>0</v>
      </c>
      <c r="AO205" s="236" t="s">
        <v>703</v>
      </c>
      <c r="AP205" s="302">
        <f t="shared" si="40"/>
        <v>0</v>
      </c>
      <c r="AQ205" s="302">
        <f t="shared" si="41"/>
        <v>0</v>
      </c>
      <c r="AR205" s="302">
        <f t="shared" si="42"/>
        <v>0</v>
      </c>
      <c r="AT205" s="236" t="s">
        <v>703</v>
      </c>
      <c r="AU205" s="302">
        <f t="shared" si="43"/>
        <v>0</v>
      </c>
      <c r="AV205" s="302">
        <f t="shared" si="44"/>
        <v>0</v>
      </c>
      <c r="AW205" s="302">
        <f t="shared" si="45"/>
        <v>0</v>
      </c>
    </row>
    <row r="206" spans="1:49">
      <c r="A206" s="1" t="s">
        <v>704</v>
      </c>
      <c r="B206" s="230">
        <f>+'NEW-Tables 80-86'!G114+'NEW-Tables 80-86'!G145</f>
        <v>0</v>
      </c>
      <c r="C206" s="271">
        <f>+GETPIVOTDATA("Sum of New-HS % of Total",'Pivot-HS Student % of Undergrad'!$A$3,"State","NC","Category",12,"Category2","Technical")</f>
        <v>0</v>
      </c>
      <c r="D206" s="260">
        <f>+'NEW-Tables 80-86'!H114+'NEW-Tables 80-86'!H145</f>
        <v>0</v>
      </c>
      <c r="E206" s="271">
        <f>+GETPIVOTDATA("Sum of New-HS % of Total",'Pivot-HS Student % of Undergrad'!$A$3,"State","NC","Category",13,"Category2","Technical")</f>
        <v>0</v>
      </c>
      <c r="F206" s="260">
        <f>+'NEW-Tables 80-86'!I114+'NEW-Tables 80-86'!I145</f>
        <v>0</v>
      </c>
      <c r="G206" s="271">
        <f>+GETPIVOTDATA("Sum of New-HS % of Total",'Pivot-HS Student % of Undergrad'!$A$3,"State","NC","Category2","Group3")</f>
        <v>0</v>
      </c>
      <c r="M206" s="222"/>
      <c r="Q206" s="1" t="s">
        <v>704</v>
      </c>
      <c r="R206" s="161">
        <f>+GETPIVOTDATA("Sum of Old-HS % of Total",'Pivot-HS Student % of Undergrad'!$A$3,"State","NC","Category",12,"Category2","Technical")</f>
        <v>0</v>
      </c>
      <c r="S206" s="272">
        <f t="shared" si="37"/>
        <v>0</v>
      </c>
      <c r="T206" s="151">
        <f>+GETPIVOTDATA("Sum of Old-HS % of Total",'Pivot-HS Student % of Undergrad'!$A$3,"State","NC","Category",13,"Category2","Technical")</f>
        <v>0</v>
      </c>
      <c r="U206" s="272">
        <f t="shared" si="38"/>
        <v>0</v>
      </c>
      <c r="V206" s="151">
        <f>+GETPIVOTDATA("Sum of Old-HS % of Total",'Pivot-HS Student % of Undergrad'!$A$3,"State","NC","Category2","Technical")</f>
        <v>0</v>
      </c>
      <c r="W206" s="272">
        <f t="shared" si="39"/>
        <v>0</v>
      </c>
      <c r="X206" s="271"/>
      <c r="Y206" s="303"/>
      <c r="AA206" s="3"/>
      <c r="AB206" s="3"/>
      <c r="AC206" s="236" t="s">
        <v>704</v>
      </c>
      <c r="AD206" s="299">
        <f>+B206</f>
        <v>0</v>
      </c>
      <c r="AE206" s="263">
        <f>+D206</f>
        <v>0</v>
      </c>
      <c r="AF206" s="263">
        <f>+F206</f>
        <v>0</v>
      </c>
      <c r="AG206" s="263"/>
      <c r="AH206" s="236"/>
      <c r="AI206" s="236" t="s">
        <v>704</v>
      </c>
      <c r="AJ206" s="301">
        <f>+'NEW-Tables 80-86'!W114+'NEW-Tables 80-86'!V145</f>
        <v>0</v>
      </c>
      <c r="AK206" s="263">
        <f>+'NEW-Tables 80-86'!X114+'NEW-Tables 80-86'!W145</f>
        <v>0</v>
      </c>
      <c r="AL206" s="263">
        <f>+'NEW-Tables 80-86'!Y114+'NEW-Tables 80-86'!X145</f>
        <v>0</v>
      </c>
      <c r="AO206" s="236" t="s">
        <v>704</v>
      </c>
      <c r="AP206" s="302">
        <f t="shared" si="40"/>
        <v>0</v>
      </c>
      <c r="AQ206" s="302">
        <f t="shared" si="41"/>
        <v>0</v>
      </c>
      <c r="AR206" s="302">
        <f t="shared" si="42"/>
        <v>0</v>
      </c>
      <c r="AT206" s="236" t="s">
        <v>704</v>
      </c>
      <c r="AU206" s="302">
        <f t="shared" si="43"/>
        <v>0</v>
      </c>
      <c r="AV206" s="302">
        <f t="shared" si="44"/>
        <v>0</v>
      </c>
      <c r="AW206" s="302">
        <f t="shared" si="45"/>
        <v>0</v>
      </c>
    </row>
    <row r="207" spans="1:49">
      <c r="A207" s="1" t="s">
        <v>705</v>
      </c>
      <c r="B207" s="230">
        <f>+'NEW-Tables 80-86'!G115+'NEW-Tables 80-86'!G146</f>
        <v>1771.4966666666664</v>
      </c>
      <c r="C207" s="271">
        <f>+GETPIVOTDATA("Sum of New-HS % of Total",'Pivot-HS Student % of Undergrad'!$A$3,"State","OK","Category",12,"Category2","Technical")</f>
        <v>0</v>
      </c>
      <c r="D207" s="260">
        <f>+'NEW-Tables 80-86'!H115+'NEW-Tables 80-86'!H146</f>
        <v>8550.753333333334</v>
      </c>
      <c r="E207" s="271">
        <f>+GETPIVOTDATA("Sum of New-HS % of Total",'Pivot-HS Student % of Undergrad'!$A$3,"State","OK","Category",13,"Category2","Technical")</f>
        <v>0</v>
      </c>
      <c r="F207" s="260">
        <f>+'NEW-Tables 80-86'!I115+'NEW-Tables 80-86'!I146</f>
        <v>10322.25</v>
      </c>
      <c r="G207" s="271">
        <f>+GETPIVOTDATA("Sum of New-HS % of Total",'Pivot-HS Student % of Undergrad'!$A$3,"State","OK","Category2","Group3")</f>
        <v>0</v>
      </c>
      <c r="M207" s="222"/>
      <c r="Q207" s="1" t="s">
        <v>705</v>
      </c>
      <c r="R207" s="161">
        <f>+GETPIVOTDATA("Sum of Old-HS % of Total",'Pivot-HS Student % of Undergrad'!$A$3,"State","OK","Category",12,"Category2","Technical")</f>
        <v>0</v>
      </c>
      <c r="S207" s="272">
        <f t="shared" si="37"/>
        <v>0</v>
      </c>
      <c r="T207" s="151">
        <f>+GETPIVOTDATA("Sum of Old-HS % of Total",'Pivot-HS Student % of Undergrad'!$A$3,"State","OK","Category",13,"Category2","Technical")</f>
        <v>0</v>
      </c>
      <c r="U207" s="272">
        <f t="shared" si="38"/>
        <v>0</v>
      </c>
      <c r="V207" s="151">
        <f>+GETPIVOTDATA("Sum of Old-HS % of Total",'Pivot-HS Student % of Undergrad'!$A$3,"State","OK","Category2","Technical")</f>
        <v>0</v>
      </c>
      <c r="W207" s="272">
        <f t="shared" si="39"/>
        <v>0</v>
      </c>
      <c r="X207" s="271"/>
      <c r="Y207" s="300"/>
      <c r="AA207" s="3"/>
      <c r="AB207" s="3"/>
      <c r="AC207" s="236" t="s">
        <v>705</v>
      </c>
      <c r="AD207" s="299">
        <f>+B207</f>
        <v>1771.4966666666664</v>
      </c>
      <c r="AE207" s="263">
        <f>+D207</f>
        <v>8550.753333333334</v>
      </c>
      <c r="AF207" s="263">
        <f>+F207</f>
        <v>10322.25</v>
      </c>
      <c r="AG207" s="263"/>
      <c r="AH207" s="236"/>
      <c r="AI207" s="236" t="s">
        <v>705</v>
      </c>
      <c r="AJ207" s="301">
        <f>+'NEW-Tables 80-86'!W115+'NEW-Tables 80-86'!V146</f>
        <v>4216.6121111111115</v>
      </c>
      <c r="AK207" s="263">
        <f>+'NEW-Tables 80-86'!X115+'NEW-Tables 80-86'!W146</f>
        <v>18113.878999999997</v>
      </c>
      <c r="AL207" s="263">
        <f>+'NEW-Tables 80-86'!Y115+'NEW-Tables 80-86'!X146</f>
        <v>22330.491111111107</v>
      </c>
      <c r="AO207" s="236" t="s">
        <v>705</v>
      </c>
      <c r="AP207" s="302">
        <f t="shared" si="40"/>
        <v>0</v>
      </c>
      <c r="AQ207" s="302">
        <f t="shared" si="41"/>
        <v>0</v>
      </c>
      <c r="AR207" s="302">
        <f t="shared" si="42"/>
        <v>0</v>
      </c>
      <c r="AT207" s="236" t="s">
        <v>705</v>
      </c>
      <c r="AU207" s="302">
        <f t="shared" si="43"/>
        <v>0</v>
      </c>
      <c r="AV207" s="302">
        <f t="shared" si="44"/>
        <v>0</v>
      </c>
      <c r="AW207" s="302">
        <f t="shared" si="45"/>
        <v>0</v>
      </c>
    </row>
    <row r="208" spans="1:49">
      <c r="A208" s="1" t="s">
        <v>706</v>
      </c>
      <c r="B208" s="230">
        <f>+'NEW-Tables 80-86'!G116+'NEW-Tables 80-86'!G147</f>
        <v>0</v>
      </c>
      <c r="C208" s="271">
        <f>+GETPIVOTDATA("Sum of New-HS % of Total",'Pivot-HS Student % of Undergrad'!$A$3,"State","SC","Category",12,"Category2","Technical")</f>
        <v>0</v>
      </c>
      <c r="D208" s="260">
        <f>+'NEW-Tables 80-86'!H116+'NEW-Tables 80-86'!H147</f>
        <v>0</v>
      </c>
      <c r="E208" s="271">
        <f>+GETPIVOTDATA("Sum of New-HS % of Total",'Pivot-HS Student % of Undergrad'!$A$3,"State","SC","Category",13,"Category2","Technical")</f>
        <v>0</v>
      </c>
      <c r="F208" s="260">
        <f>+'NEW-Tables 80-86'!I116+'NEW-Tables 80-86'!I147</f>
        <v>0</v>
      </c>
      <c r="G208" s="271">
        <f>+GETPIVOTDATA("Sum of New-HS % of Total",'Pivot-HS Student % of Undergrad'!$A$3,"State","SC","Category2","Group3")</f>
        <v>0</v>
      </c>
      <c r="M208" s="222"/>
      <c r="Q208" s="1" t="s">
        <v>706</v>
      </c>
      <c r="R208" s="161">
        <f>+GETPIVOTDATA("Sum of Old-HS % of Total",'Pivot-HS Student % of Undergrad'!$A$3,"State","SC","Category",12,"Category2","Technical")</f>
        <v>0</v>
      </c>
      <c r="S208" s="272">
        <f t="shared" si="37"/>
        <v>0</v>
      </c>
      <c r="T208" s="151">
        <f>+GETPIVOTDATA("Sum of Old-HS % of Total",'Pivot-HS Student % of Undergrad'!$A$3,"State","SC","Category",13,"Category2","Technical")</f>
        <v>0</v>
      </c>
      <c r="U208" s="272">
        <f t="shared" si="38"/>
        <v>0</v>
      </c>
      <c r="V208" s="151">
        <f>+GETPIVOTDATA("Sum of Old-HS % of Total",'Pivot-HS Student % of Undergrad'!$A$3,"State","SC","Category2","Technical")</f>
        <v>0</v>
      </c>
      <c r="W208" s="272">
        <f t="shared" si="39"/>
        <v>0</v>
      </c>
      <c r="X208" s="271"/>
      <c r="Y208" s="300"/>
      <c r="AA208" s="3"/>
      <c r="AB208" s="3"/>
      <c r="AC208" s="236" t="s">
        <v>706</v>
      </c>
      <c r="AD208" s="299">
        <f>+B208</f>
        <v>0</v>
      </c>
      <c r="AE208" s="263">
        <f>+D208</f>
        <v>0</v>
      </c>
      <c r="AF208" s="263">
        <f>+F208</f>
        <v>0</v>
      </c>
      <c r="AG208" s="263"/>
      <c r="AH208" s="236"/>
      <c r="AI208" s="236" t="s">
        <v>706</v>
      </c>
      <c r="AJ208" s="301">
        <f>+'NEW-Tables 80-86'!W116+'NEW-Tables 80-86'!V147</f>
        <v>0</v>
      </c>
      <c r="AK208" s="263">
        <f>+'NEW-Tables 80-86'!X116+'NEW-Tables 80-86'!W147</f>
        <v>0</v>
      </c>
      <c r="AL208" s="263">
        <f>+'NEW-Tables 80-86'!Y116+'NEW-Tables 80-86'!X147</f>
        <v>0</v>
      </c>
      <c r="AO208" s="236" t="s">
        <v>706</v>
      </c>
      <c r="AP208" s="302">
        <f t="shared" si="40"/>
        <v>0</v>
      </c>
      <c r="AQ208" s="302">
        <f t="shared" si="41"/>
        <v>0</v>
      </c>
      <c r="AR208" s="302">
        <f t="shared" si="42"/>
        <v>0</v>
      </c>
      <c r="AT208" s="236" t="s">
        <v>706</v>
      </c>
      <c r="AU208" s="302">
        <f t="shared" si="43"/>
        <v>0</v>
      </c>
      <c r="AV208" s="302">
        <f t="shared" si="44"/>
        <v>0</v>
      </c>
      <c r="AW208" s="302">
        <f t="shared" si="45"/>
        <v>0</v>
      </c>
    </row>
    <row r="209" spans="1:49" ht="11.25" customHeight="1">
      <c r="B209" s="230"/>
      <c r="C209" s="271"/>
      <c r="D209" s="260"/>
      <c r="E209" s="271"/>
      <c r="F209" s="260"/>
      <c r="G209" s="271"/>
      <c r="M209" s="222"/>
      <c r="R209" s="161"/>
      <c r="S209" s="272">
        <f t="shared" si="37"/>
        <v>0</v>
      </c>
      <c r="T209" s="151"/>
      <c r="U209" s="272">
        <f t="shared" si="38"/>
        <v>0</v>
      </c>
      <c r="V209" s="151"/>
      <c r="W209" s="272">
        <f t="shared" si="39"/>
        <v>0</v>
      </c>
      <c r="X209" s="271"/>
      <c r="Y209" s="300"/>
      <c r="AA209" s="3"/>
      <c r="AB209" s="3"/>
      <c r="AC209" s="236"/>
      <c r="AD209" s="299"/>
      <c r="AE209" s="263"/>
      <c r="AF209" s="263"/>
      <c r="AG209" s="263"/>
      <c r="AH209" s="236"/>
      <c r="AI209" s="236"/>
      <c r="AJ209" s="301"/>
      <c r="AK209" s="263"/>
      <c r="AL209" s="263"/>
      <c r="AO209" s="236"/>
      <c r="AP209" s="302">
        <f t="shared" si="40"/>
        <v>0</v>
      </c>
      <c r="AQ209" s="302">
        <f t="shared" si="41"/>
        <v>0</v>
      </c>
      <c r="AR209" s="302">
        <f t="shared" si="42"/>
        <v>0</v>
      </c>
      <c r="AT209" s="236"/>
      <c r="AU209" s="302">
        <f t="shared" si="43"/>
        <v>0</v>
      </c>
      <c r="AV209" s="302">
        <f t="shared" si="44"/>
        <v>0</v>
      </c>
      <c r="AW209" s="302">
        <f t="shared" si="45"/>
        <v>0</v>
      </c>
    </row>
    <row r="210" spans="1:49" ht="11.25" customHeight="1">
      <c r="A210" s="1" t="s">
        <v>707</v>
      </c>
      <c r="B210" s="230">
        <f>+'NEW-Tables 80-86'!G118+'NEW-Tables 80-86'!G149</f>
        <v>0</v>
      </c>
      <c r="C210" s="271">
        <f>+GETPIVOTDATA("Sum of New-HS % of Total",'Pivot-HS Student % of Undergrad'!$A$3,"State","TN","Category",12,"Category2","Technical")</f>
        <v>0</v>
      </c>
      <c r="D210" s="260">
        <f>+'NEW-Tables 80-86'!H118+'NEW-Tables 80-86'!H149</f>
        <v>12756.232222222221</v>
      </c>
      <c r="E210" s="271">
        <f>+GETPIVOTDATA("Sum of New-HS % of Total",'Pivot-HS Student % of Undergrad'!$A$3,"State","TN","Category",13,"Category2","Technical")</f>
        <v>0</v>
      </c>
      <c r="F210" s="260">
        <f>+'NEW-Tables 80-86'!I118+'NEW-Tables 80-86'!I149</f>
        <v>12756.232222222221</v>
      </c>
      <c r="G210" s="271">
        <f>+GETPIVOTDATA("Sum of New-HS % of Total",'Pivot-HS Student % of Undergrad'!$A$3,"State","TN","Category2","Group3")</f>
        <v>0</v>
      </c>
      <c r="M210" s="222"/>
      <c r="Q210" s="1" t="s">
        <v>707</v>
      </c>
      <c r="R210" s="161">
        <f>+GETPIVOTDATA("Sum of Old-HS % of Total",'Pivot-HS Student % of Undergrad'!$A$3,"State","TN","Category",12,"Category2","Technical")</f>
        <v>0</v>
      </c>
      <c r="S210" s="272">
        <f t="shared" si="37"/>
        <v>0</v>
      </c>
      <c r="T210" s="151">
        <f>+GETPIVOTDATA("Sum of Old-HS % of Total",'Pivot-HS Student % of Undergrad'!$A$3,"State","TN","Category",13,"Category2","Technical")</f>
        <v>0</v>
      </c>
      <c r="U210" s="272">
        <f t="shared" si="38"/>
        <v>0</v>
      </c>
      <c r="V210" s="151">
        <f>+GETPIVOTDATA("Sum of Old-HS % of Total",'Pivot-HS Student % of Undergrad'!$A$3,"State","TN","Category2","Technical")</f>
        <v>0</v>
      </c>
      <c r="W210" s="272">
        <f t="shared" si="39"/>
        <v>0</v>
      </c>
      <c r="X210" s="271"/>
      <c r="Y210" s="300"/>
      <c r="AA210" s="3"/>
      <c r="AB210" s="3"/>
      <c r="AC210" s="236" t="s">
        <v>707</v>
      </c>
      <c r="AD210" s="299">
        <f>+B210</f>
        <v>0</v>
      </c>
      <c r="AE210" s="263">
        <f>+D210</f>
        <v>12756.232222222221</v>
      </c>
      <c r="AF210" s="263">
        <f>+F210</f>
        <v>12756.232222222221</v>
      </c>
      <c r="AG210" s="263"/>
      <c r="AH210" s="236"/>
      <c r="AI210" s="236" t="s">
        <v>707</v>
      </c>
      <c r="AJ210" s="301">
        <f>+'NEW-Tables 80-86'!W118+'NEW-Tables 80-86'!V149</f>
        <v>0</v>
      </c>
      <c r="AK210" s="263">
        <f>+'NEW-Tables 80-86'!X118+'NEW-Tables 80-86'!W149</f>
        <v>12630.868888888888</v>
      </c>
      <c r="AL210" s="263">
        <f>+'NEW-Tables 80-86'!Y118+'NEW-Tables 80-86'!X149</f>
        <v>12630.868888888888</v>
      </c>
      <c r="AO210" s="236" t="s">
        <v>707</v>
      </c>
      <c r="AP210" s="302">
        <f t="shared" si="40"/>
        <v>0</v>
      </c>
      <c r="AQ210" s="302">
        <f t="shared" si="41"/>
        <v>0</v>
      </c>
      <c r="AR210" s="302">
        <f t="shared" si="42"/>
        <v>0</v>
      </c>
      <c r="AT210" s="236" t="s">
        <v>707</v>
      </c>
      <c r="AU210" s="302">
        <f t="shared" si="43"/>
        <v>0</v>
      </c>
      <c r="AV210" s="302">
        <f t="shared" si="44"/>
        <v>0</v>
      </c>
      <c r="AW210" s="302">
        <f t="shared" si="45"/>
        <v>0</v>
      </c>
    </row>
    <row r="211" spans="1:49">
      <c r="A211" s="1" t="s">
        <v>708</v>
      </c>
      <c r="B211" s="230">
        <f>+'NEW-Tables 80-86'!G119+'NEW-Tables 80-86'!G150</f>
        <v>0</v>
      </c>
      <c r="C211" s="271">
        <f>+GETPIVOTDATA("Sum of New-HS % of Total",'Pivot-HS Student % of Undergrad'!$A$3,"State","TX","Category",12,"Category2","Technical")</f>
        <v>0</v>
      </c>
      <c r="D211" s="260">
        <f>+'NEW-Tables 80-86'!H119+'NEW-Tables 80-86'!H150</f>
        <v>0</v>
      </c>
      <c r="E211" s="271">
        <f>+GETPIVOTDATA("Sum of New-HS % of Total",'Pivot-HS Student % of Undergrad'!$A$3,"State","TX","Category",13,"Category2","Technical")</f>
        <v>0</v>
      </c>
      <c r="F211" s="260">
        <f>+'NEW-Tables 80-86'!I119+'NEW-Tables 80-86'!I150</f>
        <v>0</v>
      </c>
      <c r="G211" s="271">
        <f>+GETPIVOTDATA("Sum of New-HS % of Total",'Pivot-HS Student % of Undergrad'!$A$3,"State","TX","Category2","Group3")</f>
        <v>0</v>
      </c>
      <c r="M211" s="222"/>
      <c r="Q211" s="1" t="s">
        <v>708</v>
      </c>
      <c r="R211" s="161">
        <f>+GETPIVOTDATA("Sum of Old-HS % of Total",'Pivot-HS Student % of Undergrad'!$A$3,"State","TX","Category",12,"Category2","Technical")</f>
        <v>0</v>
      </c>
      <c r="S211" s="272">
        <f t="shared" si="37"/>
        <v>0</v>
      </c>
      <c r="T211" s="151">
        <f>+GETPIVOTDATA("Sum of Old-HS % of Total",'Pivot-HS Student % of Undergrad'!$A$3,"State","TX","Category",13,"Category2","Technical")</f>
        <v>0</v>
      </c>
      <c r="U211" s="272">
        <f t="shared" si="38"/>
        <v>0</v>
      </c>
      <c r="V211" s="151">
        <f>+GETPIVOTDATA("Sum of Old-HS % of Total",'Pivot-HS Student % of Undergrad'!$A$3,"State","TX","Category2","Technical")</f>
        <v>0</v>
      </c>
      <c r="W211" s="272">
        <f t="shared" si="39"/>
        <v>0</v>
      </c>
      <c r="X211" s="271"/>
      <c r="Y211" s="303"/>
      <c r="AA211" s="3"/>
      <c r="AB211" s="3"/>
      <c r="AC211" s="236" t="s">
        <v>708</v>
      </c>
      <c r="AD211" s="299">
        <f>+B211</f>
        <v>0</v>
      </c>
      <c r="AE211" s="263">
        <f>+D211</f>
        <v>0</v>
      </c>
      <c r="AF211" s="263">
        <f>+F211</f>
        <v>0</v>
      </c>
      <c r="AG211" s="263"/>
      <c r="AH211" s="236"/>
      <c r="AI211" s="236" t="s">
        <v>708</v>
      </c>
      <c r="AJ211" s="301">
        <f>+'NEW-Tables 80-86'!W119+'NEW-Tables 80-86'!V150</f>
        <v>0</v>
      </c>
      <c r="AK211" s="263">
        <f>+'NEW-Tables 80-86'!X119+'NEW-Tables 80-86'!W150</f>
        <v>0</v>
      </c>
      <c r="AL211" s="263">
        <f>+'NEW-Tables 80-86'!Y119+'NEW-Tables 80-86'!X150</f>
        <v>0</v>
      </c>
      <c r="AO211" s="236" t="s">
        <v>708</v>
      </c>
      <c r="AP211" s="302">
        <f t="shared" si="40"/>
        <v>0</v>
      </c>
      <c r="AQ211" s="302">
        <f t="shared" si="41"/>
        <v>0</v>
      </c>
      <c r="AR211" s="302">
        <f t="shared" si="42"/>
        <v>0</v>
      </c>
      <c r="AT211" s="236" t="s">
        <v>708</v>
      </c>
      <c r="AU211" s="302">
        <f t="shared" si="43"/>
        <v>0</v>
      </c>
      <c r="AV211" s="302">
        <f t="shared" si="44"/>
        <v>0</v>
      </c>
      <c r="AW211" s="302">
        <f t="shared" si="45"/>
        <v>0</v>
      </c>
    </row>
    <row r="212" spans="1:49">
      <c r="A212" s="1" t="s">
        <v>709</v>
      </c>
      <c r="B212" s="230">
        <f>+'NEW-Tables 80-86'!G120+'NEW-Tables 80-86'!G151</f>
        <v>0</v>
      </c>
      <c r="C212" s="271">
        <f>+GETPIVOTDATA("Sum of New-HS % of Total",'Pivot-HS Student % of Undergrad'!$A$3,"State","VA","Category",12,"Category2","Technical")</f>
        <v>0</v>
      </c>
      <c r="D212" s="260">
        <f>+'NEW-Tables 80-86'!H120+'NEW-Tables 80-86'!H151</f>
        <v>0</v>
      </c>
      <c r="E212" s="271">
        <f>+GETPIVOTDATA("Sum of New-HS % of Total",'Pivot-HS Student % of Undergrad'!$A$3,"State","VA","Category",13,"Category2","Technical")</f>
        <v>0</v>
      </c>
      <c r="F212" s="260">
        <f>+'NEW-Tables 80-86'!I120+'NEW-Tables 80-86'!I151</f>
        <v>0</v>
      </c>
      <c r="G212" s="271">
        <f>+GETPIVOTDATA("Sum of New-HS % of Total",'Pivot-HS Student % of Undergrad'!$A$3,"State","VA","Category2","Group3")</f>
        <v>0</v>
      </c>
      <c r="M212" s="222"/>
      <c r="Q212" s="1" t="s">
        <v>709</v>
      </c>
      <c r="R212" s="161">
        <f>+GETPIVOTDATA("Sum of Old-HS % of Total",'Pivot-HS Student % of Undergrad'!$A$3,"State","VA","Category",12,"Category2","Technical")</f>
        <v>0</v>
      </c>
      <c r="S212" s="272">
        <f t="shared" si="37"/>
        <v>0</v>
      </c>
      <c r="T212" s="151">
        <f>+GETPIVOTDATA("Sum of Old-HS % of Total",'Pivot-HS Student % of Undergrad'!$A$3,"State","VA","Category",13,"Category2","Technical")</f>
        <v>0</v>
      </c>
      <c r="U212" s="272">
        <f t="shared" si="38"/>
        <v>0</v>
      </c>
      <c r="V212" s="151">
        <f>+GETPIVOTDATA("Sum of Old-HS % of Total",'Pivot-HS Student % of Undergrad'!$A$3,"State","VA","Category2","Technical")</f>
        <v>0</v>
      </c>
      <c r="W212" s="272">
        <f t="shared" si="39"/>
        <v>0</v>
      </c>
      <c r="X212" s="271"/>
      <c r="Y212" s="300"/>
      <c r="AA212" s="3"/>
      <c r="AB212" s="3"/>
      <c r="AC212" s="236" t="s">
        <v>709</v>
      </c>
      <c r="AD212" s="299">
        <f>+B212</f>
        <v>0</v>
      </c>
      <c r="AE212" s="263">
        <f>+D212</f>
        <v>0</v>
      </c>
      <c r="AF212" s="263">
        <f>+F212</f>
        <v>0</v>
      </c>
      <c r="AG212" s="263"/>
      <c r="AH212" s="236"/>
      <c r="AI212" s="236" t="s">
        <v>709</v>
      </c>
      <c r="AJ212" s="301">
        <f>+'NEW-Tables 80-86'!W120+'NEW-Tables 80-86'!V151</f>
        <v>0</v>
      </c>
      <c r="AK212" s="263">
        <f>+'NEW-Tables 80-86'!X120+'NEW-Tables 80-86'!W151</f>
        <v>0</v>
      </c>
      <c r="AL212" s="263">
        <f>+'NEW-Tables 80-86'!Y120+'NEW-Tables 80-86'!X151</f>
        <v>0</v>
      </c>
      <c r="AO212" s="236" t="s">
        <v>709</v>
      </c>
      <c r="AP212" s="302">
        <f t="shared" si="40"/>
        <v>0</v>
      </c>
      <c r="AQ212" s="302">
        <f t="shared" si="41"/>
        <v>0</v>
      </c>
      <c r="AR212" s="302">
        <f t="shared" si="42"/>
        <v>0</v>
      </c>
      <c r="AT212" s="236" t="s">
        <v>709</v>
      </c>
      <c r="AU212" s="302">
        <f t="shared" si="43"/>
        <v>0</v>
      </c>
      <c r="AV212" s="302">
        <f t="shared" si="44"/>
        <v>0</v>
      </c>
      <c r="AW212" s="302">
        <f t="shared" si="45"/>
        <v>0</v>
      </c>
    </row>
    <row r="213" spans="1:49">
      <c r="A213" s="166" t="s">
        <v>710</v>
      </c>
      <c r="B213" s="234">
        <f>+'NEW-Tables 80-86'!G121+'NEW-Tables 80-86'!G152</f>
        <v>0</v>
      </c>
      <c r="C213" s="279">
        <f>+GETPIVOTDATA("Sum of New-HS % of Total",'Pivot-HS Student % of Undergrad'!$A$3,"State","WV","Category",12,"Category2","Technical")</f>
        <v>0</v>
      </c>
      <c r="D213" s="280">
        <f>+'NEW-Tables 80-86'!H121+'NEW-Tables 80-86'!H152</f>
        <v>0</v>
      </c>
      <c r="E213" s="279">
        <f>+GETPIVOTDATA("Sum of New-HS % of Total",'Pivot-HS Student % of Undergrad'!$A$3,"State","WV","Category",13,"Category2","Technical")</f>
        <v>0</v>
      </c>
      <c r="F213" s="280">
        <f>+'NEW-Tables 80-86'!I121+'NEW-Tables 80-86'!I152</f>
        <v>0</v>
      </c>
      <c r="G213" s="279">
        <f>+GETPIVOTDATA("Sum of New-HS % of Total",'Pivot-HS Student % of Undergrad'!$A$3,"State","WV","Category2","Group3")</f>
        <v>0</v>
      </c>
      <c r="M213" s="222"/>
      <c r="Q213" s="166" t="s">
        <v>710</v>
      </c>
      <c r="R213" s="171">
        <f>+GETPIVOTDATA("Sum of Old-HS % of Total",'Pivot-HS Student % of Undergrad'!$A$3,"State","WV","Category",12,"Category2","Technical")</f>
        <v>0</v>
      </c>
      <c r="S213" s="272">
        <f t="shared" si="37"/>
        <v>0</v>
      </c>
      <c r="T213" s="173">
        <f>+GETPIVOTDATA("Sum of Old-HS % of Total",'Pivot-HS Student % of Undergrad'!$A$3,"State","WV","Category",13,"Category2","Technical")</f>
        <v>0</v>
      </c>
      <c r="U213" s="272">
        <f t="shared" si="38"/>
        <v>0</v>
      </c>
      <c r="V213" s="173">
        <f>+GETPIVOTDATA("Sum of Old-HS % of Total",'Pivot-HS Student % of Undergrad'!$A$3,"State","WV","Category2","Technical")</f>
        <v>0</v>
      </c>
      <c r="W213" s="272">
        <f t="shared" si="39"/>
        <v>0</v>
      </c>
      <c r="X213" s="271"/>
      <c r="Y213" s="300"/>
      <c r="AA213" s="3"/>
      <c r="AB213" s="3"/>
      <c r="AC213" s="304" t="s">
        <v>710</v>
      </c>
      <c r="AD213" s="305">
        <f>+B213</f>
        <v>0</v>
      </c>
      <c r="AE213" s="306">
        <f>+D213</f>
        <v>0</v>
      </c>
      <c r="AF213" s="306">
        <f>+F213</f>
        <v>0</v>
      </c>
      <c r="AG213" s="306"/>
      <c r="AH213" s="236"/>
      <c r="AI213" s="304" t="s">
        <v>710</v>
      </c>
      <c r="AJ213" s="307">
        <f>+'NEW-Tables 80-86'!W121+'NEW-Tables 80-86'!V152</f>
        <v>0</v>
      </c>
      <c r="AK213" s="306">
        <f>+'NEW-Tables 80-86'!X121+'NEW-Tables 80-86'!W152</f>
        <v>0</v>
      </c>
      <c r="AL213" s="306">
        <f>+'NEW-Tables 80-86'!Y121+'NEW-Tables 80-86'!X152</f>
        <v>0</v>
      </c>
      <c r="AO213" s="304" t="s">
        <v>710</v>
      </c>
      <c r="AP213" s="302">
        <f t="shared" si="40"/>
        <v>0</v>
      </c>
      <c r="AQ213" s="302">
        <f t="shared" si="41"/>
        <v>0</v>
      </c>
      <c r="AR213" s="302">
        <f t="shared" si="42"/>
        <v>0</v>
      </c>
      <c r="AT213" s="304" t="s">
        <v>710</v>
      </c>
      <c r="AU213" s="302">
        <f t="shared" si="43"/>
        <v>0</v>
      </c>
      <c r="AV213" s="302">
        <f t="shared" si="44"/>
        <v>0</v>
      </c>
      <c r="AW213" s="302">
        <f t="shared" si="45"/>
        <v>0</v>
      </c>
    </row>
    <row r="214" spans="1:49" ht="57.75" customHeight="1">
      <c r="A214" s="648" t="s">
        <v>946</v>
      </c>
      <c r="B214" s="648"/>
      <c r="C214" s="648"/>
      <c r="D214" s="648"/>
      <c r="E214" s="648"/>
      <c r="F214" s="648"/>
      <c r="G214" s="648"/>
      <c r="H214" s="190"/>
      <c r="I214" s="190"/>
      <c r="M214" s="222"/>
      <c r="AA214" s="3"/>
      <c r="AB214" s="3"/>
      <c r="AC214" s="3"/>
      <c r="AD214" s="3"/>
      <c r="AE214" s="3"/>
      <c r="AF214" s="3"/>
    </row>
    <row r="215" spans="1:49" ht="10.5" customHeight="1">
      <c r="B215" s="221"/>
      <c r="C215" s="221"/>
      <c r="D215" s="221"/>
      <c r="E215" s="221"/>
      <c r="F215" s="221"/>
      <c r="G215" s="179" t="s">
        <v>921</v>
      </c>
      <c r="H215" s="221"/>
      <c r="I215" s="192"/>
      <c r="M215" s="222"/>
      <c r="AA215" s="3"/>
      <c r="AB215" s="3"/>
      <c r="AC215" s="3"/>
      <c r="AD215" s="3"/>
      <c r="AE215" s="3"/>
    </row>
    <row r="216" spans="1:49" ht="13.5" customHeight="1">
      <c r="A216" s="221"/>
      <c r="B216" s="221"/>
      <c r="C216" s="221"/>
      <c r="D216" s="221"/>
      <c r="E216" s="221"/>
      <c r="F216" s="221"/>
      <c r="G216" s="221"/>
      <c r="H216" s="221"/>
      <c r="M216" s="222"/>
      <c r="O216" s="179" t="s">
        <v>921</v>
      </c>
      <c r="S216" s="192"/>
    </row>
    <row r="217" spans="1:49" ht="24" hidden="1" customHeight="1">
      <c r="A217" s="308" t="s">
        <v>749</v>
      </c>
      <c r="B217" s="117"/>
      <c r="C217" s="117"/>
      <c r="D217" s="117"/>
      <c r="E217" s="118"/>
      <c r="F217" s="119"/>
      <c r="G217" s="119"/>
      <c r="H217" s="119"/>
      <c r="M217" s="222"/>
      <c r="AK217" s="3"/>
    </row>
    <row r="218" spans="1:49" ht="15.75" hidden="1">
      <c r="A218" s="120"/>
      <c r="B218" s="120"/>
      <c r="C218" s="120"/>
      <c r="D218" s="120"/>
      <c r="E218" s="118"/>
      <c r="F218" s="119"/>
      <c r="G218" s="119"/>
      <c r="H218" s="119"/>
    </row>
    <row r="219" spans="1:49" ht="18" hidden="1" customHeight="1">
      <c r="A219" s="122" t="s">
        <v>714</v>
      </c>
      <c r="B219" s="122"/>
      <c r="C219" s="122"/>
      <c r="D219" s="122"/>
      <c r="E219" s="118"/>
      <c r="F219" s="119"/>
      <c r="G219" s="119"/>
      <c r="H219" s="119"/>
    </row>
    <row r="220" spans="1:49" ht="15.75" hidden="1">
      <c r="A220" s="122" t="s">
        <v>750</v>
      </c>
      <c r="B220" s="122"/>
      <c r="C220" s="122"/>
      <c r="D220" s="122"/>
      <c r="E220" s="118"/>
      <c r="F220" s="119"/>
      <c r="G220" s="119"/>
      <c r="H220" s="119"/>
      <c r="Q220" s="1" t="s">
        <v>675</v>
      </c>
    </row>
    <row r="221" spans="1:49" ht="15.75" hidden="1">
      <c r="A221" s="122" t="s">
        <v>941</v>
      </c>
      <c r="B221" s="122"/>
      <c r="C221" s="122"/>
      <c r="D221" s="122"/>
      <c r="E221" s="118"/>
      <c r="F221" s="119"/>
      <c r="G221" s="119"/>
      <c r="H221" s="119"/>
      <c r="Q221" s="61" t="s">
        <v>751</v>
      </c>
      <c r="R221" s="61"/>
    </row>
    <row r="222" spans="1:49" hidden="1">
      <c r="Q222" s="309" t="s">
        <v>752</v>
      </c>
      <c r="R222" s="309"/>
      <c r="S222" s="310"/>
      <c r="T222" s="310"/>
      <c r="U222" s="311"/>
      <c r="V222" s="312" t="s">
        <v>753</v>
      </c>
      <c r="W222" s="310"/>
      <c r="X222" s="310"/>
      <c r="Y222" s="310"/>
      <c r="Z222" s="312" t="s">
        <v>754</v>
      </c>
      <c r="AA222" s="310"/>
      <c r="AB222" s="310"/>
      <c r="AC222" s="310"/>
    </row>
    <row r="223" spans="1:49" ht="39.75" hidden="1" customHeight="1">
      <c r="A223" s="313"/>
      <c r="B223" s="314" t="s">
        <v>667</v>
      </c>
      <c r="C223" s="134"/>
      <c r="D223" s="314" t="s">
        <v>719</v>
      </c>
      <c r="E223" s="132" t="s">
        <v>721</v>
      </c>
      <c r="F223" s="132" t="s">
        <v>720</v>
      </c>
      <c r="G223" s="315" t="s">
        <v>721</v>
      </c>
      <c r="H223" s="139" t="s">
        <v>5</v>
      </c>
      <c r="I223" s="316"/>
      <c r="Q223" s="317"/>
      <c r="R223" s="317" t="s">
        <v>667</v>
      </c>
      <c r="S223" s="317" t="s">
        <v>719</v>
      </c>
      <c r="T223" s="318" t="s">
        <v>720</v>
      </c>
      <c r="U223" s="319" t="s">
        <v>755</v>
      </c>
      <c r="V223" s="320" t="s">
        <v>667</v>
      </c>
      <c r="W223" s="317" t="s">
        <v>719</v>
      </c>
      <c r="X223" s="318" t="s">
        <v>720</v>
      </c>
      <c r="Y223" s="318" t="s">
        <v>755</v>
      </c>
      <c r="Z223" s="320" t="s">
        <v>667</v>
      </c>
      <c r="AA223" s="317" t="s">
        <v>719</v>
      </c>
      <c r="AB223" s="318" t="s">
        <v>720</v>
      </c>
      <c r="AC223" s="318" t="s">
        <v>755</v>
      </c>
    </row>
    <row r="224" spans="1:49" ht="11.25" hidden="1" customHeight="1">
      <c r="A224" s="1" t="s">
        <v>687</v>
      </c>
      <c r="B224" s="145">
        <f>+GETPIVOTDATA("Sum of New Grand Total FTE",'FTE Pivot for regular counts'!$A$2,"Category2","Four-Year")</f>
        <v>2156616.4351388882</v>
      </c>
      <c r="D224" s="159">
        <f>+GETPIVOTDATA("Sum of New Grand Total FTE",'FTE Pivot for regular counts'!$A$2,"Category2","Two-Year")</f>
        <v>1330359.3299999998</v>
      </c>
      <c r="F224" s="321">
        <f>+GETPIVOTDATA("Sum of New Grand Total FTE",'FTE Pivot for regular counts'!$A$2,"Category2","Technical")</f>
        <v>98502.565555555571</v>
      </c>
      <c r="G224" s="322"/>
      <c r="H224" s="230">
        <f>+F224+D224+B224</f>
        <v>3585478.3306944435</v>
      </c>
      <c r="Q224" s="1" t="s">
        <v>687</v>
      </c>
      <c r="R224" s="145">
        <f>+GETPIVOTDATA("Sum of Old Grand Total FTE",'FTE Pivot for regular counts'!$A$2,"Category2","Four-Year")</f>
        <v>2186202.558305556</v>
      </c>
      <c r="S224" s="159">
        <f>+GETPIVOTDATA("Sum of Old Grand Total FTE",'FTE Pivot for regular counts'!$A$2,"Category2","Two-Year")</f>
        <v>1466205.9138888889</v>
      </c>
      <c r="T224" s="159">
        <f>+GETPIVOTDATA("Sum of Old Grand Total FTE",'FTE Pivot for regular counts'!$A$2,"Category2","Technical")</f>
        <v>115990.47666666668</v>
      </c>
      <c r="U224" s="323">
        <f>SUM(R224:T224)</f>
        <v>3768398.9488611114</v>
      </c>
      <c r="V224" s="324">
        <f>+B224-R224</f>
        <v>-29586.123166667763</v>
      </c>
      <c r="W224" s="325">
        <f>+D224-S224</f>
        <v>-135846.58388888906</v>
      </c>
      <c r="X224" s="325">
        <f>+F224-T224</f>
        <v>-17487.911111111112</v>
      </c>
      <c r="Y224" s="325">
        <f>+H224-U224</f>
        <v>-182920.61816666787</v>
      </c>
      <c r="Z224" s="326">
        <f>(B224-R224)/R224</f>
        <v>-1.3533111583950786E-2</v>
      </c>
      <c r="AA224" s="327">
        <f>(D224-S224)/S224</f>
        <v>-9.265177735409387E-2</v>
      </c>
      <c r="AB224" s="327">
        <f t="shared" ref="AB224:AB241" si="46">IF(T224&gt;0,((F224-T224)/T224),)</f>
        <v>-0.15077023229560349</v>
      </c>
      <c r="AC224" s="327">
        <f>(H224-U224)/U224</f>
        <v>-4.8540672218887623E-2</v>
      </c>
      <c r="AI224" s="271"/>
      <c r="AJ224" s="271"/>
      <c r="AK224" s="271"/>
      <c r="AL224" s="271"/>
    </row>
    <row r="225" spans="1:38" ht="15" hidden="1" customHeight="1">
      <c r="B225" s="159"/>
      <c r="D225" s="159"/>
      <c r="F225" s="159"/>
      <c r="G225" s="322"/>
      <c r="H225" s="159"/>
      <c r="R225" s="159"/>
      <c r="S225" s="159"/>
      <c r="T225" s="159"/>
      <c r="U225" s="159"/>
      <c r="V225" s="324"/>
      <c r="W225" s="325"/>
      <c r="X225" s="325"/>
      <c r="Y225" s="325"/>
      <c r="Z225" s="326"/>
      <c r="AA225" s="327"/>
      <c r="AB225" s="327">
        <f t="shared" si="46"/>
        <v>0</v>
      </c>
      <c r="AC225" s="327"/>
      <c r="AI225" s="271"/>
      <c r="AJ225" s="271"/>
      <c r="AK225" s="271"/>
      <c r="AL225" s="271"/>
    </row>
    <row r="226" spans="1:38" ht="13.5" hidden="1" customHeight="1">
      <c r="A226" s="1" t="s">
        <v>695</v>
      </c>
      <c r="B226" s="159">
        <f>+GETPIVOTDATA("Sum of New Grand Total FTE",'FTE Pivot for regular counts'!$A$2,"State","AL","Category2","Four-Year")</f>
        <v>141653.37222222224</v>
      </c>
      <c r="D226" s="159">
        <f>+GETPIVOTDATA("Sum of New Grand Total FTE",'FTE Pivot for regular counts'!$A$2,"State","AL","Category2","Two-Year")</f>
        <v>48757.766666666663</v>
      </c>
      <c r="F226" s="321">
        <f>+GETPIVOTDATA("Sum of New Grand Total FTE",'FTE Pivot for regular counts'!$A$2,"State","AL","Category2","Technical")</f>
        <v>2596.5333333333333</v>
      </c>
      <c r="G226" s="322"/>
      <c r="H226" s="230">
        <f t="shared" ref="H226:H241" si="47">+F226+D226+B226</f>
        <v>193007.67222222223</v>
      </c>
      <c r="Q226" s="1" t="s">
        <v>695</v>
      </c>
      <c r="R226" s="159">
        <f>+GETPIVOTDATA("Sum of Old Grand Total FTE",'FTE Pivot for regular counts'!$A$2,"State","AL","Category2","Four-Year")</f>
        <v>144670.71388888889</v>
      </c>
      <c r="S226" s="159">
        <f>+GETPIVOTDATA("Sum of Old Grand Total FTE",'FTE Pivot for regular counts'!$A$2,"State","AL","Category2","Two-Year")</f>
        <v>51303.566666666666</v>
      </c>
      <c r="T226" s="159">
        <f>+GETPIVOTDATA("Sum of Old Grand Total FTE",'FTE Pivot for regular counts'!$A$2,"State","AL","Category2","Technical")</f>
        <v>2597.1333333333332</v>
      </c>
      <c r="U226" s="328">
        <f t="shared" ref="U226:U241" si="48">SUM(R226:T226)</f>
        <v>198571.41388888887</v>
      </c>
      <c r="V226" s="324">
        <f t="shared" ref="V226:V241" si="49">+B226-R226</f>
        <v>-3017.3416666666453</v>
      </c>
      <c r="W226" s="325">
        <f t="shared" ref="W226:W241" si="50">+D226-S226</f>
        <v>-2545.8000000000029</v>
      </c>
      <c r="X226" s="325">
        <f t="shared" ref="X226:X241" si="51">+F226-T226</f>
        <v>-0.59999999999990905</v>
      </c>
      <c r="Y226" s="325">
        <f t="shared" ref="Y226:Y241" si="52">+H226-U226</f>
        <v>-5563.7416666666395</v>
      </c>
      <c r="Z226" s="326">
        <f t="shared" ref="Z226:Z241" si="53">(B226-R226)/R226</f>
        <v>-2.0856616972140245E-2</v>
      </c>
      <c r="AA226" s="327">
        <f t="shared" ref="AA226:AA241" si="54">(D226-S226)/S226</f>
        <v>-4.9622280972018248E-2</v>
      </c>
      <c r="AB226" s="327">
        <f t="shared" si="46"/>
        <v>-2.3102394948272805E-4</v>
      </c>
      <c r="AC226" s="327">
        <f t="shared" ref="AC226:AC241" si="55">(H226-U226)/U226</f>
        <v>-2.8018844997396479E-2</v>
      </c>
      <c r="AI226" s="271"/>
      <c r="AJ226" s="271"/>
      <c r="AK226" s="271"/>
      <c r="AL226" s="271"/>
    </row>
    <row r="227" spans="1:38" ht="15" hidden="1" customHeight="1">
      <c r="A227" s="1" t="s">
        <v>696</v>
      </c>
      <c r="B227" s="159">
        <f>+GETPIVOTDATA("Sum of New Grand Total FTE",'FTE Pivot for regular counts'!$A$2,"State","AR","Category2","Four-Year")</f>
        <v>76460.458333333328</v>
      </c>
      <c r="D227" s="159">
        <f>+GETPIVOTDATA("Sum of New Grand Total FTE",'FTE Pivot for regular counts'!$A$2,"State","AR","Category2","Two-Year")</f>
        <v>27111.466666666667</v>
      </c>
      <c r="F227" s="321">
        <f>+GETPIVOTDATA("Sum of New Grand Total FTE",'FTE Pivot for regular counts'!$A$2,"State","AR","Category2","Technical")</f>
        <v>0</v>
      </c>
      <c r="G227" s="322"/>
      <c r="H227" s="230">
        <f t="shared" si="47"/>
        <v>103571.92499999999</v>
      </c>
      <c r="Q227" s="1" t="s">
        <v>696</v>
      </c>
      <c r="R227" s="159">
        <f>+GETPIVOTDATA("Sum of Old Grand Total FTE",'FTE Pivot for regular counts'!$A$2,"State","AR","Category2","Four-Year")</f>
        <v>79439.650000000009</v>
      </c>
      <c r="S227" s="159">
        <f>+GETPIVOTDATA("Sum of Old Grand Total FTE",'FTE Pivot for regular counts'!$A$2,"State","AR","Category2","Two-Year")</f>
        <v>29249.333333333332</v>
      </c>
      <c r="T227" s="159">
        <f>+GETPIVOTDATA("Sum of Old Grand Total FTE",'FTE Pivot for regular counts'!$A$2,"State","AR","Category2","Technical")</f>
        <v>0</v>
      </c>
      <c r="U227" s="328">
        <f t="shared" si="48"/>
        <v>108688.98333333334</v>
      </c>
      <c r="V227" s="324">
        <f t="shared" si="49"/>
        <v>-2979.1916666666802</v>
      </c>
      <c r="W227" s="325">
        <f t="shared" si="50"/>
        <v>-2137.866666666665</v>
      </c>
      <c r="X227" s="325">
        <f t="shared" si="51"/>
        <v>0</v>
      </c>
      <c r="Y227" s="325">
        <f t="shared" si="52"/>
        <v>-5117.0583333333489</v>
      </c>
      <c r="Z227" s="326">
        <f t="shared" si="53"/>
        <v>-3.7502577952781516E-2</v>
      </c>
      <c r="AA227" s="327">
        <f t="shared" si="54"/>
        <v>-7.3091124584036049E-2</v>
      </c>
      <c r="AB227" s="327">
        <f t="shared" si="46"/>
        <v>0</v>
      </c>
      <c r="AC227" s="327">
        <f t="shared" si="55"/>
        <v>-4.7079825170873793E-2</v>
      </c>
      <c r="AI227" s="271"/>
      <c r="AJ227" s="271"/>
      <c r="AK227" s="271"/>
      <c r="AL227" s="271"/>
    </row>
    <row r="228" spans="1:38" ht="15" hidden="1" customHeight="1">
      <c r="A228" s="1" t="s">
        <v>697</v>
      </c>
      <c r="B228" s="159">
        <f>+GETPIVOTDATA("Sum of New Grand Total FTE",'FTE Pivot for regular counts'!$A$2,"State","DE","Category2","Four-Year")</f>
        <v>27521.616666666669</v>
      </c>
      <c r="D228" s="159">
        <f>+GETPIVOTDATA("Sum of New Grand Total FTE",'FTE Pivot for regular counts'!$A$2,"State","DE","Category2","Two-Year")</f>
        <v>7603.5</v>
      </c>
      <c r="F228" s="321">
        <f>+GETPIVOTDATA("Sum of New Grand Total FTE",'FTE Pivot for regular counts'!$A$2,"State","DE","Category2","Technical")</f>
        <v>0</v>
      </c>
      <c r="G228" s="322"/>
      <c r="H228" s="230">
        <f t="shared" si="47"/>
        <v>35125.116666666669</v>
      </c>
      <c r="Q228" s="1" t="s">
        <v>697</v>
      </c>
      <c r="R228" s="159">
        <f>+GETPIVOTDATA("Sum of Old Grand Total FTE",'FTE Pivot for regular counts'!$A$2,"State","DE","Category2","Four-Year")</f>
        <v>27909.01666666667</v>
      </c>
      <c r="S228" s="159">
        <f>+GETPIVOTDATA("Sum of Old Grand Total FTE",'FTE Pivot for regular counts'!$A$2,"State","DE","Category2","Two-Year")</f>
        <v>8302.7000000000007</v>
      </c>
      <c r="T228" s="159">
        <f>+GETPIVOTDATA("Sum of Old Grand Total FTE",'FTE Pivot for regular counts'!$A$2,"State","DE","Category2","Technical")</f>
        <v>0</v>
      </c>
      <c r="U228" s="328">
        <f t="shared" si="48"/>
        <v>36211.716666666674</v>
      </c>
      <c r="V228" s="324">
        <f t="shared" si="49"/>
        <v>-387.40000000000146</v>
      </c>
      <c r="W228" s="325">
        <f t="shared" si="50"/>
        <v>-699.20000000000073</v>
      </c>
      <c r="X228" s="325">
        <f t="shared" si="51"/>
        <v>0</v>
      </c>
      <c r="Y228" s="325">
        <f t="shared" si="52"/>
        <v>-1086.6000000000058</v>
      </c>
      <c r="Z228" s="326">
        <f t="shared" si="53"/>
        <v>-1.388081868404541E-2</v>
      </c>
      <c r="AA228" s="327">
        <f t="shared" si="54"/>
        <v>-8.4213569079937933E-2</v>
      </c>
      <c r="AB228" s="327">
        <f t="shared" si="46"/>
        <v>0</v>
      </c>
      <c r="AC228" s="327">
        <f t="shared" si="55"/>
        <v>-3.0006862419760243E-2</v>
      </c>
      <c r="AI228" s="271"/>
      <c r="AJ228" s="271"/>
      <c r="AK228" s="271"/>
      <c r="AL228" s="271"/>
    </row>
    <row r="229" spans="1:38" ht="15" hidden="1" customHeight="1">
      <c r="A229" s="1" t="s">
        <v>698</v>
      </c>
      <c r="B229" s="159">
        <f>+GETPIVOTDATA("Sum of New Grand Total FTE",'FTE Pivot for regular counts'!$A$2,"State","FL","Category2","Four-Year")</f>
        <v>0</v>
      </c>
      <c r="D229" s="159">
        <f>+GETPIVOTDATA("Sum of New Grand Total FTE",'FTE Pivot for regular counts'!$A$2,"State","FL","Category2","Two-Year")</f>
        <v>281519.55444444442</v>
      </c>
      <c r="F229" s="321">
        <f>+GETPIVOTDATA("Sum of New Grand Total FTE",'FTE Pivot for regular counts'!$A$2,"State","FL","Category2","Technical")</f>
        <v>0</v>
      </c>
      <c r="G229" s="322"/>
      <c r="H229" s="230">
        <f t="shared" si="47"/>
        <v>281519.55444444442</v>
      </c>
      <c r="Q229" s="1" t="s">
        <v>698</v>
      </c>
      <c r="R229" s="159">
        <f>+GETPIVOTDATA("Sum of Old Grand Total FTE",'FTE Pivot for regular counts'!$A$2,"State","FL","Category2","Four-Year")</f>
        <v>0</v>
      </c>
      <c r="S229" s="159">
        <f>+GETPIVOTDATA("Sum of Old Grand Total FTE",'FTE Pivot for regular counts'!$A$2,"State","FL","Category2","Two-Year")</f>
        <v>306797.25555555552</v>
      </c>
      <c r="T229" s="159">
        <f>+GETPIVOTDATA("Sum of Old Grand Total FTE",'FTE Pivot for regular counts'!$A$2,"State","FL","Category2","Technical")</f>
        <v>0</v>
      </c>
      <c r="U229" s="328">
        <f t="shared" si="48"/>
        <v>306797.25555555552</v>
      </c>
      <c r="V229" s="324">
        <f t="shared" si="49"/>
        <v>0</v>
      </c>
      <c r="W229" s="325">
        <f t="shared" si="50"/>
        <v>-25277.701111111091</v>
      </c>
      <c r="X229" s="325">
        <f t="shared" si="51"/>
        <v>0</v>
      </c>
      <c r="Y229" s="325">
        <f t="shared" si="52"/>
        <v>-25277.701111111091</v>
      </c>
      <c r="Z229" s="326" t="e">
        <f t="shared" si="53"/>
        <v>#DIV/0!</v>
      </c>
      <c r="AA229" s="327">
        <f t="shared" si="54"/>
        <v>-8.2392200886339903E-2</v>
      </c>
      <c r="AB229" s="327">
        <f t="shared" si="46"/>
        <v>0</v>
      </c>
      <c r="AC229" s="327">
        <f t="shared" si="55"/>
        <v>-8.2392200886339903E-2</v>
      </c>
      <c r="AI229" s="271"/>
      <c r="AJ229" s="271"/>
      <c r="AK229" s="271"/>
      <c r="AL229" s="271"/>
    </row>
    <row r="230" spans="1:38" ht="15" hidden="1" customHeight="1">
      <c r="A230" s="1" t="s">
        <v>699</v>
      </c>
      <c r="B230" s="159">
        <f>+GETPIVOTDATA("Sum of New Grand Total FTE",'FTE Pivot for regular counts'!$A$2,"State","GA","Category2","Four-Year")</f>
        <v>284048.54625000001</v>
      </c>
      <c r="D230" s="159">
        <f>+GETPIVOTDATA("Sum of New Grand Total FTE",'FTE Pivot for regular counts'!$A$2,"State","GA","Category2","Two-Year")</f>
        <v>7924.2666666666664</v>
      </c>
      <c r="F230" s="321">
        <f>+GETPIVOTDATA("Sum of New Grand Total FTE",'FTE Pivot for regular counts'!$A$2,"State","GA","Category2","Technical")</f>
        <v>60385.116666666683</v>
      </c>
      <c r="G230" s="322"/>
      <c r="H230" s="230">
        <f t="shared" si="47"/>
        <v>352357.92958333337</v>
      </c>
      <c r="Q230" s="1" t="s">
        <v>699</v>
      </c>
      <c r="R230" s="159">
        <f>+GETPIVOTDATA("Sum of Old Grand Total FTE",'FTE Pivot for regular counts'!$A$2,"State","GA","Category2","Four-Year")</f>
        <v>288605.06566666666</v>
      </c>
      <c r="S230" s="159">
        <f>+GETPIVOTDATA("Sum of Old Grand Total FTE",'FTE Pivot for regular counts'!$A$2,"State","GA","Category2","Two-Year")</f>
        <v>9231.1</v>
      </c>
      <c r="T230" s="159">
        <f>+GETPIVOTDATA("Sum of Old Grand Total FTE",'FTE Pivot for regular counts'!$A$2,"State","GA","Category2","Technical")</f>
        <v>65212.350000000013</v>
      </c>
      <c r="U230" s="328">
        <f t="shared" si="48"/>
        <v>363048.51566666667</v>
      </c>
      <c r="V230" s="324">
        <f t="shared" si="49"/>
        <v>-4556.5194166666479</v>
      </c>
      <c r="W230" s="325">
        <f t="shared" si="50"/>
        <v>-1306.8333333333339</v>
      </c>
      <c r="X230" s="325">
        <f t="shared" si="51"/>
        <v>-4827.2333333333299</v>
      </c>
      <c r="Y230" s="325">
        <f t="shared" si="52"/>
        <v>-10690.586083333299</v>
      </c>
      <c r="Z230" s="326">
        <f t="shared" si="53"/>
        <v>-1.5788078446028874E-2</v>
      </c>
      <c r="AA230" s="327">
        <f t="shared" si="54"/>
        <v>-0.14156853823849097</v>
      </c>
      <c r="AB230" s="327">
        <f t="shared" si="46"/>
        <v>-7.402329977885061E-2</v>
      </c>
      <c r="AC230" s="327">
        <f t="shared" si="55"/>
        <v>-2.9446714755745951E-2</v>
      </c>
      <c r="AI230" s="271"/>
      <c r="AJ230" s="271"/>
      <c r="AK230" s="271"/>
      <c r="AL230" s="271"/>
    </row>
    <row r="231" spans="1:38" ht="15" hidden="1" customHeight="1">
      <c r="A231" s="1" t="s">
        <v>700</v>
      </c>
      <c r="B231" s="159">
        <f>+GETPIVOTDATA("Sum of New Grand Total FTE",'FTE Pivot for regular counts'!$A$2,"State","KY","Category2","Four-Year")</f>
        <v>93892.875</v>
      </c>
      <c r="D231" s="159">
        <f>+GETPIVOTDATA("Sum of New Grand Total FTE",'FTE Pivot for regular counts'!$A$2,"State","KY","Category2","Two-Year")</f>
        <v>34555</v>
      </c>
      <c r="F231" s="321">
        <f>+GETPIVOTDATA("Sum of New Grand Total FTE",'FTE Pivot for regular counts'!$A$2,"State","KY","Category2","Technical")</f>
        <v>4928.6333333333332</v>
      </c>
      <c r="G231" s="322"/>
      <c r="H231" s="230">
        <f t="shared" si="47"/>
        <v>133376.50833333333</v>
      </c>
      <c r="Q231" s="1" t="s">
        <v>700</v>
      </c>
      <c r="R231" s="159">
        <f>+GETPIVOTDATA("Sum of Old Grand Total FTE",'FTE Pivot for regular counts'!$A$2,"State","KY","Category2","Four-Year")</f>
        <v>94954.674999999988</v>
      </c>
      <c r="S231" s="159">
        <f>+GETPIVOTDATA("Sum of Old Grand Total FTE",'FTE Pivot for regular counts'!$A$2,"State","KY","Category2","Two-Year")</f>
        <v>37544.333333333328</v>
      </c>
      <c r="T231" s="159">
        <f>+GETPIVOTDATA("Sum of Old Grand Total FTE",'FTE Pivot for regular counts'!$A$2,"State","KY","Category2","Technical")</f>
        <v>5040.7</v>
      </c>
      <c r="U231" s="328">
        <f t="shared" si="48"/>
        <v>137539.70833333331</v>
      </c>
      <c r="V231" s="324">
        <f t="shared" si="49"/>
        <v>-1061.7999999999884</v>
      </c>
      <c r="W231" s="325">
        <f t="shared" si="50"/>
        <v>-2989.3333333333285</v>
      </c>
      <c r="X231" s="325">
        <f t="shared" si="51"/>
        <v>-112.06666666666661</v>
      </c>
      <c r="Y231" s="325">
        <f t="shared" si="52"/>
        <v>-4163.1999999999825</v>
      </c>
      <c r="Z231" s="326">
        <f t="shared" si="53"/>
        <v>-1.1182177180849583E-2</v>
      </c>
      <c r="AA231" s="327">
        <f t="shared" si="54"/>
        <v>-7.962142533715684E-2</v>
      </c>
      <c r="AB231" s="327">
        <f t="shared" si="46"/>
        <v>-2.2232361907407027E-2</v>
      </c>
      <c r="AC231" s="327">
        <f t="shared" si="55"/>
        <v>-3.0269076839324765E-2</v>
      </c>
      <c r="AI231" s="271"/>
      <c r="AJ231" s="271"/>
      <c r="AK231" s="271"/>
      <c r="AL231" s="271"/>
    </row>
    <row r="232" spans="1:38" ht="15" hidden="1" customHeight="1">
      <c r="A232" s="1" t="s">
        <v>701</v>
      </c>
      <c r="B232" s="159">
        <f>+GETPIVOTDATA("Sum of New Grand Total FTE",'FTE Pivot for regular counts'!$A$2,"State","LA","Category2","Four-Year")</f>
        <v>122999.39583333334</v>
      </c>
      <c r="D232" s="159">
        <f>+GETPIVOTDATA("Sum of New Grand Total FTE",'FTE Pivot for regular counts'!$A$2,"State","LA","Category2","Two-Year")</f>
        <v>31100.533333333333</v>
      </c>
      <c r="F232" s="321">
        <f>+GETPIVOTDATA("Sum of New Grand Total FTE",'FTE Pivot for regular counts'!$A$2,"State","LA","Category2","Technical")</f>
        <v>7513.8000000000011</v>
      </c>
      <c r="G232" s="322"/>
      <c r="H232" s="230">
        <f t="shared" si="47"/>
        <v>161613.72916666669</v>
      </c>
      <c r="Q232" s="1" t="s">
        <v>701</v>
      </c>
      <c r="R232" s="159">
        <f>+GETPIVOTDATA("Sum of Old Grand Total FTE",'FTE Pivot for regular counts'!$A$2,"State","LA","Category2","Four-Year")</f>
        <v>123648.94166666665</v>
      </c>
      <c r="S232" s="159">
        <f>+GETPIVOTDATA("Sum of Old Grand Total FTE",'FTE Pivot for regular counts'!$A$2,"State","LA","Category2","Two-Year")</f>
        <v>33557.366666666669</v>
      </c>
      <c r="T232" s="159">
        <f>+GETPIVOTDATA("Sum of Old Grand Total FTE",'FTE Pivot for regular counts'!$A$2,"State","LA","Category2","Technical")</f>
        <v>8178.9333333333325</v>
      </c>
      <c r="U232" s="328">
        <f t="shared" si="48"/>
        <v>165385.24166666664</v>
      </c>
      <c r="V232" s="324">
        <f t="shared" si="49"/>
        <v>-649.54583333330811</v>
      </c>
      <c r="W232" s="325">
        <f t="shared" si="50"/>
        <v>-2456.8333333333358</v>
      </c>
      <c r="X232" s="325">
        <f t="shared" si="51"/>
        <v>-665.13333333333139</v>
      </c>
      <c r="Y232" s="325">
        <f t="shared" si="52"/>
        <v>-3771.5124999999534</v>
      </c>
      <c r="Z232" s="326">
        <f t="shared" si="53"/>
        <v>-5.2531451104883414E-3</v>
      </c>
      <c r="AA232" s="327">
        <f t="shared" si="54"/>
        <v>-7.3212935858097794E-2</v>
      </c>
      <c r="AB232" s="327">
        <f t="shared" si="46"/>
        <v>-8.1322747872582993E-2</v>
      </c>
      <c r="AC232" s="327">
        <f t="shared" si="55"/>
        <v>-2.2804407829819684E-2</v>
      </c>
      <c r="AI232" s="271"/>
      <c r="AJ232" s="271"/>
      <c r="AK232" s="271"/>
      <c r="AL232" s="271"/>
    </row>
    <row r="233" spans="1:38" ht="15" hidden="1" customHeight="1">
      <c r="A233" s="1" t="s">
        <v>702</v>
      </c>
      <c r="B233" s="159">
        <f>+GETPIVOTDATA("Sum of New Grand Total FTE",'FTE Pivot for regular counts'!$A$2,"State","MD","Category2","Four-Year")</f>
        <v>98862.666666666672</v>
      </c>
      <c r="D233" s="159">
        <f>+GETPIVOTDATA("Sum of New Grand Total FTE",'FTE Pivot for regular counts'!$A$2,"State","MD","Category2","Two-Year")</f>
        <v>74879.233333333337</v>
      </c>
      <c r="F233" s="321">
        <f>+GETPIVOTDATA("Sum of New Grand Total FTE",'FTE Pivot for regular counts'!$A$2,"State","MD","Category2","Technical")</f>
        <v>0</v>
      </c>
      <c r="G233" s="322"/>
      <c r="H233" s="230">
        <f t="shared" si="47"/>
        <v>173741.90000000002</v>
      </c>
      <c r="Q233" s="1" t="s">
        <v>702</v>
      </c>
      <c r="R233" s="159">
        <f>+GETPIVOTDATA("Sum of Old Grand Total FTE",'FTE Pivot for regular counts'!$A$2,"State","MD","Category2","Four-Year")</f>
        <v>101792.13333333333</v>
      </c>
      <c r="S233" s="159">
        <f>+GETPIVOTDATA("Sum of Old Grand Total FTE",'FTE Pivot for regular counts'!$A$2,"State","MD","Category2","Two-Year")</f>
        <v>82699.34166666666</v>
      </c>
      <c r="T233" s="159">
        <f>+GETPIVOTDATA("Sum of Old Grand Total FTE",'FTE Pivot for regular counts'!$A$2,"State","MD","Category2","Technical")</f>
        <v>0</v>
      </c>
      <c r="U233" s="328">
        <f t="shared" si="48"/>
        <v>184491.47499999998</v>
      </c>
      <c r="V233" s="324">
        <f t="shared" si="49"/>
        <v>-2929.4666666666599</v>
      </c>
      <c r="W233" s="325">
        <f t="shared" si="50"/>
        <v>-7820.1083333333227</v>
      </c>
      <c r="X233" s="325">
        <f t="shared" si="51"/>
        <v>0</v>
      </c>
      <c r="Y233" s="325">
        <f t="shared" si="52"/>
        <v>-10749.574999999953</v>
      </c>
      <c r="Z233" s="326">
        <f t="shared" si="53"/>
        <v>-2.8778910223579753E-2</v>
      </c>
      <c r="AA233" s="327">
        <f t="shared" si="54"/>
        <v>-9.4560708413539252E-2</v>
      </c>
      <c r="AB233" s="327">
        <f t="shared" si="46"/>
        <v>0</v>
      </c>
      <c r="AC233" s="327">
        <f t="shared" si="55"/>
        <v>-5.8265971368053483E-2</v>
      </c>
      <c r="AI233" s="271"/>
      <c r="AJ233" s="271"/>
      <c r="AK233" s="271"/>
      <c r="AL233" s="271"/>
    </row>
    <row r="234" spans="1:38" ht="15" hidden="1" customHeight="1">
      <c r="A234" s="1" t="s">
        <v>703</v>
      </c>
      <c r="B234" s="159">
        <f>+GETPIVOTDATA("Sum of New Grand Total FTE",'FTE Pivot for regular counts'!$A$2,"State","MS","Category2","Four-Year")</f>
        <v>68601.858333333337</v>
      </c>
      <c r="D234" s="159">
        <f>+GETPIVOTDATA("Sum of New Grand Total FTE",'FTE Pivot for regular counts'!$A$2,"State","MS","Category2","Two-Year")</f>
        <v>55667.666666666664</v>
      </c>
      <c r="F234" s="321">
        <f>+GETPIVOTDATA("Sum of New Grand Total FTE",'FTE Pivot for regular counts'!$A$2,"State","MS","Category2","Technical")</f>
        <v>0</v>
      </c>
      <c r="G234" s="322"/>
      <c r="H234" s="230">
        <f t="shared" si="47"/>
        <v>124269.52499999999</v>
      </c>
      <c r="Q234" s="1" t="s">
        <v>703</v>
      </c>
      <c r="R234" s="159">
        <f>+GETPIVOTDATA("Sum of Old Grand Total FTE",'FTE Pivot for regular counts'!$A$2,"State","MS","Category2","Four-Year")</f>
        <v>69980.05</v>
      </c>
      <c r="S234" s="159">
        <f>+GETPIVOTDATA("Sum of Old Grand Total FTE",'FTE Pivot for regular counts'!$A$2,"State","MS","Category2","Two-Year")</f>
        <v>58856.983333333323</v>
      </c>
      <c r="T234" s="159">
        <f>+GETPIVOTDATA("Sum of Old Grand Total FTE",'FTE Pivot for regular counts'!$A$2,"State","MS","Category2","Technical")</f>
        <v>0</v>
      </c>
      <c r="U234" s="328">
        <f t="shared" si="48"/>
        <v>128837.03333333333</v>
      </c>
      <c r="V234" s="324">
        <f t="shared" si="49"/>
        <v>-1378.1916666666657</v>
      </c>
      <c r="W234" s="325">
        <f t="shared" si="50"/>
        <v>-3189.3166666666584</v>
      </c>
      <c r="X234" s="325">
        <f t="shared" si="51"/>
        <v>0</v>
      </c>
      <c r="Y234" s="325">
        <f t="shared" si="52"/>
        <v>-4567.5083333333314</v>
      </c>
      <c r="Z234" s="326">
        <f t="shared" si="53"/>
        <v>-1.9694065189531384E-2</v>
      </c>
      <c r="AA234" s="327">
        <f t="shared" si="54"/>
        <v>-5.4187565961444827E-2</v>
      </c>
      <c r="AB234" s="327">
        <f t="shared" si="46"/>
        <v>0</v>
      </c>
      <c r="AC234" s="327">
        <f t="shared" si="55"/>
        <v>-3.5451827903519445E-2</v>
      </c>
      <c r="AI234" s="271"/>
      <c r="AJ234" s="271"/>
      <c r="AK234" s="271"/>
      <c r="AL234" s="271"/>
    </row>
    <row r="235" spans="1:38" ht="12" hidden="1" customHeight="1">
      <c r="A235" s="1" t="s">
        <v>704</v>
      </c>
      <c r="B235" s="159">
        <f>+GETPIVOTDATA("Sum of New Grand Total FTE",'FTE Pivot for regular counts'!$A$2,"State","NC","Category2","Four-Year")</f>
        <v>215665.05833333335</v>
      </c>
      <c r="D235" s="159">
        <f>+GETPIVOTDATA("Sum of New Grand Total FTE",'FTE Pivot for regular counts'!$A$2,"State","NC","Category2","Two-Year")</f>
        <v>170832.35</v>
      </c>
      <c r="F235" s="321">
        <f>+GETPIVOTDATA("Sum of New Grand Total FTE",'FTE Pivot for regular counts'!$A$2,"State","NC","Category2","Technical")</f>
        <v>0</v>
      </c>
      <c r="G235" s="322"/>
      <c r="H235" s="230">
        <f t="shared" si="47"/>
        <v>386497.40833333333</v>
      </c>
      <c r="Q235" s="1" t="s">
        <v>704</v>
      </c>
      <c r="R235" s="159">
        <f>+GETPIVOTDATA("Sum of Old Grand Total FTE",'FTE Pivot for regular counts'!$A$2,"State","NC","Category2","Four-Year")</f>
        <v>216356.58124999996</v>
      </c>
      <c r="S235" s="159">
        <f>+GETPIVOTDATA("Sum of Old Grand Total FTE",'FTE Pivot for regular counts'!$A$2,"State","NC","Category2","Two-Year")</f>
        <v>173510.29888888888</v>
      </c>
      <c r="T235" s="159">
        <f>+GETPIVOTDATA("Sum of Old Grand Total FTE",'FTE Pivot for regular counts'!$A$2,"State","NC","Category2","Technical")</f>
        <v>0</v>
      </c>
      <c r="U235" s="328">
        <f t="shared" si="48"/>
        <v>389866.88013888884</v>
      </c>
      <c r="V235" s="324">
        <f t="shared" si="49"/>
        <v>-691.5229166666104</v>
      </c>
      <c r="W235" s="325">
        <f t="shared" si="50"/>
        <v>-2677.9488888888736</v>
      </c>
      <c r="X235" s="325">
        <f t="shared" si="51"/>
        <v>0</v>
      </c>
      <c r="Y235" s="325">
        <f t="shared" si="52"/>
        <v>-3369.4718055555131</v>
      </c>
      <c r="Z235" s="326">
        <f t="shared" si="53"/>
        <v>-3.1962185419613185E-3</v>
      </c>
      <c r="AA235" s="327">
        <f t="shared" si="54"/>
        <v>-1.5433947760090926E-2</v>
      </c>
      <c r="AB235" s="327">
        <f t="shared" si="46"/>
        <v>0</v>
      </c>
      <c r="AC235" s="327">
        <f t="shared" si="55"/>
        <v>-8.6426213079581152E-3</v>
      </c>
      <c r="AI235" s="271"/>
      <c r="AJ235" s="271"/>
      <c r="AK235" s="271"/>
      <c r="AL235" s="271"/>
    </row>
    <row r="236" spans="1:38" ht="15" hidden="1" customHeight="1">
      <c r="A236" s="1" t="s">
        <v>705</v>
      </c>
      <c r="B236" s="159">
        <f>+GETPIVOTDATA("Sum of New Grand Total FTE",'FTE Pivot for regular counts'!$A$2,"State","OK","Category2","Four-Year")</f>
        <v>0</v>
      </c>
      <c r="D236" s="159">
        <f>+GETPIVOTDATA("Sum of New Grand Total FTE",'FTE Pivot for regular counts'!$A$2,"State","OK","Category2","Two-Year")</f>
        <v>0</v>
      </c>
      <c r="F236" s="321">
        <f>+GETPIVOTDATA("Sum of New Grand Total FTE",'FTE Pivot for regular counts'!$A$2,"State","OK","Category2","Technical")</f>
        <v>10322.25</v>
      </c>
      <c r="G236" s="322"/>
      <c r="H236" s="230">
        <f t="shared" si="47"/>
        <v>10322.25</v>
      </c>
      <c r="Q236" s="1" t="s">
        <v>705</v>
      </c>
      <c r="R236" s="159">
        <f>+GETPIVOTDATA("Sum of Old Grand Total FTE",'FTE Pivot for regular counts'!$A$2,"State","OK","Category2","Four-Year")</f>
        <v>0</v>
      </c>
      <c r="S236" s="159">
        <f>+GETPIVOTDATA("Sum of Old Grand Total FTE",'FTE Pivot for regular counts'!$A$2,"State","OK","Category2","Two-Year")</f>
        <v>0</v>
      </c>
      <c r="T236" s="145">
        <f>+GETPIVOTDATA("Sum of Old Grand Total FTE",'FTE Pivot for regular counts'!$A$2,"State","OK","Category2","Technical")</f>
        <v>22330.491111111107</v>
      </c>
      <c r="U236" s="328">
        <f t="shared" si="48"/>
        <v>22330.491111111107</v>
      </c>
      <c r="V236" s="324">
        <f t="shared" si="49"/>
        <v>0</v>
      </c>
      <c r="W236" s="325">
        <f t="shared" si="50"/>
        <v>0</v>
      </c>
      <c r="X236" s="325">
        <f t="shared" si="51"/>
        <v>-12008.241111111107</v>
      </c>
      <c r="Y236" s="325">
        <f t="shared" si="52"/>
        <v>-12008.241111111107</v>
      </c>
      <c r="Z236" s="326" t="e">
        <f t="shared" si="53"/>
        <v>#DIV/0!</v>
      </c>
      <c r="AA236" s="327" t="e">
        <f t="shared" si="54"/>
        <v>#DIV/0!</v>
      </c>
      <c r="AB236" s="327">
        <f t="shared" si="46"/>
        <v>-0.53775087396694554</v>
      </c>
      <c r="AC236" s="327">
        <f t="shared" si="55"/>
        <v>-0.53775087396694554</v>
      </c>
      <c r="AI236" s="271"/>
      <c r="AJ236" s="271"/>
      <c r="AK236" s="271"/>
      <c r="AL236" s="271"/>
    </row>
    <row r="237" spans="1:38" ht="15" hidden="1" customHeight="1">
      <c r="A237" s="1" t="s">
        <v>706</v>
      </c>
      <c r="B237" s="159">
        <f>+GETPIVOTDATA("Sum of New Grand Total FTE",'FTE Pivot for regular counts'!$A$2,"State","SC","Category2","Four-Year")</f>
        <v>108720.09166666667</v>
      </c>
      <c r="D237" s="159">
        <f>+GETPIVOTDATA("Sum of New Grand Total FTE",'FTE Pivot for regular counts'!$A$2,"State","SC","Category2","Two-Year")</f>
        <v>53484.333333333336</v>
      </c>
      <c r="F237" s="321">
        <f>+GETPIVOTDATA("Sum of New Grand Total FTE",'FTE Pivot for regular counts'!$A$2,"State","SC","Category2","Technical")</f>
        <v>0</v>
      </c>
      <c r="G237" s="322"/>
      <c r="H237" s="230">
        <f t="shared" si="47"/>
        <v>162204.42500000002</v>
      </c>
      <c r="Q237" s="1" t="s">
        <v>706</v>
      </c>
      <c r="R237" s="159">
        <f>+GETPIVOTDATA("Sum of Old Grand Total FTE",'FTE Pivot for regular counts'!$A$2,"State","SC","Category2","Four-Year")</f>
        <v>109091.15000000001</v>
      </c>
      <c r="S237" s="159">
        <f>+GETPIVOTDATA("Sum of Old Grand Total FTE",'FTE Pivot for regular counts'!$A$2,"State","SC","Category2","Two-Year")</f>
        <v>55970.23333333333</v>
      </c>
      <c r="T237" s="159">
        <f>+GETPIVOTDATA("Sum of Old Grand Total FTE",'FTE Pivot for regular counts'!$A$2,"State","SC","Category2","Technical")</f>
        <v>0</v>
      </c>
      <c r="U237" s="328">
        <f t="shared" si="48"/>
        <v>165061.38333333333</v>
      </c>
      <c r="V237" s="324">
        <f t="shared" si="49"/>
        <v>-371.0583333333343</v>
      </c>
      <c r="W237" s="325">
        <f t="shared" si="50"/>
        <v>-2485.8999999999942</v>
      </c>
      <c r="X237" s="325">
        <f t="shared" si="51"/>
        <v>0</v>
      </c>
      <c r="Y237" s="325">
        <f t="shared" si="52"/>
        <v>-2856.9583333333139</v>
      </c>
      <c r="Z237" s="326">
        <f t="shared" si="53"/>
        <v>-3.4013605442176956E-3</v>
      </c>
      <c r="AA237" s="327">
        <f t="shared" si="54"/>
        <v>-4.4414679945947361E-2</v>
      </c>
      <c r="AB237" s="327">
        <f t="shared" si="46"/>
        <v>0</v>
      </c>
      <c r="AC237" s="327">
        <f t="shared" si="55"/>
        <v>-1.7308459893152762E-2</v>
      </c>
      <c r="AI237" s="271"/>
      <c r="AJ237" s="271"/>
      <c r="AK237" s="271"/>
      <c r="AL237" s="271"/>
    </row>
    <row r="238" spans="1:38" ht="15" hidden="1" customHeight="1">
      <c r="A238" s="1" t="s">
        <v>707</v>
      </c>
      <c r="B238" s="159">
        <f>+GETPIVOTDATA("Sum of New Grand Total FTE",'FTE Pivot for regular counts'!$A$2,"State","TN","Category2","Four-Year")</f>
        <v>114638.08333333334</v>
      </c>
      <c r="D238" s="159">
        <f>+GETPIVOTDATA("Sum of New Grand Total FTE",'FTE Pivot for regular counts'!$A$2,"State","TN","Category2","Two-Year")</f>
        <v>49229.033333333333</v>
      </c>
      <c r="F238" s="321">
        <f>+GETPIVOTDATA("Sum of New Grand Total FTE",'FTE Pivot for regular counts'!$A$2,"State","TN","Category2","Technical")</f>
        <v>12756.232222222221</v>
      </c>
      <c r="G238" s="322"/>
      <c r="H238" s="230">
        <f t="shared" si="47"/>
        <v>176623.3488888889</v>
      </c>
      <c r="Q238" s="1" t="s">
        <v>707</v>
      </c>
      <c r="R238" s="159">
        <f>+GETPIVOTDATA("Sum of Old Grand Total FTE",'FTE Pivot for regular counts'!$A$2,"State","TN","Category2","Four-Year")</f>
        <v>116595.54166666669</v>
      </c>
      <c r="S238" s="159">
        <f>+GETPIVOTDATA("Sum of Old Grand Total FTE",'FTE Pivot for regular counts'!$A$2,"State","TN","Category2","Two-Year")</f>
        <v>55614.083333333328</v>
      </c>
      <c r="T238" s="159">
        <f>+GETPIVOTDATA("Sum of Old Grand Total FTE",'FTE Pivot for regular counts'!$A$2,"State","TN","Category2","Technical")</f>
        <v>12630.868888888888</v>
      </c>
      <c r="U238" s="328">
        <f t="shared" si="48"/>
        <v>184840.49388888889</v>
      </c>
      <c r="V238" s="324">
        <f t="shared" si="49"/>
        <v>-1957.458333333343</v>
      </c>
      <c r="W238" s="325">
        <f t="shared" si="50"/>
        <v>-6385.0499999999956</v>
      </c>
      <c r="X238" s="325">
        <f t="shared" si="51"/>
        <v>125.36333333333278</v>
      </c>
      <c r="Y238" s="325">
        <f t="shared" si="52"/>
        <v>-8217.1449999999895</v>
      </c>
      <c r="Z238" s="326">
        <f t="shared" si="53"/>
        <v>-1.6788449243878401E-2</v>
      </c>
      <c r="AA238" s="327">
        <f t="shared" si="54"/>
        <v>-0.11480994772007683</v>
      </c>
      <c r="AB238" s="327">
        <f t="shared" si="46"/>
        <v>9.9251551446007235E-3</v>
      </c>
      <c r="AC238" s="327">
        <f t="shared" si="55"/>
        <v>-4.4455329171212185E-2</v>
      </c>
      <c r="AI238" s="271"/>
      <c r="AJ238" s="271"/>
      <c r="AK238" s="271"/>
      <c r="AL238" s="271"/>
    </row>
    <row r="239" spans="1:38" ht="15" hidden="1" customHeight="1">
      <c r="A239" s="1" t="s">
        <v>708</v>
      </c>
      <c r="B239" s="159">
        <f>+GETPIVOTDATA("Sum of New Grand Total FTE",'FTE Pivot for regular counts'!$A$2,"State","TX","Category2","Four-Year")</f>
        <v>553283.6</v>
      </c>
      <c r="D239" s="159">
        <f>+GETPIVOTDATA("Sum of New Grand Total FTE",'FTE Pivot for regular counts'!$A$2,"State","TX","Category2","Two-Year")</f>
        <v>386205.27555555559</v>
      </c>
      <c r="F239" s="321">
        <f>+GETPIVOTDATA("Sum of New Grand Total FTE",'FTE Pivot for regular counts'!$A$2,"State","TX","Category2","Technical")</f>
        <v>0</v>
      </c>
      <c r="G239" s="322"/>
      <c r="H239" s="230">
        <f t="shared" si="47"/>
        <v>939488.87555555557</v>
      </c>
      <c r="Q239" s="1" t="s">
        <v>708</v>
      </c>
      <c r="R239" s="159">
        <f>+GETPIVOTDATA("Sum of Old Grand Total FTE",'FTE Pivot for regular counts'!$A$2,"State","TX","Category2","Four-Year")</f>
        <v>559807.18333333335</v>
      </c>
      <c r="S239" s="159">
        <f>+GETPIVOTDATA("Sum of Old Grand Total FTE",'FTE Pivot for regular counts'!$A$2,"State","TX","Category2","Two-Year")</f>
        <v>457343.73777777789</v>
      </c>
      <c r="T239" s="321">
        <f>+GETPIVOTDATA("Sum of Old Grand Total FTE",'FTE Pivot for regular counts'!$A$2,"State","TX","Category2","Technical")</f>
        <v>0</v>
      </c>
      <c r="U239" s="328">
        <f t="shared" si="48"/>
        <v>1017150.9211111113</v>
      </c>
      <c r="V239" s="324">
        <f t="shared" si="49"/>
        <v>-6523.5833333333721</v>
      </c>
      <c r="W239" s="325">
        <f t="shared" si="50"/>
        <v>-71138.462222222297</v>
      </c>
      <c r="X239" s="325">
        <f t="shared" si="51"/>
        <v>0</v>
      </c>
      <c r="Y239" s="325">
        <f t="shared" si="52"/>
        <v>-77662.045555555727</v>
      </c>
      <c r="Z239" s="326">
        <f t="shared" si="53"/>
        <v>-1.1653268353023168E-2</v>
      </c>
      <c r="AA239" s="327">
        <f t="shared" si="54"/>
        <v>-0.15554703463937727</v>
      </c>
      <c r="AB239" s="327">
        <f t="shared" si="46"/>
        <v>0</v>
      </c>
      <c r="AC239" s="327">
        <f t="shared" si="55"/>
        <v>-7.6352529348073114E-2</v>
      </c>
      <c r="AI239" s="271"/>
      <c r="AJ239" s="271"/>
      <c r="AK239" s="271"/>
      <c r="AL239" s="271"/>
    </row>
    <row r="240" spans="1:38" ht="15" hidden="1" customHeight="1">
      <c r="A240" s="1" t="s">
        <v>709</v>
      </c>
      <c r="B240" s="159">
        <f>+GETPIVOTDATA("Sum of New Grand Total FTE",'FTE Pivot for regular counts'!$A$2,"State","VA","Category2","Four-Year")</f>
        <v>202372.25416666665</v>
      </c>
      <c r="D240" s="159">
        <f>+GETPIVOTDATA("Sum of New Grand Total FTE",'FTE Pivot for regular counts'!$A$2,"State","VA","Category2","Two-Year")</f>
        <v>91495.783333333326</v>
      </c>
      <c r="F240" s="321">
        <f>+GETPIVOTDATA("Sum of New Grand Total FTE",'FTE Pivot for regular counts'!$A$2,"State","VA","Category2","Technical")</f>
        <v>0</v>
      </c>
      <c r="G240" s="322"/>
      <c r="H240" s="230">
        <f t="shared" si="47"/>
        <v>293868.03749999998</v>
      </c>
      <c r="Q240" s="1" t="s">
        <v>709</v>
      </c>
      <c r="R240" s="159">
        <f>+GETPIVOTDATA("Sum of Old Grand Total FTE",'FTE Pivot for regular counts'!$A$2,"State","VA","Category2","Four-Year")</f>
        <v>202968.16416666671</v>
      </c>
      <c r="S240" s="159">
        <f>+GETPIVOTDATA("Sum of Old Grand Total FTE",'FTE Pivot for regular counts'!$A$2,"State","VA","Category2","Two-Year")</f>
        <v>95027.466666666674</v>
      </c>
      <c r="T240" s="321">
        <f>+GETPIVOTDATA("Sum of Old Grand Total FTE",'FTE Pivot for regular counts'!$A$2,"State","VA","Category2","Technical")</f>
        <v>0</v>
      </c>
      <c r="U240" s="328">
        <f t="shared" si="48"/>
        <v>297995.63083333336</v>
      </c>
      <c r="V240" s="324">
        <f t="shared" si="49"/>
        <v>-595.9100000000617</v>
      </c>
      <c r="W240" s="325">
        <f t="shared" si="50"/>
        <v>-3531.6833333333489</v>
      </c>
      <c r="X240" s="325">
        <f t="shared" si="51"/>
        <v>0</v>
      </c>
      <c r="Y240" s="325">
        <f t="shared" si="52"/>
        <v>-4127.5933333333815</v>
      </c>
      <c r="Z240" s="326">
        <f t="shared" si="53"/>
        <v>-2.9359776812620327E-3</v>
      </c>
      <c r="AA240" s="327">
        <f t="shared" si="54"/>
        <v>-3.7164868823891077E-2</v>
      </c>
      <c r="AB240" s="327">
        <f t="shared" si="46"/>
        <v>0</v>
      </c>
      <c r="AC240" s="327">
        <f t="shared" si="55"/>
        <v>-1.3851187421073004E-2</v>
      </c>
    </row>
    <row r="241" spans="1:29" ht="15" hidden="1" customHeight="1">
      <c r="A241" s="166" t="s">
        <v>710</v>
      </c>
      <c r="B241" s="167">
        <f>+GETPIVOTDATA("Sum of New Grand Total FTE",'FTE Pivot for regular counts'!$A$2,"State","WV","Category2","Four-Year")</f>
        <v>47896.558333333334</v>
      </c>
      <c r="C241" s="166"/>
      <c r="D241" s="167">
        <f>+GETPIVOTDATA("Sum of New Grand Total FTE",'FTE Pivot for regular counts'!$A$2,"State","WV","Category2","Two-Year")</f>
        <v>9993.5666666666657</v>
      </c>
      <c r="E241" s="166"/>
      <c r="F241" s="329">
        <f>+GETPIVOTDATA("Sum of New Grand Total FTE",'FTE Pivot for regular counts'!$A$2,"State","WV","Category2","Technical")</f>
        <v>0</v>
      </c>
      <c r="G241" s="330"/>
      <c r="H241" s="230">
        <f t="shared" si="47"/>
        <v>57890.125</v>
      </c>
      <c r="Q241" s="166" t="s">
        <v>710</v>
      </c>
      <c r="R241" s="167">
        <f>+GETPIVOTDATA("Sum of Old Grand Total FTE",'FTE Pivot for regular counts'!$A$2,"State","WV","Category2","Four-Year")</f>
        <v>50383.691666666658</v>
      </c>
      <c r="S241" s="167">
        <f>+GETPIVOTDATA("Sum of Old Grand Total FTE",'FTE Pivot for regular counts'!$A$2,"State","WV","Category2","Two-Year")</f>
        <v>11198.113333333333</v>
      </c>
      <c r="T241" s="329">
        <f>+GETPIVOTDATA("Sum of Old Grand Total FTE",'FTE Pivot for regular counts'!$A$2,"State","WV","Category2","Technical")</f>
        <v>0</v>
      </c>
      <c r="U241" s="331">
        <f t="shared" si="48"/>
        <v>61581.804999999993</v>
      </c>
      <c r="V241" s="332">
        <f t="shared" si="49"/>
        <v>-2487.1333333333241</v>
      </c>
      <c r="W241" s="333">
        <f t="shared" si="50"/>
        <v>-1204.5466666666671</v>
      </c>
      <c r="X241" s="333">
        <f t="shared" si="51"/>
        <v>0</v>
      </c>
      <c r="Y241" s="334">
        <f t="shared" si="52"/>
        <v>-3691.679999999993</v>
      </c>
      <c r="Z241" s="335">
        <f t="shared" si="53"/>
        <v>-4.9363856657982576E-2</v>
      </c>
      <c r="AA241" s="336">
        <f t="shared" si="54"/>
        <v>-0.10756692942918365</v>
      </c>
      <c r="AB241" s="336">
        <f t="shared" si="46"/>
        <v>0</v>
      </c>
      <c r="AC241" s="336">
        <f t="shared" si="55"/>
        <v>-5.9947577048123118E-2</v>
      </c>
    </row>
    <row r="242" spans="1:29" ht="15" customHeight="1">
      <c r="A242" s="72"/>
      <c r="B242" s="337"/>
      <c r="C242" s="337"/>
      <c r="D242" s="337"/>
      <c r="E242" s="337"/>
      <c r="F242" s="337"/>
      <c r="G242" s="337"/>
      <c r="H242" s="337"/>
      <c r="I242" s="159"/>
      <c r="J242" s="159"/>
      <c r="K242" s="159"/>
    </row>
    <row r="243" spans="1:29" ht="20.25" customHeight="1">
      <c r="B243" s="159"/>
      <c r="C243" s="159"/>
      <c r="D243" s="159"/>
      <c r="E243" s="159"/>
      <c r="F243" s="159"/>
      <c r="G243" s="159"/>
      <c r="H243" s="159"/>
      <c r="L243" s="159"/>
      <c r="M243" s="159"/>
      <c r="Q243" s="338"/>
      <c r="S243" s="187"/>
    </row>
    <row r="244" spans="1:29" ht="71.25" customHeight="1">
      <c r="H244" s="192"/>
      <c r="Q244" s="133"/>
    </row>
  </sheetData>
  <mergeCells count="15">
    <mergeCell ref="A214:G214"/>
    <mergeCell ref="A122:I122"/>
    <mergeCell ref="A125:J125"/>
    <mergeCell ref="A127:J127"/>
    <mergeCell ref="A128:J128"/>
    <mergeCell ref="A153:I153"/>
    <mergeCell ref="A183:K183"/>
    <mergeCell ref="A123:I123"/>
    <mergeCell ref="A184:I184"/>
    <mergeCell ref="A97:J97"/>
    <mergeCell ref="A30:O30"/>
    <mergeCell ref="A60:H60"/>
    <mergeCell ref="A91:H91"/>
    <mergeCell ref="A94:J94"/>
    <mergeCell ref="A96:J96"/>
  </mergeCells>
  <pageMargins left="0.25" right="1.02083333333333E-2" top="1" bottom="0.85" header="0.75" footer="0.5"/>
  <pageSetup scale="93" firstPageNumber="88" fitToHeight="7" orientation="landscape" useFirstPageNumber="1" r:id="rId1"/>
  <headerFooter alignWithMargins="0">
    <oddHeader>&amp;RSREB-State Data Exchange</oddHeader>
    <oddFooter>&amp;C&amp;10&amp;P</oddFooter>
  </headerFooter>
  <rowBreaks count="6" manualBreakCount="6">
    <brk id="31" max="14" man="1"/>
    <brk id="62" max="14" man="1"/>
    <brk id="93" max="14" man="1"/>
    <brk id="124" max="14" man="1"/>
    <brk id="154" max="14" man="1"/>
    <brk id="185" max="1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59999389629810485"/>
  </sheetPr>
  <dimension ref="A1:S242"/>
  <sheetViews>
    <sheetView showZeros="0" tabSelected="1" view="pageBreakPreview" topLeftCell="A41" zoomScaleNormal="100" zoomScaleSheetLayoutView="100" workbookViewId="0">
      <selection activeCell="Q12" sqref="Q12"/>
    </sheetView>
  </sheetViews>
  <sheetFormatPr defaultColWidth="9.33203125" defaultRowHeight="12.75"/>
  <cols>
    <col min="1" max="1" width="15" style="1" customWidth="1"/>
    <col min="2" max="2" width="12.33203125" style="1" customWidth="1"/>
    <col min="3" max="3" width="11.83203125" style="1" customWidth="1"/>
    <col min="4" max="4" width="12.1640625" style="1" customWidth="1"/>
    <col min="5" max="5" width="10.83203125" style="1" customWidth="1"/>
    <col min="6" max="6" width="12.1640625" style="1" customWidth="1"/>
    <col min="7" max="7" width="10" style="1" customWidth="1"/>
    <col min="8" max="8" width="12" style="1" customWidth="1"/>
    <col min="9" max="9" width="12.6640625" style="1" customWidth="1"/>
    <col min="10" max="10" width="11.6640625" style="1" customWidth="1"/>
    <col min="11" max="11" width="10" style="1" customWidth="1"/>
    <col min="12" max="12" width="10.5" style="1" customWidth="1"/>
    <col min="13" max="13" width="10" style="1" customWidth="1"/>
    <col min="14" max="14" width="12.1640625" style="1" customWidth="1"/>
    <col min="15" max="15" width="10" style="1" customWidth="1"/>
    <col min="16" max="16384" width="9.33203125" style="1"/>
  </cols>
  <sheetData>
    <row r="1" spans="1:17" ht="18">
      <c r="A1" s="116" t="s">
        <v>673</v>
      </c>
      <c r="B1" s="117"/>
      <c r="C1" s="117"/>
      <c r="D1" s="117"/>
      <c r="E1" s="117"/>
      <c r="F1" s="117"/>
      <c r="G1" s="117"/>
      <c r="H1" s="117"/>
      <c r="I1" s="117"/>
      <c r="J1" s="117"/>
      <c r="K1" s="117"/>
      <c r="L1" s="117"/>
      <c r="M1" s="117"/>
      <c r="N1" s="118"/>
      <c r="O1" s="119"/>
    </row>
    <row r="2" spans="1:17" ht="15.75">
      <c r="A2" s="120"/>
      <c r="B2" s="120"/>
      <c r="C2" s="120"/>
      <c r="D2" s="120"/>
      <c r="E2" s="120"/>
      <c r="F2" s="120"/>
      <c r="G2" s="120"/>
      <c r="H2" s="120"/>
      <c r="I2" s="120"/>
      <c r="J2" s="120"/>
      <c r="K2" s="120"/>
      <c r="L2" s="120"/>
      <c r="M2" s="120"/>
      <c r="N2" s="121"/>
      <c r="O2" s="119"/>
    </row>
    <row r="3" spans="1:17" ht="15.75">
      <c r="A3" s="122" t="s">
        <v>674</v>
      </c>
      <c r="B3" s="119"/>
      <c r="C3" s="119"/>
      <c r="D3" s="119"/>
      <c r="E3" s="119"/>
      <c r="F3" s="119"/>
      <c r="G3" s="119"/>
      <c r="H3" s="119"/>
      <c r="I3" s="119"/>
      <c r="J3" s="119"/>
      <c r="K3" s="119"/>
      <c r="L3" s="119"/>
      <c r="M3" s="119"/>
      <c r="N3" s="119"/>
      <c r="O3" s="121"/>
    </row>
    <row r="4" spans="1:17" ht="15.75">
      <c r="A4" s="122" t="s">
        <v>842</v>
      </c>
      <c r="B4" s="119"/>
      <c r="C4" s="119"/>
      <c r="D4" s="119"/>
      <c r="E4" s="119"/>
      <c r="F4" s="119"/>
      <c r="G4" s="119"/>
      <c r="H4" s="119"/>
      <c r="I4" s="119"/>
      <c r="J4" s="119"/>
      <c r="K4" s="119"/>
      <c r="L4" s="119"/>
      <c r="M4" s="119"/>
      <c r="N4" s="123"/>
      <c r="O4" s="119"/>
    </row>
    <row r="5" spans="1:17" ht="15.75" customHeight="1"/>
    <row r="6" spans="1:17" ht="15" customHeight="1">
      <c r="A6" s="204"/>
      <c r="B6" s="653" t="s">
        <v>667</v>
      </c>
      <c r="C6" s="654"/>
      <c r="D6" s="654"/>
      <c r="E6" s="654"/>
      <c r="F6" s="654"/>
      <c r="G6" s="654"/>
      <c r="H6" s="228"/>
      <c r="I6" s="339"/>
      <c r="J6" s="339"/>
      <c r="K6" s="339"/>
      <c r="L6" s="339"/>
      <c r="M6" s="339"/>
      <c r="N6" s="339"/>
      <c r="O6" s="339"/>
    </row>
    <row r="7" spans="1:17" ht="17.25" customHeight="1">
      <c r="A7" s="129"/>
      <c r="B7" s="130">
        <v>1</v>
      </c>
      <c r="C7" s="119"/>
      <c r="D7" s="131">
        <v>2</v>
      </c>
      <c r="E7" s="119"/>
      <c r="F7" s="131">
        <v>3</v>
      </c>
      <c r="G7" s="119"/>
      <c r="H7" s="131">
        <v>4</v>
      </c>
      <c r="I7" s="132"/>
      <c r="J7" s="131">
        <v>5</v>
      </c>
      <c r="K7" s="132"/>
      <c r="L7" s="131">
        <v>6</v>
      </c>
      <c r="M7" s="132"/>
      <c r="N7" s="131" t="s">
        <v>679</v>
      </c>
      <c r="O7" s="132"/>
    </row>
    <row r="8" spans="1:17" ht="77.25" customHeight="1">
      <c r="A8" s="137"/>
      <c r="B8" s="138" t="s">
        <v>682</v>
      </c>
      <c r="C8" s="139" t="s">
        <v>683</v>
      </c>
      <c r="D8" s="140" t="s">
        <v>682</v>
      </c>
      <c r="E8" s="139" t="s">
        <v>683</v>
      </c>
      <c r="F8" s="140" t="s">
        <v>682</v>
      </c>
      <c r="G8" s="139" t="s">
        <v>683</v>
      </c>
      <c r="H8" s="140" t="s">
        <v>682</v>
      </c>
      <c r="I8" s="139" t="s">
        <v>683</v>
      </c>
      <c r="J8" s="140" t="s">
        <v>682</v>
      </c>
      <c r="K8" s="139" t="s">
        <v>683</v>
      </c>
      <c r="L8" s="140" t="s">
        <v>682</v>
      </c>
      <c r="M8" s="139" t="s">
        <v>683</v>
      </c>
      <c r="N8" s="140" t="s">
        <v>682</v>
      </c>
      <c r="O8" s="139" t="s">
        <v>683</v>
      </c>
      <c r="Q8" s="61"/>
    </row>
    <row r="9" spans="1:17" ht="15" customHeight="1">
      <c r="A9" s="1" t="s">
        <v>687</v>
      </c>
      <c r="B9" s="145">
        <f>+GETPIVOTDATA("Sum of Old-Total Undg SCH FTE",'FTE Pivot for regular counts'!$A$2,"Category",1,"Category2","Group1")</f>
        <v>852160.1</v>
      </c>
      <c r="C9" s="146"/>
      <c r="D9" s="147">
        <f>+GETPIVOTDATA("Sum of Old-Total Undg SCH FTE",'FTE Pivot for regular counts'!$A$2,"Category",2,"Category2","Four-Year")</f>
        <v>208639.77566666668</v>
      </c>
      <c r="E9" s="146"/>
      <c r="F9" s="148">
        <f>+GETPIVOTDATA("Sum of Old-Total Undg SCH FTE",'FTE Pivot for regular counts'!$A$2,"Category",3,"Category2","Four-Year")</f>
        <v>490040.91666666663</v>
      </c>
      <c r="G9" s="146"/>
      <c r="H9" s="148">
        <f>+GETPIVOTDATA("Sum of Old-Total Undg SCH FTE",'FTE Pivot for regular counts'!$A$2,"Category",4,"Category2","Four-Year")</f>
        <v>155997.70000000001</v>
      </c>
      <c r="I9" s="146"/>
      <c r="J9" s="148">
        <f>+GETPIVOTDATA("Sum of Old-Total Undg SCH FTE",'FTE Pivot for regular counts'!$A$2,"Category",5,"Category2","Four-Year")</f>
        <v>58978.866666666669</v>
      </c>
      <c r="K9" s="146"/>
      <c r="L9" s="148">
        <f>+GETPIVOTDATA("Sum of Old-Total Undg SCH FTE",'FTE Pivot for regular counts'!$A$2,"Category",6,"Category2","Four-Year")</f>
        <v>53755.116666666661</v>
      </c>
      <c r="M9" s="146"/>
      <c r="N9" s="148">
        <f>+GETPIVOTDATA("Sum of Old-Total Undg SCH FTE",'FTE Pivot for regular counts'!$A$2,"Category2","Four-Year")</f>
        <v>1819572.4756666669</v>
      </c>
      <c r="O9" s="146"/>
    </row>
    <row r="10" spans="1:17" ht="12.75" customHeight="1">
      <c r="B10" s="159"/>
      <c r="C10" s="154" t="s">
        <v>782</v>
      </c>
      <c r="D10" s="148"/>
      <c r="E10" s="154" t="s">
        <v>783</v>
      </c>
      <c r="F10" s="148"/>
      <c r="G10" s="154" t="s">
        <v>784</v>
      </c>
      <c r="H10" s="148"/>
      <c r="I10" s="154" t="s">
        <v>785</v>
      </c>
      <c r="J10" s="148"/>
      <c r="K10" s="154" t="s">
        <v>786</v>
      </c>
      <c r="L10" s="148"/>
      <c r="M10" s="154" t="s">
        <v>787</v>
      </c>
      <c r="N10" s="148"/>
      <c r="O10" s="154" t="s">
        <v>788</v>
      </c>
    </row>
    <row r="11" spans="1:17" ht="15" customHeight="1">
      <c r="A11" s="1" t="s">
        <v>695</v>
      </c>
      <c r="B11" s="159">
        <f>+GETPIVOTDATA("Sum of Old-Total Undg SCH FTE",'FTE Pivot for regular counts'!$A$2,"State","AL","Category",1,"Category2","Four-Year")</f>
        <v>64980.2</v>
      </c>
      <c r="C11" s="160">
        <f>+GETPIVOTDATA("Sum of Old-HS % of Total",'Pivot-HS Student % of Undergrad'!$A$3,"State","AL","Category",1,"Category2","Four-Year")</f>
        <v>7.112174162770709E-3</v>
      </c>
      <c r="D11" s="148">
        <f>+GETPIVOTDATA("Sum of Old-Total Undg SCH FTE",'FTE Pivot for regular counts'!$A$2,"State","AL","Category",2,"Category2","Four-Year")</f>
        <v>15057.833333333334</v>
      </c>
      <c r="E11" s="160">
        <f>+GETPIVOTDATA("Sum of Old-HS % of Total",'Pivot-HS Student % of Undergrad'!$A$3,"State","AL","Category",2,"Category2","Four-Year")</f>
        <v>3.922653768249084E-3</v>
      </c>
      <c r="F11" s="148">
        <f>+GETPIVOTDATA("Sum of Old-Total Undg SCH FTE",'FTE Pivot for regular counts'!$A$2,"State","AL","Category",3,"Category2","Four-Year")</f>
        <v>31500.999999999996</v>
      </c>
      <c r="G11" s="160">
        <f>+GETPIVOTDATA("Sum of Old-HS % of Total",'Pivot-HS Student % of Undergrad'!$A$3,"State","AL","Category",3,"Category2","Four-Year")</f>
        <v>1.3324444726622435E-2</v>
      </c>
      <c r="H11" s="148">
        <f>+GETPIVOTDATA("Sum of Old-Total Undg SCH FTE",'FTE Pivot for regular counts'!$A$2,"State","AL","Category",4,"Category2","Four-Year")</f>
        <v>5781.6666666666661</v>
      </c>
      <c r="I11" s="160">
        <f>+GETPIVOTDATA("Sum of Old-HS % of Total",'Pivot-HS Student % of Undergrad'!$A$3,"State","AL","Category",4,"Category2","Four-Year")</f>
        <v>1.452868261746901E-3</v>
      </c>
      <c r="J11" s="148">
        <f>+GETPIVOTDATA("Sum of Old-Total Undg SCH FTE",'FTE Pivot for regular counts'!$A$2,"State","AL","Category",5,"Category2","Four-Year")</f>
        <v>4243.5666666666675</v>
      </c>
      <c r="K11" s="160">
        <f>+GETPIVOTDATA("Sum of Old-HS % of Total",'Pivot-HS Student % of Undergrad'!$A$3,"State","AL","Category",5,"Category2","Four-Year")</f>
        <v>1.7830912675658056E-3</v>
      </c>
      <c r="L11" s="148">
        <f>+GETPIVOTDATA("Sum of Old-Total Undg SCH FTE",'FTE Pivot for regular counts'!$A$2,"State","AL","Category",6,"Category2","Four-Year")</f>
        <v>0</v>
      </c>
      <c r="M11" s="160">
        <f>+GETPIVOTDATA("Sum of Old-HS % of Total",'Pivot-HS Student % of Undergrad'!$A$3,"State","AL","Category",6,"Category2","Four-Year")</f>
        <v>0</v>
      </c>
      <c r="N11" s="148">
        <f>+GETPIVOTDATA("Sum of Old-Total Undg SCH FTE",'FTE Pivot for regular counts'!$A$2,"State","AL","Category2","Four-Year")</f>
        <v>121564.26666666666</v>
      </c>
      <c r="O11" s="160">
        <f>+GETPIVOTDATA("Sum of Old-HS % of Total",'Pivot-HS Student % of Undergrad'!$A$3,"State","AL","Category2","Group1")</f>
        <v>7.8672586828802352E-3</v>
      </c>
    </row>
    <row r="12" spans="1:17" ht="15" customHeight="1">
      <c r="A12" s="1" t="s">
        <v>696</v>
      </c>
      <c r="B12" s="159">
        <f>+GETPIVOTDATA("Sum of Old-Total Undg SCH FTE",'FTE Pivot for regular counts'!$A$2,"State","AR","Category",1,"Category2","Four-Year")</f>
        <v>21805.966666666667</v>
      </c>
      <c r="C12" s="160">
        <f>+GETPIVOTDATA("Sum of Old-HS % of Total",'Pivot-HS Student % of Undergrad'!$A$3,"State","AR","Category",1,"Category2","Four-Year")</f>
        <v>1.6203516163007373E-4</v>
      </c>
      <c r="D12" s="148">
        <f>+GETPIVOTDATA("Sum of Old-Total Undg SCH FTE",'FTE Pivot for regular counts'!$A$2,"State","AR","Category",2,"Category2","Four-Year")</f>
        <v>5521.8</v>
      </c>
      <c r="E12" s="160">
        <f>+GETPIVOTDATA("Sum of Old-HS % of Total",'Pivot-HS Student % of Undergrad'!$A$3,"State","AR","Category",2,"Category2","Four-Year")</f>
        <v>6.0077028022263272E-2</v>
      </c>
      <c r="F12" s="148">
        <f>+GETPIVOTDATA("Sum of Old-Total Undg SCH FTE",'FTE Pivot for regular counts'!$A$2,"State","AR","Category",3,"Category2","Four-Year")</f>
        <v>24003.466666666667</v>
      </c>
      <c r="G12" s="160">
        <f>+GETPIVOTDATA("Sum of Old-HS % of Total",'Pivot-HS Student % of Undergrad'!$A$3,"State","AR","Category",3,"Category2","Four-Year")</f>
        <v>4.700293290969082E-2</v>
      </c>
      <c r="H12" s="148">
        <f>+GETPIVOTDATA("Sum of Old-Total Undg SCH FTE",'FTE Pivot for regular counts'!$A$2,"State","AR","Category",4,"Category2","Four-Year")</f>
        <v>8140.6666666666661</v>
      </c>
      <c r="I12" s="160">
        <f>+GETPIVOTDATA("Sum of Old-HS % of Total",'Pivot-HS Student % of Undergrad'!$A$3,"State","AR","Category",4,"Category2","Four-Year")</f>
        <v>3.319138481696831E-2</v>
      </c>
      <c r="J12" s="148">
        <f>+GETPIVOTDATA("Sum of Old-Total Undg SCH FTE",'FTE Pivot for regular counts'!$A$2,"State","AR","Category",5,"Category2","Four-Year")</f>
        <v>0</v>
      </c>
      <c r="K12" s="160">
        <f>+GETPIVOTDATA("Sum of Old-HS % of Total",'Pivot-HS Student % of Undergrad'!$A$3,"State","AR","Category",5,"Category2","Four-Year")</f>
        <v>0</v>
      </c>
      <c r="L12" s="148">
        <f>+GETPIVOTDATA("Sum of Old-Total Undg SCH FTE",'FTE Pivot for regular counts'!$A$2,"State","AR","Category",6,"Category2","Four-Year")</f>
        <v>7036.5</v>
      </c>
      <c r="M12" s="160">
        <f>+GETPIVOTDATA("Sum of Old-HS % of Total",'Pivot-HS Student % of Undergrad'!$A$3,"State","AR","Category",6,"Category2","Four-Year")</f>
        <v>7.559155830313366E-2</v>
      </c>
      <c r="N12" s="148">
        <f>+GETPIVOTDATA("Sum of Old-Total Undg SCH FTE",'FTE Pivot for regular counts'!$A$2,"State","AR","Category2","Four-Year")</f>
        <v>66508.399999999994</v>
      </c>
      <c r="O12" s="160">
        <f>+GETPIVOTDATA("Sum of Old-HS % of Total",'Pivot-HS Student % of Undergrad'!$A$3,"State","AR","Category2","Group1")</f>
        <v>3.4064870001383286E-2</v>
      </c>
    </row>
    <row r="13" spans="1:17" ht="15" customHeight="1">
      <c r="A13" s="1" t="s">
        <v>697</v>
      </c>
      <c r="B13" s="159">
        <f>+GETPIVOTDATA("Sum of Old-Total Undg SCH FTE",'FTE Pivot for regular counts'!$A$2,"State","DE","Category",1,"Category2","Four-Year")</f>
        <v>20020.400000000001</v>
      </c>
      <c r="C13" s="160">
        <f>+GETPIVOTDATA("Sum of Old-HS % of Total",'Pivot-HS Student % of Undergrad'!$A$3,"State","DE","Category",1,"Category2","Four-Year")</f>
        <v>0</v>
      </c>
      <c r="D13" s="148">
        <f>+GETPIVOTDATA("Sum of Old-Total Undg SCH FTE",'FTE Pivot for regular counts'!$A$2,"State","DE","Category",2,"Category2","Four-Year")</f>
        <v>0</v>
      </c>
      <c r="E13" s="160">
        <f>+GETPIVOTDATA("Sum of Old-HS % of Total",'Pivot-HS Student % of Undergrad'!$A$3,"State","DE","Category",2,"Category2","Four-Year")</f>
        <v>0</v>
      </c>
      <c r="F13" s="148">
        <f>+GETPIVOTDATA("Sum of Old-Total Undg SCH FTE",'FTE Pivot for regular counts'!$A$2,"State","DE","Category",3,"Category2","Four-Year")</f>
        <v>4390.2</v>
      </c>
      <c r="G13" s="160">
        <f>+GETPIVOTDATA("Sum of Old-HS % of Total",'Pivot-HS Student % of Undergrad'!$A$3,"State","DE","Category",3,"Category2","Four-Year")</f>
        <v>0</v>
      </c>
      <c r="H13" s="148">
        <f>+GETPIVOTDATA("Sum of Old-Total Undg SCH FTE",'FTE Pivot for regular counts'!$A$2,"State","DE","Category",4,"Category2","Four-Year")</f>
        <v>0</v>
      </c>
      <c r="I13" s="160">
        <f>+GETPIVOTDATA("Sum of Old-HS % of Total",'Pivot-HS Student % of Undergrad'!$A$3,"State","DE","Category",4,"Category2","Four-Year")</f>
        <v>0</v>
      </c>
      <c r="J13" s="148">
        <f>+GETPIVOTDATA("Sum of Old-Total Undg SCH FTE",'FTE Pivot for regular counts'!$A$2,"State","DE","Category",5,"Category2","Four-Year")</f>
        <v>0</v>
      </c>
      <c r="K13" s="160">
        <f>+GETPIVOTDATA("Sum of Old-HS % of Total",'Pivot-HS Student % of Undergrad'!$A$3,"State","DE","Category",5,"Category2","Four-Year")</f>
        <v>0</v>
      </c>
      <c r="L13" s="148">
        <f>+GETPIVOTDATA("Sum of Old-Total Undg SCH FTE",'FTE Pivot for regular counts'!$A$2,"State","DE","Category",6,"Category2","Four-Year")</f>
        <v>0</v>
      </c>
      <c r="M13" s="160">
        <f>+GETPIVOTDATA("Sum of Old-HS % of Total",'Pivot-HS Student % of Undergrad'!$A$3,"State","DE","Category",6,"Category2","Four-Year")</f>
        <v>0</v>
      </c>
      <c r="N13" s="148">
        <f>+GETPIVOTDATA("Sum of Old-Total Undg SCH FTE",'FTE Pivot for regular counts'!$A$2,"State","DE","Category2","Four-Year")</f>
        <v>24410.600000000002</v>
      </c>
      <c r="O13" s="160">
        <f>+GETPIVOTDATA("Sum of Old-HS % of Total",'Pivot-HS Student % of Undergrad'!$A$3,"State","DE","Category2","Group1")</f>
        <v>0</v>
      </c>
    </row>
    <row r="14" spans="1:17" ht="15" customHeight="1">
      <c r="A14" s="1" t="s">
        <v>698</v>
      </c>
      <c r="B14" s="159">
        <f>+GETPIVOTDATA("Sum of Old-Total Undg SCH FTE",'FTE Pivot for regular counts'!$A$2,"State","FL","Category",1,"Category2","Four-Year")</f>
        <v>0</v>
      </c>
      <c r="C14" s="160">
        <f>+GETPIVOTDATA("Sum of Old-HS % of Total",'Pivot-HS Student % of Undergrad'!$A$3,"State","FL","Category",1,"Category2","Four-Year")</f>
        <v>0</v>
      </c>
      <c r="D14" s="148">
        <f>+GETPIVOTDATA("Sum of Old-Total Undg SCH FTE",'FTE Pivot for regular counts'!$A$2,"State","FL","Category",2,"Category2","Four-Year")</f>
        <v>0</v>
      </c>
      <c r="E14" s="160">
        <f>+GETPIVOTDATA("Sum of Old-HS % of Total",'Pivot-HS Student % of Undergrad'!$A$3,"State","FL","Category",2,"Category2","Four-Year")</f>
        <v>0</v>
      </c>
      <c r="F14" s="148">
        <f>+GETPIVOTDATA("Sum of Old-Total Undg SCH FTE",'FTE Pivot for regular counts'!$A$2,"State","FL","Category",3,"Category2","Four-Year")</f>
        <v>0</v>
      </c>
      <c r="G14" s="160">
        <f>+GETPIVOTDATA("Sum of Old-HS % of Total",'Pivot-HS Student % of Undergrad'!$A$3,"State","FL","Category",3,"Category2","Four-Year")</f>
        <v>0</v>
      </c>
      <c r="H14" s="148">
        <f>+GETPIVOTDATA("Sum of Old-Total Undg SCH FTE",'FTE Pivot for regular counts'!$A$2,"State","FL","Category",4,"Category2","Four-Year")</f>
        <v>0</v>
      </c>
      <c r="I14" s="160">
        <f>+GETPIVOTDATA("Sum of Old-HS % of Total",'Pivot-HS Student % of Undergrad'!$A$3,"State","FL","Category",4,"Category2","Four-Year")</f>
        <v>0</v>
      </c>
      <c r="J14" s="148">
        <f>+GETPIVOTDATA("Sum of Old-Total Undg SCH FTE",'FTE Pivot for regular counts'!$A$2,"State","FL","Category",5,"Category2","Four-Year")</f>
        <v>0</v>
      </c>
      <c r="K14" s="160">
        <f>+GETPIVOTDATA("Sum of Old-HS % of Total",'Pivot-HS Student % of Undergrad'!$A$3,"State","FL","Category",5,"Category2","Four-Year")</f>
        <v>0</v>
      </c>
      <c r="L14" s="148">
        <f>+GETPIVOTDATA("Sum of Old-Total Undg SCH FTE",'FTE Pivot for regular counts'!$A$2,"State","FL","Category",6,"Category2","Four-Year")</f>
        <v>0</v>
      </c>
      <c r="M14" s="160">
        <f>+GETPIVOTDATA("Sum of Old-HS % of Total",'Pivot-HS Student % of Undergrad'!$A$3,"State","FL","Category",6,"Category2","Four-Year")</f>
        <v>0</v>
      </c>
      <c r="N14" s="148">
        <f>+GETPIVOTDATA("Sum of Old-Total Undg SCH FTE",'FTE Pivot for regular counts'!$A$2,"State","FL","Category2","Four-Year")</f>
        <v>0</v>
      </c>
      <c r="O14" s="160">
        <f>+GETPIVOTDATA("Sum of Old-HS % of Total",'Pivot-HS Student % of Undergrad'!$A$3,"State","FL","Category2","Group1")</f>
        <v>0</v>
      </c>
    </row>
    <row r="15" spans="1:17" ht="15" customHeight="1">
      <c r="B15" s="159"/>
      <c r="C15" s="160"/>
      <c r="D15" s="148"/>
      <c r="E15" s="160"/>
      <c r="F15" s="148"/>
      <c r="G15" s="160"/>
      <c r="H15" s="148"/>
      <c r="I15" s="160"/>
      <c r="J15" s="148"/>
      <c r="K15" s="160"/>
      <c r="L15" s="148"/>
      <c r="M15" s="160"/>
      <c r="N15" s="148"/>
      <c r="O15" s="160"/>
    </row>
    <row r="16" spans="1:17" ht="15" customHeight="1">
      <c r="A16" s="1" t="s">
        <v>699</v>
      </c>
      <c r="B16" s="159">
        <f>+GETPIVOTDATA("Sum of Old-Total Undg SCH FTE",'FTE Pivot for regular counts'!$A$2,"State","GA","Category",1,"Category2","Four-Year")</f>
        <v>67872.183333333334</v>
      </c>
      <c r="C16" s="160">
        <f>+GETPIVOTDATA("Sum of Old-HS % of Total",'Pivot-HS Student % of Undergrad'!$A$3,"State","GA","Category",1,"Category2","Four-Year")</f>
        <v>1.4696005801100157E-2</v>
      </c>
      <c r="D16" s="148">
        <f>+GETPIVOTDATA("Sum of Old-Total Undg SCH FTE",'FTE Pivot for regular counts'!$A$2,"State","GA","Category",2,"Category2","Four-Year")</f>
        <v>16065.665666666666</v>
      </c>
      <c r="E16" s="160">
        <f>+GETPIVOTDATA("Sum of Old-HS % of Total",'Pivot-HS Student % of Undergrad'!$A$3,"State","GA","Category",2,"Category2","Four-Year")</f>
        <v>9.9674259788426235E-3</v>
      </c>
      <c r="F16" s="148">
        <f>+GETPIVOTDATA("Sum of Old-Total Undg SCH FTE",'FTE Pivot for regular counts'!$A$2,"State","GA","Category",3,"Category2","Four-Year")</f>
        <v>71271.733333333337</v>
      </c>
      <c r="G16" s="160">
        <f>+GETPIVOTDATA("Sum of Old-HS % of Total",'Pivot-HS Student % of Undergrad'!$A$3,"State","GA","Category",3,"Category2","Four-Year")</f>
        <v>1.9212385274760633E-2</v>
      </c>
      <c r="H16" s="148">
        <f>+GETPIVOTDATA("Sum of Old-Total Undg SCH FTE",'FTE Pivot for regular counts'!$A$2,"State","GA","Category",4,"Category2","Four-Year")</f>
        <v>44653.4</v>
      </c>
      <c r="I16" s="160">
        <f>+GETPIVOTDATA("Sum of Old-HS % of Total",'Pivot-HS Student % of Undergrad'!$A$3,"State","GA","Category",4,"Category2","Four-Year")</f>
        <v>4.0535920370378661E-2</v>
      </c>
      <c r="J16" s="148">
        <f>+GETPIVOTDATA("Sum of Old-Total Undg SCH FTE",'FTE Pivot for regular counts'!$A$2,"State","GA","Category",5,"Category2","Four-Year")</f>
        <v>11939.933333333334</v>
      </c>
      <c r="K16" s="160">
        <f>+GETPIVOTDATA("Sum of Old-HS % of Total",'Pivot-HS Student % of Undergrad'!$A$3,"State","GA","Category",5,"Category2","Four-Year")</f>
        <v>2.7250291738088989E-2</v>
      </c>
      <c r="L16" s="148">
        <f>+GETPIVOTDATA("Sum of Old-Total Undg SCH FTE",'FTE Pivot for regular counts'!$A$2,"State","GA","Category",6,"Category2","Four-Year")</f>
        <v>22397.8</v>
      </c>
      <c r="M16" s="160">
        <f>+GETPIVOTDATA("Sum of Old-HS % of Total",'Pivot-HS Student % of Undergrad'!$A$3,"State","GA","Category",6,"Category2","Four-Year")</f>
        <v>5.1057097869731255E-2</v>
      </c>
      <c r="N16" s="148">
        <f>+GETPIVOTDATA("Sum of Old-Total Undg SCH FTE",'FTE Pivot for regular counts'!$A$2,"State","GA","Category2","Four-Year")</f>
        <v>234200.71566666663</v>
      </c>
      <c r="O16" s="160">
        <f>+GETPIVOTDATA("Sum of Old-HS % of Total",'Pivot-HS Student % of Undergrad'!$A$3,"State","GA","Category2","Group1")</f>
        <v>2.4790203210124834E-2</v>
      </c>
    </row>
    <row r="17" spans="1:15" ht="15" customHeight="1">
      <c r="A17" s="1" t="s">
        <v>700</v>
      </c>
      <c r="B17" s="159">
        <f>+GETPIVOTDATA("Sum of Old-Total Undg SCH FTE",'FTE Pivot for regular counts'!$A$2,"State","KY","Category",1,"Category2","Four-Year")</f>
        <v>33094.866666666669</v>
      </c>
      <c r="C17" s="160">
        <f>+GETPIVOTDATA("Sum of Old-HS % of Total",'Pivot-HS Student % of Undergrad'!$A$3,"State","KY","Category",1,"Category2","Four-Year")</f>
        <v>8.4776491016733714E-3</v>
      </c>
      <c r="D17" s="148">
        <f>+GETPIVOTDATA("Sum of Old-Total Undg SCH FTE",'FTE Pivot for regular counts'!$A$2,"State","KY","Category",2,"Category2","Four-Year")</f>
        <v>0</v>
      </c>
      <c r="E17" s="160">
        <f>+GETPIVOTDATA("Sum of Old-HS % of Total",'Pivot-HS Student % of Undergrad'!$A$3,"State","KY","Category",2,"Category2","Four-Year")</f>
        <v>0</v>
      </c>
      <c r="F17" s="148">
        <f>+GETPIVOTDATA("Sum of Old-Total Undg SCH FTE",'FTE Pivot for regular counts'!$A$2,"State","KY","Category",3,"Category2","Four-Year")</f>
        <v>45346.5</v>
      </c>
      <c r="G17" s="160">
        <f>+GETPIVOTDATA("Sum of Old-HS % of Total",'Pivot-HS Student % of Undergrad'!$A$3,"State","KY","Category",3,"Category2","Four-Year")</f>
        <v>5.6826142407168503E-2</v>
      </c>
      <c r="H17" s="148">
        <f>+GETPIVOTDATA("Sum of Old-Total Undg SCH FTE",'FTE Pivot for regular counts'!$A$2,"State","KY","Category",4,"Category2","Four-Year")</f>
        <v>1653.7666666666667</v>
      </c>
      <c r="I17" s="160">
        <f>+GETPIVOTDATA("Sum of Old-HS % of Total",'Pivot-HS Student % of Undergrad'!$A$3,"State","KY","Category",4,"Category2","Four-Year")</f>
        <v>0.13317074153951586</v>
      </c>
      <c r="J17" s="148">
        <f>+GETPIVOTDATA("Sum of Old-Total Undg SCH FTE",'FTE Pivot for regular counts'!$A$2,"State","KY","Category",5,"Category2","Four-Year")</f>
        <v>0</v>
      </c>
      <c r="K17" s="160">
        <f>+GETPIVOTDATA("Sum of Old-HS % of Total",'Pivot-HS Student % of Undergrad'!$A$3,"State","KY","Category",5,"Category2","Four-Year")</f>
        <v>0</v>
      </c>
      <c r="L17" s="148">
        <f>+GETPIVOTDATA("Sum of Old-Total Undg SCH FTE",'FTE Pivot for regular counts'!$A$2,"State","KY","Category",6,"Category2","Four-Year")</f>
        <v>0</v>
      </c>
      <c r="M17" s="160">
        <f>+GETPIVOTDATA("Sum of Old-HS % of Total",'Pivot-HS Student % of Undergrad'!$A$3,"State","KY","Category",6,"Category2","Four-Year")</f>
        <v>0</v>
      </c>
      <c r="N17" s="148">
        <f>+GETPIVOTDATA("Sum of Old-Total Undg SCH FTE",'FTE Pivot for regular counts'!$A$2,"State","KY","Category2","Four-Year")</f>
        <v>80095.133333333331</v>
      </c>
      <c r="O17" s="160">
        <f>+GETPIVOTDATA("Sum of Old-HS % of Total",'Pivot-HS Student % of Undergrad'!$A$3,"State","KY","Category2","Group1")</f>
        <v>3.8425139438351227E-2</v>
      </c>
    </row>
    <row r="18" spans="1:15" ht="15" customHeight="1">
      <c r="A18" s="1" t="s">
        <v>701</v>
      </c>
      <c r="B18" s="159">
        <f>+GETPIVOTDATA("Sum of Old-Total Undg SCH FTE",'FTE Pivot for regular counts'!$A$2,"State","LA","Category",1,"Category2","Four-Year")</f>
        <v>24845.433333333334</v>
      </c>
      <c r="C18" s="160">
        <f>+GETPIVOTDATA("Sum of Old-HS % of Total",'Pivot-HS Student % of Undergrad'!$A$3,"State","LA","Category",1,"Category2","Four-Year")</f>
        <v>2.4217730152959027E-2</v>
      </c>
      <c r="D18" s="148">
        <f>+GETPIVOTDATA("Sum of Old-Total Undg SCH FTE",'FTE Pivot for regular counts'!$A$2,"State","LA","Category",2,"Category2","Four-Year")</f>
        <v>26514.566666666666</v>
      </c>
      <c r="E18" s="160">
        <f>+GETPIVOTDATA("Sum of Old-HS % of Total",'Pivot-HS Student % of Undergrad'!$A$3,"State","LA","Category",2,"Category2","Four-Year")</f>
        <v>3.7275107896665605E-2</v>
      </c>
      <c r="F18" s="148">
        <f>+GETPIVOTDATA("Sum of Old-Total Undg SCH FTE",'FTE Pivot for regular counts'!$A$2,"State","LA","Category",3,"Category2","Four-Year")</f>
        <v>27991.866666666661</v>
      </c>
      <c r="G18" s="160">
        <f>+GETPIVOTDATA("Sum of Old-HS % of Total",'Pivot-HS Student % of Undergrad'!$A$3,"State","LA","Category",3,"Category2","Four-Year")</f>
        <v>5.7972792096751914E-2</v>
      </c>
      <c r="H18" s="148">
        <f>+GETPIVOTDATA("Sum of Old-Total Undg SCH FTE",'FTE Pivot for regular counts'!$A$2,"State","LA","Category",4,"Category2","Four-Year")</f>
        <v>19565.833333333332</v>
      </c>
      <c r="I18" s="160">
        <f>+GETPIVOTDATA("Sum of Old-HS % of Total",'Pivot-HS Student % of Undergrad'!$A$3,"State","LA","Category",4,"Category2","Four-Year")</f>
        <v>4.5301759018697561E-2</v>
      </c>
      <c r="J18" s="148">
        <f>+GETPIVOTDATA("Sum of Old-Total Undg SCH FTE",'FTE Pivot for regular counts'!$A$2,"State","LA","Category",5,"Category2","Four-Year")</f>
        <v>1386.5333333333333</v>
      </c>
      <c r="K18" s="160">
        <f>+GETPIVOTDATA("Sum of Old-HS % of Total",'Pivot-HS Student % of Undergrad'!$A$3,"State","LA","Category",5,"Category2","Four-Year")</f>
        <v>6.3515722665640928E-2</v>
      </c>
      <c r="L18" s="148">
        <f>+GETPIVOTDATA("Sum of Old-Total Undg SCH FTE",'FTE Pivot for regular counts'!$A$2,"State","LA","Category",6,"Category2","Four-Year")</f>
        <v>2683.3333333333335</v>
      </c>
      <c r="M18" s="160">
        <f>+GETPIVOTDATA("Sum of Old-HS % of Total",'Pivot-HS Student % of Undergrad'!$A$3,"State","LA","Category",6,"Category2","Four-Year")</f>
        <v>7.0099378881987584E-2</v>
      </c>
      <c r="N18" s="148">
        <f>+GETPIVOTDATA("Sum of Old-Total Undg SCH FTE",'FTE Pivot for regular counts'!$A$2,"State","LA","Category2","Four-Year")</f>
        <v>102987.56666666667</v>
      </c>
      <c r="O18" s="160">
        <f>+GETPIVOTDATA("Sum of Old-HS % of Total",'Pivot-HS Student % of Undergrad'!$A$3,"State","LA","Category2","Group1")</f>
        <v>4.2484092739997419E-2</v>
      </c>
    </row>
    <row r="19" spans="1:15" ht="15" customHeight="1">
      <c r="A19" s="1" t="s">
        <v>702</v>
      </c>
      <c r="B19" s="159">
        <f>+GETPIVOTDATA("Sum of Old-Total Undg SCH FTE",'FTE Pivot for regular counts'!$A$2,"State","MD","Category",1,"Category2","Four-Year")</f>
        <v>29434.866666666665</v>
      </c>
      <c r="C19" s="160">
        <f>+GETPIVOTDATA("Sum of Old-HS % of Total",'Pivot-HS Student % of Undergrad'!$A$3,"State","MD","Category",1,"Category2","Four-Year")</f>
        <v>0</v>
      </c>
      <c r="D19" s="148">
        <f>+GETPIVOTDATA("Sum of Old-Total Undg SCH FTE",'FTE Pivot for regular counts'!$A$2,"State","MD","Category",2,"Category2","Four-Year")</f>
        <v>16543.783333333333</v>
      </c>
      <c r="E19" s="160">
        <f>+GETPIVOTDATA("Sum of Old-HS % of Total",'Pivot-HS Student % of Undergrad'!$A$3,"State","MD","Category",2,"Category2","Four-Year")</f>
        <v>0</v>
      </c>
      <c r="F19" s="148">
        <f>+GETPIVOTDATA("Sum of Old-Total Undg SCH FTE",'FTE Pivot for regular counts'!$A$2,"State","MD","Category",3,"Category2","Four-Year")</f>
        <v>19349.833333333336</v>
      </c>
      <c r="G19" s="160">
        <f>+GETPIVOTDATA("Sum of Old-HS % of Total",'Pivot-HS Student % of Undergrad'!$A$3,"State","MD","Category",3,"Category2","Four-Year")</f>
        <v>0</v>
      </c>
      <c r="H19" s="148">
        <f>+GETPIVOTDATA("Sum of Old-Total Undg SCH FTE",'FTE Pivot for regular counts'!$A$2,"State","MD","Category",4,"Category2","Four-Year")</f>
        <v>17962.566666666666</v>
      </c>
      <c r="I19" s="160">
        <f>+GETPIVOTDATA("Sum of Old-HS % of Total",'Pivot-HS Student % of Undergrad'!$A$3,"State","MD","Category",4,"Category2","Four-Year")</f>
        <v>0</v>
      </c>
      <c r="J19" s="148">
        <f>+GETPIVOTDATA("Sum of Old-Total Undg SCH FTE",'FTE Pivot for regular counts'!$A$2,"State","MD","Category",5,"Category2","Four-Year")</f>
        <v>1872.7</v>
      </c>
      <c r="K19" s="160">
        <f>+GETPIVOTDATA("Sum of Old-HS % of Total",'Pivot-HS Student % of Undergrad'!$A$3,"State","MD","Category",5,"Category2","Four-Year")</f>
        <v>0</v>
      </c>
      <c r="L19" s="148">
        <f>+GETPIVOTDATA("Sum of Old-Total Undg SCH FTE",'FTE Pivot for regular counts'!$A$2,"State","MD","Category",6,"Category2","Four-Year")</f>
        <v>1547.05</v>
      </c>
      <c r="M19" s="160">
        <f>+GETPIVOTDATA("Sum of Old-HS % of Total",'Pivot-HS Student % of Undergrad'!$A$3,"State","MD","Category",6,"Category2","Four-Year")</f>
        <v>0</v>
      </c>
      <c r="N19" s="148">
        <f>+GETPIVOTDATA("Sum of Old-Total Undg SCH FTE",'FTE Pivot for regular counts'!$A$2,"State","MD","Category2","Four-Year")</f>
        <v>86710.799999999988</v>
      </c>
      <c r="O19" s="160">
        <f>+GETPIVOTDATA("Sum of Old-HS % of Total",'Pivot-HS Student % of Undergrad'!$A$3,"State","MD","Category2","Group1")</f>
        <v>0</v>
      </c>
    </row>
    <row r="20" spans="1:15" ht="15" customHeight="1">
      <c r="B20" s="159"/>
      <c r="C20" s="160"/>
      <c r="D20" s="148"/>
      <c r="E20" s="160"/>
      <c r="F20" s="148"/>
      <c r="G20" s="160"/>
      <c r="H20" s="148"/>
      <c r="I20" s="160"/>
      <c r="J20" s="148"/>
      <c r="K20" s="160"/>
      <c r="L20" s="148"/>
      <c r="M20" s="160"/>
      <c r="N20" s="148"/>
      <c r="O20" s="160"/>
    </row>
    <row r="21" spans="1:15" ht="15" customHeight="1">
      <c r="A21" s="1" t="s">
        <v>703</v>
      </c>
      <c r="B21" s="159">
        <f>+GETPIVOTDATA("Sum of Old-Total Undg SCH FTE",'FTE Pivot for regular counts'!$A$2,"State","MS","Category",1,"Category2","Four-Year")</f>
        <v>46052.733333333337</v>
      </c>
      <c r="C21" s="160">
        <f>+GETPIVOTDATA("Sum of Old-HS % of Total",'Pivot-HS Student % of Undergrad'!$A$3,"State","MS","Category",1,"Category2","Four-Year")</f>
        <v>0</v>
      </c>
      <c r="D21" s="148">
        <f>+GETPIVOTDATA("Sum of Old-Total Undg SCH FTE",'FTE Pivot for regular counts'!$A$2,"State","MS","Category",2,"Category2","Four-Year")</f>
        <v>4409.6166666666668</v>
      </c>
      <c r="E21" s="160">
        <f>+GETPIVOTDATA("Sum of Old-HS % of Total",'Pivot-HS Student % of Undergrad'!$A$3,"State","MS","Category",2,"Category2","Four-Year")</f>
        <v>0</v>
      </c>
      <c r="F21" s="148">
        <f>+GETPIVOTDATA("Sum of Old-Total Undg SCH FTE",'FTE Pivot for regular counts'!$A$2,"State","MS","Category",3,"Category2","Four-Year")</f>
        <v>0</v>
      </c>
      <c r="G21" s="160">
        <f>+GETPIVOTDATA("Sum of Old-HS % of Total",'Pivot-HS Student % of Undergrad'!$A$3,"State","MS","Category",3,"Category2","Four-Year")</f>
        <v>0</v>
      </c>
      <c r="H21" s="148">
        <f>+GETPIVOTDATA("Sum of Old-Total Undg SCH FTE",'FTE Pivot for regular counts'!$A$2,"State","MS","Category",4,"Category2","Four-Year")</f>
        <v>8769.2000000000007</v>
      </c>
      <c r="I21" s="160">
        <f>+GETPIVOTDATA("Sum of Old-HS % of Total",'Pivot-HS Student % of Undergrad'!$A$3,"State","MS","Category",4,"Category2","Four-Year")</f>
        <v>0</v>
      </c>
      <c r="J21" s="148">
        <f>+GETPIVOTDATA("Sum of Old-Total Undg SCH FTE",'FTE Pivot for regular counts'!$A$2,"State","MS","Category",5,"Category2","Four-Year")</f>
        <v>0</v>
      </c>
      <c r="K21" s="160">
        <f>+GETPIVOTDATA("Sum of Old-HS % of Total",'Pivot-HS Student % of Undergrad'!$A$3,"State","MS","Category",5,"Category2","Four-Year")</f>
        <v>0</v>
      </c>
      <c r="L21" s="148">
        <f>+GETPIVOTDATA("Sum of Old-Total Undg SCH FTE",'FTE Pivot for regular counts'!$A$2,"State","MS","Category",6,"Category2","Four-Year")</f>
        <v>0</v>
      </c>
      <c r="M21" s="160">
        <f>+GETPIVOTDATA("Sum of Old-HS % of Total",'Pivot-HS Student % of Undergrad'!$A$3,"State","MS","Category",6,"Category2","Four-Year")</f>
        <v>0</v>
      </c>
      <c r="N21" s="148">
        <f>+GETPIVOTDATA("Sum of Old-Total Undg SCH FTE",'FTE Pivot for regular counts'!$A$2,"State","MS","Category2","Four-Year")</f>
        <v>59231.55</v>
      </c>
      <c r="O21" s="160">
        <f>+GETPIVOTDATA("Sum of Old-HS % of Total",'Pivot-HS Student % of Undergrad'!$A$3,"State","MS","Category2","Group1")</f>
        <v>0</v>
      </c>
    </row>
    <row r="22" spans="1:15" ht="15" customHeight="1">
      <c r="A22" s="1" t="s">
        <v>704</v>
      </c>
      <c r="B22" s="159">
        <f>+GETPIVOTDATA("Sum of Old-Total Undg SCH FTE",'FTE Pivot for regular counts'!$A$2,"State","NC","Category",1,"Category2","Four-Year")</f>
        <v>81820.166666666657</v>
      </c>
      <c r="C22" s="160">
        <f>+GETPIVOTDATA("Sum of Old-HS % of Total",'Pivot-HS Student % of Undergrad'!$A$3,"State","NC","Category",1,"Category2","Four-Year")</f>
        <v>3.634393313791832E-3</v>
      </c>
      <c r="D22" s="148">
        <f>+GETPIVOTDATA("Sum of Old-Total Undg SCH FTE",'FTE Pivot for regular counts'!$A$2,"State","NC","Category",2,"Category2","Four-Year")</f>
        <v>31733.100000000002</v>
      </c>
      <c r="E22" s="160">
        <f>+GETPIVOTDATA("Sum of Old-HS % of Total",'Pivot-HS Student % of Undergrad'!$A$3,"State","NC","Category",2,"Category2","Four-Year")</f>
        <v>3.7657839921091856E-3</v>
      </c>
      <c r="F22" s="148">
        <f>+GETPIVOTDATA("Sum of Old-Total Undg SCH FTE",'FTE Pivot for regular counts'!$A$2,"State","NC","Category",3,"Category2","Four-Year")</f>
        <v>47158.23333333333</v>
      </c>
      <c r="G22" s="160">
        <f>+GETPIVOTDATA("Sum of Old-HS % of Total",'Pivot-HS Student % of Undergrad'!$A$3,"State","NC","Category",3,"Category2","Four-Year")</f>
        <v>6.3113758148983529E-3</v>
      </c>
      <c r="H22" s="148">
        <f>+GETPIVOTDATA("Sum of Old-Total Undg SCH FTE",'FTE Pivot for regular counts'!$A$2,"State","NC","Category",4,"Category2","Four-Year")</f>
        <v>5002.4333333333334</v>
      </c>
      <c r="I22" s="160">
        <f>+GETPIVOTDATA("Sum of Old-HS % of Total",'Pivot-HS Student % of Undergrad'!$A$3,"State","NC","Category",4,"Category2","Four-Year")</f>
        <v>5.2347857376076973E-2</v>
      </c>
      <c r="J22" s="148">
        <f>+GETPIVOTDATA("Sum of Old-Total Undg SCH FTE",'FTE Pivot for regular counts'!$A$2,"State","NC","Category",5,"Category2","Four-Year")</f>
        <v>10261.200000000001</v>
      </c>
      <c r="K22" s="160">
        <f>+GETPIVOTDATA("Sum of Old-HS % of Total",'Pivot-HS Student % of Undergrad'!$A$3,"State","NC","Category",5,"Category2","Four-Year")</f>
        <v>0</v>
      </c>
      <c r="L22" s="148">
        <f>+GETPIVOTDATA("Sum of Old-Total Undg SCH FTE",'FTE Pivot for regular counts'!$A$2,"State","NC","Category",6,"Category2","Four-Year")</f>
        <v>4893.6666666666661</v>
      </c>
      <c r="M22" s="160">
        <f>+GETPIVOTDATA("Sum of Old-HS % of Total",'Pivot-HS Student % of Undergrad'!$A$3,"State","NC","Category",6,"Category2","Four-Year")</f>
        <v>6.1303725904229961E-5</v>
      </c>
      <c r="N22" s="148">
        <f>+GETPIVOTDATA("Sum of Old-Total Undg SCH FTE",'FTE Pivot for regular counts'!$A$2,"State","NC","Category2","Four-Year")</f>
        <v>180868.8</v>
      </c>
      <c r="O22" s="160">
        <f>+GETPIVOTDATA("Sum of Old-HS % of Total",'Pivot-HS Student % of Undergrad'!$A$3,"State","NC","Category2","Group1")</f>
        <v>5.3998625891622364E-3</v>
      </c>
    </row>
    <row r="23" spans="1:15" ht="15" customHeight="1">
      <c r="A23" s="1" t="s">
        <v>705</v>
      </c>
      <c r="B23" s="159">
        <f>+GETPIVOTDATA("Sum of Old-Total Undg SCH FTE",'FTE Pivot for regular counts'!$A$2,"State","OK","Category",1,"Category2","Four-Year")</f>
        <v>0</v>
      </c>
      <c r="C23" s="160">
        <f>+GETPIVOTDATA("Sum of Old-HS % of Total",'Pivot-HS Student % of Undergrad'!$A$3,"State","OK","Category",1,"Category2","Four-Year")</f>
        <v>0</v>
      </c>
      <c r="D23" s="148">
        <f>+GETPIVOTDATA("Sum of Old-Total Undg SCH FTE",'FTE Pivot for regular counts'!$A$2,"State","OK","Category",2,"Category2","Four-Year")</f>
        <v>0</v>
      </c>
      <c r="E23" s="160">
        <f>+GETPIVOTDATA("Sum of Old-HS % of Total",'Pivot-HS Student % of Undergrad'!$A$3,"State","OK","Category",2,"Category2","Four-Year")</f>
        <v>0</v>
      </c>
      <c r="F23" s="148">
        <f>+GETPIVOTDATA("Sum of Old-Total Undg SCH FTE",'FTE Pivot for regular counts'!$A$2,"State","OK","Category",3,"Category2","Four-Year")</f>
        <v>0</v>
      </c>
      <c r="G23" s="160">
        <f>+GETPIVOTDATA("Sum of Old-HS % of Total",'Pivot-HS Student % of Undergrad'!$A$3,"State","OK","Category",3,"Category2","Four-Year")</f>
        <v>0</v>
      </c>
      <c r="H23" s="148">
        <f>+GETPIVOTDATA("Sum of Old-Total Undg SCH FTE",'FTE Pivot for regular counts'!$A$2,"State","OK","Category",4,"Category2","Four-Year")</f>
        <v>0</v>
      </c>
      <c r="I23" s="160">
        <f>+GETPIVOTDATA("Sum of Old-HS % of Total",'Pivot-HS Student % of Undergrad'!$A$3,"State","OK","Category",4,"Category2","Four-Year")</f>
        <v>0</v>
      </c>
      <c r="J23" s="148">
        <f>+GETPIVOTDATA("Sum of Old-Total Undg SCH FTE",'FTE Pivot for regular counts'!$A$2,"State","OK","Category",5,"Category2","Four-Year")</f>
        <v>0</v>
      </c>
      <c r="K23" s="160">
        <f>+GETPIVOTDATA("Sum of Old-HS % of Total",'Pivot-HS Student % of Undergrad'!$A$3,"State","OK","Category",5,"Category2","Four-Year")</f>
        <v>0</v>
      </c>
      <c r="L23" s="148">
        <f>+GETPIVOTDATA("Sum of Old-Total Undg SCH FTE",'FTE Pivot for regular counts'!$A$2,"State","OK","Category",6,"Category2","Four-Year")</f>
        <v>0</v>
      </c>
      <c r="M23" s="160">
        <f>+GETPIVOTDATA("Sum of Old-HS % of Total",'Pivot-HS Student % of Undergrad'!$A$3,"State","OK","Category",6,"Category2","Four-Year")</f>
        <v>0</v>
      </c>
      <c r="N23" s="148">
        <f>+GETPIVOTDATA("Sum of Old-Total Undg SCH FTE",'FTE Pivot for regular counts'!$A$2,"State","OK","Category2","Four-Year")</f>
        <v>0</v>
      </c>
      <c r="O23" s="160">
        <f>+GETPIVOTDATA("Sum of Old-HS % of Total",'Pivot-HS Student % of Undergrad'!$A$3,"State","OK","Category2","Group1")</f>
        <v>0</v>
      </c>
    </row>
    <row r="24" spans="1:15" ht="15" customHeight="1">
      <c r="A24" s="1" t="s">
        <v>706</v>
      </c>
      <c r="B24" s="159">
        <f>+GETPIVOTDATA("Sum of Old-Total Undg SCH FTE",'FTE Pivot for regular counts'!$A$2,"State","SC","Category",1,"Category2","Four-Year")</f>
        <v>48886.433333333334</v>
      </c>
      <c r="C24" s="165">
        <f>+GETPIVOTDATA("Sum of Old-HS % of Total",'Pivot-HS Student % of Undergrad'!$A$3,"State","SC","Category",1,"Category2","Four-Year")</f>
        <v>1.5273494418696938E-4</v>
      </c>
      <c r="D24" s="148">
        <f>+GETPIVOTDATA("Sum of Old-Total Undg SCH FTE",'FTE Pivot for regular counts'!$A$2,"State","SC","Category",2,"Category2","Four-Year")</f>
        <v>0</v>
      </c>
      <c r="E24" s="160">
        <f>+GETPIVOTDATA("Sum of Old-HS % of Total",'Pivot-HS Student % of Undergrad'!$A$3,"State","SC","Category",2,"Category2","Four-Year")</f>
        <v>0</v>
      </c>
      <c r="F24" s="148">
        <f>+GETPIVOTDATA("Sum of Old-Total Undg SCH FTE",'FTE Pivot for regular counts'!$A$2,"State","SC","Category",3,"Category2","Four-Year")</f>
        <v>17030.05</v>
      </c>
      <c r="G24" s="160">
        <f>+GETPIVOTDATA("Sum of Old-HS % of Total",'Pivot-HS Student % of Undergrad'!$A$3,"State","SC","Category",3,"Category2","Four-Year")</f>
        <v>3.6993432197791553E-3</v>
      </c>
      <c r="H24" s="148">
        <f>+GETPIVOTDATA("Sum of Old-Total Undg SCH FTE",'FTE Pivot for regular counts'!$A$2,"State","SC","Category",4,"Category2","Four-Year")</f>
        <v>9458.6333333333332</v>
      </c>
      <c r="I24" s="160">
        <f>+GETPIVOTDATA("Sum of Old-HS % of Total",'Pivot-HS Student % of Undergrad'!$A$3,"State","SC","Category",4,"Category2","Four-Year")</f>
        <v>9.0217402796034657E-3</v>
      </c>
      <c r="J24" s="148">
        <f>+GETPIVOTDATA("Sum of Old-Total Undg SCH FTE",'FTE Pivot for regular counts'!$A$2,"State","SC","Category",5,"Category2","Four-Year")</f>
        <v>7863.9</v>
      </c>
      <c r="K24" s="160">
        <f>+GETPIVOTDATA("Sum of Old-HS % of Total",'Pivot-HS Student % of Undergrad'!$A$3,"State","SC","Category",5,"Category2","Four-Year")</f>
        <v>2.9735033931425035E-2</v>
      </c>
      <c r="L24" s="148">
        <f>+GETPIVOTDATA("Sum of Old-Total Undg SCH FTE",'FTE Pivot for regular counts'!$A$2,"State","SC","Category",6,"Category2","Four-Year")</f>
        <v>10073.299999999999</v>
      </c>
      <c r="M24" s="160">
        <f>+GETPIVOTDATA("Sum of Old-HS % of Total",'Pivot-HS Student % of Undergrad'!$A$3,"State","SC","Category",6,"Category2","Four-Year")</f>
        <v>2.1178097875902965E-2</v>
      </c>
      <c r="N24" s="148">
        <f>+GETPIVOTDATA("Sum of Old-Total Undg SCH FTE",'FTE Pivot for regular counts'!$A$2,"State","SC","Category2","Four-Year")</f>
        <v>93312.316666666666</v>
      </c>
      <c r="O24" s="160">
        <f>+GETPIVOTDATA("Sum of Old-HS % of Total",'Pivot-HS Student % of Undergrad'!$A$3,"State","SC","Category2","Group1")</f>
        <v>6.4618122044981918E-3</v>
      </c>
    </row>
    <row r="25" spans="1:15" ht="15" customHeight="1">
      <c r="B25" s="159"/>
      <c r="C25" s="165"/>
      <c r="D25" s="148"/>
      <c r="E25" s="160"/>
      <c r="F25" s="148"/>
      <c r="G25" s="160"/>
      <c r="H25" s="148"/>
      <c r="I25" s="160"/>
      <c r="J25" s="148"/>
      <c r="K25" s="160"/>
      <c r="L25" s="148"/>
      <c r="M25" s="160"/>
      <c r="N25" s="148"/>
      <c r="O25" s="160"/>
    </row>
    <row r="26" spans="1:15">
      <c r="A26" s="1" t="s">
        <v>707</v>
      </c>
      <c r="B26" s="159">
        <f>+GETPIVOTDATA("Sum of Old-Total Undg SCH FTE",'FTE Pivot for regular counts'!$A$2,"State","TN","Category",1,"Category2","Four-Year")</f>
        <v>36821.983333333337</v>
      </c>
      <c r="C26" s="160">
        <f>+GETPIVOTDATA("Sum of Old-HS % of Total",'Pivot-HS Student % of Undergrad'!$A$3,"State","TN","Category",1,"Category2","Four-Year")</f>
        <v>1.2947881224938545E-2</v>
      </c>
      <c r="D26" s="148">
        <f>+GETPIVOTDATA("Sum of Old-Total Undg SCH FTE",'FTE Pivot for regular counts'!$A$2,"State","TN","Category",2,"Category2","Four-Year")</f>
        <v>32332.133333333331</v>
      </c>
      <c r="E26" s="160">
        <f>+GETPIVOTDATA("Sum of Old-HS % of Total",'Pivot-HS Student % of Undergrad'!$A$3,"State","TN","Category",2,"Category2","Four-Year")</f>
        <v>1.5504699143473365E-2</v>
      </c>
      <c r="F26" s="148">
        <f>+GETPIVOTDATA("Sum of Old-Total Undg SCH FTE",'FTE Pivot for regular counts'!$A$2,"State","TN","Category",3,"Category2","Four-Year")</f>
        <v>25724.833333333336</v>
      </c>
      <c r="G26" s="160">
        <f>+GETPIVOTDATA("Sum of Old-HS % of Total",'Pivot-HS Student % of Undergrad'!$A$3,"State","TN","Category",3,"Category2","Four-Year")</f>
        <v>1.52809542011934E-2</v>
      </c>
      <c r="H26" s="148">
        <f>+GETPIVOTDATA("Sum of Old-Total Undg SCH FTE",'FTE Pivot for regular counts'!$A$2,"State","TN","Category",4,"Category2","Four-Year")</f>
        <v>5384.3</v>
      </c>
      <c r="I26" s="160">
        <f>+GETPIVOTDATA("Sum of Old-HS % of Total",'Pivot-HS Student % of Undergrad'!$A$3,"State","TN","Category",4,"Category2","Four-Year")</f>
        <v>5.9184418896916342E-2</v>
      </c>
      <c r="J26" s="148">
        <f>+GETPIVOTDATA("Sum of Old-Total Undg SCH FTE",'FTE Pivot for regular counts'!$A$2,"State","TN","Category",5,"Category2","Four-Year")</f>
        <v>0</v>
      </c>
      <c r="K26" s="160">
        <f>+GETPIVOTDATA("Sum of Old-HS % of Total",'Pivot-HS Student % of Undergrad'!$A$3,"State","TN","Category",5,"Category2","Four-Year")</f>
        <v>0</v>
      </c>
      <c r="L26" s="148">
        <f>+GETPIVOTDATA("Sum of Old-Total Undg SCH FTE",'FTE Pivot for regular counts'!$A$2,"State","TN","Category",6,"Category2","Four-Year")</f>
        <v>0</v>
      </c>
      <c r="M26" s="160">
        <f>+GETPIVOTDATA("Sum of Old-HS % of Total",'Pivot-HS Student % of Undergrad'!$A$3,"State","TN","Category",6,"Category2","Four-Year")</f>
        <v>0</v>
      </c>
      <c r="N26" s="148">
        <f>+GETPIVOTDATA("Sum of Old-Total Undg SCH FTE",'FTE Pivot for regular counts'!$A$2,"State","TN","Category2","Four-Year")</f>
        <v>100263.25000000001</v>
      </c>
      <c r="O26" s="160">
        <f>+GETPIVOTDATA("Sum of Old-HS % of Total",'Pivot-HS Student % of Undergrad'!$A$3,"State","TN","Category2","Group1")</f>
        <v>1.6853965269760688E-2</v>
      </c>
    </row>
    <row r="27" spans="1:15" ht="15" customHeight="1">
      <c r="A27" s="1" t="s">
        <v>708</v>
      </c>
      <c r="B27" s="159">
        <f>+GETPIVOTDATA("Sum of Old-Total Undg SCH FTE",'FTE Pivot for regular counts'!$A$2,"State","TX","Category",1,"Category2","Four-Year")</f>
        <v>246060.76666666663</v>
      </c>
      <c r="C27" s="165">
        <f>+GETPIVOTDATA("Sum of Old-HS % of Total",'Pivot-HS Student % of Undergrad'!$A$3,"State","TX","Category",1,"Category2","Four-Year")</f>
        <v>8.5439599405187584E-4</v>
      </c>
      <c r="D27" s="148">
        <f>+GETPIVOTDATA("Sum of Old-Total Undg SCH FTE",'FTE Pivot for regular counts'!$A$2,"State","TX","Category",2,"Category2","Four-Year")</f>
        <v>54374.600000000006</v>
      </c>
      <c r="E27" s="160">
        <f>+GETPIVOTDATA("Sum of Old-HS % of Total",'Pivot-HS Student % of Undergrad'!$A$3,"State","TX","Category",2,"Category2","Four-Year")</f>
        <v>7.5470286984486625E-3</v>
      </c>
      <c r="F27" s="148">
        <f>+GETPIVOTDATA("Sum of Old-Total Undg SCH FTE",'FTE Pivot for regular counts'!$A$2,"State","TX","Category",3,"Category2","Four-Year")</f>
        <v>137657.20000000001</v>
      </c>
      <c r="G27" s="160">
        <f>+GETPIVOTDATA("Sum of Old-HS % of Total",'Pivot-HS Student % of Undergrad'!$A$3,"State","TX","Category",3,"Category2","Four-Year")</f>
        <v>2.431111485632426E-2</v>
      </c>
      <c r="H27" s="148">
        <f>+GETPIVOTDATA("Sum of Old-Total Undg SCH FTE",'FTE Pivot for regular counts'!$A$2,"State","TX","Category",4,"Category2","Four-Year")</f>
        <v>20899.633333333335</v>
      </c>
      <c r="I27" s="165">
        <f>+GETPIVOTDATA("Sum of Old-HS % of Total",'Pivot-HS Student % of Undergrad'!$A$3,"State","TX","Category",4,"Category2","Four-Year")</f>
        <v>1.2504206612875186E-3</v>
      </c>
      <c r="J27" s="148">
        <f>+GETPIVOTDATA("Sum of Old-Total Undg SCH FTE",'FTE Pivot for regular counts'!$A$2,"State","TX","Category",5,"Category2","Four-Year")</f>
        <v>2163.2333333333331</v>
      </c>
      <c r="K27" s="160">
        <f>+GETPIVOTDATA("Sum of Old-HS % of Total",'Pivot-HS Student % of Undergrad'!$A$3,"State","TX","Category",5,"Category2","Four-Year")</f>
        <v>0</v>
      </c>
      <c r="L27" s="148">
        <f>+GETPIVOTDATA("Sum of Old-Total Undg SCH FTE",'FTE Pivot for regular counts'!$A$2,"State","TX","Category",6,"Category2","Four-Year")</f>
        <v>0</v>
      </c>
      <c r="M27" s="160">
        <f>+GETPIVOTDATA("Sum of Old-HS % of Total",'Pivot-HS Student % of Undergrad'!$A$3,"State","TX","Category",6,"Category2","Four-Year")</f>
        <v>0</v>
      </c>
      <c r="N27" s="148">
        <f>+GETPIVOTDATA("Sum of Old-Total Undg SCH FTE",'FTE Pivot for regular counts'!$A$2,"State","TX","Category2","Four-Year")</f>
        <v>461155.43333333335</v>
      </c>
      <c r="O27" s="160">
        <f>+GETPIVOTDATA("Sum of Old-HS % of Total",'Pivot-HS Student % of Undergrad'!$A$3,"State","TX","Category2","Group1")</f>
        <v>8.6594086173259147E-3</v>
      </c>
    </row>
    <row r="28" spans="1:15" ht="15" customHeight="1">
      <c r="A28" s="1" t="s">
        <v>709</v>
      </c>
      <c r="B28" s="159">
        <f>+GETPIVOTDATA("Sum of Old-Total Undg SCH FTE",'FTE Pivot for regular counts'!$A$2,"State","VA","Category",1,"Category2","Four-Year")</f>
        <v>110592.53333333334</v>
      </c>
      <c r="C28" s="160">
        <f>+GETPIVOTDATA("Sum of Old-HS % of Total",'Pivot-HS Student % of Undergrad'!$A$3,"State","VA","Category",1,"Category2","Four-Year")</f>
        <v>5.5380471737694163E-3</v>
      </c>
      <c r="D28" s="148">
        <f>+GETPIVOTDATA("Sum of Old-Total Undg SCH FTE",'FTE Pivot for regular counts'!$A$2,"State","VA","Category",2,"Category2","Four-Year")</f>
        <v>6086.6766666666663</v>
      </c>
      <c r="E28" s="160">
        <f>+GETPIVOTDATA("Sum of Old-HS % of Total",'Pivot-HS Student % of Undergrad'!$A$3,"State","VA","Category",2,"Category2","Four-Year")</f>
        <v>0</v>
      </c>
      <c r="F28" s="148">
        <f>+GETPIVOTDATA("Sum of Old-Total Undg SCH FTE",'FTE Pivot for regular counts'!$A$2,"State","VA","Category",3,"Category2","Four-Year")</f>
        <v>30750.799999999999</v>
      </c>
      <c r="G28" s="160">
        <f>+GETPIVOTDATA("Sum of Old-HS % of Total",'Pivot-HS Student % of Undergrad'!$A$3,"State","VA","Category",3,"Category2","Four-Year")</f>
        <v>3.2497799515242964E-3</v>
      </c>
      <c r="H28" s="148">
        <f>+GETPIVOTDATA("Sum of Old-Total Undg SCH FTE",'FTE Pivot for regular counts'!$A$2,"State","VA","Category",4,"Category2","Four-Year")</f>
        <v>4560.0666666666666</v>
      </c>
      <c r="I28" s="165">
        <f>+GETPIVOTDATA("Sum of Old-HS % of Total",'Pivot-HS Student % of Undergrad'!$A$3,"State","VA","Category",4,"Category2","Four-Year")</f>
        <v>7.7484247306325933E-4</v>
      </c>
      <c r="J28" s="148">
        <f>+GETPIVOTDATA("Sum of Old-Total Undg SCH FTE",'FTE Pivot for regular counts'!$A$2,"State","VA","Category",5,"Category2","Four-Year")</f>
        <v>12135.466666666667</v>
      </c>
      <c r="K28" s="165">
        <f>+GETPIVOTDATA("Sum of Old-HS % of Total",'Pivot-HS Student % of Undergrad'!$A$3,"State","VA","Category",5,"Category2","Four-Year")</f>
        <v>1.0833260086138701E-2</v>
      </c>
      <c r="L28" s="148">
        <f>+GETPIVOTDATA("Sum of Old-Total Undg SCH FTE",'FTE Pivot for regular counts'!$A$2,"State","VA","Category",6,"Category2","Four-Year")</f>
        <v>1527.3666666666666</v>
      </c>
      <c r="M28" s="165">
        <f>+GETPIVOTDATA("Sum of Old-HS % of Total",'Pivot-HS Student % of Undergrad'!$A$3,"State","VA","Category",6,"Category2","Four-Year")</f>
        <v>0</v>
      </c>
      <c r="N28" s="148">
        <f>+GETPIVOTDATA("Sum of Old-Total Undg SCH FTE",'FTE Pivot for regular counts'!$A$2,"State","VA","Category2","Four-Year")</f>
        <v>165652.91000000003</v>
      </c>
      <c r="O28" s="160">
        <f>+GETPIVOTDATA("Sum of Old-HS % of Total",'Pivot-HS Student % of Undergrad'!$A$3,"State","VA","Category2","Group1")</f>
        <v>5.1155153265946248E-3</v>
      </c>
    </row>
    <row r="29" spans="1:15" ht="15" customHeight="1">
      <c r="A29" s="166" t="s">
        <v>710</v>
      </c>
      <c r="B29" s="167">
        <f>+GETPIVOTDATA("Sum of Old-Total Undg SCH FTE",'FTE Pivot for regular counts'!$A$2,"State","WV","Category",1,"Category2","Four-Year")</f>
        <v>19871.566666666666</v>
      </c>
      <c r="C29" s="168">
        <f>+GETPIVOTDATA("Sum of Old-HS % of Total",'Pivot-HS Student % of Undergrad'!$A$3,"State","WV","Category",1,"Category2","Four-Year")</f>
        <v>1.0423603574286207E-2</v>
      </c>
      <c r="D29" s="169">
        <f>+GETPIVOTDATA("Sum of Old-Total Undg SCH FTE",'FTE Pivot for regular counts'!$A$2,"State","WV","Category",2,"Category2","Four-Year")</f>
        <v>0</v>
      </c>
      <c r="E29" s="168">
        <f>+GETPIVOTDATA("Sum of Old-HS % of Total",'Pivot-HS Student % of Undergrad'!$A$3,"State","WV","Category",2,"Category2","Four-Year")</f>
        <v>0</v>
      </c>
      <c r="F29" s="169">
        <f>+GETPIVOTDATA("Sum of Old-Total Undg SCH FTE",'FTE Pivot for regular counts'!$A$2,"State","WV","Category",3,"Category2","Four-Year")</f>
        <v>7865.2</v>
      </c>
      <c r="G29" s="168">
        <f>+GETPIVOTDATA("Sum of Old-HS % of Total",'Pivot-HS Student % of Undergrad'!$A$3,"State","WV","Category",3,"Category2","Four-Year")</f>
        <v>5.4035498143721709E-2</v>
      </c>
      <c r="H29" s="169">
        <f>+GETPIVOTDATA("Sum of Old-Total Undg SCH FTE",'FTE Pivot for regular counts'!$A$2,"State","WV","Category",4,"Category2","Four-Year")</f>
        <v>4165.5333333333328</v>
      </c>
      <c r="I29" s="168">
        <f>+GETPIVOTDATA("Sum of Old-HS % of Total",'Pivot-HS Student % of Undergrad'!$A$3,"State","WV","Category",4,"Category2","Four-Year")</f>
        <v>0.14839236272266057</v>
      </c>
      <c r="J29" s="169">
        <f>+GETPIVOTDATA("Sum of Old-Total Undg SCH FTE",'FTE Pivot for regular counts'!$A$2,"State","WV","Category",5,"Category2","Four-Year")</f>
        <v>7112.3333333333339</v>
      </c>
      <c r="K29" s="170">
        <f>+GETPIVOTDATA("Sum of Old-HS % of Total",'Pivot-HS Student % of Undergrad'!$A$3,"State","WV","Category",5,"Category2","Four-Year")</f>
        <v>1.8156254393776071E-2</v>
      </c>
      <c r="L29" s="169">
        <f>+GETPIVOTDATA("Sum of Old-Total Undg SCH FTE",'FTE Pivot for regular counts'!$A$2,"State","WV","Category",6,"Category2","Four-Year")</f>
        <v>3596.1</v>
      </c>
      <c r="M29" s="168">
        <f>+GETPIVOTDATA("Sum of Old-HS % of Total",'Pivot-HS Student % of Undergrad'!$A$3,"State","WV","Category",6,"Category2","Four-Year")</f>
        <v>8.3590556436139149E-2</v>
      </c>
      <c r="N29" s="169">
        <f>+GETPIVOTDATA("Sum of Old-Total Undg SCH FTE",'FTE Pivot for regular counts'!$A$2,"State","WV","Category2","Four-Year")</f>
        <v>42610.73333333333</v>
      </c>
      <c r="O29" s="168">
        <f>+GETPIVOTDATA("Sum of Old-HS % of Total",'Pivot-HS Student % of Undergrad'!$A$3,"State","WV","Category2","Group1")</f>
        <v>3.9426685921074657E-2</v>
      </c>
    </row>
    <row r="30" spans="1:15" ht="23.25" customHeight="1">
      <c r="A30" s="645" t="s">
        <v>847</v>
      </c>
      <c r="B30" s="646"/>
      <c r="C30" s="646"/>
      <c r="D30" s="646"/>
      <c r="E30" s="646"/>
      <c r="F30" s="646"/>
      <c r="G30" s="646"/>
      <c r="H30" s="646"/>
      <c r="I30" s="647"/>
      <c r="J30" s="647"/>
      <c r="K30" s="647"/>
      <c r="L30" s="647"/>
      <c r="M30" s="647"/>
      <c r="N30" s="647"/>
      <c r="O30" s="647"/>
    </row>
    <row r="31" spans="1:15">
      <c r="A31" s="191"/>
      <c r="B31" s="178"/>
      <c r="C31" s="178"/>
      <c r="D31" s="178"/>
      <c r="E31" s="178"/>
      <c r="F31" s="178"/>
      <c r="G31" s="178"/>
      <c r="J31" s="178"/>
      <c r="K31" s="178"/>
      <c r="L31" s="178"/>
      <c r="M31" s="178"/>
      <c r="N31" s="178"/>
      <c r="O31" s="192" t="s">
        <v>919</v>
      </c>
    </row>
    <row r="32" spans="1:15" ht="18">
      <c r="A32" s="116" t="s">
        <v>711</v>
      </c>
      <c r="B32" s="122"/>
      <c r="C32" s="122"/>
      <c r="D32" s="122"/>
      <c r="E32" s="122"/>
      <c r="F32" s="180"/>
      <c r="G32" s="122"/>
      <c r="H32" s="122"/>
      <c r="I32" s="178"/>
      <c r="J32" s="178"/>
      <c r="K32" s="178"/>
      <c r="L32" s="178"/>
      <c r="M32" s="178"/>
      <c r="N32" s="178"/>
    </row>
    <row r="33" spans="1:14" ht="15.75">
      <c r="A33" s="122"/>
      <c r="B33" s="122"/>
      <c r="C33" s="122"/>
      <c r="D33" s="122"/>
      <c r="E33" s="122"/>
      <c r="F33" s="122"/>
      <c r="G33" s="122"/>
      <c r="H33" s="122"/>
      <c r="I33" s="178"/>
      <c r="J33" s="178"/>
      <c r="K33" s="178"/>
      <c r="L33" s="178"/>
      <c r="M33" s="178"/>
      <c r="N33" s="178"/>
    </row>
    <row r="34" spans="1:14" ht="15.75">
      <c r="A34" s="122" t="s">
        <v>712</v>
      </c>
      <c r="B34" s="122"/>
      <c r="C34" s="122"/>
      <c r="D34" s="122"/>
      <c r="E34" s="122"/>
      <c r="F34" s="122"/>
      <c r="G34" s="122"/>
      <c r="H34" s="122"/>
      <c r="I34" s="178"/>
      <c r="J34" s="178"/>
      <c r="K34" s="178"/>
      <c r="L34" s="178"/>
      <c r="M34" s="178"/>
      <c r="N34" s="178"/>
    </row>
    <row r="35" spans="1:14" ht="15.75">
      <c r="A35" s="122" t="s">
        <v>842</v>
      </c>
      <c r="B35" s="122"/>
      <c r="C35" s="122"/>
      <c r="D35" s="122"/>
      <c r="E35" s="122"/>
      <c r="F35" s="122"/>
      <c r="G35" s="122"/>
      <c r="H35" s="122"/>
    </row>
    <row r="37" spans="1:14" ht="15" customHeight="1">
      <c r="A37" s="125"/>
      <c r="B37" s="125" t="s">
        <v>667</v>
      </c>
      <c r="C37" s="125"/>
      <c r="D37" s="125"/>
      <c r="E37" s="125"/>
      <c r="F37" s="125"/>
      <c r="G37" s="125"/>
      <c r="H37" s="181"/>
    </row>
    <row r="38" spans="1:14" ht="15" customHeight="1">
      <c r="A38" s="182"/>
      <c r="B38" s="183">
        <v>1</v>
      </c>
      <c r="C38" s="183">
        <v>2</v>
      </c>
      <c r="D38" s="183">
        <v>3</v>
      </c>
      <c r="E38" s="183">
        <v>4</v>
      </c>
      <c r="F38" s="183">
        <v>5</v>
      </c>
      <c r="G38" s="184">
        <v>6</v>
      </c>
      <c r="H38" s="183" t="s">
        <v>679</v>
      </c>
    </row>
    <row r="39" spans="1:14" ht="15" customHeight="1">
      <c r="A39" s="1" t="s">
        <v>687</v>
      </c>
      <c r="B39" s="185">
        <f>+GETPIVOTDATA("Sum of Old-Total Grad FTE",'FTE Pivot for regular counts'!$A$2,"Category",1,"Category2","Four-Year")</f>
        <v>196454.73541666669</v>
      </c>
      <c r="C39" s="185">
        <f>+GETPIVOTDATA("Sum of Old-Total Grad FTE",'FTE Pivot for regular counts'!$A$2,"Category",2,"Category2","Four-Year")</f>
        <v>50289.708333333336</v>
      </c>
      <c r="D39" s="185">
        <f>+GETPIVOTDATA("Sum of Old-Total Grad FTE",'FTE Pivot for regular counts'!$A$2,"Category",3,"Category2","Four-Year")</f>
        <v>84969.937500000015</v>
      </c>
      <c r="E39" s="185">
        <f>+GETPIVOTDATA("Sum of Old-Total Grad FTE",'FTE Pivot for regular counts'!$A$2,"Category",4,"Category2","Four-Year")</f>
        <v>27992.3125</v>
      </c>
      <c r="F39" s="185">
        <f>+GETPIVOTDATA("Sum of Old-Total Grad FTE",'FTE Pivot for regular counts'!$A$2,"Category",5,"Category2","Four-Year")</f>
        <v>6280.3583333333336</v>
      </c>
      <c r="G39" s="186">
        <f>+GETPIVOTDATA("Sum of Old-Total Grad FTE",'FTE Pivot for regular counts'!$A$2,"Category",6,"Category2","Four-Year")</f>
        <v>619.20833333333337</v>
      </c>
      <c r="H39" s="185">
        <f>+GETPIVOTDATA("Sum of Old-Total Grad FTE",'FTE Pivot for regular counts'!$A$2,"Category2","Four-Year")</f>
        <v>366606.26041666663</v>
      </c>
    </row>
    <row r="40" spans="1:14" ht="15" customHeight="1">
      <c r="B40" s="185"/>
      <c r="C40" s="185"/>
      <c r="D40" s="185"/>
      <c r="E40" s="185"/>
      <c r="F40" s="185"/>
      <c r="G40" s="186"/>
      <c r="H40" s="185"/>
    </row>
    <row r="41" spans="1:14" ht="15" customHeight="1">
      <c r="A41" s="1" t="s">
        <v>695</v>
      </c>
      <c r="B41" s="185">
        <f>+GETPIVOTDATA("Sum of Old-Total Grad FTE",'FTE Pivot for regular counts'!$A$2,"State","AL","Category",1,"Category2","Four-Year")</f>
        <v>11407.041666666666</v>
      </c>
      <c r="C41" s="185">
        <f>+GETPIVOTDATA("Sum of Old-Total Grad FTE",'FTE Pivot for regular counts'!$A$2,"State","AL","Category",2,"Category2","Four-Year")</f>
        <v>2088.3333333333335</v>
      </c>
      <c r="D41" s="185">
        <f>+GETPIVOTDATA("Sum of Old-Total Grad FTE",'FTE Pivot for regular counts'!$A$2,"State","AL","Category",3,"Category2","Four-Year")</f>
        <v>5843.3333333333339</v>
      </c>
      <c r="E41" s="185">
        <f>+GETPIVOTDATA("Sum of Old-Total Grad FTE",'FTE Pivot for regular counts'!$A$2,"State","AL","Category",4,"Category2","Four-Year")</f>
        <v>3342.2083333333335</v>
      </c>
      <c r="F41" s="185">
        <f>+GETPIVOTDATA("Sum of Old-Total Grad FTE",'FTE Pivot for regular counts'!$A$2,"State","AL","Category",5,"Category2","Four-Year")</f>
        <v>401.70833333333331</v>
      </c>
      <c r="G41" s="186">
        <f>+GETPIVOTDATA("Sum of Old-Total Grad FTE",'FTE Pivot for regular counts'!$A$2,"State","AL","Category",6,"Category2","Four-Year")</f>
        <v>0</v>
      </c>
      <c r="H41" s="185">
        <f>+GETPIVOTDATA("Sum of Old-Total Grad FTE",'FTE Pivot for regular counts'!$A$2,"State","AL","Category2","Four-Year")</f>
        <v>23082.625</v>
      </c>
    </row>
    <row r="42" spans="1:14" ht="15" customHeight="1">
      <c r="A42" s="1" t="s">
        <v>696</v>
      </c>
      <c r="B42" s="185">
        <f>+GETPIVOTDATA("Sum of Old-Total Grad FTE",'FTE Pivot for regular counts'!$A$2,"State","AR","Category",1,"Category2","Four-Year")</f>
        <v>3422.3333333333335</v>
      </c>
      <c r="C42" s="185">
        <f>+GETPIVOTDATA("Sum of Old-Total Grad FTE",'FTE Pivot for regular counts'!$A$2,"State","AR","Category",2,"Category2","Four-Year")</f>
        <v>1511.9166666666667</v>
      </c>
      <c r="D42" s="185">
        <f>+GETPIVOTDATA("Sum of Old-Total Grad FTE",'FTE Pivot for regular counts'!$A$2,"State","AR","Category",3,"Category2","Four-Year")</f>
        <v>6533.375</v>
      </c>
      <c r="E42" s="185">
        <f>+GETPIVOTDATA("Sum of Old-Total Grad FTE",'FTE Pivot for regular counts'!$A$2,"State","AR","Category",4,"Category2","Four-Year")</f>
        <v>1338.3333333333335</v>
      </c>
      <c r="F42" s="185">
        <f>+GETPIVOTDATA("Sum of Old-Total Grad FTE",'FTE Pivot for regular counts'!$A$2,"State","AR","Category",5,"Category2","Four-Year")</f>
        <v>0</v>
      </c>
      <c r="G42" s="186">
        <f>+GETPIVOTDATA("Sum of Old-Total Grad FTE",'FTE Pivot for regular counts'!$A$2,"State","AR","Category",6,"Category2","Four-Year")</f>
        <v>125.29166666666667</v>
      </c>
      <c r="H42" s="185">
        <f>+GETPIVOTDATA("Sum of Old-Total Grad FTE",'FTE Pivot for regular counts'!$A$2,"State","AR","Category2","Four-Year")</f>
        <v>12931.25</v>
      </c>
    </row>
    <row r="43" spans="1:14" ht="15" customHeight="1">
      <c r="A43" s="1" t="s">
        <v>697</v>
      </c>
      <c r="B43" s="185">
        <f>+GETPIVOTDATA("Sum of Old-Total Grad FTE",'FTE Pivot for regular counts'!$A$2,"State","DE","Category",1,"Category2","Four-Year")</f>
        <v>3108.6666666666665</v>
      </c>
      <c r="C43" s="185">
        <f>+GETPIVOTDATA("Sum of Old-Total Grad FTE",'FTE Pivot for regular counts'!$A$2,"State","DE","Category",2,"Category2","Four-Year")</f>
        <v>0</v>
      </c>
      <c r="D43" s="185">
        <f>+GETPIVOTDATA("Sum of Old-Total Grad FTE",'FTE Pivot for regular counts'!$A$2,"State","DE","Category",3,"Category2","Four-Year")</f>
        <v>389.75</v>
      </c>
      <c r="E43" s="185">
        <f>+GETPIVOTDATA("Sum of Old-Total Grad FTE",'FTE Pivot for regular counts'!$A$2,"State","DE","Category",4,"Category2","Four-Year")</f>
        <v>0</v>
      </c>
      <c r="F43" s="185">
        <f>+GETPIVOTDATA("Sum of Old-Total Grad FTE",'FTE Pivot for regular counts'!$A$2,"State","DE","Category",5,"Category2","Four-Year")</f>
        <v>0</v>
      </c>
      <c r="G43" s="186">
        <f>+GETPIVOTDATA("Sum of Old-Total Grad FTE",'FTE Pivot for regular counts'!$A$2,"State","DE","Category",6,"Category2","Four-Year")</f>
        <v>0</v>
      </c>
      <c r="H43" s="185">
        <f>+GETPIVOTDATA("Sum of Old-Total Grad FTE",'FTE Pivot for regular counts'!$A$2,"State","DE","Category2","Four-Year")</f>
        <v>3498.4166666666665</v>
      </c>
      <c r="N43" s="187"/>
    </row>
    <row r="44" spans="1:14" ht="15" customHeight="1">
      <c r="A44" s="1" t="s">
        <v>698</v>
      </c>
      <c r="B44" s="185">
        <f>+GETPIVOTDATA("Sum of Old-Total Grad FTE",'FTE Pivot for regular counts'!$A$2,"State","FL","Category",1,"Category2","Four-Year")</f>
        <v>0</v>
      </c>
      <c r="C44" s="185">
        <f>+GETPIVOTDATA("Sum of Old-Total Grad FTE",'FTE Pivot for regular counts'!$A$2,"State","FL","Category",2,"Category2","Four-Year")</f>
        <v>0</v>
      </c>
      <c r="D44" s="185">
        <f>+GETPIVOTDATA("Sum of Old-Total Grad FTE",'FTE Pivot for regular counts'!$A$2,"State","FL","Category",3,"Category2","Four-Year")</f>
        <v>0</v>
      </c>
      <c r="E44" s="185">
        <f>+GETPIVOTDATA("Sum of Old-Total Grad FTE",'FTE Pivot for regular counts'!$A$2,"State","FL","Category",4,"Category2","Four-Year")</f>
        <v>0</v>
      </c>
      <c r="F44" s="185">
        <f>+GETPIVOTDATA("Sum of Old-Total Grad FTE",'FTE Pivot for regular counts'!$A$2,"State","FL","Category",5,"Category2","Four-Year")</f>
        <v>0</v>
      </c>
      <c r="G44" s="186">
        <f>+GETPIVOTDATA("Sum of Old-Total Grad FTE",'FTE Pivot for regular counts'!$A$2,"State","FL","Category",6,"Category2","Four-Year")</f>
        <v>0</v>
      </c>
      <c r="H44" s="185">
        <f>+GETPIVOTDATA("Sum of Old-Total Grad FTE",'FTE Pivot for regular counts'!$A$2,"State","FL","Category2","Four-Year")</f>
        <v>0</v>
      </c>
    </row>
    <row r="45" spans="1:14" ht="15" customHeight="1">
      <c r="B45" s="185"/>
      <c r="C45" s="185"/>
      <c r="D45" s="185"/>
      <c r="E45" s="185"/>
      <c r="F45" s="185"/>
      <c r="G45" s="186"/>
      <c r="H45" s="185"/>
    </row>
    <row r="46" spans="1:14" ht="15" customHeight="1">
      <c r="A46" s="1" t="s">
        <v>699</v>
      </c>
      <c r="B46" s="185">
        <f>+GETPIVOTDATA("Sum of Old-Total Grad FTE",'FTE Pivot for regular counts'!$A$2,"State","GA","Category",1,"Category2","Four-Year")</f>
        <v>21274.120833333334</v>
      </c>
      <c r="C46" s="185">
        <f>+GETPIVOTDATA("Sum of Old-Total Grad FTE",'FTE Pivot for regular counts'!$A$2,"State","GA","Category",2,"Category2","Four-Year")</f>
        <v>16780.770833333332</v>
      </c>
      <c r="D46" s="185">
        <f>+GETPIVOTDATA("Sum of Old-Total Grad FTE",'FTE Pivot for regular counts'!$A$2,"State","GA","Category",3,"Category2","Four-Year")</f>
        <v>9496.4166666666661</v>
      </c>
      <c r="E46" s="185">
        <f>+GETPIVOTDATA("Sum of Old-Total Grad FTE",'FTE Pivot for regular counts'!$A$2,"State","GA","Category",4,"Category2","Four-Year")</f>
        <v>6179.583333333333</v>
      </c>
      <c r="F46" s="185">
        <f>+GETPIVOTDATA("Sum of Old-Total Grad FTE",'FTE Pivot for regular counts'!$A$2,"State","GA","Category",5,"Category2","Four-Year")</f>
        <v>673.45833333333326</v>
      </c>
      <c r="G46" s="186">
        <f>+GETPIVOTDATA("Sum of Old-Total Grad FTE",'FTE Pivot for regular counts'!$A$2,"State","GA","Category",6,"Category2","Four-Year")</f>
        <v>0</v>
      </c>
      <c r="H46" s="185">
        <f>+GETPIVOTDATA("Sum of Old-Total Grad FTE",'FTE Pivot for regular counts'!$A$2,"State","GA","Category2","Four-Year")</f>
        <v>54404.35</v>
      </c>
    </row>
    <row r="47" spans="1:14" ht="15" customHeight="1">
      <c r="A47" s="1" t="s">
        <v>700</v>
      </c>
      <c r="B47" s="185">
        <f>+GETPIVOTDATA("Sum of Old-Total Grad FTE",'FTE Pivot for regular counts'!$A$2,"State","KY","Category",1,"Category2","Four-Year")</f>
        <v>7172.125</v>
      </c>
      <c r="C47" s="185">
        <f>+GETPIVOTDATA("Sum of Old-Total Grad FTE",'FTE Pivot for regular counts'!$A$2,"State","KY","Category",2,"Category2","Four-Year")</f>
        <v>0</v>
      </c>
      <c r="D47" s="185">
        <f>+GETPIVOTDATA("Sum of Old-Total Grad FTE",'FTE Pivot for regular counts'!$A$2,"State","KY","Category",3,"Category2","Four-Year")</f>
        <v>7607.666666666667</v>
      </c>
      <c r="E47" s="185">
        <f>+GETPIVOTDATA("Sum of Old-Total Grad FTE",'FTE Pivot for regular counts'!$A$2,"State","KY","Category",4,"Category2","Four-Year")</f>
        <v>79.75</v>
      </c>
      <c r="F47" s="185">
        <f>+GETPIVOTDATA("Sum of Old-Total Grad FTE",'FTE Pivot for regular counts'!$A$2,"State","KY","Category",5,"Category2","Four-Year")</f>
        <v>0</v>
      </c>
      <c r="G47" s="186">
        <f>+GETPIVOTDATA("Sum of Old-Total Grad FTE",'FTE Pivot for regular counts'!$A$2,"State","KY","Category",6,"Category2","Four-Year")</f>
        <v>0</v>
      </c>
      <c r="H47" s="185">
        <f>+GETPIVOTDATA("Sum of Old-Total Grad FTE",'FTE Pivot for regular counts'!$A$2,"State","KY","Category2","Four-Year")</f>
        <v>14859.541666666668</v>
      </c>
    </row>
    <row r="48" spans="1:14" ht="15" customHeight="1">
      <c r="A48" s="1" t="s">
        <v>701</v>
      </c>
      <c r="B48" s="185">
        <f>+GETPIVOTDATA("Sum of Old-Total Grad FTE",'FTE Pivot for regular counts'!$A$2,"State","LA","Category",1,"Category2","Four-Year")</f>
        <v>6259.875</v>
      </c>
      <c r="C48" s="185">
        <f>+GETPIVOTDATA("Sum of Old-Total Grad FTE",'FTE Pivot for regular counts'!$A$2,"State","LA","Category",2,"Category2","Four-Year")</f>
        <v>3589.458333333333</v>
      </c>
      <c r="D48" s="185">
        <f>+GETPIVOTDATA("Sum of Old-Total Grad FTE",'FTE Pivot for regular counts'!$A$2,"State","LA","Category",3,"Category2","Four-Year")</f>
        <v>3520.75</v>
      </c>
      <c r="E48" s="185">
        <f>+GETPIVOTDATA("Sum of Old-Total Grad FTE",'FTE Pivot for regular counts'!$A$2,"State","LA","Category",4,"Category2","Four-Year")</f>
        <v>6997.9999999999991</v>
      </c>
      <c r="F48" s="185">
        <f>+GETPIVOTDATA("Sum of Old-Total Grad FTE",'FTE Pivot for regular counts'!$A$2,"State","LA","Category",5,"Category2","Four-Year")</f>
        <v>293.29166666666669</v>
      </c>
      <c r="G48" s="186">
        <f>+GETPIVOTDATA("Sum of Old-Total Grad FTE",'FTE Pivot for regular counts'!$A$2,"State","LA","Category",6,"Category2","Four-Year")</f>
        <v>0</v>
      </c>
      <c r="H48" s="185">
        <f>+GETPIVOTDATA("Sum of Old-Total Grad FTE",'FTE Pivot for regular counts'!$A$2,"State","LA","Category2","Four-Year")</f>
        <v>20661.375</v>
      </c>
    </row>
    <row r="49" spans="1:10" ht="15" customHeight="1">
      <c r="A49" s="1" t="s">
        <v>702</v>
      </c>
      <c r="B49" s="185">
        <f>+GETPIVOTDATA("Sum of Old-Total Grad FTE",'FTE Pivot for regular counts'!$A$2,"State","MD","Category",1,"Category2","Four-Year")</f>
        <v>6250.458333333333</v>
      </c>
      <c r="C49" s="185">
        <f>+GETPIVOTDATA("Sum of Old-Total Grad FTE",'FTE Pivot for regular counts'!$A$2,"State","MD","Category",2,"Category2","Four-Year")</f>
        <v>2590.75</v>
      </c>
      <c r="D49" s="185">
        <f>+GETPIVOTDATA("Sum of Old-Total Grad FTE",'FTE Pivot for regular counts'!$A$2,"State","MD","Category",3,"Category2","Four-Year")</f>
        <v>3515.0625</v>
      </c>
      <c r="E49" s="185">
        <f>+GETPIVOTDATA("Sum of Old-Total Grad FTE",'FTE Pivot for regular counts'!$A$2,"State","MD","Category",4,"Category2","Four-Year")</f>
        <v>2530.6875</v>
      </c>
      <c r="F49" s="185">
        <f>+GETPIVOTDATA("Sum of Old-Total Grad FTE",'FTE Pivot for regular counts'!$A$2,"State","MD","Category",5,"Category2","Four-Year")</f>
        <v>157.33333333333334</v>
      </c>
      <c r="G49" s="186">
        <f>+GETPIVOTDATA("Sum of Old-Total Grad FTE",'FTE Pivot for regular counts'!$A$2,"State","MD","Category",6,"Category2","Four-Year")</f>
        <v>37.041666666666664</v>
      </c>
      <c r="H49" s="185">
        <f>+GETPIVOTDATA("Sum of Old-Total Grad FTE",'FTE Pivot for regular counts'!$A$2,"State","MD","Category2","Four-Year")</f>
        <v>15081.333333333332</v>
      </c>
    </row>
    <row r="50" spans="1:10" ht="15" customHeight="1">
      <c r="B50" s="185"/>
      <c r="C50" s="185"/>
      <c r="D50" s="185"/>
      <c r="E50" s="185"/>
      <c r="F50" s="185"/>
      <c r="G50" s="186"/>
      <c r="H50" s="185"/>
    </row>
    <row r="51" spans="1:10" ht="15" customHeight="1">
      <c r="A51" s="1" t="s">
        <v>703</v>
      </c>
      <c r="B51" s="185">
        <f>+GETPIVOTDATA("Sum of Old-Total Grad FTE",'FTE Pivot for regular counts'!$A$2,"State","MS","Category",1,"Category2","Four-Year")</f>
        <v>7847.3333333333339</v>
      </c>
      <c r="C51" s="185">
        <f>+GETPIVOTDATA("Sum of Old-Total Grad FTE",'FTE Pivot for regular counts'!$A$2,"State","MS","Category",2,"Category2","Four-Year")</f>
        <v>1435.4583333333333</v>
      </c>
      <c r="D51" s="185">
        <f>+GETPIVOTDATA("Sum of Old-Total Grad FTE",'FTE Pivot for regular counts'!$A$2,"State","MS","Category",3,"Category2","Four-Year")</f>
        <v>0</v>
      </c>
      <c r="E51" s="185">
        <f>+GETPIVOTDATA("Sum of Old-Total Grad FTE",'FTE Pivot for regular counts'!$A$2,"State","MS","Category",4,"Category2","Four-Year")</f>
        <v>1465.7083333333333</v>
      </c>
      <c r="F51" s="185">
        <f>+GETPIVOTDATA("Sum of Old-Total Grad FTE",'FTE Pivot for regular counts'!$A$2,"State","MS","Category",5,"Category2","Four-Year")</f>
        <v>0</v>
      </c>
      <c r="G51" s="186">
        <f>+GETPIVOTDATA("Sum of Old-Total Grad FTE",'FTE Pivot for regular counts'!$A$2,"State","MS","Category",6,"Category2","Four-Year")</f>
        <v>0</v>
      </c>
      <c r="H51" s="185">
        <f>+GETPIVOTDATA("Sum of Old-Total Grad FTE",'FTE Pivot for regular counts'!$A$2,"State","MS","Category2","Four-Year")</f>
        <v>10748.500000000002</v>
      </c>
    </row>
    <row r="52" spans="1:10" ht="15" customHeight="1">
      <c r="A52" s="1" t="s">
        <v>704</v>
      </c>
      <c r="B52" s="185">
        <f>+GETPIVOTDATA("Sum of Old-Total Grad FTE",'FTE Pivot for regular counts'!$A$2,"State","NC","Category",1,"Category2","Four-Year")</f>
        <v>21377.697916666668</v>
      </c>
      <c r="C52" s="185">
        <f>+GETPIVOTDATA("Sum of Old-Total Grad FTE",'FTE Pivot for regular counts'!$A$2,"State","NC","Category",2,"Category2","Four-Year")</f>
        <v>4814.208333333333</v>
      </c>
      <c r="D52" s="185">
        <f>+GETPIVOTDATA("Sum of Old-Total Grad FTE",'FTE Pivot for regular counts'!$A$2,"State","NC","Category",3,"Category2","Four-Year")</f>
        <v>6800.708333333333</v>
      </c>
      <c r="E52" s="185">
        <f>+GETPIVOTDATA("Sum of Old-Total Grad FTE",'FTE Pivot for regular counts'!$A$2,"State","NC","Category",4,"Category2","Four-Year")</f>
        <v>732.70833333333337</v>
      </c>
      <c r="F52" s="185">
        <f>+GETPIVOTDATA("Sum of Old-Total Grad FTE",'FTE Pivot for regular counts'!$A$2,"State","NC","Category",5,"Category2","Four-Year")</f>
        <v>1693.3333333333333</v>
      </c>
      <c r="G52" s="186">
        <f>+GETPIVOTDATA("Sum of Old-Total Grad FTE",'FTE Pivot for regular counts'!$A$2,"State","NC","Category",6,"Category2","Four-Year")</f>
        <v>69.125</v>
      </c>
      <c r="H52" s="185">
        <f>+GETPIVOTDATA("Sum of Old-Total Grad FTE",'FTE Pivot for regular counts'!$A$2,"State","NC","Category2","Four-Year")</f>
        <v>35487.781250000007</v>
      </c>
    </row>
    <row r="53" spans="1:10" ht="15" customHeight="1">
      <c r="A53" s="1" t="s">
        <v>705</v>
      </c>
      <c r="B53" s="185">
        <f>+GETPIVOTDATA("Sum of Old-Total Grad FTE",'FTE Pivot for regular counts'!$A$2,"State","OK","Category",1,"Category2","Four-Year")</f>
        <v>0</v>
      </c>
      <c r="C53" s="185">
        <f>+GETPIVOTDATA("Sum of Old-Total Grad FTE",'FTE Pivot for regular counts'!$A$2,"State","OK","Category",2,"Category2","Four-Year")</f>
        <v>0</v>
      </c>
      <c r="D53" s="185">
        <f>+GETPIVOTDATA("Sum of Old-Total Grad FTE",'FTE Pivot for regular counts'!$A$2,"State","OK","Category",3,"Category2","Four-Year")</f>
        <v>0</v>
      </c>
      <c r="E53" s="185">
        <f>+GETPIVOTDATA("Sum of Old-Total Grad FTE",'FTE Pivot for regular counts'!$A$2,"State","OK","Category",4,"Category2","Four-Year")</f>
        <v>0</v>
      </c>
      <c r="F53" s="185">
        <f>+GETPIVOTDATA("Sum of Old-Total Grad FTE",'FTE Pivot for regular counts'!$A$2,"State","OK","Category",5,"Category2","Four-Year")</f>
        <v>0</v>
      </c>
      <c r="G53" s="186">
        <f>+GETPIVOTDATA("Sum of Old-Total Grad FTE",'FTE Pivot for regular counts'!$A$2,"State","OK","Category",6,"Category2","Four-Year")</f>
        <v>0</v>
      </c>
      <c r="H53" s="185">
        <f>+GETPIVOTDATA("Sum of Old-Total Grad FTE",'FTE Pivot for regular counts'!$A$2,"State","OK","Category2","Four-Year")</f>
        <v>0</v>
      </c>
    </row>
    <row r="54" spans="1:10" ht="15" customHeight="1">
      <c r="A54" s="1" t="s">
        <v>706</v>
      </c>
      <c r="B54" s="185">
        <f>+GETPIVOTDATA("Sum of Old-Total Grad FTE",'FTE Pivot for regular counts'!$A$2,"State","SC","Category",1,"Category2","Four-Year")</f>
        <v>11754.125</v>
      </c>
      <c r="C54" s="185">
        <f>+GETPIVOTDATA("Sum of Old-Total Grad FTE",'FTE Pivot for regular counts'!$A$2,"State","SC","Category",2,"Category2","Four-Year")</f>
        <v>0</v>
      </c>
      <c r="D54" s="185">
        <f>+GETPIVOTDATA("Sum of Old-Total Grad FTE",'FTE Pivot for regular counts'!$A$2,"State","SC","Category",3,"Category2","Four-Year")</f>
        <v>2101.25</v>
      </c>
      <c r="E54" s="185">
        <f>+GETPIVOTDATA("Sum of Old-Total Grad FTE",'FTE Pivot for regular counts'!$A$2,"State","SC","Category",4,"Category2","Four-Year")</f>
        <v>516.29166666666663</v>
      </c>
      <c r="F54" s="185">
        <f>+GETPIVOTDATA("Sum of Old-Total Grad FTE",'FTE Pivot for regular counts'!$A$2,"State","SC","Category",5,"Category2","Four-Year")</f>
        <v>1019.4166666666667</v>
      </c>
      <c r="G54" s="186">
        <f>+GETPIVOTDATA("Sum of Old-Total Grad FTE",'FTE Pivot for regular counts'!$A$2,"State","SC","Category",6,"Category2","Four-Year")</f>
        <v>387.75</v>
      </c>
      <c r="H54" s="185">
        <f>+GETPIVOTDATA("Sum of Old-Total Grad FTE",'FTE Pivot for regular counts'!$A$2,"State","SC","Category2","Four-Year")</f>
        <v>15778.833333333332</v>
      </c>
    </row>
    <row r="55" spans="1:10" ht="15" customHeight="1">
      <c r="B55" s="185"/>
      <c r="C55" s="185"/>
      <c r="D55" s="185"/>
      <c r="E55" s="185"/>
      <c r="F55" s="185"/>
      <c r="G55" s="186"/>
      <c r="H55" s="185"/>
    </row>
    <row r="56" spans="1:10" ht="15" customHeight="1">
      <c r="A56" s="1" t="s">
        <v>707</v>
      </c>
      <c r="B56" s="185">
        <f>+GETPIVOTDATA("Sum of Old-Total Grad FTE",'FTE Pivot for regular counts'!$A$2,"State","TN","Category",1,"Category2","Four-Year")</f>
        <v>8035.125</v>
      </c>
      <c r="C56" s="185">
        <f>+GETPIVOTDATA("Sum of Old-Total Grad FTE",'FTE Pivot for regular counts'!$A$2,"State","TN","Category",2,"Category2","Four-Year")</f>
        <v>4908.9583333333339</v>
      </c>
      <c r="D56" s="185">
        <f>+GETPIVOTDATA("Sum of Old-Total Grad FTE",'FTE Pivot for regular counts'!$A$2,"State","TN","Category",3,"Category2","Four-Year")</f>
        <v>2896.4166666666665</v>
      </c>
      <c r="E56" s="185">
        <f>+GETPIVOTDATA("Sum of Old-Total Grad FTE",'FTE Pivot for regular counts'!$A$2,"State","TN","Category",4,"Category2","Four-Year")</f>
        <v>491.79166666666669</v>
      </c>
      <c r="F56" s="185">
        <f>+GETPIVOTDATA("Sum of Old-Total Grad FTE",'FTE Pivot for regular counts'!$A$2,"State","TN","Category",5,"Category2","Four-Year")</f>
        <v>0</v>
      </c>
      <c r="G56" s="186">
        <f>+GETPIVOTDATA("Sum of Old-Total Grad FTE",'FTE Pivot for regular counts'!$A$2,"State","TN","Category",6,"Category2","Four-Year")</f>
        <v>0</v>
      </c>
      <c r="H56" s="185">
        <f>+GETPIVOTDATA("Sum of Old-Total Grad FTE",'FTE Pivot for regular counts'!$A$2,"State","TN","Category2","Four-Year")</f>
        <v>16332.291666666666</v>
      </c>
    </row>
    <row r="57" spans="1:10" ht="15" customHeight="1">
      <c r="A57" s="1" t="s">
        <v>708</v>
      </c>
      <c r="B57" s="185">
        <f>+GETPIVOTDATA("Sum of Old-Total Grad FTE",'FTE Pivot for regular counts'!$A$2,"State","TX","Category",1,"Category2","Four-Year")</f>
        <v>54740.666666666664</v>
      </c>
      <c r="C57" s="185">
        <f>+GETPIVOTDATA("Sum of Old-Total Grad FTE",'FTE Pivot for regular counts'!$A$2,"State","TX","Category",2,"Category2","Four-Year")</f>
        <v>9980.9583333333339</v>
      </c>
      <c r="D57" s="185">
        <f>+GETPIVOTDATA("Sum of Old-Total Grad FTE",'FTE Pivot for regular counts'!$A$2,"State","TX","Category",3,"Category2","Four-Year")</f>
        <v>30185.416666666668</v>
      </c>
      <c r="E57" s="185">
        <f>+GETPIVOTDATA("Sum of Old-Total Grad FTE",'FTE Pivot for regular counts'!$A$2,"State","TX","Category",4,"Category2","Four-Year")</f>
        <v>3558.8333333333335</v>
      </c>
      <c r="F57" s="185">
        <f>+GETPIVOTDATA("Sum of Old-Total Grad FTE",'FTE Pivot for regular counts'!$A$2,"State","TX","Category",5,"Category2","Four-Year")</f>
        <v>185.875</v>
      </c>
      <c r="G57" s="186">
        <f>+GETPIVOTDATA("Sum of Old-Total Grad FTE",'FTE Pivot for regular counts'!$A$2,"State","TX","Category",6,"Category2","Four-Year")</f>
        <v>0</v>
      </c>
      <c r="H57" s="185">
        <f>+GETPIVOTDATA("Sum of Old-Total Grad FTE",'FTE Pivot for regular counts'!$A$2,"State","TX","Category2","Four-Year")</f>
        <v>98651.75</v>
      </c>
    </row>
    <row r="58" spans="1:10" ht="15" customHeight="1">
      <c r="A58" s="1" t="s">
        <v>709</v>
      </c>
      <c r="B58" s="185">
        <f>+GETPIVOTDATA("Sum of Old-Total Grad FTE",'FTE Pivot for regular counts'!$A$2,"State","VA","Category",1,"Category2","Four-Year")</f>
        <v>30006.958333333336</v>
      </c>
      <c r="C58" s="185">
        <f>+GETPIVOTDATA("Sum of Old-Total Grad FTE",'FTE Pivot for regular counts'!$A$2,"State","VA","Category",2,"Category2","Four-Year")</f>
        <v>2588.8958333333335</v>
      </c>
      <c r="D58" s="185">
        <f>+GETPIVOTDATA("Sum of Old-Total Grad FTE",'FTE Pivot for regular counts'!$A$2,"State","VA","Category",3,"Category2","Four-Year")</f>
        <v>3428.8749999999995</v>
      </c>
      <c r="E58" s="185">
        <f>+GETPIVOTDATA("Sum of Old-Total Grad FTE",'FTE Pivot for regular counts'!$A$2,"State","VA","Category",4,"Category2","Four-Year")</f>
        <v>353.04166666666669</v>
      </c>
      <c r="F58" s="185">
        <f>+GETPIVOTDATA("Sum of Old-Total Grad FTE",'FTE Pivot for regular counts'!$A$2,"State","VA","Category",5,"Category2","Four-Year")</f>
        <v>937.48333333333335</v>
      </c>
      <c r="G58" s="186">
        <f>+GETPIVOTDATA("Sum of Old-Total Grad FTE",'FTE Pivot for regular counts'!$A$2,"State","VA","Category",6,"Category2","Four-Year")</f>
        <v>0</v>
      </c>
      <c r="H58" s="185">
        <f>+GETPIVOTDATA("Sum of Old-Total Grad FTE",'FTE Pivot for regular counts'!$A$2,"State","VA","Category2","Four-Year")</f>
        <v>37315.254166666658</v>
      </c>
    </row>
    <row r="59" spans="1:10" ht="15" customHeight="1">
      <c r="A59" s="166" t="s">
        <v>710</v>
      </c>
      <c r="B59" s="188">
        <f>+GETPIVOTDATA("Sum of Old-Total Grad FTE",'FTE Pivot for regular counts'!$A$2,"State","WV","Category",1,"Category2","Four-Year")</f>
        <v>3798.2083333333335</v>
      </c>
      <c r="C59" s="188">
        <f>+GETPIVOTDATA("Sum of Old-Total Grad FTE",'FTE Pivot for regular counts'!$A$2,"State","WV","Category",2,"Category2","Four-Year")</f>
        <v>0</v>
      </c>
      <c r="D59" s="188">
        <f>+GETPIVOTDATA("Sum of Old-Total Grad FTE",'FTE Pivot for regular counts'!$A$2,"State","WV","Category",3,"Category2","Four-Year")</f>
        <v>2650.9166666666665</v>
      </c>
      <c r="E59" s="188">
        <f>+GETPIVOTDATA("Sum of Old-Total Grad FTE",'FTE Pivot for regular counts'!$A$2,"State","WV","Category",4,"Category2","Four-Year")</f>
        <v>405.375</v>
      </c>
      <c r="F59" s="188">
        <f>+GETPIVOTDATA("Sum of Old-Total Grad FTE",'FTE Pivot for regular counts'!$A$2,"State","WV","Category",5,"Category2","Four-Year")</f>
        <v>918.45833333333337</v>
      </c>
      <c r="G59" s="189">
        <f>+GETPIVOTDATA("Sum of Old-Total Grad FTE",'FTE Pivot for regular counts'!$A$2,"State","WV","Category",6,"Category2","Four-Year")</f>
        <v>0</v>
      </c>
      <c r="H59" s="188">
        <f>+GETPIVOTDATA("Sum of Old-Total Grad FTE",'FTE Pivot for regular counts'!$A$2,"State","WV","Category2","Four-Year")</f>
        <v>7772.958333333333</v>
      </c>
    </row>
    <row r="60" spans="1:10" ht="37.5" customHeight="1">
      <c r="A60" s="645" t="s">
        <v>948</v>
      </c>
      <c r="B60" s="652"/>
      <c r="C60" s="652"/>
      <c r="D60" s="652"/>
      <c r="E60" s="652"/>
      <c r="F60" s="652"/>
      <c r="G60" s="652"/>
      <c r="H60" s="652"/>
    </row>
    <row r="61" spans="1:10">
      <c r="A61" s="191"/>
      <c r="B61" s="178"/>
      <c r="C61" s="178"/>
      <c r="D61" s="178"/>
      <c r="E61" s="178"/>
      <c r="F61" s="178"/>
      <c r="G61" s="178"/>
      <c r="H61" s="192" t="s">
        <v>919</v>
      </c>
    </row>
    <row r="62" spans="1:10">
      <c r="A62" s="191"/>
      <c r="B62" s="178"/>
      <c r="C62" s="178"/>
      <c r="D62" s="178"/>
      <c r="E62" s="178"/>
      <c r="F62" s="178"/>
      <c r="G62" s="178"/>
      <c r="H62" s="192"/>
    </row>
    <row r="63" spans="1:10" ht="18">
      <c r="A63" s="116" t="s">
        <v>713</v>
      </c>
      <c r="B63" s="116"/>
      <c r="C63" s="116"/>
      <c r="D63" s="116"/>
      <c r="E63" s="116"/>
      <c r="F63" s="116"/>
      <c r="G63" s="116"/>
      <c r="H63" s="116"/>
      <c r="J63" s="61"/>
    </row>
    <row r="64" spans="1:10" ht="15.75">
      <c r="A64" s="193"/>
      <c r="B64" s="122"/>
      <c r="C64" s="122"/>
      <c r="D64" s="122"/>
      <c r="E64" s="122"/>
      <c r="F64" s="122"/>
      <c r="G64" s="122"/>
      <c r="H64" s="122"/>
    </row>
    <row r="65" spans="1:8" ht="15.75">
      <c r="A65" s="122" t="s">
        <v>714</v>
      </c>
      <c r="B65" s="122"/>
      <c r="C65" s="122"/>
      <c r="D65" s="122"/>
      <c r="E65" s="122"/>
      <c r="F65" s="122"/>
      <c r="G65" s="122"/>
      <c r="H65" s="122"/>
    </row>
    <row r="66" spans="1:8" ht="15.75">
      <c r="A66" s="122" t="s">
        <v>842</v>
      </c>
      <c r="B66" s="122"/>
      <c r="C66" s="122"/>
      <c r="D66" s="122"/>
      <c r="E66" s="122"/>
      <c r="F66" s="122"/>
      <c r="G66" s="122"/>
      <c r="H66" s="122"/>
    </row>
    <row r="67" spans="1:8" ht="15.75">
      <c r="A67" s="122"/>
      <c r="B67" s="122"/>
      <c r="C67" s="122"/>
      <c r="D67" s="122"/>
      <c r="E67" s="122"/>
      <c r="F67" s="122"/>
      <c r="G67" s="122"/>
      <c r="H67" s="122"/>
    </row>
    <row r="68" spans="1:8" ht="15" customHeight="1">
      <c r="A68" s="125"/>
      <c r="B68" s="125" t="s">
        <v>667</v>
      </c>
      <c r="C68" s="125"/>
      <c r="D68" s="125"/>
      <c r="E68" s="125"/>
      <c r="F68" s="125"/>
      <c r="G68" s="125"/>
      <c r="H68" s="181"/>
    </row>
    <row r="69" spans="1:8" ht="15" customHeight="1">
      <c r="A69" s="182"/>
      <c r="B69" s="183">
        <v>1</v>
      </c>
      <c r="C69" s="183">
        <v>2</v>
      </c>
      <c r="D69" s="183">
        <v>3</v>
      </c>
      <c r="E69" s="183">
        <v>4</v>
      </c>
      <c r="F69" s="183">
        <v>5</v>
      </c>
      <c r="G69" s="184">
        <v>6</v>
      </c>
      <c r="H69" s="183" t="s">
        <v>679</v>
      </c>
    </row>
    <row r="70" spans="1:8" ht="15" customHeight="1">
      <c r="A70" s="1" t="s">
        <v>687</v>
      </c>
      <c r="B70" s="185">
        <f>+'OLD Tables'!B9+'OLD Tables'!B39</f>
        <v>1048614.8354166667</v>
      </c>
      <c r="C70" s="185">
        <f>+'OLD Tables'!D9+'OLD Tables'!C39</f>
        <v>258929.48400000003</v>
      </c>
      <c r="D70" s="185">
        <f>+'OLD Tables'!F9+'OLD Tables'!D39</f>
        <v>575010.85416666663</v>
      </c>
      <c r="E70" s="185">
        <f>+'OLD Tables'!H9+'OLD Tables'!E39</f>
        <v>183990.01250000001</v>
      </c>
      <c r="F70" s="185">
        <f>+'OLD Tables'!J9+'OLD Tables'!F39</f>
        <v>65259.225000000006</v>
      </c>
      <c r="G70" s="186">
        <f>+'OLD Tables'!L9+'OLD Tables'!G39</f>
        <v>54374.324999999997</v>
      </c>
      <c r="H70" s="185">
        <f>+'OLD Tables'!N9+'OLD Tables'!H39</f>
        <v>2186178.7360833334</v>
      </c>
    </row>
    <row r="71" spans="1:8" ht="15" customHeight="1">
      <c r="B71" s="185"/>
      <c r="C71" s="185"/>
      <c r="D71" s="185"/>
      <c r="E71" s="185"/>
      <c r="F71" s="185"/>
      <c r="G71" s="186"/>
      <c r="H71" s="185"/>
    </row>
    <row r="72" spans="1:8" ht="15" customHeight="1">
      <c r="A72" s="1" t="s">
        <v>695</v>
      </c>
      <c r="B72" s="185">
        <f>+'OLD Tables'!B11+'OLD Tables'!B41</f>
        <v>76387.241666666669</v>
      </c>
      <c r="C72" s="185">
        <f>+'OLD Tables'!D11+'OLD Tables'!C41</f>
        <v>17146.166666666668</v>
      </c>
      <c r="D72" s="185">
        <f>+'OLD Tables'!F11+'OLD Tables'!D41</f>
        <v>37344.333333333328</v>
      </c>
      <c r="E72" s="185">
        <f>+'OLD Tables'!H11+'OLD Tables'!E41</f>
        <v>9123.875</v>
      </c>
      <c r="F72" s="185">
        <f>+'OLD Tables'!J11+'OLD Tables'!F41</f>
        <v>4645.2750000000005</v>
      </c>
      <c r="G72" s="186">
        <f>+'OLD Tables'!L11+'OLD Tables'!G41</f>
        <v>0</v>
      </c>
      <c r="H72" s="185">
        <f>+'OLD Tables'!N11+'OLD Tables'!H41</f>
        <v>144646.89166666666</v>
      </c>
    </row>
    <row r="73" spans="1:8" ht="15" customHeight="1">
      <c r="A73" s="1" t="s">
        <v>696</v>
      </c>
      <c r="B73" s="185">
        <f>+'OLD Tables'!B12+'OLD Tables'!B42</f>
        <v>25228.3</v>
      </c>
      <c r="C73" s="185">
        <f>+'OLD Tables'!D12+'OLD Tables'!C42</f>
        <v>7033.7166666666672</v>
      </c>
      <c r="D73" s="185">
        <f>+'OLD Tables'!F12+'OLD Tables'!D42</f>
        <v>30536.841666666667</v>
      </c>
      <c r="E73" s="185">
        <f>+'OLD Tables'!H12+'OLD Tables'!E42</f>
        <v>9479</v>
      </c>
      <c r="F73" s="185">
        <f>+'OLD Tables'!J12+'OLD Tables'!F42</f>
        <v>0</v>
      </c>
      <c r="G73" s="186">
        <f>+'OLD Tables'!L12+'OLD Tables'!G42</f>
        <v>7161.791666666667</v>
      </c>
      <c r="H73" s="185">
        <f>+'OLD Tables'!N12+'OLD Tables'!H42</f>
        <v>79439.649999999994</v>
      </c>
    </row>
    <row r="74" spans="1:8" ht="15" customHeight="1">
      <c r="A74" s="1" t="s">
        <v>697</v>
      </c>
      <c r="B74" s="185">
        <f>+'OLD Tables'!B13+'OLD Tables'!B43</f>
        <v>23129.066666666669</v>
      </c>
      <c r="C74" s="185">
        <f>+'OLD Tables'!D13+'OLD Tables'!C43</f>
        <v>0</v>
      </c>
      <c r="D74" s="185">
        <f>+'OLD Tables'!F13+'OLD Tables'!D43</f>
        <v>4779.95</v>
      </c>
      <c r="E74" s="1">
        <f>+'OLD Tables'!H13+'OLD Tables'!E43</f>
        <v>0</v>
      </c>
      <c r="F74" s="185">
        <f>+'OLD Tables'!J13+'OLD Tables'!F43</f>
        <v>0</v>
      </c>
      <c r="G74" s="186">
        <f>+'OLD Tables'!L13+'OLD Tables'!G43</f>
        <v>0</v>
      </c>
      <c r="H74" s="1">
        <f>+'OLD Tables'!N13+'OLD Tables'!H43</f>
        <v>27909.01666666667</v>
      </c>
    </row>
    <row r="75" spans="1:8" ht="15" customHeight="1">
      <c r="A75" s="1" t="s">
        <v>698</v>
      </c>
      <c r="B75" s="185">
        <f>+'OLD Tables'!B14+'OLD Tables'!B44</f>
        <v>0</v>
      </c>
      <c r="C75" s="185">
        <f>+'OLD Tables'!D14+'OLD Tables'!C44</f>
        <v>0</v>
      </c>
      <c r="D75" s="185">
        <f>+'OLD Tables'!F14+'OLD Tables'!D44</f>
        <v>0</v>
      </c>
      <c r="E75" s="185">
        <f>+'OLD Tables'!H14+'OLD Tables'!E44</f>
        <v>0</v>
      </c>
      <c r="F75" s="185">
        <f>+'OLD Tables'!J14+'OLD Tables'!F44</f>
        <v>0</v>
      </c>
      <c r="G75" s="186">
        <f>+'OLD Tables'!L14+'OLD Tables'!G44</f>
        <v>0</v>
      </c>
      <c r="H75" s="185">
        <f>+'OLD Tables'!N14+'OLD Tables'!H44</f>
        <v>0</v>
      </c>
    </row>
    <row r="76" spans="1:8" ht="15" customHeight="1">
      <c r="B76" s="185"/>
      <c r="C76" s="185"/>
      <c r="D76" s="185"/>
      <c r="E76" s="185"/>
      <c r="F76" s="185"/>
      <c r="G76" s="186"/>
      <c r="H76" s="185"/>
    </row>
    <row r="77" spans="1:8" ht="15" customHeight="1">
      <c r="A77" s="1" t="s">
        <v>699</v>
      </c>
      <c r="B77" s="185">
        <f>+'OLD Tables'!B16+'OLD Tables'!B46</f>
        <v>89146.304166666669</v>
      </c>
      <c r="C77" s="185">
        <f>+'OLD Tables'!D16+'OLD Tables'!C46</f>
        <v>32846.436499999996</v>
      </c>
      <c r="D77" s="185">
        <f>+'OLD Tables'!F16+'OLD Tables'!D46</f>
        <v>80768.150000000009</v>
      </c>
      <c r="E77" s="185">
        <f>+'OLD Tables'!H16+'OLD Tables'!E46</f>
        <v>50832.983333333337</v>
      </c>
      <c r="F77" s="185">
        <f>+'OLD Tables'!J16+'OLD Tables'!F46</f>
        <v>12613.391666666668</v>
      </c>
      <c r="G77" s="186">
        <f>+'OLD Tables'!L16+'OLD Tables'!G46</f>
        <v>22397.8</v>
      </c>
      <c r="H77" s="185">
        <f>+'OLD Tables'!N16+'OLD Tables'!H46</f>
        <v>288605.0656666666</v>
      </c>
    </row>
    <row r="78" spans="1:8" ht="15" customHeight="1">
      <c r="A78" s="1" t="s">
        <v>700</v>
      </c>
      <c r="B78" s="185">
        <f>+'OLD Tables'!B17+'OLD Tables'!B47</f>
        <v>40266.991666666669</v>
      </c>
      <c r="C78" s="185">
        <f>+'OLD Tables'!D17+'OLD Tables'!C47</f>
        <v>0</v>
      </c>
      <c r="D78" s="185">
        <f>+'OLD Tables'!F17+'OLD Tables'!D47</f>
        <v>52954.166666666664</v>
      </c>
      <c r="E78" s="185">
        <f>+'OLD Tables'!H17+'OLD Tables'!E47</f>
        <v>1733.5166666666667</v>
      </c>
      <c r="F78" s="185">
        <f>+'OLD Tables'!J17+'OLD Tables'!F47</f>
        <v>0</v>
      </c>
      <c r="G78" s="186">
        <f>+'OLD Tables'!L17+'OLD Tables'!G47</f>
        <v>0</v>
      </c>
      <c r="H78" s="185">
        <f>+'OLD Tables'!N17+'OLD Tables'!H47</f>
        <v>94954.675000000003</v>
      </c>
    </row>
    <row r="79" spans="1:8" ht="15" customHeight="1">
      <c r="A79" s="1" t="s">
        <v>701</v>
      </c>
      <c r="B79" s="185">
        <f>+'OLD Tables'!B18+'OLD Tables'!B48</f>
        <v>31105.308333333334</v>
      </c>
      <c r="C79" s="185">
        <f>+'OLD Tables'!D18+'OLD Tables'!C48</f>
        <v>30104.024999999998</v>
      </c>
      <c r="D79" s="185">
        <f>+'OLD Tables'!F18+'OLD Tables'!D48</f>
        <v>31512.616666666661</v>
      </c>
      <c r="E79" s="185">
        <f>+'OLD Tables'!H18+'OLD Tables'!E48</f>
        <v>26563.833333333332</v>
      </c>
      <c r="F79" s="185">
        <f>+'OLD Tables'!J18+'OLD Tables'!F48</f>
        <v>1679.825</v>
      </c>
      <c r="G79" s="186">
        <f>+'OLD Tables'!L18+'OLD Tables'!G48</f>
        <v>2683.3333333333335</v>
      </c>
      <c r="H79" s="185">
        <f>+'OLD Tables'!N18+'OLD Tables'!H48</f>
        <v>123648.94166666667</v>
      </c>
    </row>
    <row r="80" spans="1:8" ht="15" customHeight="1">
      <c r="A80" s="1" t="s">
        <v>702</v>
      </c>
      <c r="B80" s="185">
        <f>+'OLD Tables'!B19+'OLD Tables'!B49</f>
        <v>35685.324999999997</v>
      </c>
      <c r="C80" s="185">
        <f>+'OLD Tables'!D19+'OLD Tables'!C49</f>
        <v>19134.533333333333</v>
      </c>
      <c r="D80" s="185">
        <f>+'OLD Tables'!F19+'OLD Tables'!D49</f>
        <v>22864.895833333336</v>
      </c>
      <c r="E80" s="185">
        <f>+'OLD Tables'!H19+'OLD Tables'!E49</f>
        <v>20493.254166666666</v>
      </c>
      <c r="F80" s="185">
        <f>+'OLD Tables'!J19+'OLD Tables'!F49</f>
        <v>2030.0333333333333</v>
      </c>
      <c r="G80" s="186">
        <f>+'OLD Tables'!L19+'OLD Tables'!G49</f>
        <v>1584.0916666666667</v>
      </c>
      <c r="H80" s="185">
        <f>+'OLD Tables'!N19+'OLD Tables'!H49</f>
        <v>101792.13333333332</v>
      </c>
    </row>
    <row r="81" spans="1:13" ht="15" customHeight="1">
      <c r="B81" s="185"/>
      <c r="C81" s="185"/>
      <c r="D81" s="185"/>
      <c r="E81" s="185"/>
      <c r="F81" s="185"/>
      <c r="G81" s="186"/>
      <c r="H81" s="185"/>
    </row>
    <row r="82" spans="1:13" ht="15" customHeight="1">
      <c r="A82" s="1" t="s">
        <v>703</v>
      </c>
      <c r="B82" s="185">
        <f>+'OLD Tables'!B21+'OLD Tables'!B51</f>
        <v>53900.066666666673</v>
      </c>
      <c r="C82" s="185">
        <f>+'OLD Tables'!D21+'OLD Tables'!C51</f>
        <v>5845.0749999999998</v>
      </c>
      <c r="D82" s="185">
        <f>+'OLD Tables'!F21+'OLD Tables'!D51</f>
        <v>0</v>
      </c>
      <c r="E82" s="185">
        <f>+'OLD Tables'!H21+'OLD Tables'!E51</f>
        <v>10234.908333333335</v>
      </c>
      <c r="F82" s="185">
        <f>+'OLD Tables'!J21+'OLD Tables'!F51</f>
        <v>0</v>
      </c>
      <c r="G82" s="186">
        <f>+'OLD Tables'!L21+'OLD Tables'!G51</f>
        <v>0</v>
      </c>
      <c r="H82" s="185">
        <f>+'OLD Tables'!N21+'OLD Tables'!H51</f>
        <v>69980.05</v>
      </c>
    </row>
    <row r="83" spans="1:13" ht="15" customHeight="1">
      <c r="A83" s="1" t="s">
        <v>704</v>
      </c>
      <c r="B83" s="185">
        <f>+'OLD Tables'!B22+'OLD Tables'!B52</f>
        <v>103197.86458333333</v>
      </c>
      <c r="C83" s="185">
        <f>+'OLD Tables'!D22+'OLD Tables'!C52</f>
        <v>36547.308333333334</v>
      </c>
      <c r="D83" s="185">
        <f>+'OLD Tables'!F22+'OLD Tables'!D52</f>
        <v>53958.941666666666</v>
      </c>
      <c r="E83" s="185">
        <f>+'OLD Tables'!H22+'OLD Tables'!E52</f>
        <v>5735.1416666666664</v>
      </c>
      <c r="F83" s="185">
        <f>+'OLD Tables'!J22+'OLD Tables'!F52</f>
        <v>11954.533333333335</v>
      </c>
      <c r="G83" s="186">
        <f>+'OLD Tables'!L22+'OLD Tables'!G52</f>
        <v>4962.7916666666661</v>
      </c>
      <c r="H83" s="185">
        <f>+'OLD Tables'!N22+'OLD Tables'!H52</f>
        <v>216356.58124999999</v>
      </c>
    </row>
    <row r="84" spans="1:13" ht="15" customHeight="1">
      <c r="A84" s="1" t="s">
        <v>705</v>
      </c>
      <c r="B84" s="185">
        <f>+'OLD Tables'!B23+'OLD Tables'!B53</f>
        <v>0</v>
      </c>
      <c r="C84" s="185">
        <f>+'OLD Tables'!D23+'OLD Tables'!C53</f>
        <v>0</v>
      </c>
      <c r="D84" s="185">
        <f>+'OLD Tables'!F23+'OLD Tables'!D53</f>
        <v>0</v>
      </c>
      <c r="E84" s="185">
        <f>+'OLD Tables'!H23+'OLD Tables'!E53</f>
        <v>0</v>
      </c>
      <c r="F84" s="185">
        <f>+'OLD Tables'!J23+'OLD Tables'!F53</f>
        <v>0</v>
      </c>
      <c r="G84" s="186">
        <f>+'OLD Tables'!L23+'OLD Tables'!G53</f>
        <v>0</v>
      </c>
      <c r="H84" s="185">
        <f>+'OLD Tables'!N23+'OLD Tables'!H53</f>
        <v>0</v>
      </c>
    </row>
    <row r="85" spans="1:13" ht="15" customHeight="1">
      <c r="A85" s="1" t="s">
        <v>706</v>
      </c>
      <c r="B85" s="185">
        <f>+'OLD Tables'!B24+'OLD Tables'!B54</f>
        <v>60640.558333333334</v>
      </c>
      <c r="C85" s="185">
        <f>+'OLD Tables'!D24+'OLD Tables'!C54</f>
        <v>0</v>
      </c>
      <c r="D85" s="185">
        <f>+'OLD Tables'!F24+'OLD Tables'!D54</f>
        <v>19131.3</v>
      </c>
      <c r="E85" s="185">
        <f>+'OLD Tables'!H24+'OLD Tables'!E54</f>
        <v>9974.9249999999993</v>
      </c>
      <c r="F85" s="185">
        <f>+'OLD Tables'!J24+'OLD Tables'!F54</f>
        <v>8883.3166666666657</v>
      </c>
      <c r="G85" s="186">
        <f>+'OLD Tables'!L24+'OLD Tables'!G54</f>
        <v>10461.049999999999</v>
      </c>
      <c r="H85" s="185">
        <f>+'OLD Tables'!N24+'OLD Tables'!H54</f>
        <v>109091.15</v>
      </c>
    </row>
    <row r="86" spans="1:13" ht="15" customHeight="1">
      <c r="B86" s="185"/>
      <c r="C86" s="185"/>
      <c r="D86" s="185"/>
      <c r="E86" s="185"/>
      <c r="F86" s="185"/>
      <c r="G86" s="186"/>
      <c r="H86" s="185"/>
    </row>
    <row r="87" spans="1:13" ht="15" customHeight="1">
      <c r="A87" s="1" t="s">
        <v>707</v>
      </c>
      <c r="B87" s="185">
        <f>+'OLD Tables'!B26+'OLD Tables'!B56</f>
        <v>44857.108333333337</v>
      </c>
      <c r="C87" s="185">
        <f>+'OLD Tables'!D26+'OLD Tables'!C56</f>
        <v>37241.091666666667</v>
      </c>
      <c r="D87" s="185">
        <f>+'OLD Tables'!F26+'OLD Tables'!D56</f>
        <v>28621.250000000004</v>
      </c>
      <c r="E87" s="185">
        <f>+'OLD Tables'!H26+'OLD Tables'!E56</f>
        <v>5876.0916666666672</v>
      </c>
      <c r="F87" s="185">
        <f>+'OLD Tables'!J26+'OLD Tables'!F56</f>
        <v>0</v>
      </c>
      <c r="G87" s="186">
        <f>+'OLD Tables'!L26+'OLD Tables'!G56</f>
        <v>0</v>
      </c>
      <c r="H87" s="185">
        <f>+'OLD Tables'!N26+'OLD Tables'!H56</f>
        <v>116595.54166666669</v>
      </c>
    </row>
    <row r="88" spans="1:13" ht="15" customHeight="1">
      <c r="A88" s="1" t="s">
        <v>708</v>
      </c>
      <c r="B88" s="185">
        <f>+'OLD Tables'!B27+'OLD Tables'!B57</f>
        <v>300801.43333333329</v>
      </c>
      <c r="C88" s="185">
        <f>+'OLD Tables'!D27+'OLD Tables'!C57</f>
        <v>64355.558333333342</v>
      </c>
      <c r="D88" s="185">
        <f>+'OLD Tables'!F27+'OLD Tables'!D57</f>
        <v>167842.61666666667</v>
      </c>
      <c r="E88" s="185">
        <f>+'OLD Tables'!H27+'OLD Tables'!E57</f>
        <v>24458.466666666667</v>
      </c>
      <c r="F88" s="185">
        <f>+'OLD Tables'!J27+'OLD Tables'!F57</f>
        <v>2349.1083333333331</v>
      </c>
      <c r="G88" s="186">
        <f>+'OLD Tables'!L27+'OLD Tables'!G57</f>
        <v>0</v>
      </c>
      <c r="H88" s="185">
        <f>+'OLD Tables'!N27+'OLD Tables'!H57</f>
        <v>559807.18333333335</v>
      </c>
    </row>
    <row r="89" spans="1:13" ht="15" customHeight="1">
      <c r="A89" s="1" t="s">
        <v>709</v>
      </c>
      <c r="B89" s="185">
        <f>+'OLD Tables'!B28+'OLD Tables'!B58</f>
        <v>140599.49166666667</v>
      </c>
      <c r="C89" s="185">
        <f>+'OLD Tables'!D28+'OLD Tables'!C58</f>
        <v>8675.5725000000002</v>
      </c>
      <c r="D89" s="185">
        <f>+'OLD Tables'!F28+'OLD Tables'!D58</f>
        <v>34179.674999999996</v>
      </c>
      <c r="E89" s="185">
        <f>+'OLD Tables'!H28+'OLD Tables'!E58</f>
        <v>4913.1083333333336</v>
      </c>
      <c r="F89" s="185">
        <f>+'OLD Tables'!J28+'OLD Tables'!F58</f>
        <v>13072.95</v>
      </c>
      <c r="G89" s="186">
        <f>+'OLD Tables'!L28+'OLD Tables'!G58</f>
        <v>1527.3666666666666</v>
      </c>
      <c r="H89" s="185">
        <f>+'OLD Tables'!N28+'OLD Tables'!H58</f>
        <v>202968.16416666668</v>
      </c>
    </row>
    <row r="90" spans="1:13" ht="15" customHeight="1">
      <c r="A90" s="166" t="s">
        <v>710</v>
      </c>
      <c r="B90" s="188">
        <f>+'OLD Tables'!B29+'OLD Tables'!B59</f>
        <v>23669.774999999998</v>
      </c>
      <c r="C90" s="188">
        <f>+'OLD Tables'!D29+'OLD Tables'!C59</f>
        <v>0</v>
      </c>
      <c r="D90" s="188">
        <f>+'OLD Tables'!F29+'OLD Tables'!D59</f>
        <v>10516.116666666667</v>
      </c>
      <c r="E90" s="188">
        <f>+'OLD Tables'!H29+'OLD Tables'!E59</f>
        <v>4570.9083333333328</v>
      </c>
      <c r="F90" s="188">
        <f>+'OLD Tables'!J29+'OLD Tables'!F59</f>
        <v>8030.791666666667</v>
      </c>
      <c r="G90" s="189">
        <f>+'OLD Tables'!L29+'OLD Tables'!G59</f>
        <v>3596.1</v>
      </c>
      <c r="H90" s="188">
        <f>+'OLD Tables'!N29+'OLD Tables'!H59</f>
        <v>50383.691666666666</v>
      </c>
    </row>
    <row r="91" spans="1:13" ht="51.75" customHeight="1">
      <c r="A91" s="645" t="s">
        <v>949</v>
      </c>
      <c r="B91" s="652"/>
      <c r="C91" s="652"/>
      <c r="D91" s="652"/>
      <c r="E91" s="652"/>
      <c r="F91" s="652"/>
      <c r="G91" s="652"/>
      <c r="H91" s="652"/>
    </row>
    <row r="92" spans="1:13">
      <c r="A92" s="191"/>
      <c r="B92" s="178"/>
      <c r="C92" s="178"/>
      <c r="D92" s="178"/>
      <c r="E92" s="178"/>
      <c r="F92" s="178"/>
      <c r="G92" s="178"/>
      <c r="H92" s="192" t="s">
        <v>920</v>
      </c>
    </row>
    <row r="93" spans="1:13" ht="18">
      <c r="A93" s="649" t="s">
        <v>716</v>
      </c>
      <c r="B93" s="649"/>
      <c r="C93" s="649"/>
      <c r="D93" s="649"/>
      <c r="E93" s="649"/>
      <c r="F93" s="649"/>
      <c r="G93" s="649"/>
      <c r="H93" s="649"/>
      <c r="I93" s="649"/>
      <c r="J93" s="649"/>
      <c r="K93" s="200"/>
      <c r="L93" s="200"/>
      <c r="M93" s="200"/>
    </row>
    <row r="94" spans="1:13" ht="15.75">
      <c r="A94" s="120"/>
      <c r="B94" s="120"/>
      <c r="C94" s="120"/>
      <c r="D94" s="120"/>
      <c r="E94" s="120"/>
      <c r="F94" s="120"/>
      <c r="G94" s="120"/>
      <c r="H94" s="120"/>
      <c r="I94" s="120"/>
      <c r="J94" s="120"/>
      <c r="K94" s="120"/>
      <c r="L94" s="120"/>
      <c r="M94" s="120"/>
    </row>
    <row r="95" spans="1:13" ht="15.75">
      <c r="A95" s="644" t="s">
        <v>717</v>
      </c>
      <c r="B95" s="644"/>
      <c r="C95" s="644"/>
      <c r="D95" s="644"/>
      <c r="E95" s="644"/>
      <c r="F95" s="644"/>
      <c r="G95" s="644"/>
      <c r="H95" s="644"/>
      <c r="I95" s="644"/>
      <c r="J95" s="644"/>
      <c r="K95" s="201"/>
      <c r="L95" s="201"/>
      <c r="M95" s="201"/>
    </row>
    <row r="96" spans="1:13" ht="15.75">
      <c r="A96" s="644" t="s">
        <v>843</v>
      </c>
      <c r="B96" s="644"/>
      <c r="C96" s="644"/>
      <c r="D96" s="644"/>
      <c r="E96" s="644"/>
      <c r="F96" s="644"/>
      <c r="G96" s="644"/>
      <c r="H96" s="644"/>
      <c r="I96" s="644"/>
      <c r="J96" s="644"/>
      <c r="K96" s="201"/>
      <c r="L96" s="201"/>
      <c r="M96" s="201"/>
    </row>
    <row r="98" spans="1:13" ht="15" customHeight="1">
      <c r="A98" s="204"/>
      <c r="B98" s="205" t="s">
        <v>719</v>
      </c>
      <c r="C98" s="205"/>
      <c r="D98" s="126"/>
      <c r="E98" s="126"/>
      <c r="F98" s="206"/>
      <c r="G98" s="207" t="s">
        <v>720</v>
      </c>
      <c r="H98" s="127"/>
      <c r="I98" s="208"/>
      <c r="J98" s="119" t="s">
        <v>721</v>
      </c>
      <c r="K98" s="119" t="s">
        <v>721</v>
      </c>
      <c r="L98" s="61"/>
      <c r="M98" s="119"/>
    </row>
    <row r="99" spans="1:13" ht="24">
      <c r="A99" s="129"/>
      <c r="B99" s="212" t="s">
        <v>722</v>
      </c>
      <c r="C99" s="183">
        <v>1</v>
      </c>
      <c r="D99" s="183">
        <v>2</v>
      </c>
      <c r="E99" s="183">
        <v>3</v>
      </c>
      <c r="F99" s="213" t="s">
        <v>679</v>
      </c>
      <c r="G99" s="214">
        <v>1</v>
      </c>
      <c r="H99" s="215">
        <v>2</v>
      </c>
      <c r="I99" s="183" t="s">
        <v>679</v>
      </c>
      <c r="J99" s="216"/>
      <c r="K99" s="216"/>
      <c r="L99" s="216"/>
      <c r="M99" s="216"/>
    </row>
    <row r="100" spans="1:13" ht="15" customHeight="1">
      <c r="A100" s="1" t="s">
        <v>687</v>
      </c>
      <c r="B100" s="159">
        <f>+GETPIVOTDATA("Sum of Old-Total Undg SCH FTE",'FTE Pivot for regular counts'!$A$2,"Category","7","Category2","Two-Year")</f>
        <v>308196.33333333337</v>
      </c>
      <c r="C100" s="159">
        <f>+GETPIVOTDATA("Sum of Old-Total Undg SCH FTE",'FTE Pivot for regular counts'!$A$2,"Category","8","Category2","Two-Year")</f>
        <v>668611.45000000007</v>
      </c>
      <c r="D100" s="159">
        <f>+GETPIVOTDATA("Sum of Old-Total Undg SCH FTE",'FTE Pivot for regular counts'!$A$2,"Category",9,"Category2","Two-Year")</f>
        <v>314394.3066666667</v>
      </c>
      <c r="E100" s="159">
        <f>+GETPIVOTDATA("Sum of Old-Total Undg SCH FTE",'FTE Pivot for regular counts'!$A$2,"Category","10","Category2","Two-Year")</f>
        <v>126402.925</v>
      </c>
      <c r="F100" s="217">
        <f>+GETPIVOTDATA("Sum of Old-Total Undg SCH FTE",'FTE Pivot for regular counts'!$A$2,"Category2","Two-Year")</f>
        <v>1417605.0150000001</v>
      </c>
      <c r="G100" s="218">
        <f>+GETPIVOTDATA("Sum of Old-Total Undg SCH FTE",'FTE Pivot for regular counts'!$A$2,"Category","12","Category2","Technical")</f>
        <v>79029.083333333343</v>
      </c>
      <c r="H100" s="159">
        <f>+GETPIVOTDATA("Sum of Old-Total Undg SCH FTE",'FTE Pivot for regular counts'!$A$2,"Category","13","Category2","Technical")</f>
        <v>2000.0333333333333</v>
      </c>
      <c r="I100" s="1">
        <f>+GETPIVOTDATA("Sum of Old-Total Undg SCH FTE",'FTE Pivot for regular counts'!$A$2,"Category2","Technical")</f>
        <v>81029.116666666683</v>
      </c>
    </row>
    <row r="101" spans="1:13" ht="15" customHeight="1">
      <c r="B101" s="159"/>
      <c r="C101" s="159"/>
      <c r="D101" s="159"/>
      <c r="E101" s="159"/>
      <c r="F101" s="217"/>
      <c r="G101" s="218"/>
      <c r="H101" s="159"/>
    </row>
    <row r="102" spans="1:13" ht="15" customHeight="1">
      <c r="A102" s="1" t="s">
        <v>695</v>
      </c>
      <c r="B102" s="159">
        <f>+GETPIVOTDATA("Sum of Old-Total Undg SCH FTE",'FTE Pivot for regular counts'!$A$2,"State","AL","Category","7","Category2","Two-Year")</f>
        <v>0</v>
      </c>
      <c r="C102" s="159">
        <f>+GETPIVOTDATA("Sum of Old-Total Undg SCH FTE",'FTE Pivot for regular counts'!$A$2,"State","AL","Category","8","Category2","Two-Year")</f>
        <v>16464.533333333333</v>
      </c>
      <c r="D102" s="159">
        <f>+GETPIVOTDATA("Sum of Old-Total Undg SCH FTE",'FTE Pivot for regular counts'!$A$2,"State","AL","Category",9,"Category2","Two-Year")</f>
        <v>25167.600000000002</v>
      </c>
      <c r="E102" s="159">
        <f>+GETPIVOTDATA("Sum of Old-Total Undg SCH FTE",'FTE Pivot for regular counts'!$A$2,"State","AL","Category","10","Category2","Two-Year")</f>
        <v>9671.4333333333343</v>
      </c>
      <c r="F102" s="217">
        <f>+GETPIVOTDATA("Sum of Old-Total Undg SCH FTE",'FTE Pivot for regular counts'!$A$2,"State","AL","Category2","Two-Year")</f>
        <v>51303.566666666666</v>
      </c>
      <c r="G102" s="218">
        <f>+GETPIVOTDATA("Sum of Old-Total Undg SCH FTE",'FTE Pivot for regular counts'!$A$2,"State","AL","Category","12","Category2","Technical")</f>
        <v>1357.8666666666666</v>
      </c>
      <c r="H102" s="159">
        <f>+GETPIVOTDATA("Sum of Old-Total Undg SCH FTE",'FTE Pivot for regular counts'!$A$2,"State","AL","Category","13","Category2","Technical")</f>
        <v>1239.2666666666667</v>
      </c>
      <c r="I102" s="1">
        <f>+GETPIVOTDATA("Sum of Old-Total Undg SCH FTE",'FTE Pivot for regular counts'!$A$2,"State","AL","Category2","Technical")</f>
        <v>2597.1333333333332</v>
      </c>
    </row>
    <row r="103" spans="1:13" ht="15" customHeight="1">
      <c r="A103" s="1" t="s">
        <v>696</v>
      </c>
      <c r="B103" s="159">
        <f>+GETPIVOTDATA("Sum of Old-Total Undg SCH FTE",'FTE Pivot for regular counts'!$A$2,"State","AR","Category","7","Category2","Two-Year")</f>
        <v>0</v>
      </c>
      <c r="C103" s="159">
        <f>+GETPIVOTDATA("Sum of Old-Total Undg SCH FTE",'FTE Pivot for regular counts'!$A$2,"State","AR","Category","8","Category2","Two-Year")</f>
        <v>4698.7</v>
      </c>
      <c r="D103" s="159">
        <f>+GETPIVOTDATA("Sum of Old-Total Undg SCH FTE",'FTE Pivot for regular counts'!$A$2,"State","AR","Category",9,"Category2","Two-Year")</f>
        <v>6060.5333333333328</v>
      </c>
      <c r="E103" s="159">
        <f>+GETPIVOTDATA("Sum of Old-Total Undg SCH FTE",'FTE Pivot for regular counts'!$A$2,"State","AR","Category","10","Category2","Two-Year")</f>
        <v>18490.099999999999</v>
      </c>
      <c r="F103" s="217">
        <f>+GETPIVOTDATA("Sum of Old-Total Undg SCH FTE",'FTE Pivot for regular counts'!$A$2,"State","AR","Category2","Two-Year")</f>
        <v>29249.333333333332</v>
      </c>
      <c r="G103" s="218">
        <f>+GETPIVOTDATA("Sum of Old-Total Undg SCH FTE",'FTE Pivot for regular counts'!$A$2,"State","AR","Category","12","Category2","Technical")</f>
        <v>0</v>
      </c>
      <c r="H103" s="159">
        <f>+GETPIVOTDATA("Sum of Old-Total Undg SCH FTE",'FTE Pivot for regular counts'!$A$2,"State","AR","Category","13","Category2","Technical")</f>
        <v>0</v>
      </c>
      <c r="I103" s="1">
        <f>+GETPIVOTDATA("Sum of Old-Total Undg SCH FTE",'FTE Pivot for regular counts'!$A$2,"State","AR","Category2","Technical")</f>
        <v>0</v>
      </c>
    </row>
    <row r="104" spans="1:13" ht="15" customHeight="1">
      <c r="A104" s="1" t="s">
        <v>697</v>
      </c>
      <c r="B104" s="159">
        <f>+GETPIVOTDATA("Sum of Old-Total Undg SCH FTE",'FTE Pivot for regular counts'!$A$2,"State","DE","Category","7","Category2","Two-Year")</f>
        <v>8302.7000000000007</v>
      </c>
      <c r="C104" s="159">
        <f>+GETPIVOTDATA("Sum of Old-Total Undg SCH FTE",'FTE Pivot for regular counts'!$A$2,"State","DE","Category","8","Category2","Two-Year")</f>
        <v>0</v>
      </c>
      <c r="D104" s="159">
        <f>+GETPIVOTDATA("Sum of Old-Total Undg SCH FTE",'FTE Pivot for regular counts'!$A$2,"State","DE","Category",9,"Category2","Two-Year")</f>
        <v>0</v>
      </c>
      <c r="E104" s="159">
        <f>+GETPIVOTDATA("Sum of Old-Total Undg SCH FTE",'FTE Pivot for regular counts'!$A$2,"State","DE","Category","10","Category2","Two-Year")</f>
        <v>0</v>
      </c>
      <c r="F104" s="217">
        <f>+GETPIVOTDATA("Sum of Old-Total Undg SCH FTE",'FTE Pivot for regular counts'!$A$2,"State","DE","Category2","Two-Year")</f>
        <v>8302.7000000000007</v>
      </c>
      <c r="G104" s="218">
        <f>+GETPIVOTDATA("Sum of Old-Total Undg SCH FTE",'FTE Pivot for regular counts'!$A$2,"State","DE","Category","12","Category2","Technical")</f>
        <v>0</v>
      </c>
      <c r="H104" s="159">
        <f>+GETPIVOTDATA("Sum of Old-Total Undg SCH FTE",'FTE Pivot for regular counts'!$A$2,"State","DE","Category","13","Category2","Technical")</f>
        <v>0</v>
      </c>
      <c r="I104" s="1">
        <f>+GETPIVOTDATA("Sum of Old-Total Undg SCH FTE",'FTE Pivot for regular counts'!$A$2,"State","DE","Category2","Technical")</f>
        <v>0</v>
      </c>
    </row>
    <row r="105" spans="1:13" ht="15" customHeight="1">
      <c r="A105" s="1" t="s">
        <v>698</v>
      </c>
      <c r="B105" s="159">
        <f>+GETPIVOTDATA("Sum of Old-Total Undg SCH FTE",'FTE Pivot for regular counts'!$A$2,"State","FL","Category","7","Category2","Two-Year")</f>
        <v>262944.06666666671</v>
      </c>
      <c r="C105" s="159">
        <f>+GETPIVOTDATA("Sum of Old-Total Undg SCH FTE",'FTE Pivot for regular counts'!$A$2,"State","FL","Category","8","Category2","Two-Year")</f>
        <v>27310.366666666669</v>
      </c>
      <c r="D105" s="159">
        <f>+GETPIVOTDATA("Sum of Old-Total Undg SCH FTE",'FTE Pivot for regular counts'!$A$2,"State","FL","Category",9,"Category2","Two-Year")</f>
        <v>0</v>
      </c>
      <c r="E105" s="159">
        <f>+GETPIVOTDATA("Sum of Old-Total Undg SCH FTE",'FTE Pivot for regular counts'!$A$2,"State","FL","Category","10","Category2","Two-Year")</f>
        <v>1424.7333333333333</v>
      </c>
      <c r="F105" s="217">
        <f>+GETPIVOTDATA("Sum of Old-Total Undg SCH FTE",'FTE Pivot for regular counts'!$A$2,"State","FL","Category2","Two-Year")</f>
        <v>291679.16666666669</v>
      </c>
      <c r="G105" s="218">
        <f>+GETPIVOTDATA("Sum of Old-Total Undg SCH FTE",'FTE Pivot for regular counts'!$A$2,"State","FL","Category","12","Category2","Technical")</f>
        <v>0</v>
      </c>
      <c r="H105" s="159">
        <f>+GETPIVOTDATA("Sum of Old-Total Undg SCH FTE",'FTE Pivot for regular counts'!$A$2,"State","FL","Category","13","Category2","Technical")</f>
        <v>0</v>
      </c>
      <c r="I105" s="1">
        <f>+GETPIVOTDATA("Sum of Old-Total Undg SCH FTE",'FTE Pivot for regular counts'!$A$2,"State","FL","Category2","Technical")</f>
        <v>0</v>
      </c>
    </row>
    <row r="106" spans="1:13" ht="15" customHeight="1">
      <c r="B106" s="159"/>
      <c r="C106" s="159"/>
      <c r="D106" s="159"/>
      <c r="E106" s="159"/>
      <c r="F106" s="217"/>
      <c r="G106" s="218"/>
      <c r="H106" s="159"/>
    </row>
    <row r="107" spans="1:13" ht="15" customHeight="1">
      <c r="A107" s="1" t="s">
        <v>699</v>
      </c>
      <c r="B107" s="159">
        <f>+GETPIVOTDATA("Sum of Old-Total Undg SCH FTE",'FTE Pivot for regular counts'!$A$2,"State","GA","Category","7","Category2","Two-Year")</f>
        <v>9231.1</v>
      </c>
      <c r="C107" s="159">
        <f>+GETPIVOTDATA("Sum of Old-Total Undg SCH FTE",'FTE Pivot for regular counts'!$A$2,"State","GA","Category","8","Category2","Two-Year")</f>
        <v>0</v>
      </c>
      <c r="D107" s="159">
        <f>+GETPIVOTDATA("Sum of Old-Total Undg SCH FTE",'FTE Pivot for regular counts'!$A$2,"State","GA","Category",9,"Category2","Two-Year")</f>
        <v>0</v>
      </c>
      <c r="E107" s="159">
        <f>+GETPIVOTDATA("Sum of Old-Total Undg SCH FTE",'FTE Pivot for regular counts'!$A$2,"State","GA","Category","10","Category2","Two-Year")</f>
        <v>0</v>
      </c>
      <c r="F107" s="217">
        <f>+GETPIVOTDATA("Sum of Old-Total Undg SCH FTE",'FTE Pivot for regular counts'!$A$2,"State","GA","Category2","Two-Year")</f>
        <v>9231.1</v>
      </c>
      <c r="G107" s="218">
        <f>+GETPIVOTDATA("Sum of Old-Total Undg SCH FTE",'FTE Pivot for regular counts'!$A$2,"State","GA","Category","12","Category2","Technical")</f>
        <v>65212.350000000013</v>
      </c>
      <c r="H107" s="159">
        <f>+GETPIVOTDATA("Sum of Old-Total Undg SCH FTE",'FTE Pivot for regular counts'!$A$2,"State","GA","Category","13","Category2","Technical")</f>
        <v>0</v>
      </c>
      <c r="I107" s="1">
        <f>+GETPIVOTDATA("Sum of Old-Total Undg SCH FTE",'FTE Pivot for regular counts'!$A$2,"State","GA","Category2","Technical")</f>
        <v>65212.350000000013</v>
      </c>
    </row>
    <row r="108" spans="1:13" ht="15" customHeight="1">
      <c r="A108" s="1" t="s">
        <v>700</v>
      </c>
      <c r="B108" s="159">
        <f>+GETPIVOTDATA("Sum of Old-Total Undg SCH FTE",'FTE Pivot for regular counts'!$A$2,"State","KY","Category","7","Category2","Two-Year")</f>
        <v>0</v>
      </c>
      <c r="C108" s="159">
        <f>+GETPIVOTDATA("Sum of Old-Total Undg SCH FTE",'FTE Pivot for regular counts'!$A$2,"State","KY","Category","8","Category2","Two-Year")</f>
        <v>13026.133333333333</v>
      </c>
      <c r="D108" s="159">
        <f>+GETPIVOTDATA("Sum of Old-Total Undg SCH FTE",'FTE Pivot for regular counts'!$A$2,"State","KY","Category",9,"Category2","Two-Year")</f>
        <v>13746.499999999998</v>
      </c>
      <c r="E108" s="159">
        <f>+GETPIVOTDATA("Sum of Old-Total Undg SCH FTE",'FTE Pivot for regular counts'!$A$2,"State","KY","Category","10","Category2","Two-Year")</f>
        <v>10771.7</v>
      </c>
      <c r="F108" s="217">
        <f>+GETPIVOTDATA("Sum of Old-Total Undg SCH FTE",'FTE Pivot for regular counts'!$A$2,"State","KY","Category2","Two-Year")</f>
        <v>37544.333333333328</v>
      </c>
      <c r="G108" s="218">
        <f>+GETPIVOTDATA("Sum of Old-Total Undg SCH FTE",'FTE Pivot for regular counts'!$A$2,"State","KY","Category","12","Category2","Technical")</f>
        <v>5040.7</v>
      </c>
      <c r="H108" s="159">
        <f>+GETPIVOTDATA("Sum of Old-Total Undg SCH FTE",'FTE Pivot for regular counts'!$A$2,"State","KY","Category","13","Category2","Technical")</f>
        <v>0</v>
      </c>
      <c r="I108" s="1">
        <f>+GETPIVOTDATA("Sum of Old-Total Undg SCH FTE",'FTE Pivot for regular counts'!$A$2,"State","KY","Category2","Technical")</f>
        <v>5040.7</v>
      </c>
    </row>
    <row r="109" spans="1:13" ht="15" customHeight="1">
      <c r="A109" s="1" t="s">
        <v>701</v>
      </c>
      <c r="B109" s="159">
        <f>+GETPIVOTDATA("Sum of Old-Total Undg SCH FTE",'FTE Pivot for regular counts'!$A$2,"State","LA","Category","7","Category2","Two-Year")</f>
        <v>0</v>
      </c>
      <c r="C109" s="159">
        <f>+GETPIVOTDATA("Sum of Old-Total Undg SCH FTE",'FTE Pivot for regular counts'!$A$2,"State","LA","Category","8","Category2","Two-Year")</f>
        <v>14350.5</v>
      </c>
      <c r="D109" s="159">
        <f>+GETPIVOTDATA("Sum of Old-Total Undg SCH FTE",'FTE Pivot for regular counts'!$A$2,"State","LA","Category",9,"Category2","Two-Year")</f>
        <v>15767.833333333334</v>
      </c>
      <c r="E109" s="159">
        <f>+GETPIVOTDATA("Sum of Old-Total Undg SCH FTE",'FTE Pivot for regular counts'!$A$2,"State","LA","Category","10","Category2","Two-Year")</f>
        <v>3439.0333333333333</v>
      </c>
      <c r="F109" s="217">
        <f>+GETPIVOTDATA("Sum of Old-Total Undg SCH FTE",'FTE Pivot for regular counts'!$A$2,"State","LA","Category2","Two-Year")</f>
        <v>33557.366666666669</v>
      </c>
      <c r="G109" s="218">
        <f>+GETPIVOTDATA("Sum of Old-Total Undg SCH FTE",'FTE Pivot for regular counts'!$A$2,"State","LA","Category","12","Category2","Technical")</f>
        <v>7418.1666666666661</v>
      </c>
      <c r="H109" s="159">
        <f>+GETPIVOTDATA("Sum of Old-Total Undg SCH FTE",'FTE Pivot for regular counts'!$A$2,"State","LA","Category","13","Category2","Technical")</f>
        <v>760.76666666666665</v>
      </c>
      <c r="I109" s="1">
        <f>+GETPIVOTDATA("Sum of Old-Total Undg SCH FTE",'FTE Pivot for regular counts'!$A$2,"State","LA","Category2","Technical")</f>
        <v>8178.9333333333325</v>
      </c>
    </row>
    <row r="110" spans="1:13" ht="15" customHeight="1">
      <c r="A110" s="1" t="s">
        <v>829</v>
      </c>
      <c r="B110" s="159">
        <f>+GETPIVOTDATA("Sum of Old-Total Undg SCH FTE",'FTE Pivot for regular counts'!$A$2,"State","MD","Category","7","Category2","Two-Year")</f>
        <v>0</v>
      </c>
      <c r="C110" s="159">
        <f>+GETPIVOTDATA("Sum of Old-Total Undg SCH FTE",'FTE Pivot for regular counts'!$A$2,"State","MD","Category","8","Category2","Two-Year")</f>
        <v>58575.316666666666</v>
      </c>
      <c r="D110" s="159">
        <f>+GETPIVOTDATA("Sum of Old-Total Undg SCH FTE",'FTE Pivot for regular counts'!$A$2,"State","MD","Category",9,"Category2","Two-Year")</f>
        <v>18163.383333333331</v>
      </c>
      <c r="E110" s="159">
        <f>+GETPIVOTDATA("Sum of Old-Total Undg SCH FTE",'FTE Pivot for regular counts'!$A$2,"State","MD","Category","10","Category2","Two-Year")</f>
        <v>5960.6416666666664</v>
      </c>
      <c r="F110" s="217">
        <f>+GETPIVOTDATA("Sum of Old-Total Undg SCH FTE",'FTE Pivot for regular counts'!$A$2,"State","MD","Category2","Two-Year")</f>
        <v>82699.34166666666</v>
      </c>
      <c r="G110" s="218">
        <f>+GETPIVOTDATA("Sum of Old-Total Undg SCH FTE",'FTE Pivot for regular counts'!$A$2,"State","MD","Category","12","Category2","Technical")</f>
        <v>0</v>
      </c>
      <c r="H110" s="159">
        <f>+GETPIVOTDATA("Sum of Old-Total Undg SCH FTE",'FTE Pivot for regular counts'!$A$2,"State","MD","Category","13","Category2","Technical")</f>
        <v>0</v>
      </c>
      <c r="I110" s="1">
        <f>+GETPIVOTDATA("Sum of Old-Total Undg SCH FTE",'FTE Pivot for regular counts'!$A$2,"State","MD","Category2","Technical")</f>
        <v>0</v>
      </c>
    </row>
    <row r="111" spans="1:13" ht="15" customHeight="1">
      <c r="B111" s="159"/>
      <c r="C111" s="159"/>
      <c r="D111" s="159"/>
      <c r="E111" s="159"/>
      <c r="F111" s="217"/>
      <c r="G111" s="218"/>
      <c r="H111" s="159"/>
    </row>
    <row r="112" spans="1:13" ht="15" customHeight="1">
      <c r="A112" s="1" t="s">
        <v>703</v>
      </c>
      <c r="B112" s="159">
        <f>+GETPIVOTDATA("Sum of Old-Total Undg SCH FTE",'FTE Pivot for regular counts'!$A$2,"State","MS","Category","7","Category2","Two-Year")</f>
        <v>0</v>
      </c>
      <c r="C112" s="159">
        <f>+GETPIVOTDATA("Sum of Old-Total Undg SCH FTE",'FTE Pivot for regular counts'!$A$2,"State","MS","Category","8","Category2","Two-Year")</f>
        <v>25751.166666666664</v>
      </c>
      <c r="D112" s="159">
        <f>+GETPIVOTDATA("Sum of Old-Total Undg SCH FTE",'FTE Pivot for regular counts'!$A$2,"State","MS","Category",9,"Category2","Two-Year")</f>
        <v>29643.749999999996</v>
      </c>
      <c r="E112" s="159">
        <f>+GETPIVOTDATA("Sum of Old-Total Undg SCH FTE",'FTE Pivot for regular counts'!$A$2,"State","MS","Category","10","Category2","Two-Year")</f>
        <v>3462.0666666666666</v>
      </c>
      <c r="F112" s="217">
        <f>+GETPIVOTDATA("Sum of Old-Total Undg SCH FTE",'FTE Pivot for regular counts'!$A$2,"State","MS","Category2","Two-Year")</f>
        <v>58856.983333333323</v>
      </c>
      <c r="G112" s="218">
        <f>+GETPIVOTDATA("Sum of Old-Total Undg SCH FTE",'FTE Pivot for regular counts'!$A$2,"State","MS","Category","12","Category2","Technical")</f>
        <v>0</v>
      </c>
      <c r="H112" s="159">
        <f>+GETPIVOTDATA("Sum of Old-Total Undg SCH FTE",'FTE Pivot for regular counts'!$A$2,"State","MS","Category","13","Category2","Technical")</f>
        <v>0</v>
      </c>
      <c r="I112" s="1">
        <f>+GETPIVOTDATA("Sum of Old-Total Undg SCH FTE",'FTE Pivot for regular counts'!$A$2,"State","MS","Category2","Technical")</f>
        <v>0</v>
      </c>
    </row>
    <row r="113" spans="1:13" ht="15" customHeight="1">
      <c r="A113" s="1" t="s">
        <v>704</v>
      </c>
      <c r="B113" s="159">
        <f>+GETPIVOTDATA("Sum of Old-Total Undg SCH FTE",'FTE Pivot for regular counts'!$A$2,"State","NC","Category","7","Category2","Two-Year")</f>
        <v>0</v>
      </c>
      <c r="C113" s="159">
        <f>+GETPIVOTDATA("Sum of Old-Total Undg SCH FTE",'FTE Pivot for regular counts'!$A$2,"State","NC","Category","8","Category2","Two-Year")</f>
        <v>69690.416666666672</v>
      </c>
      <c r="D113" s="159">
        <f>+GETPIVOTDATA("Sum of Old-Total Undg SCH FTE",'FTE Pivot for regular counts'!$A$2,"State","NC","Category",9,"Category2","Two-Year")</f>
        <v>54635.726666666669</v>
      </c>
      <c r="E113" s="159">
        <f>+GETPIVOTDATA("Sum of Old-Total Undg SCH FTE",'FTE Pivot for regular counts'!$A$2,"State","NC","Category","10","Category2","Two-Year")</f>
        <v>26095.95</v>
      </c>
      <c r="F113" s="217">
        <f>+GETPIVOTDATA("Sum of Old-Total Undg SCH FTE",'FTE Pivot for regular counts'!$A$2,"State","NC","Category2","Two-Year")</f>
        <v>150422.09333333335</v>
      </c>
      <c r="G113" s="218">
        <f>+GETPIVOTDATA("Sum of Old-Total Undg SCH FTE",'FTE Pivot for regular counts'!$A$2,"State","NC","Category","12","Category2","Technical")</f>
        <v>0</v>
      </c>
      <c r="H113" s="159">
        <f>+GETPIVOTDATA("Sum of Old-Total Undg SCH FTE",'FTE Pivot for regular counts'!$A$2,"State","NC","Category","13","Category2","Technical")</f>
        <v>0</v>
      </c>
      <c r="I113" s="1">
        <f>+GETPIVOTDATA("Sum of Old-Total Undg SCH FTE",'FTE Pivot for regular counts'!$A$2,"State","NC","Category2","Technical")</f>
        <v>0</v>
      </c>
    </row>
    <row r="114" spans="1:13" ht="15" customHeight="1">
      <c r="A114" s="1" t="s">
        <v>705</v>
      </c>
      <c r="B114" s="159">
        <f>+GETPIVOTDATA("Sum of Old-Total Undg SCH FTE",'FTE Pivot for regular counts'!$A$2,"State","OK","Category","7","Category2","Two-Year")</f>
        <v>0</v>
      </c>
      <c r="C114" s="159">
        <f>+GETPIVOTDATA("Sum of Old-Total Undg SCH FTE",'FTE Pivot for regular counts'!$A$2,"State","OK","Category","8","Category2","Two-Year")</f>
        <v>0</v>
      </c>
      <c r="D114" s="159">
        <f>+GETPIVOTDATA("Sum of Old-Total Undg SCH FTE",'FTE Pivot for regular counts'!$A$2,"State","OK","Category",9,"Category2","Two-Year")</f>
        <v>0</v>
      </c>
      <c r="E114" s="159">
        <f>+GETPIVOTDATA("Sum of Old-Total Undg SCH FTE",'FTE Pivot for regular counts'!$A$2,"State","OK","Category","10","Category2","Two-Year")</f>
        <v>0</v>
      </c>
      <c r="F114" s="217">
        <f>+GETPIVOTDATA("Sum of Old-Total Undg SCH FTE",'FTE Pivot for regular counts'!$A$2,"State","OK","Category2","Two-Year")</f>
        <v>0</v>
      </c>
      <c r="G114" s="218">
        <f>+GETPIVOTDATA("Sum of Old-Total Undg SCH FTE",'FTE Pivot for regular counts'!$A$2,"State","OK","Category","12","Category2","Technical")</f>
        <v>0</v>
      </c>
      <c r="H114" s="159">
        <f>+GETPIVOTDATA("Sum of Old-Total Undg SCH FTE",'FTE Pivot for regular counts'!$A$2,"State","OK","Category","13","Category2","Technical")</f>
        <v>0</v>
      </c>
      <c r="I114" s="1">
        <f>+GETPIVOTDATA("Sum of Old-Total Undg SCH FTE",'FTE Pivot for regular counts'!$A$2,"State","OK","Category2","Technical")</f>
        <v>0</v>
      </c>
    </row>
    <row r="115" spans="1:13" ht="15" customHeight="1">
      <c r="A115" s="1" t="s">
        <v>706</v>
      </c>
      <c r="B115" s="159">
        <f>+GETPIVOTDATA("Sum of Old-Total Undg SCH FTE",'FTE Pivot for regular counts'!$A$2,"State","SC","Category","7","Category2","Two-Year")</f>
        <v>0</v>
      </c>
      <c r="C115" s="159">
        <f>+GETPIVOTDATA("Sum of Old-Total Undg SCH FTE",'FTE Pivot for regular counts'!$A$2,"State","SC","Category","8","Category2","Two-Year")</f>
        <v>27210.300000000003</v>
      </c>
      <c r="D115" s="159">
        <f>+GETPIVOTDATA("Sum of Old-Total Undg SCH FTE",'FTE Pivot for regular counts'!$A$2,"State","SC","Category",9,"Category2","Two-Year")</f>
        <v>19132.266666666666</v>
      </c>
      <c r="E115" s="159">
        <f>+GETPIVOTDATA("Sum of Old-Total Undg SCH FTE",'FTE Pivot for regular counts'!$A$2,"State","SC","Category","10","Category2","Two-Year")</f>
        <v>9627.6666666666661</v>
      </c>
      <c r="F115" s="217">
        <f>+GETPIVOTDATA("Sum of Old-Total Undg SCH FTE",'FTE Pivot for regular counts'!$A$2,"State","SC","Category2","Two-Year")</f>
        <v>55970.23333333333</v>
      </c>
      <c r="G115" s="218">
        <f>+GETPIVOTDATA("Sum of Old-Total Undg SCH FTE",'FTE Pivot for regular counts'!$A$2,"State","SC","Category","12","Category2","Technical")</f>
        <v>0</v>
      </c>
      <c r="H115" s="159">
        <f>+GETPIVOTDATA("Sum of Old-Total Undg SCH FTE",'FTE Pivot for regular counts'!$A$2,"State","SC","Category","13","Category2","Technical")</f>
        <v>0</v>
      </c>
      <c r="I115" s="1">
        <f>+GETPIVOTDATA("Sum of Old-Total Undg SCH FTE",'FTE Pivot for regular counts'!$A$2,"State","SC","Category2","Technical")</f>
        <v>0</v>
      </c>
    </row>
    <row r="116" spans="1:13" ht="15" customHeight="1">
      <c r="B116" s="159"/>
      <c r="C116" s="159"/>
      <c r="D116" s="159"/>
      <c r="E116" s="159"/>
      <c r="F116" s="217"/>
      <c r="G116" s="218"/>
      <c r="H116" s="159"/>
    </row>
    <row r="117" spans="1:13" ht="15" customHeight="1">
      <c r="A117" s="1" t="s">
        <v>707</v>
      </c>
      <c r="B117" s="159">
        <f>+GETPIVOTDATA("Sum of Old-Total Undg SCH FTE",'FTE Pivot for regular counts'!$A$2,"State","TN","Category","7","Category2","Two-Year")</f>
        <v>0</v>
      </c>
      <c r="C117" s="159">
        <f>+GETPIVOTDATA("Sum of Old-Total Undg SCH FTE",'FTE Pivot for regular counts'!$A$2,"State","TN","Category","8","Category2","Two-Year")</f>
        <v>28409.85</v>
      </c>
      <c r="D117" s="159">
        <f>+GETPIVOTDATA("Sum of Old-Total Undg SCH FTE",'FTE Pivot for regular counts'!$A$2,"State","TN","Category",9,"Category2","Two-Year")</f>
        <v>25486.266666666663</v>
      </c>
      <c r="E117" s="159">
        <f>+GETPIVOTDATA("Sum of Old-Total Undg SCH FTE",'FTE Pivot for regular counts'!$A$2,"State","TN","Category","10","Category2","Two-Year")</f>
        <v>1717.9666666666667</v>
      </c>
      <c r="F117" s="217">
        <f>+GETPIVOTDATA("Sum of Old-Total Undg SCH FTE",'FTE Pivot for regular counts'!$A$2,"State","TN","Category2","Two-Year")</f>
        <v>55614.083333333328</v>
      </c>
      <c r="G117" s="218">
        <f>+GETPIVOTDATA("Sum of Old-Total Undg SCH FTE",'FTE Pivot for regular counts'!$A$2,"State","TN","Category","12","Category2","Technical")</f>
        <v>0</v>
      </c>
      <c r="H117" s="159">
        <f>+GETPIVOTDATA("Sum of Old-Total Undg SCH FTE",'FTE Pivot for regular counts'!$A$2,"State","TN","Category","13","Category2","Technical")</f>
        <v>0</v>
      </c>
      <c r="I117" s="1">
        <f>+GETPIVOTDATA("Sum of Old-Total Undg SCH FTE",'FTE Pivot for regular counts'!$A$2,"State","TN","Category2","Technical")</f>
        <v>0</v>
      </c>
    </row>
    <row r="118" spans="1:13" ht="15" customHeight="1">
      <c r="A118" s="1" t="s">
        <v>708</v>
      </c>
      <c r="B118" s="159">
        <f>+GETPIVOTDATA("Sum of Old-Total Undg SCH FTE",'FTE Pivot for regular counts'!$A$2,"State","TX","Category","7","Category2","Two-Year")</f>
        <v>24860.433333333334</v>
      </c>
      <c r="C118" s="159">
        <f>+GETPIVOTDATA("Sum of Old-Total Undg SCH FTE",'FTE Pivot for regular counts'!$A$2,"State","TX","Category","8","Category2","Two-Year")</f>
        <v>329810.33333333337</v>
      </c>
      <c r="D118" s="159">
        <f>+GETPIVOTDATA("Sum of Old-Total Undg SCH FTE",'FTE Pivot for regular counts'!$A$2,"State","TX","Category",9,"Category2","Two-Year")</f>
        <v>78977.400000000009</v>
      </c>
      <c r="E118" s="159">
        <f>+GETPIVOTDATA("Sum of Old-Total Undg SCH FTE",'FTE Pivot for regular counts'!$A$2,"State","TX","Category","10","Category2","Two-Year")</f>
        <v>13300.966666666669</v>
      </c>
      <c r="F118" s="217">
        <f>+GETPIVOTDATA("Sum of Old-Total Undg SCH FTE",'FTE Pivot for regular counts'!$A$2,"State","TX","Category2","Two-Year")</f>
        <v>446949.13333333342</v>
      </c>
      <c r="G118" s="218">
        <f>+GETPIVOTDATA("Sum of Old-Total Undg SCH FTE",'FTE Pivot for regular counts'!$A$2,"State","TX","Category","12","Category2","Technical")</f>
        <v>0</v>
      </c>
      <c r="H118" s="159">
        <f>+GETPIVOTDATA("Sum of Old-Total Undg SCH FTE",'FTE Pivot for regular counts'!$A$2,"State","TX","Category","13","Category2","Technical")</f>
        <v>0</v>
      </c>
      <c r="I118" s="1">
        <f>+GETPIVOTDATA("Sum of Old-Total Undg SCH FTE",'FTE Pivot for regular counts'!$A$2,"State","TX","Category2","Technical")</f>
        <v>0</v>
      </c>
    </row>
    <row r="119" spans="1:13" ht="15" customHeight="1">
      <c r="A119" s="1" t="s">
        <v>709</v>
      </c>
      <c r="B119" s="159">
        <f>+GETPIVOTDATA("Sum of Old-Total Undg SCH FTE",'FTE Pivot for regular counts'!$A$2,"State","VA","Category","7","Category2","Two-Year")</f>
        <v>0</v>
      </c>
      <c r="C119" s="159">
        <f>+GETPIVOTDATA("Sum of Old-Total Undg SCH FTE",'FTE Pivot for regular counts'!$A$2,"State","VA","Category","8","Category2","Two-Year")</f>
        <v>53313.833333333336</v>
      </c>
      <c r="D119" s="159">
        <f>+GETPIVOTDATA("Sum of Old-Total Undg SCH FTE",'FTE Pivot for regular counts'!$A$2,"State","VA","Category",9,"Category2","Two-Year")</f>
        <v>25917.966666666667</v>
      </c>
      <c r="E119" s="159">
        <f>+GETPIVOTDATA("Sum of Old-Total Undg SCH FTE",'FTE Pivot for regular counts'!$A$2,"State","VA","Category","10","Category2","Two-Year")</f>
        <v>15795.666666666668</v>
      </c>
      <c r="F119" s="217">
        <f>+GETPIVOTDATA("Sum of Old-Total Undg SCH FTE",'FTE Pivot for regular counts'!$A$2,"State","VA","Category2","Two-Year")</f>
        <v>95027.466666666674</v>
      </c>
      <c r="G119" s="218">
        <f>+GETPIVOTDATA("Sum of Old-Total Undg SCH FTE",'FTE Pivot for regular counts'!$A$2,"State","VA","Category","12","Category2","Technical")</f>
        <v>0</v>
      </c>
      <c r="H119" s="159">
        <f>+GETPIVOTDATA("Sum of Old-Total Undg SCH FTE",'FTE Pivot for regular counts'!$A$2,"State","VA","Category","13","Category2","Technical")</f>
        <v>0</v>
      </c>
      <c r="I119" s="1">
        <f>+GETPIVOTDATA("Sum of Old-Total Undg SCH FTE",'FTE Pivot for regular counts'!$A$2,"State","VA","Category2","Technical")</f>
        <v>0</v>
      </c>
    </row>
    <row r="120" spans="1:13" ht="15" customHeight="1">
      <c r="A120" s="166" t="s">
        <v>710</v>
      </c>
      <c r="B120" s="167">
        <f>+GETPIVOTDATA("Sum of Old-Total Undg SCH FTE",'FTE Pivot for regular counts'!$A$2,"State","WV","Category","7","Category2","Two-Year")</f>
        <v>2858.0333333333333</v>
      </c>
      <c r="C120" s="167">
        <f>+GETPIVOTDATA("Sum of Old-Total Undg SCH FTE",'FTE Pivot for regular counts'!$A$2,"State","WV","Category","8","Category2","Two-Year")</f>
        <v>0</v>
      </c>
      <c r="D120" s="167">
        <f>+GETPIVOTDATA("Sum of Old-Total Undg SCH FTE",'FTE Pivot for regular counts'!$A$2,"State","WV","Category",9,"Category2","Two-Year")</f>
        <v>1695.0799999999997</v>
      </c>
      <c r="E120" s="167">
        <f>+GETPIVOTDATA("Sum of Old-Total Undg SCH FTE",'FTE Pivot for regular counts'!$A$2,"State","WV","Category","10","Category2","Two-Year")</f>
        <v>6645</v>
      </c>
      <c r="F120" s="219">
        <f>+GETPIVOTDATA("Sum of Old-Total Undg SCH FTE",'FTE Pivot for regular counts'!$A$2,"State","WV","Category2","Two-Year")</f>
        <v>11198.113333333333</v>
      </c>
      <c r="G120" s="220">
        <f>+GETPIVOTDATA("Sum of Old-Total Undg SCH FTE",'FTE Pivot for regular counts'!$A$2,"State","WV","Category","12","Category2","Technical")</f>
        <v>0</v>
      </c>
      <c r="H120" s="167">
        <f>+GETPIVOTDATA("Sum of Old-Total Undg SCH FTE",'FTE Pivot for regular counts'!$A$2,"State","WV","Category","13","Category2","Technical")</f>
        <v>0</v>
      </c>
      <c r="I120" s="166">
        <f>+GETPIVOTDATA("Sum of Old-Total Undg SCH FTE",'FTE Pivot for regular counts'!$A$2,"State","WV","Category2","Technical")</f>
        <v>0</v>
      </c>
    </row>
    <row r="121" spans="1:13" ht="38.25" customHeight="1">
      <c r="A121" s="648" t="s">
        <v>847</v>
      </c>
      <c r="B121" s="648"/>
      <c r="C121" s="648"/>
      <c r="D121" s="648"/>
      <c r="E121" s="648"/>
      <c r="F121" s="648"/>
      <c r="G121" s="648"/>
      <c r="H121" s="648"/>
      <c r="I121" s="648"/>
      <c r="J121" s="340"/>
      <c r="K121" s="221"/>
      <c r="L121" s="221"/>
      <c r="M121" s="221"/>
    </row>
    <row r="122" spans="1:13">
      <c r="A122" s="645" t="s">
        <v>830</v>
      </c>
      <c r="B122" s="645"/>
      <c r="C122" s="645"/>
      <c r="D122" s="645"/>
      <c r="E122" s="645"/>
      <c r="F122" s="645"/>
      <c r="G122" s="645"/>
      <c r="H122" s="645"/>
      <c r="I122" s="645"/>
      <c r="J122" s="340"/>
      <c r="K122" s="221"/>
      <c r="L122" s="221"/>
      <c r="M122" s="221"/>
    </row>
    <row r="123" spans="1:13">
      <c r="J123" s="192" t="s">
        <v>919</v>
      </c>
      <c r="K123" s="192"/>
      <c r="L123" s="192"/>
      <c r="M123" s="222"/>
    </row>
    <row r="124" spans="1:13" ht="18">
      <c r="A124" s="649" t="s">
        <v>723</v>
      </c>
      <c r="B124" s="649"/>
      <c r="C124" s="649"/>
      <c r="D124" s="649"/>
      <c r="E124" s="649"/>
      <c r="F124" s="649"/>
      <c r="G124" s="649"/>
      <c r="H124" s="649"/>
      <c r="I124" s="649"/>
      <c r="J124" s="649"/>
      <c r="K124" s="200"/>
      <c r="L124" s="200"/>
      <c r="M124" s="200"/>
    </row>
    <row r="125" spans="1:13" ht="15.75">
      <c r="A125" s="223"/>
      <c r="B125" s="118"/>
      <c r="C125" s="122"/>
      <c r="D125" s="193"/>
      <c r="E125" s="118"/>
      <c r="F125" s="118"/>
      <c r="G125" s="118"/>
      <c r="H125" s="118"/>
      <c r="I125" s="118"/>
      <c r="J125" s="118"/>
      <c r="K125" s="118"/>
      <c r="L125" s="118"/>
    </row>
    <row r="126" spans="1:13" ht="15.75">
      <c r="A126" s="644" t="s">
        <v>724</v>
      </c>
      <c r="B126" s="644"/>
      <c r="C126" s="644"/>
      <c r="D126" s="644"/>
      <c r="E126" s="644"/>
      <c r="F126" s="644"/>
      <c r="G126" s="644"/>
      <c r="H126" s="644"/>
      <c r="I126" s="644"/>
      <c r="J126" s="644"/>
      <c r="K126" s="201"/>
      <c r="L126" s="201"/>
    </row>
    <row r="127" spans="1:13" ht="15.75">
      <c r="A127" s="644" t="s">
        <v>843</v>
      </c>
      <c r="B127" s="644"/>
      <c r="C127" s="644"/>
      <c r="D127" s="644"/>
      <c r="E127" s="644"/>
      <c r="F127" s="644"/>
      <c r="G127" s="644"/>
      <c r="H127" s="644"/>
      <c r="I127" s="644"/>
      <c r="J127" s="644"/>
      <c r="K127" s="201"/>
      <c r="L127" s="201"/>
    </row>
    <row r="128" spans="1:13">
      <c r="A128" s="119"/>
      <c r="B128" s="119"/>
      <c r="C128" s="119"/>
      <c r="D128" s="119"/>
      <c r="E128" s="119"/>
      <c r="F128" s="119"/>
      <c r="G128" s="119"/>
      <c r="H128" s="119"/>
      <c r="I128" s="119"/>
      <c r="J128" s="119"/>
      <c r="K128" s="119"/>
      <c r="L128" s="119"/>
    </row>
    <row r="129" spans="1:12">
      <c r="A129" s="124"/>
      <c r="B129" s="205" t="s">
        <v>719</v>
      </c>
      <c r="C129" s="205"/>
      <c r="D129" s="126"/>
      <c r="E129" s="126"/>
      <c r="F129" s="126"/>
      <c r="G129" s="207" t="s">
        <v>720</v>
      </c>
      <c r="H129" s="127"/>
      <c r="I129" s="208"/>
      <c r="J129" s="119" t="s">
        <v>721</v>
      </c>
      <c r="K129" s="119" t="s">
        <v>721</v>
      </c>
      <c r="L129" s="119"/>
    </row>
    <row r="130" spans="1:12" ht="24">
      <c r="A130" s="129"/>
      <c r="B130" s="212" t="s">
        <v>722</v>
      </c>
      <c r="C130" s="183">
        <v>1</v>
      </c>
      <c r="D130" s="183">
        <v>2</v>
      </c>
      <c r="E130" s="183">
        <v>3</v>
      </c>
      <c r="F130" s="183" t="s">
        <v>679</v>
      </c>
      <c r="G130" s="214">
        <v>1</v>
      </c>
      <c r="H130" s="215">
        <v>2</v>
      </c>
      <c r="I130" s="183" t="s">
        <v>679</v>
      </c>
      <c r="J130" s="216"/>
      <c r="K130" s="216"/>
      <c r="L130" s="216"/>
    </row>
    <row r="131" spans="1:12" ht="15" customHeight="1">
      <c r="A131" s="1" t="s">
        <v>687</v>
      </c>
      <c r="B131" s="230">
        <f>+GETPIVOTDATA("Sum of Old-Total Undg CH FTE",'FTE Pivot for regular counts'!$A$2,"Category","7","Category2","Two-Year")</f>
        <v>12981.579999999998</v>
      </c>
      <c r="C131" s="230">
        <f>+GETPIVOTDATA("Sum of Old-Total Undg CH FTE",'FTE Pivot for regular counts'!$A$2,"Category","8","Category2","Two-Year")</f>
        <v>17902.342222222222</v>
      </c>
      <c r="D131" s="230">
        <f>+GETPIVOTDATA("Sum of Old-Total Undg CH FTE",'FTE Pivot for regular counts'!$A$2,"Category",9,"Category2","Two-Year")</f>
        <v>11965.980000000003</v>
      </c>
      <c r="E131" s="230">
        <f>+GETPIVOTDATA("Sum of Old-Total Undg CH FTE",'FTE Pivot for regular counts'!$A$2,"Category","10","Category2","Two-Year")</f>
        <v>5750.9966666666678</v>
      </c>
      <c r="F131" s="231">
        <f>+GETPIVOTDATA("Sum of Old-Total Undg CH FTE",'FTE Pivot for regular counts'!$A$2,"Category2","Two-Year")</f>
        <v>48600.8988888889</v>
      </c>
      <c r="G131" s="230">
        <f>+GETPIVOTDATA("Sum of Old-Total Undg CH FTE",'FTE Pivot for regular counts'!$A$2,"Category","12","Category2","Technical")</f>
        <v>4216.6121111111115</v>
      </c>
      <c r="H131" s="230">
        <f>+GETPIVOTDATA("Sum of Old-Total Undg CH FTE",'FTE Pivot for regular counts'!$A$2,"Category","13","Category2","Technical")</f>
        <v>30744.747888888887</v>
      </c>
      <c r="I131" s="230">
        <f>+GETPIVOTDATA("Sum of Old-Total Undg CH FTE",'FTE Pivot for regular counts'!$A$2,"Category2","Technical")</f>
        <v>34961.359999999993</v>
      </c>
      <c r="J131" s="230"/>
      <c r="K131" s="230"/>
      <c r="L131" s="230"/>
    </row>
    <row r="132" spans="1:12" ht="15" customHeight="1">
      <c r="B132" s="230"/>
      <c r="C132" s="230"/>
      <c r="D132" s="230"/>
      <c r="G132" s="93"/>
    </row>
    <row r="133" spans="1:12" ht="15" customHeight="1">
      <c r="A133" s="1" t="s">
        <v>695</v>
      </c>
      <c r="B133" s="230">
        <f>+GETPIVOTDATA("Sum of Old-Total Undg CH FTE",'FTE Pivot for regular counts'!$A$2,"State","AL","Category","7","Category2","Two-Year")</f>
        <v>0</v>
      </c>
      <c r="C133" s="230">
        <f>+GETPIVOTDATA("Sum of Old-Total Undg CH FTE",'FTE Pivot for regular counts'!$A$2,"State","AL","Category","8","Category2","Two-Year")</f>
        <v>0</v>
      </c>
      <c r="D133" s="230">
        <f>+GETPIVOTDATA("Sum of Old-Total Undg CH FTE",'FTE Pivot for regular counts'!$A$2,"State","AL","Category",9,"Category2","Two-Year")</f>
        <v>0</v>
      </c>
      <c r="E133" s="230">
        <f>+GETPIVOTDATA("Sum of Old-Total Undg CH FTE",'FTE Pivot for regular counts'!$A$2,"State","AL","Category","10","Category2","Two-Year")</f>
        <v>0</v>
      </c>
      <c r="F133" s="231">
        <f>+GETPIVOTDATA("Sum of Old-Total Undg CH FTE",'FTE Pivot for regular counts'!$A$2,"State","AL","Category2","Two-Year")</f>
        <v>0</v>
      </c>
      <c r="G133" s="230">
        <f>+GETPIVOTDATA("Sum of Old-Total Undg CH FTE",'FTE Pivot for regular counts'!$A$2,"State","AL","Category","12","Category2","Technical")</f>
        <v>0</v>
      </c>
      <c r="H133" s="230">
        <f>+GETPIVOTDATA("Sum of Old-Total Undg CH FTE",'FTE Pivot for regular counts'!$A$2,"State","AL","Category","13","Category2","Technical")</f>
        <v>0</v>
      </c>
      <c r="I133" s="230">
        <f>+GETPIVOTDATA("Sum of Old-Total Undg CH FTE",'FTE Pivot for regular counts'!$A$2,"State","AL","Category2","Technical")</f>
        <v>0</v>
      </c>
      <c r="J133" s="230"/>
      <c r="K133" s="230"/>
      <c r="L133" s="230"/>
    </row>
    <row r="134" spans="1:12" ht="15" customHeight="1">
      <c r="A134" s="1" t="s">
        <v>696</v>
      </c>
      <c r="B134" s="230">
        <f>+GETPIVOTDATA("Sum of Old-Total Undg CH FTE",'FTE Pivot for regular counts'!$A$2,"State","AR","Category","7","Category2","Two-Year")</f>
        <v>0</v>
      </c>
      <c r="C134" s="230">
        <f>+GETPIVOTDATA("Sum of Old-Total Undg CH FTE",'FTE Pivot for regular counts'!$A$2,"State","AR","Category","8","Category2","Two-Year")</f>
        <v>0</v>
      </c>
      <c r="D134" s="230">
        <f>+GETPIVOTDATA("Sum of Old-Total Undg CH FTE",'FTE Pivot for regular counts'!$A$2,"State","AR","Category",9,"Category2","Two-Year")</f>
        <v>0</v>
      </c>
      <c r="E134" s="230">
        <f>+GETPIVOTDATA("Sum of Old-Total Undg CH FTE",'FTE Pivot for regular counts'!$A$2,"State","AR","Category","10","Category2","Two-Year")</f>
        <v>0</v>
      </c>
      <c r="F134" s="231">
        <f>+GETPIVOTDATA("Sum of Old-Total Undg CH FTE",'FTE Pivot for regular counts'!$A$2,"State","AR","Category2","Two-Year")</f>
        <v>0</v>
      </c>
      <c r="G134" s="230">
        <f>+GETPIVOTDATA("Sum of Old-Total Undg CH FTE",'FTE Pivot for regular counts'!$A$2,"State","AR","Category","12","Category2","Technical")</f>
        <v>0</v>
      </c>
      <c r="H134" s="230">
        <f>+GETPIVOTDATA("Sum of Old-Total Undg CH FTE",'FTE Pivot for regular counts'!$A$2,"State","AR","Category","13","Category2","Technical")</f>
        <v>0</v>
      </c>
      <c r="I134" s="230">
        <f>+GETPIVOTDATA("Sum of Old-Total Undg CH FTE",'FTE Pivot for regular counts'!$A$2,"State","AR","Category2","Technical")</f>
        <v>0</v>
      </c>
      <c r="J134" s="230"/>
      <c r="K134" s="230"/>
      <c r="L134" s="230"/>
    </row>
    <row r="135" spans="1:12" ht="15" customHeight="1">
      <c r="A135" s="1" t="s">
        <v>697</v>
      </c>
      <c r="B135" s="230">
        <f>+GETPIVOTDATA("Sum of Old-Total Undg CH FTE",'FTE Pivot for regular counts'!$A$2,"State","DE","Category","7","Category2","Two-Year")</f>
        <v>0</v>
      </c>
      <c r="C135" s="230">
        <f>+GETPIVOTDATA("Sum of Old-Total Undg CH FTE",'FTE Pivot for regular counts'!$A$2,"State","DE","Category","8","Category2","Two-Year")</f>
        <v>0</v>
      </c>
      <c r="D135" s="230">
        <f>+GETPIVOTDATA("Sum of Old-Total Undg CH FTE",'FTE Pivot for regular counts'!$A$2,"State","DE","Category",9,"Category2","Two-Year")</f>
        <v>0</v>
      </c>
      <c r="E135" s="230">
        <f>+GETPIVOTDATA("Sum of Old-Total Undg CH FTE",'FTE Pivot for regular counts'!$A$2,"State","DE","Category","10","Category2","Two-Year")</f>
        <v>0</v>
      </c>
      <c r="F135" s="231">
        <f>+GETPIVOTDATA("Sum of Old-Total Undg CH FTE",'FTE Pivot for regular counts'!$A$2,"State","DE","Category2","Two-Year")</f>
        <v>0</v>
      </c>
      <c r="G135" s="230">
        <f>+GETPIVOTDATA("Sum of Old-Total Undg CH FTE",'FTE Pivot for regular counts'!$A$2,"State","DE","Category","12","Category2","Technical")</f>
        <v>0</v>
      </c>
      <c r="H135" s="230">
        <f>+GETPIVOTDATA("Sum of Old-Total Undg CH FTE",'FTE Pivot for regular counts'!$A$2,"State","DE","Category","13","Category2","Technical")</f>
        <v>0</v>
      </c>
      <c r="I135" s="230">
        <f>+GETPIVOTDATA("Sum of Old-Total Undg CH FTE",'FTE Pivot for regular counts'!$A$2,"State","DE","Category2","Technical")</f>
        <v>0</v>
      </c>
      <c r="J135" s="230"/>
      <c r="K135" s="230"/>
      <c r="L135" s="230"/>
    </row>
    <row r="136" spans="1:12" ht="15" customHeight="1">
      <c r="A136" s="1" t="s">
        <v>698</v>
      </c>
      <c r="B136" s="230">
        <f>+GETPIVOTDATA("Sum of Old-Total Undg CH FTE",'FTE Pivot for regular counts'!$A$2,"State","FL","Category","7","Category2","Two-Year")</f>
        <v>12677.429999999998</v>
      </c>
      <c r="C136" s="230">
        <f>+GETPIVOTDATA("Sum of Old-Total Undg CH FTE",'FTE Pivot for regular counts'!$A$2,"State","FL","Category","8","Category2","Two-Year")</f>
        <v>2282.5011111111112</v>
      </c>
      <c r="D136" s="230">
        <f>+GETPIVOTDATA("Sum of Old-Total Undg CH FTE",'FTE Pivot for regular counts'!$A$2,"State","FL","Category",9,"Category2","Two-Year")</f>
        <v>0</v>
      </c>
      <c r="E136" s="230">
        <f>+GETPIVOTDATA("Sum of Old-Total Undg CH FTE",'FTE Pivot for regular counts'!$A$2,"State","FL","Category","10","Category2","Two-Year")</f>
        <v>158.15777777777777</v>
      </c>
      <c r="F136" s="231">
        <f>+GETPIVOTDATA("Sum of Old-Total Undg CH FTE",'FTE Pivot for regular counts'!$A$2,"State","FL","Category2","Two-Year")</f>
        <v>15118.088888888888</v>
      </c>
      <c r="G136" s="230">
        <f>+GETPIVOTDATA("Sum of Old-Total Undg CH FTE",'FTE Pivot for regular counts'!$A$2,"State","FL","Category","12","Category2","Technical")</f>
        <v>0</v>
      </c>
      <c r="H136" s="230">
        <f>+GETPIVOTDATA("Sum of Old-Total Undg CH FTE",'FTE Pivot for regular counts'!$A$2,"State","FL","Category","13","Category2","Technical")</f>
        <v>0</v>
      </c>
      <c r="I136" s="230">
        <f>+GETPIVOTDATA("Sum of Old-Total Undg CH FTE",'FTE Pivot for regular counts'!$A$2,"State","FL","Category2","Technical")</f>
        <v>0</v>
      </c>
      <c r="J136" s="230"/>
      <c r="K136" s="230"/>
      <c r="L136" s="230"/>
    </row>
    <row r="137" spans="1:12" ht="15" customHeight="1">
      <c r="B137" s="230"/>
      <c r="C137" s="230"/>
      <c r="D137" s="230"/>
      <c r="E137" s="230"/>
      <c r="F137" s="231"/>
      <c r="G137" s="230"/>
      <c r="H137" s="230"/>
      <c r="I137" s="230"/>
      <c r="J137" s="230"/>
      <c r="K137" s="230"/>
      <c r="L137" s="230"/>
    </row>
    <row r="138" spans="1:12" ht="15" customHeight="1">
      <c r="A138" s="1" t="s">
        <v>699</v>
      </c>
      <c r="B138" s="230">
        <f>+GETPIVOTDATA("Sum of Old-Total Undg CH FTE",'FTE Pivot for regular counts'!$A$2,"State","GA","Category","7","Category2","Two-Year")</f>
        <v>0</v>
      </c>
      <c r="C138" s="230">
        <f>+GETPIVOTDATA("Sum of Old-Total Undg CH FTE",'FTE Pivot for regular counts'!$A$2,"State","GA","Category","8","Category2","Two-Year")</f>
        <v>0</v>
      </c>
      <c r="D138" s="230">
        <f>+GETPIVOTDATA("Sum of Old-Total Undg CH FTE",'FTE Pivot for regular counts'!$A$2,"State","GA","Category",9,"Category2","Two-Year")</f>
        <v>0</v>
      </c>
      <c r="E138" s="230">
        <f>+GETPIVOTDATA("Sum of Old-Total Undg CH FTE",'FTE Pivot for regular counts'!$A$2,"State","GA","Category","10","Category2","Two-Year")</f>
        <v>0</v>
      </c>
      <c r="F138" s="231">
        <f>+GETPIVOTDATA("Sum of Old-Total Undg CH FTE",'FTE Pivot for regular counts'!$A$2,"State","GA","Category2","Two-Year")</f>
        <v>0</v>
      </c>
      <c r="G138" s="230">
        <f>+GETPIVOTDATA("Sum of Old-Total Undg CH FTE",'FTE Pivot for regular counts'!$A$2,"State","GA","Category","12","Category2","Technical")</f>
        <v>0</v>
      </c>
      <c r="H138" s="230">
        <f>+GETPIVOTDATA("Sum of Old-Total Undg CH FTE",'FTE Pivot for regular counts'!$A$2,"State","GA","Category","13","Category2","Technical")</f>
        <v>0</v>
      </c>
      <c r="I138" s="230">
        <f>+GETPIVOTDATA("Sum of Old-Total Undg CH FTE",'FTE Pivot for regular counts'!$A$2,"State","GA","Category2","Technical")</f>
        <v>0</v>
      </c>
      <c r="J138" s="230"/>
      <c r="K138" s="230"/>
      <c r="L138" s="230"/>
    </row>
    <row r="139" spans="1:12" ht="15" customHeight="1">
      <c r="A139" s="1" t="s">
        <v>700</v>
      </c>
      <c r="B139" s="230">
        <f>+GETPIVOTDATA("Sum of Old-Total Undg CH FTE",'FTE Pivot for regular counts'!$A$2,"State","KY","Category","7","Category2","Two-Year")</f>
        <v>0</v>
      </c>
      <c r="C139" s="230">
        <f>+GETPIVOTDATA("Sum of Old-Total Undg CH FTE",'FTE Pivot for regular counts'!$A$2,"State","KY","Category","8","Category2","Two-Year")</f>
        <v>0</v>
      </c>
      <c r="D139" s="230">
        <f>+GETPIVOTDATA("Sum of Old-Total Undg CH FTE",'FTE Pivot for regular counts'!$A$2,"State","KY","Category",9,"Category2","Two-Year")</f>
        <v>0</v>
      </c>
      <c r="E139" s="230">
        <f>+GETPIVOTDATA("Sum of Old-Total Undg CH FTE",'FTE Pivot for regular counts'!$A$2,"State","KY","Category","10","Category2","Two-Year")</f>
        <v>0</v>
      </c>
      <c r="F139" s="231">
        <f>+GETPIVOTDATA("Sum of Old-Total Undg CH FTE",'FTE Pivot for regular counts'!$A$2,"State","KY","Category2","Two-Year")</f>
        <v>0</v>
      </c>
      <c r="G139" s="230">
        <f>+GETPIVOTDATA("Sum of Old-Total Undg CH FTE",'FTE Pivot for regular counts'!$A$2,"State","KY","Category","12","Category2","Technical")</f>
        <v>0</v>
      </c>
      <c r="H139" s="230">
        <f>+GETPIVOTDATA("Sum of Old-Total Undg CH FTE",'FTE Pivot for regular counts'!$A$2,"State","KY","Category","13","Category2","Technical")</f>
        <v>0</v>
      </c>
      <c r="I139" s="230">
        <f>+GETPIVOTDATA("Sum of Old-Total Undg CH FTE",'FTE Pivot for regular counts'!$A$2,"State","KY","Category2","Technical")</f>
        <v>0</v>
      </c>
      <c r="J139" s="230"/>
      <c r="K139" s="230"/>
      <c r="L139" s="230"/>
    </row>
    <row r="140" spans="1:12" ht="15" customHeight="1">
      <c r="A140" s="1" t="s">
        <v>701</v>
      </c>
      <c r="B140" s="230">
        <f>+GETPIVOTDATA("Sum of Old-Total Undg CH FTE",'FTE Pivot for regular counts'!$A$2,"State","LA","Category","7","Category2","Two-Year")</f>
        <v>0</v>
      </c>
      <c r="C140" s="230">
        <f>+GETPIVOTDATA("Sum of Old-Total Undg CH FTE",'FTE Pivot for regular counts'!$A$2,"State","LA","Category","8","Category2","Two-Year")</f>
        <v>0</v>
      </c>
      <c r="D140" s="232">
        <f>+GETPIVOTDATA("Sum of Old-Total Undg CH FTE",'FTE Pivot for regular counts'!$A$2,"State","LA","Category",9,"Category2","Two-Year")</f>
        <v>0</v>
      </c>
      <c r="E140" s="230">
        <f>+GETPIVOTDATA("Sum of Old-Total Undg CH FTE",'FTE Pivot for regular counts'!$A$2,"State","LA","Category","10","Category2","Two-Year")</f>
        <v>0</v>
      </c>
      <c r="F140" s="233">
        <f>+GETPIVOTDATA("Sum of Old-Total Undg CH FTE",'FTE Pivot for regular counts'!$A$2,"State","LA","Category2","Two-Year")</f>
        <v>0</v>
      </c>
      <c r="G140" s="230">
        <f>+GETPIVOTDATA("Sum of Old-Total Undg CH FTE",'FTE Pivot for regular counts'!$A$2,"State","LA","Category","12","Category2","Technical")</f>
        <v>0</v>
      </c>
      <c r="H140" s="230">
        <f>+GETPIVOTDATA("Sum of Old-Total Undg CH FTE",'FTE Pivot for regular counts'!$A$2,"State","LA","Category","13","Category2","Technical")</f>
        <v>0</v>
      </c>
      <c r="I140" s="230">
        <f>+GETPIVOTDATA("Sum of Old-Total Undg CH FTE",'FTE Pivot for regular counts'!$A$2,"State","LA","Category2","Technical")</f>
        <v>0</v>
      </c>
      <c r="J140" s="230"/>
      <c r="K140" s="230"/>
      <c r="L140" s="230"/>
    </row>
    <row r="141" spans="1:12" ht="15" customHeight="1">
      <c r="A141" s="1" t="s">
        <v>702</v>
      </c>
      <c r="B141" s="230">
        <f>+GETPIVOTDATA("Sum of Old-Total Undg CH FTE",'FTE Pivot for regular counts'!$A$2,"State","MD","Category","7","Category2","Two-Year")</f>
        <v>0</v>
      </c>
      <c r="C141" s="230">
        <f>+GETPIVOTDATA("Sum of Old-Total Undg CH FTE",'FTE Pivot for regular counts'!$A$2,"State","MD","Category","8","Category2","Two-Year")</f>
        <v>0</v>
      </c>
      <c r="D141" s="230">
        <f>+GETPIVOTDATA("Sum of Old-Total Undg CH FTE",'FTE Pivot for regular counts'!$A$2,"State","MD","Category",9,"Category2","Two-Year")</f>
        <v>0</v>
      </c>
      <c r="E141" s="230">
        <f>+GETPIVOTDATA("Sum of Old-Total Undg CH FTE",'FTE Pivot for regular counts'!$A$2,"State","MD","Category","10","Category2","Two-Year")</f>
        <v>0</v>
      </c>
      <c r="F141" s="231">
        <f>+GETPIVOTDATA("Sum of Old-Total Undg CH FTE",'FTE Pivot for regular counts'!$A$2,"State","MD","Category2","Two-Year")</f>
        <v>0</v>
      </c>
      <c r="G141" s="230">
        <f>+GETPIVOTDATA("Sum of Old-Total Undg CH FTE",'FTE Pivot for regular counts'!$A$2,"State","MD","Category","12","Category2","Technical")</f>
        <v>0</v>
      </c>
      <c r="H141" s="230">
        <f>+GETPIVOTDATA("Sum of Old-Total Undg CH FTE",'FTE Pivot for regular counts'!$A$2,"State","MD","Category","13","Category2","Technical")</f>
        <v>0</v>
      </c>
      <c r="I141" s="230">
        <f>+GETPIVOTDATA("Sum of Old-Total Undg CH FTE",'FTE Pivot for regular counts'!$A$2,"State","MD","Category2","Technical")</f>
        <v>0</v>
      </c>
      <c r="J141" s="230"/>
      <c r="K141" s="230"/>
      <c r="L141" s="230"/>
    </row>
    <row r="142" spans="1:12" ht="15" customHeight="1">
      <c r="B142" s="230"/>
      <c r="C142" s="230"/>
      <c r="D142" s="230"/>
      <c r="E142" s="230"/>
      <c r="F142" s="231"/>
      <c r="G142" s="230"/>
      <c r="H142" s="230"/>
      <c r="I142" s="230"/>
      <c r="J142" s="230"/>
      <c r="K142" s="230"/>
      <c r="L142" s="230"/>
    </row>
    <row r="143" spans="1:12" ht="15" customHeight="1">
      <c r="A143" s="1" t="s">
        <v>703</v>
      </c>
      <c r="B143" s="230">
        <f>+GETPIVOTDATA("Sum of Old-Total Undg CH FTE",'FTE Pivot for regular counts'!$A$2,"State","MS","Category","7","Category2","Two-Year")</f>
        <v>0</v>
      </c>
      <c r="C143" s="230">
        <f>+GETPIVOTDATA("Sum of Old-Total Undg CH FTE",'FTE Pivot for regular counts'!$A$2,"State","MS","Category","8","Category2","Two-Year")</f>
        <v>0</v>
      </c>
      <c r="D143" s="230">
        <f>+GETPIVOTDATA("Sum of Old-Total Undg CH FTE",'FTE Pivot for regular counts'!$A$2,"State","MS","Category",9,"Category2","Two-Year")</f>
        <v>0</v>
      </c>
      <c r="E143" s="230">
        <f>+GETPIVOTDATA("Sum of Old-Total Undg CH FTE",'FTE Pivot for regular counts'!$A$2,"State","MS","Category","10","Category2","Two-Year")</f>
        <v>0</v>
      </c>
      <c r="F143" s="231">
        <f>+GETPIVOTDATA("Sum of Old-Total Undg CH FTE",'FTE Pivot for regular counts'!$A$2,"State","MS","Category2","Two-Year")</f>
        <v>0</v>
      </c>
      <c r="G143" s="230">
        <f>+GETPIVOTDATA("Sum of Old-Total Undg CH FTE",'FTE Pivot for regular counts'!$A$2,"State","MS","Category","12","Category2","Technical")</f>
        <v>0</v>
      </c>
      <c r="H143" s="230">
        <f>+GETPIVOTDATA("Sum of Old-Total Undg CH FTE",'FTE Pivot for regular counts'!$A$2,"State","MS","Category","13","Category2","Technical")</f>
        <v>0</v>
      </c>
      <c r="I143" s="230">
        <f>+GETPIVOTDATA("Sum of Old-Total Undg CH FTE",'FTE Pivot for regular counts'!$A$2,"State","MS","Category2","Technical")</f>
        <v>0</v>
      </c>
      <c r="J143" s="230"/>
      <c r="K143" s="230"/>
      <c r="L143" s="230"/>
    </row>
    <row r="144" spans="1:12" ht="15" customHeight="1">
      <c r="A144" s="1" t="s">
        <v>704</v>
      </c>
      <c r="B144" s="230">
        <f>+GETPIVOTDATA("Sum of Old-Total Undg CH FTE",'FTE Pivot for regular counts'!$A$2,"State","NC","Category","7","Category2","Two-Year")</f>
        <v>0</v>
      </c>
      <c r="C144" s="230">
        <f>+GETPIVOTDATA("Sum of Old-Total Undg CH FTE",'FTE Pivot for regular counts'!$A$2,"State","NC","Category","8","Category2","Two-Year")</f>
        <v>8401.4155555555553</v>
      </c>
      <c r="D144" s="230">
        <f>+GETPIVOTDATA("Sum of Old-Total Undg CH FTE",'FTE Pivot for regular counts'!$A$2,"State","NC","Category",9,"Category2","Two-Year")</f>
        <v>9513.4866666666694</v>
      </c>
      <c r="E144" s="230">
        <f>+GETPIVOTDATA("Sum of Old-Total Undg CH FTE",'FTE Pivot for regular counts'!$A$2,"State","NC","Category","10","Category2","Two-Year")</f>
        <v>5173.3033333333351</v>
      </c>
      <c r="F144" s="231">
        <f>+GETPIVOTDATA("Sum of Old-Total Undg CH FTE",'FTE Pivot for regular counts'!$A$2,"State","NC","Category2","Two-Year")</f>
        <v>23088.205555555563</v>
      </c>
      <c r="G144" s="230">
        <f>+GETPIVOTDATA("Sum of Old-Total Undg CH FTE",'FTE Pivot for regular counts'!$A$2,"State","NC","Category","12","Category2","Technical")</f>
        <v>0</v>
      </c>
      <c r="H144" s="230">
        <f>+GETPIVOTDATA("Sum of Old-Total Undg CH FTE",'FTE Pivot for regular counts'!$A$2,"State","NC","Category","13","Category2","Technical")</f>
        <v>0</v>
      </c>
      <c r="I144" s="230">
        <f>+GETPIVOTDATA("Sum of Old-Total Undg CH FTE",'FTE Pivot for regular counts'!$A$2,"State","NC","Category2","Technical")</f>
        <v>0</v>
      </c>
      <c r="J144" s="230"/>
      <c r="K144" s="230"/>
      <c r="L144" s="230"/>
    </row>
    <row r="145" spans="1:13" ht="15" customHeight="1">
      <c r="A145" s="1" t="s">
        <v>705</v>
      </c>
      <c r="B145" s="230">
        <f>+GETPIVOTDATA("Sum of Old-Total Undg CH FTE",'FTE Pivot for regular counts'!$A$2,"State","OK","Category","7","Category2","Two-Year")</f>
        <v>0</v>
      </c>
      <c r="C145" s="230">
        <f>+GETPIVOTDATA("Sum of Old-Total Undg CH FTE",'FTE Pivot for regular counts'!$A$2,"State","OK","Category","8","Category2","Two-Year")</f>
        <v>0</v>
      </c>
      <c r="D145" s="230">
        <f>+GETPIVOTDATA("Sum of Old-Total Undg CH FTE",'FTE Pivot for regular counts'!$A$2,"State","OK","Category",9,"Category2","Two-Year")</f>
        <v>0</v>
      </c>
      <c r="E145" s="230">
        <f>+GETPIVOTDATA("Sum of Old-Total Undg CH FTE",'FTE Pivot for regular counts'!$A$2,"State","OK","Category","10","Category2","Two-Year")</f>
        <v>0</v>
      </c>
      <c r="F145" s="231">
        <f>+GETPIVOTDATA("Sum of Old-Total Undg CH FTE",'FTE Pivot for regular counts'!$A$2,"State","OK","Category2","Two-Year")</f>
        <v>0</v>
      </c>
      <c r="G145" s="230">
        <f>+GETPIVOTDATA("Sum of Old-Total Undg CH FTE",'FTE Pivot for regular counts'!$A$2,"State","OK","Category","12","Category2","Technical")</f>
        <v>4216.6121111111115</v>
      </c>
      <c r="H145" s="230">
        <f>+GETPIVOTDATA("Sum of Old-Total Undg CH FTE",'FTE Pivot for regular counts'!$A$2,"State","OK","Category","13","Category2","Technical")</f>
        <v>18113.878999999997</v>
      </c>
      <c r="I145" s="230">
        <f>+GETPIVOTDATA("Sum of Old-Total Undg CH FTE",'FTE Pivot for regular counts'!$A$2,"State","OK","Category2","Technical")</f>
        <v>22330.491111111107</v>
      </c>
      <c r="J145" s="230"/>
      <c r="K145" s="230"/>
      <c r="L145" s="230"/>
    </row>
    <row r="146" spans="1:13" ht="15" customHeight="1">
      <c r="A146" s="1" t="s">
        <v>706</v>
      </c>
      <c r="B146" s="230">
        <f>+GETPIVOTDATA("Sum of Old-Total Undg CH FTE",'FTE Pivot for regular counts'!$A$2,"State","SC","Category","7","Category2","Two-Year")</f>
        <v>0</v>
      </c>
      <c r="C146" s="230">
        <f>+GETPIVOTDATA("Sum of Old-Total Undg CH FTE",'FTE Pivot for regular counts'!$A$2,"State","SC","Category","8","Category2","Two-Year")</f>
        <v>0</v>
      </c>
      <c r="D146" s="230">
        <f>+GETPIVOTDATA("Sum of Old-Total Undg CH FTE",'FTE Pivot for regular counts'!$A$2,"State","SC","Category",9,"Category2","Two-Year")</f>
        <v>0</v>
      </c>
      <c r="E146" s="230">
        <f>+GETPIVOTDATA("Sum of Old-Total Undg CH FTE",'FTE Pivot for regular counts'!$A$2,"State","SC","Category","10","Category2","Two-Year")</f>
        <v>0</v>
      </c>
      <c r="F146" s="231">
        <f>+GETPIVOTDATA("Sum of Old-Total Undg CH FTE",'FTE Pivot for regular counts'!$A$2,"State","SC","Category2","Two-Year")</f>
        <v>0</v>
      </c>
      <c r="G146" s="230">
        <f>+GETPIVOTDATA("Sum of Old-Total Undg CH FTE",'FTE Pivot for regular counts'!$A$2,"State","SC","Category","12","Category2","Technical")</f>
        <v>0</v>
      </c>
      <c r="H146" s="230">
        <f>+GETPIVOTDATA("Sum of Old-Total Undg CH FTE",'FTE Pivot for regular counts'!$A$2,"State","SC","Category","13","Category2","Technical")</f>
        <v>0</v>
      </c>
      <c r="I146" s="230">
        <f>+GETPIVOTDATA("Sum of Old-Total Undg CH FTE",'FTE Pivot for regular counts'!$A$2,"State","SC","Category2","Technical")</f>
        <v>0</v>
      </c>
      <c r="J146" s="230"/>
      <c r="K146" s="230"/>
      <c r="L146" s="230"/>
    </row>
    <row r="147" spans="1:13" ht="15" customHeight="1">
      <c r="B147" s="230"/>
      <c r="C147" s="230"/>
      <c r="D147" s="230"/>
      <c r="E147" s="230"/>
      <c r="F147" s="231"/>
      <c r="G147" s="230"/>
      <c r="H147" s="230"/>
      <c r="I147" s="230"/>
      <c r="J147" s="230"/>
      <c r="K147" s="230"/>
      <c r="L147" s="230"/>
    </row>
    <row r="148" spans="1:13" ht="15" customHeight="1">
      <c r="A148" s="1" t="s">
        <v>707</v>
      </c>
      <c r="B148" s="230">
        <f>+GETPIVOTDATA("Sum of Old-Total Undg CH FTE",'FTE Pivot for regular counts'!$A$2,"State","TN","Category","7","Category2","Two-Year")</f>
        <v>0</v>
      </c>
      <c r="C148" s="230">
        <f>+GETPIVOTDATA("Sum of Old-Total Undg CH FTE",'FTE Pivot for regular counts'!$A$2,"State","TN","Category","8","Category2","Two-Year")</f>
        <v>0</v>
      </c>
      <c r="D148" s="230">
        <f>+GETPIVOTDATA("Sum of Old-Total Undg CH FTE",'FTE Pivot for regular counts'!$A$2,"State","TN","Category",9,"Category2","Two-Year")</f>
        <v>0</v>
      </c>
      <c r="E148" s="230">
        <f>+GETPIVOTDATA("Sum of Old-Total Undg CH FTE",'FTE Pivot for regular counts'!$A$2,"State","TN","Category","10","Category2","Two-Year")</f>
        <v>0</v>
      </c>
      <c r="F148" s="231">
        <f>+GETPIVOTDATA("Sum of Old-Total Undg CH FTE",'FTE Pivot for regular counts'!$A$2,"State","TN","Category2","Two-Year")</f>
        <v>0</v>
      </c>
      <c r="G148" s="230">
        <f>+GETPIVOTDATA("Sum of Old-Total Undg CH FTE",'FTE Pivot for regular counts'!$A$2,"State","TN","Category","12","Category2","Technical")</f>
        <v>0</v>
      </c>
      <c r="H148" s="230">
        <f>+GETPIVOTDATA("Sum of Old-Total Undg CH FTE",'FTE Pivot for regular counts'!$A$2,"State","TN","Category","13","Category2","Technical")</f>
        <v>12630.868888888888</v>
      </c>
      <c r="I148" s="230">
        <f>+GETPIVOTDATA("Sum of Old-Total Undg CH FTE",'FTE Pivot for regular counts'!$A$2,"State","TN","Category2","Technical")</f>
        <v>12630.868888888888</v>
      </c>
      <c r="J148" s="230"/>
      <c r="K148" s="230"/>
      <c r="L148" s="230"/>
    </row>
    <row r="149" spans="1:13" ht="15" customHeight="1">
      <c r="A149" s="1" t="s">
        <v>708</v>
      </c>
      <c r="B149" s="230">
        <f>+GETPIVOTDATA("Sum of Old-Total Undg CH FTE",'FTE Pivot for regular counts'!$A$2,"State","TX","Category","7","Category2","Two-Year")</f>
        <v>304.15000000000003</v>
      </c>
      <c r="C149" s="230">
        <f>+GETPIVOTDATA("Sum of Old-Total Undg CH FTE",'FTE Pivot for regular counts'!$A$2,"State","TX","Category","8","Category2","Two-Year")</f>
        <v>7218.4255555555565</v>
      </c>
      <c r="D149" s="230">
        <f>+GETPIVOTDATA("Sum of Old-Total Undg CH FTE",'FTE Pivot for regular counts'!$A$2,"State","TX","Category",9,"Category2","Two-Year")</f>
        <v>2452.4933333333329</v>
      </c>
      <c r="E149" s="230">
        <f>+GETPIVOTDATA("Sum of Old-Total Undg CH FTE",'FTE Pivot for regular counts'!$A$2,"State","TX","Category","10","Category2","Two-Year")</f>
        <v>419.53555555555556</v>
      </c>
      <c r="F149" s="231">
        <f>+GETPIVOTDATA("Sum of Old-Total Undg CH FTE",'FTE Pivot for regular counts'!$A$2,"State","TX","Category2","Two-Year")</f>
        <v>10394.604444444445</v>
      </c>
      <c r="G149" s="230">
        <f>+GETPIVOTDATA("Sum of Old-Total Undg CH FTE",'FTE Pivot for regular counts'!$A$2,"State","TX","Category","12","Category2","Technical")</f>
        <v>0</v>
      </c>
      <c r="H149" s="230">
        <f>+GETPIVOTDATA("Sum of Old-Total Undg CH FTE",'FTE Pivot for regular counts'!$A$2,"State","TX","Category","13","Category2","Technical")</f>
        <v>0</v>
      </c>
      <c r="I149" s="230">
        <f>+GETPIVOTDATA("Sum of Old-Total Undg CH FTE",'FTE Pivot for regular counts'!$A$2,"State","TX","Category2","Technical")</f>
        <v>0</v>
      </c>
      <c r="J149" s="230"/>
      <c r="K149" s="230"/>
      <c r="L149" s="230"/>
    </row>
    <row r="150" spans="1:13" ht="15" customHeight="1">
      <c r="A150" s="1" t="s">
        <v>709</v>
      </c>
      <c r="B150" s="230">
        <f>+GETPIVOTDATA("Sum of Old-Total Undg CH FTE",'FTE Pivot for regular counts'!$A$2,"State","VA","Category","7","Category2","Two-Year")</f>
        <v>0</v>
      </c>
      <c r="C150" s="230">
        <f>+GETPIVOTDATA("Sum of Old-Total Undg CH FTE",'FTE Pivot for regular counts'!$A$2,"State","VA","Category","8","Category2","Two-Year")</f>
        <v>0</v>
      </c>
      <c r="D150" s="230">
        <f>+GETPIVOTDATA("Sum of Old-Total Undg CH FTE",'FTE Pivot for regular counts'!$A$2,"State","VA","Category",9,"Category2","Two-Year")</f>
        <v>0</v>
      </c>
      <c r="E150" s="230">
        <f>+GETPIVOTDATA("Sum of Old-Total Undg CH FTE",'FTE Pivot for regular counts'!$A$2,"State","VA","Category","10","Category2","Two-Year")</f>
        <v>0</v>
      </c>
      <c r="F150" s="231">
        <f>+GETPIVOTDATA("Sum of Old-Total Undg CH FTE",'FTE Pivot for regular counts'!$A$2,"State","VA","Category2","Two-Year")</f>
        <v>0</v>
      </c>
      <c r="G150" s="230">
        <f>+GETPIVOTDATA("Sum of Old-Total Undg CH FTE",'FTE Pivot for regular counts'!$A$2,"State","VA","Category","12","Category2","Technical")</f>
        <v>0</v>
      </c>
      <c r="H150" s="230">
        <f>+GETPIVOTDATA("Sum of Old-Total Undg CH FTE",'FTE Pivot for regular counts'!$A$2,"State","VA","Category","13","Category2","Technical")</f>
        <v>0</v>
      </c>
      <c r="I150" s="230">
        <f>+GETPIVOTDATA("Sum of Old-Total Undg CH FTE",'FTE Pivot for regular counts'!$A$2,"State","VA","Category2","Technical")</f>
        <v>0</v>
      </c>
      <c r="J150" s="230"/>
      <c r="K150" s="230"/>
      <c r="L150" s="230"/>
    </row>
    <row r="151" spans="1:13" ht="15" customHeight="1">
      <c r="A151" s="166" t="s">
        <v>710</v>
      </c>
      <c r="B151" s="234">
        <f>+GETPIVOTDATA("Sum of Old-Total Undg CH FTE",'FTE Pivot for regular counts'!$A$2,"State","WV","Category","7","Category2","Two-Year")</f>
        <v>0</v>
      </c>
      <c r="C151" s="234">
        <f>+GETPIVOTDATA("Sum of Old-Total Undg CH FTE",'FTE Pivot for regular counts'!$A$2,"State","WV","Category","8","Category2","Two-Year")</f>
        <v>0</v>
      </c>
      <c r="D151" s="234">
        <f>+GETPIVOTDATA("Sum of Old-Total Undg CH FTE",'FTE Pivot for regular counts'!$A$2,"State","WV","Category",9,"Category2","Two-Year")</f>
        <v>0</v>
      </c>
      <c r="E151" s="234">
        <f>+GETPIVOTDATA("Sum of Old-Total Undg CH FTE",'FTE Pivot for regular counts'!$A$2,"State","WV","Category","10","Category2","Two-Year")</f>
        <v>0</v>
      </c>
      <c r="F151" s="235">
        <f>+GETPIVOTDATA("Sum of Old-Total Undg CH FTE",'FTE Pivot for regular counts'!$A$2,"State","WV","Category2","Two-Year")</f>
        <v>0</v>
      </c>
      <c r="G151" s="234">
        <f>+GETPIVOTDATA("Sum of Old-Total Undg CH FTE",'FTE Pivot for regular counts'!$A$2,"State","WV","Category","12","Category2","Technical")</f>
        <v>0</v>
      </c>
      <c r="H151" s="234">
        <f>+GETPIVOTDATA("Sum of Old-Total Undg CH FTE",'FTE Pivot for regular counts'!$A$2,"State","WV","Category","13","Category2","Technical")</f>
        <v>0</v>
      </c>
      <c r="I151" s="234">
        <f>+GETPIVOTDATA("Sum of Old-Total Undg CH FTE",'FTE Pivot for regular counts'!$A$2,"State","WV","Category2","Technical")</f>
        <v>0</v>
      </c>
      <c r="J151" s="230"/>
      <c r="K151" s="230"/>
      <c r="L151" s="230"/>
    </row>
    <row r="152" spans="1:13" ht="34.5" customHeight="1">
      <c r="A152" s="648" t="s">
        <v>847</v>
      </c>
      <c r="B152" s="648"/>
      <c r="C152" s="648"/>
      <c r="D152" s="648"/>
      <c r="E152" s="648"/>
      <c r="F152" s="648"/>
      <c r="G152" s="648"/>
      <c r="H152" s="648"/>
      <c r="I152" s="648"/>
      <c r="J152" s="340"/>
      <c r="K152" s="221"/>
      <c r="L152" s="221"/>
    </row>
    <row r="153" spans="1:13">
      <c r="J153" s="192" t="s">
        <v>919</v>
      </c>
      <c r="K153" s="192"/>
      <c r="L153" s="192"/>
    </row>
    <row r="154" spans="1:13" ht="18">
      <c r="A154" s="116" t="s">
        <v>725</v>
      </c>
      <c r="B154" s="116"/>
      <c r="C154" s="116"/>
      <c r="D154" s="116"/>
      <c r="E154" s="116"/>
      <c r="F154" s="116"/>
      <c r="G154" s="116"/>
      <c r="H154" s="116"/>
      <c r="I154" s="116"/>
      <c r="J154" s="116"/>
      <c r="K154" s="116"/>
      <c r="L154" s="200"/>
    </row>
    <row r="155" spans="1:13" ht="12" customHeight="1">
      <c r="A155" s="120"/>
      <c r="B155" s="120"/>
      <c r="C155" s="120"/>
      <c r="D155" s="120"/>
      <c r="E155" s="120"/>
      <c r="F155" s="120"/>
      <c r="G155" s="120"/>
      <c r="H155" s="120"/>
      <c r="I155" s="120"/>
      <c r="J155" s="120"/>
      <c r="K155" s="120"/>
      <c r="L155" s="120"/>
    </row>
    <row r="156" spans="1:13" ht="15.75">
      <c r="A156" s="122" t="s">
        <v>714</v>
      </c>
      <c r="B156" s="122"/>
      <c r="C156" s="122"/>
      <c r="D156" s="122"/>
      <c r="E156" s="122"/>
      <c r="F156" s="122"/>
      <c r="G156" s="122"/>
      <c r="H156" s="122"/>
      <c r="I156" s="122"/>
      <c r="J156" s="122"/>
      <c r="K156" s="122"/>
      <c r="L156" s="201"/>
    </row>
    <row r="157" spans="1:13" ht="15.75">
      <c r="A157" s="122" t="s">
        <v>844</v>
      </c>
      <c r="B157" s="122"/>
      <c r="C157" s="122"/>
      <c r="D157" s="122"/>
      <c r="E157" s="122"/>
      <c r="F157" s="122"/>
      <c r="G157" s="122"/>
      <c r="H157" s="122"/>
      <c r="I157" s="122"/>
      <c r="J157" s="122"/>
      <c r="K157" s="122"/>
      <c r="L157" s="201"/>
      <c r="M157" s="201"/>
    </row>
    <row r="158" spans="1:13">
      <c r="E158" s="166"/>
      <c r="G158" s="166"/>
      <c r="H158" s="166"/>
      <c r="I158" s="166"/>
      <c r="J158" s="166"/>
      <c r="K158" s="166"/>
    </row>
    <row r="159" spans="1:13" ht="15" customHeight="1">
      <c r="A159" s="129"/>
      <c r="B159" s="242" t="s">
        <v>722</v>
      </c>
      <c r="C159" s="132"/>
      <c r="D159" s="243">
        <v>1</v>
      </c>
      <c r="F159" s="244">
        <v>2</v>
      </c>
      <c r="H159" s="244">
        <v>3</v>
      </c>
      <c r="J159" s="244" t="s">
        <v>679</v>
      </c>
      <c r="K159" s="245"/>
    </row>
    <row r="160" spans="1:13" ht="75.75" customHeight="1">
      <c r="A160" s="251"/>
      <c r="B160" s="245" t="s">
        <v>682</v>
      </c>
      <c r="C160" s="139" t="s">
        <v>683</v>
      </c>
      <c r="D160" s="252" t="s">
        <v>682</v>
      </c>
      <c r="E160" s="139" t="s">
        <v>683</v>
      </c>
      <c r="F160" s="252" t="s">
        <v>682</v>
      </c>
      <c r="G160" s="139" t="s">
        <v>683</v>
      </c>
      <c r="H160" s="252" t="s">
        <v>682</v>
      </c>
      <c r="I160" s="139" t="s">
        <v>683</v>
      </c>
      <c r="J160" s="252" t="s">
        <v>682</v>
      </c>
      <c r="K160" s="139" t="s">
        <v>683</v>
      </c>
    </row>
    <row r="161" spans="1:19">
      <c r="A161" s="1" t="s">
        <v>687</v>
      </c>
      <c r="B161" s="230">
        <f>+'OLD Tables'!B100+'OLD Tables'!B131</f>
        <v>321177.91333333339</v>
      </c>
      <c r="D161" s="260">
        <f>+'OLD Tables'!C100+'OLD Tables'!C131</f>
        <v>686513.79222222231</v>
      </c>
      <c r="F161" s="260">
        <f>+'OLD Tables'!D100+'OLD Tables'!D131</f>
        <v>326360.28666666668</v>
      </c>
      <c r="H161" s="260">
        <f>+'OLD Tables'!E100+'OLD Tables'!E131</f>
        <v>132153.92166666666</v>
      </c>
      <c r="J161" s="260">
        <f>+'OLD Tables'!F100+'OLD Tables'!F131</f>
        <v>1466205.9138888891</v>
      </c>
      <c r="L161" s="1" t="s">
        <v>721</v>
      </c>
      <c r="P161" s="6"/>
      <c r="Q161" s="6"/>
      <c r="R161" s="6"/>
      <c r="S161" s="6"/>
    </row>
    <row r="162" spans="1:19" s="6" customFormat="1" ht="10.5" customHeight="1">
      <c r="A162" s="265"/>
      <c r="B162" s="266"/>
      <c r="C162" s="267" t="s">
        <v>733</v>
      </c>
      <c r="D162" s="268" t="s">
        <v>721</v>
      </c>
      <c r="E162" s="267" t="s">
        <v>734</v>
      </c>
      <c r="F162" s="268" t="s">
        <v>721</v>
      </c>
      <c r="G162" s="267" t="s">
        <v>735</v>
      </c>
      <c r="H162" s="269" t="s">
        <v>721</v>
      </c>
      <c r="I162" s="267" t="s">
        <v>736</v>
      </c>
      <c r="J162" s="269" t="s">
        <v>721</v>
      </c>
      <c r="K162" s="267" t="s">
        <v>737</v>
      </c>
      <c r="L162" s="6" t="s">
        <v>721</v>
      </c>
      <c r="P162" s="1"/>
      <c r="Q162" s="1"/>
      <c r="R162" s="1"/>
      <c r="S162" s="1"/>
    </row>
    <row r="163" spans="1:19" ht="15" customHeight="1">
      <c r="A163" s="1" t="s">
        <v>695</v>
      </c>
      <c r="B163" s="230">
        <f>+'OLD Tables'!B102+'OLD Tables'!B133</f>
        <v>0</v>
      </c>
      <c r="C163" s="271">
        <f>+GETPIVOTDATA("Sum of Old-HS % of Total",'Pivot-HS Student % of Undergrad'!$A$3,"State","AL","Category",7,"Category2","Two-Year")</f>
        <v>0</v>
      </c>
      <c r="D163" s="260">
        <f>+'OLD Tables'!C102+'OLD Tables'!C133</f>
        <v>16464.533333333333</v>
      </c>
      <c r="E163" s="271">
        <f>+GETPIVOTDATA("Sum of Old-HS % of Total",'Pivot-HS Student % of Undergrad'!$A$3,"State","AL","Category",8,"Category2","Two-Year")</f>
        <v>9.3370396164685301E-2</v>
      </c>
      <c r="F163" s="260">
        <f>+'OLD Tables'!D102+'OLD Tables'!D133</f>
        <v>25167.600000000002</v>
      </c>
      <c r="G163" s="271">
        <f>+GETPIVOTDATA("Sum of Old-HS % of Total",'Pivot-HS Student % of Undergrad'!$A$3,"State","AL","Category",9,"Category2","Two-Year")</f>
        <v>6.7931255529596252E-2</v>
      </c>
      <c r="H163" s="260">
        <f>+'OLD Tables'!E102+'OLD Tables'!E133</f>
        <v>9671.4333333333343</v>
      </c>
      <c r="I163" s="271">
        <f>+GETPIVOTDATA("Sum of Old-HS % of Total",'Pivot-HS Student % of Undergrad'!$A$3,"State","AL","Category",10,"Category2","Two-Year")</f>
        <v>0.12860210310088474</v>
      </c>
      <c r="J163" s="260">
        <f>+'OLD Tables'!F102+'OLD Tables'!F133</f>
        <v>51303.566666666666</v>
      </c>
      <c r="K163" s="271">
        <f>+GETPIVOTDATA("Sum of Old-HS % of Total",'Pivot-HS Student % of Undergrad'!$A$3,"State","AL","Category2","Group2")</f>
        <v>8.7532575707861771E-2</v>
      </c>
    </row>
    <row r="164" spans="1:19" ht="15" customHeight="1">
      <c r="A164" s="1" t="s">
        <v>696</v>
      </c>
      <c r="B164" s="230">
        <f>+'OLD Tables'!B103+'OLD Tables'!B134</f>
        <v>0</v>
      </c>
      <c r="C164" s="271">
        <f>+GETPIVOTDATA("Sum of Old-HS % of Total",'Pivot-HS Student % of Undergrad'!$A$3,"State","AR","Category",7,"Category2","Two-Year")</f>
        <v>0</v>
      </c>
      <c r="D164" s="260">
        <f>+'OLD Tables'!C103+'OLD Tables'!C134</f>
        <v>4698.7</v>
      </c>
      <c r="E164" s="271">
        <f>+GETPIVOTDATA("Sum of Old-HS % of Total",'Pivot-HS Student % of Undergrad'!$A$3,"State","AR","Category",8,"Category2","Two-Year")</f>
        <v>0.13559069529869963</v>
      </c>
      <c r="F164" s="260">
        <f>+'OLD Tables'!D103+'OLD Tables'!D134</f>
        <v>6060.5333333333328</v>
      </c>
      <c r="G164" s="271">
        <f>+GETPIVOTDATA("Sum of Old-HS % of Total",'Pivot-HS Student % of Undergrad'!$A$3,"State","AR","Category",9,"Category2","Two-Year")</f>
        <v>6.4812777753333037E-2</v>
      </c>
      <c r="H164" s="260">
        <f>+'OLD Tables'!E103+'OLD Tables'!E134</f>
        <v>18490.099999999999</v>
      </c>
      <c r="I164" s="271">
        <f>+GETPIVOTDATA("Sum of Old-HS % of Total",'Pivot-HS Student % of Undergrad'!$A$3,"State","AR","Category",10,"Category2","Two-Year")</f>
        <v>0.14322439215219676</v>
      </c>
      <c r="J164" s="260">
        <f>+'OLD Tables'!F103+'OLD Tables'!F134</f>
        <v>29249.333333333332</v>
      </c>
      <c r="K164" s="271">
        <f>+GETPIVOTDATA("Sum of Old-HS % of Total",'Pivot-HS Student % of Undergrad'!$A$3,"State","AR","Category2","Group2")</f>
        <v>0.12575101426813146</v>
      </c>
    </row>
    <row r="165" spans="1:19" ht="15" customHeight="1">
      <c r="A165" s="1" t="s">
        <v>697</v>
      </c>
      <c r="B165" s="230">
        <f>+'OLD Tables'!B104+'OLD Tables'!B135</f>
        <v>8302.7000000000007</v>
      </c>
      <c r="C165" s="271">
        <f>+GETPIVOTDATA("Sum of Old-HS % of Total",'Pivot-HS Student % of Undergrad'!$A$3,"State","DE","Category",7,"Category2","Two-Year")</f>
        <v>0</v>
      </c>
      <c r="D165" s="260">
        <f>+'OLD Tables'!C104+'OLD Tables'!C135</f>
        <v>0</v>
      </c>
      <c r="E165" s="271">
        <f>+GETPIVOTDATA("Sum of Old-HS % of Total",'Pivot-HS Student % of Undergrad'!$A$3,"State","DE","Category",8,"Category2","Two-Year")</f>
        <v>0</v>
      </c>
      <c r="F165" s="260">
        <f>+'OLD Tables'!D104+'OLD Tables'!D135</f>
        <v>0</v>
      </c>
      <c r="G165" s="271">
        <f>+GETPIVOTDATA("Sum of Old-HS % of Total",'Pivot-HS Student % of Undergrad'!$A$3,"State","DE","Category",9,"Category2","Two-Year")</f>
        <v>0</v>
      </c>
      <c r="H165" s="260">
        <f>+'OLD Tables'!E104+'OLD Tables'!E135</f>
        <v>0</v>
      </c>
      <c r="I165" s="271">
        <f>+GETPIVOTDATA("Sum of Old-HS % of Total",'Pivot-HS Student % of Undergrad'!$A$3,"State","DE","Category",10,"Category2","Two-Year")</f>
        <v>0</v>
      </c>
      <c r="J165" s="260">
        <f>+'OLD Tables'!F104+'OLD Tables'!F135</f>
        <v>8302.7000000000007</v>
      </c>
      <c r="K165" s="271">
        <f>+GETPIVOTDATA("Sum of Old-HS % of Total",'Pivot-HS Student % of Undergrad'!$A$3,"State","DE","Category2","Group2")</f>
        <v>0</v>
      </c>
    </row>
    <row r="166" spans="1:19" ht="15" customHeight="1">
      <c r="A166" s="1" t="s">
        <v>698</v>
      </c>
      <c r="B166" s="230">
        <f>+'OLD Tables'!B105+'OLD Tables'!B136</f>
        <v>275621.4966666667</v>
      </c>
      <c r="C166" s="271">
        <f>+GETPIVOTDATA("Sum of Old-HS % of Total",'Pivot-HS Student % of Undergrad'!$A$3,"State","FL","Category",7,"Category2","Two-Year")</f>
        <v>5.1696317480212597E-2</v>
      </c>
      <c r="D166" s="260">
        <f>+'OLD Tables'!C105+'OLD Tables'!C136</f>
        <v>29592.867777777781</v>
      </c>
      <c r="E166" s="271">
        <f>+GETPIVOTDATA("Sum of Old-HS % of Total",'Pivot-HS Student % of Undergrad'!$A$3,"State","FL","Category",8,"Category2","Two-Year")</f>
        <v>2.876395219591573E-2</v>
      </c>
      <c r="F166" s="260">
        <f>+'OLD Tables'!D105+'OLD Tables'!D136</f>
        <v>0</v>
      </c>
      <c r="G166" s="271">
        <f>+GETPIVOTDATA("Sum of Old-HS % of Total",'Pivot-HS Student % of Undergrad'!$A$3,"State","FL","Category",9,"Category2","Two-Year")</f>
        <v>0</v>
      </c>
      <c r="H166" s="260">
        <f>+'OLD Tables'!E105+'OLD Tables'!E136</f>
        <v>1582.8911111111111</v>
      </c>
      <c r="I166" s="271">
        <f>+GETPIVOTDATA("Sum of Old-HS % of Total",'Pivot-HS Student % of Undergrad'!$A$3,"State","FL","Category",10,"Category2","Two-Year")</f>
        <v>5.8233018521320047E-2</v>
      </c>
      <c r="J166" s="260">
        <f>+'OLD Tables'!F105+'OLD Tables'!F136</f>
        <v>306797.25555555557</v>
      </c>
      <c r="K166" s="271">
        <f>+GETPIVOTDATA("Sum of Old-HS % of Total",'Pivot-HS Student % of Undergrad'!$A$3,"State","FL","Category2","Group2")</f>
        <v>4.8802873238416034E-2</v>
      </c>
    </row>
    <row r="167" spans="1:19" ht="15" customHeight="1">
      <c r="B167" s="230"/>
      <c r="C167" s="271"/>
      <c r="D167" s="260"/>
      <c r="E167" s="271"/>
      <c r="F167" s="260"/>
      <c r="G167" s="271"/>
      <c r="H167" s="260"/>
      <c r="I167" s="271"/>
      <c r="J167" s="260"/>
      <c r="K167" s="271"/>
    </row>
    <row r="168" spans="1:19" ht="15" customHeight="1">
      <c r="A168" s="1" t="s">
        <v>699</v>
      </c>
      <c r="B168" s="230">
        <f>+'OLD Tables'!B107+'OLD Tables'!B138</f>
        <v>9231.1</v>
      </c>
      <c r="C168" s="271">
        <f>+GETPIVOTDATA("Sum of Old-HS % of Total",'Pivot-HS Student % of Undergrad'!$A$3,"State","GA","Category",7,"Category2","Two-Year")</f>
        <v>6.4015483889605068E-2</v>
      </c>
      <c r="D168" s="260">
        <f>+'OLD Tables'!C107+'OLD Tables'!C138</f>
        <v>0</v>
      </c>
      <c r="E168" s="271">
        <f>+GETPIVOTDATA("Sum of Old-HS % of Total",'Pivot-HS Student % of Undergrad'!$A$3,"State","GA","Category",8,"Category2","Two-Year")</f>
        <v>0</v>
      </c>
      <c r="F168" s="260">
        <f>+'OLD Tables'!D107+'OLD Tables'!D138</f>
        <v>0</v>
      </c>
      <c r="G168" s="271">
        <f>+GETPIVOTDATA("Sum of Old-HS % of Total",'Pivot-HS Student % of Undergrad'!$A$3,"State","GA","Category",9,"Category2","Two-Year")</f>
        <v>0</v>
      </c>
      <c r="H168" s="260">
        <f>+'OLD Tables'!E107+'OLD Tables'!E138</f>
        <v>0</v>
      </c>
      <c r="I168" s="271">
        <f>+GETPIVOTDATA("Sum of Old-HS % of Total",'Pivot-HS Student % of Undergrad'!$A$3,"State","GA","Category",10,"Category2","Two-Year")</f>
        <v>0</v>
      </c>
      <c r="J168" s="260">
        <f>+'OLD Tables'!F107+'OLD Tables'!F138</f>
        <v>9231.1</v>
      </c>
      <c r="K168" s="271">
        <f>+GETPIVOTDATA("Sum of Old-HS % of Total",'Pivot-HS Student % of Undergrad'!$A$3,"State","GA","Category2","Group2")</f>
        <v>6.4015483889605068E-2</v>
      </c>
    </row>
    <row r="169" spans="1:19" ht="15" customHeight="1">
      <c r="A169" s="1" t="s">
        <v>700</v>
      </c>
      <c r="B169" s="230">
        <f>+'OLD Tables'!B108+'OLD Tables'!B139</f>
        <v>0</v>
      </c>
      <c r="C169" s="271">
        <f>+GETPIVOTDATA("Sum of Old-HS % of Total",'Pivot-HS Student % of Undergrad'!$A$3,"State","KY","Category",7,"Category2","Two-Year")</f>
        <v>0</v>
      </c>
      <c r="D169" s="260">
        <f>+'OLD Tables'!C108+'OLD Tables'!C139</f>
        <v>13026.133333333333</v>
      </c>
      <c r="E169" s="271">
        <f>+GETPIVOTDATA("Sum of Old-HS % of Total",'Pivot-HS Student % of Undergrad'!$A$3,"State","KY","Category",8,"Category2","Two-Year")</f>
        <v>0.12171429741238127</v>
      </c>
      <c r="F169" s="260">
        <f>+'OLD Tables'!D108+'OLD Tables'!D139</f>
        <v>13746.499999999998</v>
      </c>
      <c r="G169" s="271">
        <f>+GETPIVOTDATA("Sum of Old-HS % of Total",'Pivot-HS Student % of Undergrad'!$A$3,"State","KY","Category",9,"Category2","Two-Year")</f>
        <v>0.14603717309860692</v>
      </c>
      <c r="H169" s="260">
        <f>+'OLD Tables'!E108+'OLD Tables'!E139</f>
        <v>10771.7</v>
      </c>
      <c r="I169" s="271">
        <f>+GETPIVOTDATA("Sum of Old-HS % of Total",'Pivot-HS Student % of Undergrad'!$A$3,"State","KY","Category",10,"Category2","Two-Year")</f>
        <v>0.12747600966730724</v>
      </c>
      <c r="J169" s="260">
        <f>+'OLD Tables'!F108+'OLD Tables'!F139</f>
        <v>37544.333333333328</v>
      </c>
      <c r="K169" s="271">
        <f>+GETPIVOTDATA("Sum of Old-HS % of Total",'Pivot-HS Student % of Undergrad'!$A$3,"State","KY","Category2","Group2")</f>
        <v>0.13227295730380972</v>
      </c>
    </row>
    <row r="170" spans="1:19" ht="15" customHeight="1">
      <c r="A170" s="1" t="s">
        <v>701</v>
      </c>
      <c r="B170" s="230">
        <f>+'OLD Tables'!B109+'OLD Tables'!B140</f>
        <v>0</v>
      </c>
      <c r="C170" s="271">
        <f>+GETPIVOTDATA("Sum of Old-HS % of Total",'Pivot-HS Student % of Undergrad'!$A$3,"State","LA","Category",7,"Category2","Two-Year")</f>
        <v>0</v>
      </c>
      <c r="D170" s="260">
        <f>+'OLD Tables'!C109+'OLD Tables'!C140</f>
        <v>14350.5</v>
      </c>
      <c r="E170" s="271">
        <f>+GETPIVOTDATA("Sum of Old-HS % of Total",'Pivot-HS Student % of Undergrad'!$A$3,"State","LA","Category",8,"Category2","Two-Year")</f>
        <v>1.9639269247296844E-2</v>
      </c>
      <c r="F170" s="260">
        <f>+'OLD Tables'!D109+'OLD Tables'!D140</f>
        <v>15767.833333333334</v>
      </c>
      <c r="G170" s="271">
        <f>+GETPIVOTDATA("Sum of Old-HS % of Total",'Pivot-HS Student % of Undergrad'!$A$3,"State","LA","Category",9,"Category2","Two-Year")</f>
        <v>6.4039658799031784E-2</v>
      </c>
      <c r="H170" s="260">
        <f>+'OLD Tables'!E109+'OLD Tables'!E140</f>
        <v>3439.0333333333333</v>
      </c>
      <c r="I170" s="271">
        <f>+GETPIVOTDATA("Sum of Old-HS % of Total",'Pivot-HS Student % of Undergrad'!$A$3,"State","LA","Category",10,"Category2","Two-Year")</f>
        <v>0.12845663994727199</v>
      </c>
      <c r="J170" s="260">
        <f>+'OLD Tables'!F109+'OLD Tables'!F140</f>
        <v>33557.366666666669</v>
      </c>
      <c r="K170" s="271">
        <f>+GETPIVOTDATA("Sum of Old-HS % of Total",'Pivot-HS Student % of Undergrad'!$A$3,"State","LA","Category2","Group2")</f>
        <v>5.1653834577802586E-2</v>
      </c>
    </row>
    <row r="171" spans="1:19" ht="15" customHeight="1">
      <c r="A171" s="1" t="s">
        <v>829</v>
      </c>
      <c r="B171" s="230">
        <f>+'OLD Tables'!B110+'OLD Tables'!B141</f>
        <v>0</v>
      </c>
      <c r="C171" s="271">
        <f>+GETPIVOTDATA("Sum of Old-HS % of Total",'Pivot-HS Student % of Undergrad'!$A$3,"State","MD","Category",7,"Category2","Two-Year")</f>
        <v>0</v>
      </c>
      <c r="D171" s="260">
        <f>+'OLD Tables'!C110+'OLD Tables'!C141</f>
        <v>58575.316666666666</v>
      </c>
      <c r="E171" s="271">
        <f>+GETPIVOTDATA("Sum of Old-HS % of Total",'Pivot-HS Student % of Undergrad'!$A$3,"State","MD","Category",8,"Category2","Two-Year")</f>
        <v>0</v>
      </c>
      <c r="F171" s="260">
        <f>+'OLD Tables'!D110+'OLD Tables'!D141</f>
        <v>18163.383333333331</v>
      </c>
      <c r="G171" s="271">
        <f>+GETPIVOTDATA("Sum of Old-HS % of Total",'Pivot-HS Student % of Undergrad'!$A$3,"State","MD","Category",9,"Category2","Two-Year")</f>
        <v>0</v>
      </c>
      <c r="H171" s="260">
        <f>+'OLD Tables'!E110+'OLD Tables'!E141</f>
        <v>5960.6416666666664</v>
      </c>
      <c r="I171" s="271">
        <f>+GETPIVOTDATA("Sum of Old-HS % of Total",'Pivot-HS Student % of Undergrad'!$A$3,"State","MD","Category",10,"Category2","Two-Year")</f>
        <v>0</v>
      </c>
      <c r="J171" s="260">
        <f>+'OLD Tables'!F110+'OLD Tables'!F141</f>
        <v>82699.34166666666</v>
      </c>
      <c r="K171" s="271">
        <f>+GETPIVOTDATA("Sum of Old-HS % of Total",'Pivot-HS Student % of Undergrad'!$A$3,"State","MD","Category2","Group2")</f>
        <v>0</v>
      </c>
    </row>
    <row r="172" spans="1:19" ht="15" customHeight="1">
      <c r="B172" s="230"/>
      <c r="C172" s="271"/>
      <c r="D172" s="260"/>
      <c r="E172" s="271"/>
      <c r="F172" s="260"/>
      <c r="G172" s="271"/>
      <c r="H172" s="260"/>
      <c r="I172" s="271"/>
      <c r="J172" s="260"/>
      <c r="K172" s="271"/>
    </row>
    <row r="173" spans="1:19" ht="15" customHeight="1">
      <c r="A173" s="1" t="s">
        <v>703</v>
      </c>
      <c r="B173" s="230">
        <f>+'OLD Tables'!B112+'OLD Tables'!B143</f>
        <v>0</v>
      </c>
      <c r="C173" s="271">
        <f>+GETPIVOTDATA("Sum of Old-HS % of Total",'Pivot-HS Student % of Undergrad'!$A$3,"State","MS","Category",7,"Category2","Two-Year")</f>
        <v>0</v>
      </c>
      <c r="D173" s="260">
        <f>+'OLD Tables'!C112+'OLD Tables'!C143</f>
        <v>25751.166666666664</v>
      </c>
      <c r="E173" s="271">
        <f>+GETPIVOTDATA("Sum of Old-HS % of Total",'Pivot-HS Student % of Undergrad'!$A$3,"State","MS","Category",8,"Category2","Two-Year")</f>
        <v>8.5544344269191691E-2</v>
      </c>
      <c r="F173" s="260">
        <f>+'OLD Tables'!D112+'OLD Tables'!D143</f>
        <v>29643.749999999996</v>
      </c>
      <c r="G173" s="271">
        <f>+GETPIVOTDATA("Sum of Old-HS % of Total",'Pivot-HS Student % of Undergrad'!$A$3,"State","MS","Category",9,"Category2","Two-Year")</f>
        <v>7.2837163539250821E-2</v>
      </c>
      <c r="H173" s="260">
        <f>+'OLD Tables'!E112+'OLD Tables'!E143</f>
        <v>3462.0666666666666</v>
      </c>
      <c r="I173" s="271">
        <f>+GETPIVOTDATA("Sum of Old-HS % of Total",'Pivot-HS Student % of Undergrad'!$A$3,"State","MS","Category",10,"Category2","Two-Year")</f>
        <v>6.1167703298607767E-2</v>
      </c>
      <c r="J173" s="260">
        <f>+'OLD Tables'!F112+'OLD Tables'!F143</f>
        <v>58856.983333333323</v>
      </c>
      <c r="K173" s="271">
        <f>+GETPIVOTDATA("Sum of Old-HS % of Total",'Pivot-HS Student % of Undergrad'!$A$3,"State","MS","Category2","Group2")</f>
        <v>7.7710404797618177E-2</v>
      </c>
    </row>
    <row r="174" spans="1:19" ht="15" customHeight="1">
      <c r="A174" s="1" t="s">
        <v>704</v>
      </c>
      <c r="B174" s="230">
        <f>+'OLD Tables'!B113+'OLD Tables'!B144</f>
        <v>0</v>
      </c>
      <c r="C174" s="271">
        <f>+GETPIVOTDATA("Sum of Old-HS % of Total",'Pivot-HS Student % of Undergrad'!$A$3,"State","NC","Category",7,"Category2","Two-Year")</f>
        <v>0</v>
      </c>
      <c r="D174" s="260">
        <f>+'OLD Tables'!C113+'OLD Tables'!C144</f>
        <v>78091.832222222234</v>
      </c>
      <c r="E174" s="271">
        <f>+GETPIVOTDATA("Sum of Old-HS % of Total",'Pivot-HS Student % of Undergrad'!$A$3,"State","NC","Category",8,"Category2","Two-Year")</f>
        <v>0.11472596064738695</v>
      </c>
      <c r="F174" s="260">
        <f>+'OLD Tables'!D113+'OLD Tables'!D144</f>
        <v>64149.21333333334</v>
      </c>
      <c r="G174" s="271">
        <f>+GETPIVOTDATA("Sum of Old-HS % of Total",'Pivot-HS Student % of Undergrad'!$A$3,"State","NC","Category",9,"Category2","Two-Year")</f>
        <v>0.22943686786631312</v>
      </c>
      <c r="H174" s="260">
        <f>+'OLD Tables'!E113+'OLD Tables'!E144</f>
        <v>31269.253333333334</v>
      </c>
      <c r="I174" s="271">
        <f>+GETPIVOTDATA("Sum of Old-HS % of Total",'Pivot-HS Student % of Undergrad'!$A$3,"State","NC","Category",10,"Category2","Two-Year")</f>
        <v>0.29536511732024828</v>
      </c>
      <c r="J174" s="260">
        <f>+'OLD Tables'!F113+'OLD Tables'!F144</f>
        <v>173510.29888888891</v>
      </c>
      <c r="K174" s="271">
        <f>+GETPIVOTDATA("Sum of Old-HS % of Total",'Pivot-HS Student % of Undergrad'!$A$3,"State","NC","Category2","Group2")</f>
        <v>0.18772896126872143</v>
      </c>
    </row>
    <row r="175" spans="1:19" ht="15" customHeight="1">
      <c r="A175" s="1" t="s">
        <v>705</v>
      </c>
      <c r="B175" s="230">
        <f>+'OLD Tables'!B114+'OLD Tables'!B145</f>
        <v>0</v>
      </c>
      <c r="C175" s="271">
        <f>+GETPIVOTDATA("Sum of Old-HS % of Total",'Pivot-HS Student % of Undergrad'!$A$3,"State","OK","Category",7,"Category2","Two-Year")</f>
        <v>0</v>
      </c>
      <c r="D175" s="260">
        <f>+'OLD Tables'!C114+'OLD Tables'!C145</f>
        <v>0</v>
      </c>
      <c r="E175" s="271">
        <f>+GETPIVOTDATA("Sum of Old-HS % of Total",'Pivot-HS Student % of Undergrad'!$A$3,"State","OK","Category",8,"Category2","Two-Year")</f>
        <v>0</v>
      </c>
      <c r="F175" s="260">
        <f>+'OLD Tables'!D114+'OLD Tables'!D145</f>
        <v>0</v>
      </c>
      <c r="G175" s="271">
        <f>+GETPIVOTDATA("Sum of Old-HS % of Total",'Pivot-HS Student % of Undergrad'!$A$3,"State","OK","Category",9,"Category2","Two-Year")</f>
        <v>0</v>
      </c>
      <c r="H175" s="260">
        <f>+'OLD Tables'!E114+'OLD Tables'!E145</f>
        <v>0</v>
      </c>
      <c r="I175" s="271">
        <f>+GETPIVOTDATA("Sum of Old-HS % of Total",'Pivot-HS Student % of Undergrad'!$A$3,"State","OK","Category",10,"Category2","Two-Year")</f>
        <v>0</v>
      </c>
      <c r="J175" s="260">
        <f>+'OLD Tables'!F114+'OLD Tables'!F145</f>
        <v>0</v>
      </c>
      <c r="K175" s="271">
        <f>+GETPIVOTDATA("Sum of Old-HS % of Total",'Pivot-HS Student % of Undergrad'!$A$3,"State","OK","Category2","Group2")</f>
        <v>0</v>
      </c>
    </row>
    <row r="176" spans="1:19" ht="15" customHeight="1">
      <c r="A176" s="1" t="s">
        <v>706</v>
      </c>
      <c r="B176" s="230">
        <f>+'OLD Tables'!B115+'OLD Tables'!B146</f>
        <v>0</v>
      </c>
      <c r="C176" s="271">
        <f>+GETPIVOTDATA("Sum of Old-HS % of Total",'Pivot-HS Student % of Undergrad'!$A$3,"State","SC","Category",7,"Category2","Two-Year")</f>
        <v>0</v>
      </c>
      <c r="D176" s="260">
        <f>+'OLD Tables'!C115+'OLD Tables'!C146</f>
        <v>27210.300000000003</v>
      </c>
      <c r="E176" s="271">
        <f>+GETPIVOTDATA("Sum of Old-HS % of Total",'Pivot-HS Student % of Undergrad'!$A$3,"State","SC","Category",8,"Category2","Two-Year")</f>
        <v>8.7488928824746515E-2</v>
      </c>
      <c r="F176" s="260">
        <f>+'OLD Tables'!D115+'OLD Tables'!D146</f>
        <v>19132.266666666666</v>
      </c>
      <c r="G176" s="271">
        <f>+GETPIVOTDATA("Sum of Old-HS % of Total",'Pivot-HS Student % of Undergrad'!$A$3,"State","SC","Category",9,"Category2","Two-Year")</f>
        <v>9.8981127867755689E-2</v>
      </c>
      <c r="H176" s="260">
        <f>+'OLD Tables'!E115+'OLD Tables'!E146</f>
        <v>9627.6666666666661</v>
      </c>
      <c r="I176" s="271">
        <f>+GETPIVOTDATA("Sum of Old-HS % of Total",'Pivot-HS Student % of Undergrad'!$A$3,"State","SC","Category",10,"Category2","Two-Year")</f>
        <v>0.2421216632621265</v>
      </c>
      <c r="J176" s="260">
        <f>+'OLD Tables'!F115+'OLD Tables'!F146</f>
        <v>55970.23333333333</v>
      </c>
      <c r="K176" s="271">
        <f>+GETPIVOTDATA("Sum of Old-HS % of Total",'Pivot-HS Student % of Undergrad'!$A$3,"State","SC","Category2","Group2")</f>
        <v>0.11801630271328747</v>
      </c>
    </row>
    <row r="177" spans="1:13" ht="15" customHeight="1">
      <c r="B177" s="230"/>
      <c r="C177" s="271"/>
      <c r="D177" s="260"/>
      <c r="E177" s="271"/>
      <c r="F177" s="260"/>
      <c r="G177" s="271"/>
      <c r="H177" s="260"/>
      <c r="I177" s="271"/>
      <c r="J177" s="260"/>
      <c r="K177" s="271"/>
    </row>
    <row r="178" spans="1:13" ht="15" customHeight="1">
      <c r="A178" s="1" t="s">
        <v>707</v>
      </c>
      <c r="B178" s="230">
        <f>+'OLD Tables'!B117+'OLD Tables'!B148</f>
        <v>0</v>
      </c>
      <c r="C178" s="271">
        <f>+GETPIVOTDATA("Sum of Old-HS % of Total",'Pivot-HS Student % of Undergrad'!$A$3,"State","TN","Category",7,"Category2","Two-Year")</f>
        <v>0</v>
      </c>
      <c r="D178" s="260">
        <f>+'OLD Tables'!C117+'OLD Tables'!C148</f>
        <v>28409.85</v>
      </c>
      <c r="E178" s="271">
        <f>+GETPIVOTDATA("Sum of Old-HS % of Total",'Pivot-HS Student % of Undergrad'!$A$3,"State","TN","Category",8,"Category2","Two-Year")</f>
        <v>6.5751256459760724E-2</v>
      </c>
      <c r="F178" s="260">
        <f>+'OLD Tables'!D117+'OLD Tables'!D148</f>
        <v>25486.266666666663</v>
      </c>
      <c r="G178" s="271">
        <f>+GETPIVOTDATA("Sum of Old-HS % of Total",'Pivot-HS Student % of Undergrad'!$A$3,"State","TN","Category",9,"Category2","Two-Year")</f>
        <v>0.11195833573113886</v>
      </c>
      <c r="H178" s="260">
        <f>+'OLD Tables'!E117+'OLD Tables'!E148</f>
        <v>1717.9666666666667</v>
      </c>
      <c r="I178" s="271">
        <f>+GETPIVOTDATA("Sum of Old-HS % of Total",'Pivot-HS Student % of Undergrad'!$A$3,"State","TN","Category",10,"Category2","Two-Year")</f>
        <v>0.1067929141038825</v>
      </c>
      <c r="J178" s="260">
        <f>+'OLD Tables'!F117+'OLD Tables'!F148</f>
        <v>55614.083333333328</v>
      </c>
      <c r="K178" s="271">
        <f>+GETPIVOTDATA("Sum of Old-HS % of Total",'Pivot-HS Student % of Undergrad'!$A$3,"State","TN","Category2","Group2")</f>
        <v>8.8194387213071032E-2</v>
      </c>
    </row>
    <row r="179" spans="1:13" ht="15" customHeight="1">
      <c r="A179" s="1" t="s">
        <v>708</v>
      </c>
      <c r="B179" s="230">
        <f>+'OLD Tables'!B118+'OLD Tables'!B149</f>
        <v>25164.583333333336</v>
      </c>
      <c r="C179" s="271">
        <f>+GETPIVOTDATA("Sum of Old-HS % of Total",'Pivot-HS Student % of Undergrad'!$A$3,"State","TX","Category",7,"Category2","Two-Year")</f>
        <v>0.32301528667373725</v>
      </c>
      <c r="D179" s="260">
        <f>+'OLD Tables'!C118+'OLD Tables'!C149</f>
        <v>337028.75888888893</v>
      </c>
      <c r="E179" s="271">
        <f>+GETPIVOTDATA("Sum of Old-HS % of Total",'Pivot-HS Student % of Undergrad'!$A$3,"State","TX","Category",8,"Category2","Two-Year")</f>
        <v>0.15280065007059612</v>
      </c>
      <c r="F179" s="260">
        <f>+'OLD Tables'!D118+'OLD Tables'!D149</f>
        <v>81429.893333333341</v>
      </c>
      <c r="G179" s="271">
        <f>+GETPIVOTDATA("Sum of Old-HS % of Total",'Pivot-HS Student % of Undergrad'!$A$3,"State","TX","Category",9,"Category2","Two-Year")</f>
        <v>0.20006440661083635</v>
      </c>
      <c r="H179" s="260">
        <f>+'OLD Tables'!E118+'OLD Tables'!E149</f>
        <v>13720.502222222225</v>
      </c>
      <c r="I179" s="271">
        <f>+GETPIVOTDATA("Sum of Old-HS % of Total",'Pivot-HS Student % of Undergrad'!$A$3,"State","TX","Category",10,"Category2","Two-Year")</f>
        <v>0.19365509774978762</v>
      </c>
      <c r="J179" s="260">
        <f>+'OLD Tables'!F118+'OLD Tables'!F149</f>
        <v>457343.73777777789</v>
      </c>
      <c r="K179" s="271">
        <f>+GETPIVOTDATA("Sum of Old-HS % of Total",'Pivot-HS Student % of Undergrad'!$A$3,"State","TX","Category2","Group2")</f>
        <v>0.17183588527672874</v>
      </c>
    </row>
    <row r="180" spans="1:13" ht="15" customHeight="1">
      <c r="A180" s="1" t="s">
        <v>709</v>
      </c>
      <c r="B180" s="230">
        <f>+'OLD Tables'!B119+'OLD Tables'!B150</f>
        <v>0</v>
      </c>
      <c r="C180" s="271">
        <f>+GETPIVOTDATA("Sum of Old-HS % of Total",'Pivot-HS Student % of Undergrad'!$A$3,"State","VA","Category",7,"Category2","Two-Year")</f>
        <v>0</v>
      </c>
      <c r="D180" s="260">
        <f>+'OLD Tables'!C119+'OLD Tables'!C150</f>
        <v>53313.833333333336</v>
      </c>
      <c r="E180" s="271">
        <f>+GETPIVOTDATA("Sum of Old-HS % of Total",'Pivot-HS Student % of Undergrad'!$A$3,"State","VA","Category",8,"Category2","Two-Year")</f>
        <v>0.21559257603561302</v>
      </c>
      <c r="F180" s="260">
        <f>+'OLD Tables'!D119+'OLD Tables'!D150</f>
        <v>25917.966666666667</v>
      </c>
      <c r="G180" s="271">
        <f>+GETPIVOTDATA("Sum of Old-HS % of Total",'Pivot-HS Student % of Undergrad'!$A$3,"State","VA","Category",9,"Category2","Two-Year")</f>
        <v>0.40649022106929683</v>
      </c>
      <c r="H180" s="260">
        <f>+'OLD Tables'!E119+'OLD Tables'!E150</f>
        <v>15795.666666666668</v>
      </c>
      <c r="I180" s="271">
        <f>+GETPIVOTDATA("Sum of Old-HS % of Total",'Pivot-HS Student % of Undergrad'!$A$3,"State","VA","Category",10,"Category2","Two-Year")</f>
        <v>0.59672061957920952</v>
      </c>
      <c r="J180" s="260">
        <f>+'OLD Tables'!F119+'OLD Tables'!F150</f>
        <v>95027.466666666674</v>
      </c>
      <c r="K180" s="271">
        <f>+GETPIVOTDATA("Sum of Old-HS % of Total",'Pivot-HS Student % of Undergrad'!$A$3,"State","VA","Category2","Group2")</f>
        <v>0.33101026229609404</v>
      </c>
    </row>
    <row r="181" spans="1:13" ht="15" customHeight="1">
      <c r="A181" s="166" t="s">
        <v>710</v>
      </c>
      <c r="B181" s="234">
        <f>+'OLD Tables'!B120+'OLD Tables'!B151</f>
        <v>2858.0333333333333</v>
      </c>
      <c r="C181" s="279">
        <f>+GETPIVOTDATA("Sum of Old-HS % of Total",'Pivot-HS Student % of Undergrad'!$A$3,"State","WV","Category",7,"Category2","Two-Year")</f>
        <v>0.13982808691291215</v>
      </c>
      <c r="D181" s="280">
        <f>+'OLD Tables'!C120+'OLD Tables'!C151</f>
        <v>0</v>
      </c>
      <c r="E181" s="279">
        <f>+GETPIVOTDATA("Sum of Old-HS % of Total",'Pivot-HS Student % of Undergrad'!$A$3,"State","WV","Category",8,"Category2","Two-Year")</f>
        <v>0</v>
      </c>
      <c r="F181" s="280">
        <f>+'OLD Tables'!D120+'OLD Tables'!D151</f>
        <v>1695.0799999999997</v>
      </c>
      <c r="G181" s="279">
        <f>+GETPIVOTDATA("Sum of Old-HS % of Total",'Pivot-HS Student % of Undergrad'!$A$3,"State","WV","Category",9,"Category2","Two-Year")</f>
        <v>0.15360336975246008</v>
      </c>
      <c r="H181" s="280">
        <f>+'OLD Tables'!E120+'OLD Tables'!E151</f>
        <v>6645</v>
      </c>
      <c r="I181" s="279">
        <f>+GETPIVOTDATA("Sum of Old-HS % of Total",'Pivot-HS Student % of Undergrad'!$A$3,"State","WV","Category",10,"Category2","Two-Year")</f>
        <v>7.6824680210684726E-2</v>
      </c>
      <c r="J181" s="280">
        <f>+'OLD Tables'!F120+'OLD Tables'!F151</f>
        <v>11198.113333333333</v>
      </c>
      <c r="K181" s="279">
        <f>+GETPIVOTDATA("Sum of Old-HS % of Total",'Pivot-HS Student % of Undergrad'!$A$3,"State","WV","Category2","Group2")</f>
        <v>0.10452683398453429</v>
      </c>
    </row>
    <row r="182" spans="1:13" ht="37.5" customHeight="1">
      <c r="A182" s="648" t="s">
        <v>849</v>
      </c>
      <c r="B182" s="650"/>
      <c r="C182" s="650"/>
      <c r="D182" s="650"/>
      <c r="E182" s="650"/>
      <c r="F182" s="650"/>
      <c r="G182" s="650"/>
      <c r="H182" s="650"/>
      <c r="I182" s="650"/>
      <c r="J182" s="650"/>
      <c r="K182" s="651"/>
      <c r="L182" s="159"/>
      <c r="M182" s="159"/>
    </row>
    <row r="183" spans="1:13">
      <c r="A183" s="645" t="s">
        <v>830</v>
      </c>
      <c r="B183" s="645"/>
      <c r="C183" s="645"/>
      <c r="D183" s="645"/>
      <c r="E183" s="645"/>
      <c r="F183" s="645"/>
      <c r="G183" s="645"/>
      <c r="H183" s="645"/>
      <c r="I183" s="645"/>
      <c r="J183" s="221"/>
      <c r="K183" s="404"/>
      <c r="L183" s="159"/>
      <c r="M183" s="159"/>
    </row>
    <row r="184" spans="1:13">
      <c r="K184" s="192" t="s">
        <v>919</v>
      </c>
      <c r="M184" s="222"/>
    </row>
    <row r="185" spans="1:13" ht="18">
      <c r="A185" s="116" t="s">
        <v>743</v>
      </c>
      <c r="B185" s="119"/>
      <c r="C185" s="119"/>
      <c r="D185" s="119"/>
      <c r="E185" s="119"/>
      <c r="F185" s="119"/>
      <c r="G185" s="119"/>
      <c r="H185" s="119"/>
      <c r="I185" s="119"/>
      <c r="M185" s="222"/>
    </row>
    <row r="186" spans="1:13" ht="15.75">
      <c r="A186" s="120"/>
      <c r="B186" s="119"/>
      <c r="C186" s="119"/>
      <c r="D186" s="119"/>
      <c r="E186" s="119"/>
      <c r="F186" s="119"/>
      <c r="G186" s="119"/>
      <c r="H186" s="119"/>
      <c r="I186" s="119"/>
      <c r="M186" s="222"/>
    </row>
    <row r="187" spans="1:13" ht="15.75">
      <c r="A187" s="122" t="s">
        <v>714</v>
      </c>
      <c r="B187" s="119"/>
      <c r="C187" s="119"/>
      <c r="D187" s="119"/>
      <c r="E187" s="119"/>
      <c r="F187" s="119"/>
      <c r="G187" s="119"/>
      <c r="H187" s="119"/>
      <c r="I187" s="119"/>
      <c r="M187" s="222"/>
    </row>
    <row r="188" spans="1:13" ht="15.75">
      <c r="A188" s="122" t="s">
        <v>845</v>
      </c>
      <c r="B188" s="119"/>
      <c r="C188" s="119"/>
      <c r="D188" s="119"/>
      <c r="E188" s="119"/>
      <c r="F188" s="119"/>
      <c r="G188" s="119"/>
      <c r="H188" s="119"/>
      <c r="I188" s="119"/>
      <c r="M188" s="222"/>
    </row>
    <row r="189" spans="1:13">
      <c r="C189" s="166"/>
      <c r="D189" s="166"/>
      <c r="E189" s="166"/>
      <c r="F189" s="166"/>
      <c r="G189" s="166"/>
      <c r="M189" s="222"/>
    </row>
    <row r="190" spans="1:13" ht="28.5" customHeight="1">
      <c r="A190" s="129"/>
      <c r="B190" s="287">
        <v>1</v>
      </c>
      <c r="D190" s="288">
        <v>2</v>
      </c>
      <c r="F190" s="289" t="s">
        <v>679</v>
      </c>
      <c r="K190" s="222"/>
    </row>
    <row r="191" spans="1:13" ht="78" customHeight="1">
      <c r="A191" s="251"/>
      <c r="B191" s="245" t="s">
        <v>682</v>
      </c>
      <c r="C191" s="139" t="s">
        <v>683</v>
      </c>
      <c r="D191" s="252" t="s">
        <v>682</v>
      </c>
      <c r="E191" s="139" t="s">
        <v>683</v>
      </c>
      <c r="F191" s="252" t="s">
        <v>682</v>
      </c>
      <c r="G191" s="139" t="s">
        <v>683</v>
      </c>
      <c r="K191" s="222"/>
    </row>
    <row r="192" spans="1:13">
      <c r="A192" s="1" t="s">
        <v>687</v>
      </c>
      <c r="B192" s="230">
        <f>+'OLD Tables'!G100+'OLD Tables'!G131</f>
        <v>83245.695444444456</v>
      </c>
      <c r="D192" s="260">
        <f>+'OLD Tables'!H100+'OLD Tables'!H131</f>
        <v>32744.78122222222</v>
      </c>
      <c r="F192" s="260">
        <f>+'OLD Tables'!I100+'OLD Tables'!I131</f>
        <v>115990.47666666668</v>
      </c>
      <c r="K192" s="222"/>
    </row>
    <row r="193" spans="1:11">
      <c r="A193" s="265"/>
      <c r="B193" s="265"/>
      <c r="C193" s="267" t="s">
        <v>789</v>
      </c>
      <c r="D193" s="269" t="s">
        <v>721</v>
      </c>
      <c r="E193" s="267" t="s">
        <v>790</v>
      </c>
      <c r="F193" s="269" t="s">
        <v>721</v>
      </c>
      <c r="G193" s="267" t="s">
        <v>791</v>
      </c>
      <c r="H193" s="1" t="s">
        <v>721</v>
      </c>
      <c r="K193" s="222"/>
    </row>
    <row r="194" spans="1:11">
      <c r="A194" s="1" t="s">
        <v>695</v>
      </c>
      <c r="B194" s="230">
        <f>+'OLD Tables'!G102+'OLD Tables'!G133</f>
        <v>1357.8666666666666</v>
      </c>
      <c r="C194" s="271">
        <f>+GETPIVOTDATA("Sum of Old-HS % of Total",'Pivot-HS Student % of Undergrad'!$A$3,"State","AL","Category",12,"Category2","Technical")</f>
        <v>4.2444029850746266E-2</v>
      </c>
      <c r="D194" s="260">
        <f>+'OLD Tables'!H102+'OLD Tables'!H133</f>
        <v>1239.2666666666667</v>
      </c>
      <c r="E194" s="271">
        <f>+GETPIVOTDATA("Sum of Old-HS % of Total",'Pivot-HS Student % of Undergrad'!$A$3,"State","AL","Category",13,"Category2","Technical")</f>
        <v>6.3021141535316585E-2</v>
      </c>
      <c r="F194" s="260">
        <f>+'OLD Tables'!I102+'OLD Tables'!I133</f>
        <v>2597.1333333333332</v>
      </c>
      <c r="G194" s="271">
        <f>+GETPIVOTDATA("Sum of Old-HS % of Total",'Pivot-HS Student % of Undergrad'!$A$3,"State","AL","Category2","Group3")</f>
        <v>5.2262751238545062E-2</v>
      </c>
      <c r="K194" s="222"/>
    </row>
    <row r="195" spans="1:11">
      <c r="A195" s="1" t="s">
        <v>696</v>
      </c>
      <c r="B195" s="230">
        <f>+'OLD Tables'!G103+'OLD Tables'!G134</f>
        <v>0</v>
      </c>
      <c r="C195" s="271">
        <f>+GETPIVOTDATA("Sum of Old-HS % of Total",'Pivot-HS Student % of Undergrad'!$A$3,"State","AR","Category",12,"Category2","Technical")</f>
        <v>0</v>
      </c>
      <c r="D195" s="260">
        <f>+'OLD Tables'!H103+'OLD Tables'!H134</f>
        <v>0</v>
      </c>
      <c r="E195" s="271">
        <f>+GETPIVOTDATA("Sum of Old-HS % of Total",'Pivot-HS Student % of Undergrad'!$A$3,"State","AR","Category",13,"Category2","Technical")</f>
        <v>0</v>
      </c>
      <c r="F195" s="260">
        <f>+'OLD Tables'!I103+'OLD Tables'!I134</f>
        <v>0</v>
      </c>
      <c r="G195" s="271">
        <f>+GETPIVOTDATA("Sum of Old-HS % of Total",'Pivot-HS Student % of Undergrad'!$A$3,"State","AR","Category2","Group3")</f>
        <v>0</v>
      </c>
      <c r="K195" s="222"/>
    </row>
    <row r="196" spans="1:11">
      <c r="A196" s="1" t="s">
        <v>697</v>
      </c>
      <c r="B196" s="230">
        <f>+'OLD Tables'!G104+'OLD Tables'!G135</f>
        <v>0</v>
      </c>
      <c r="C196" s="271">
        <f>+GETPIVOTDATA("Sum of Old-HS % of Total",'Pivot-HS Student % of Undergrad'!$A$3,"State","DE","Category",12,"Category2","Technical")</f>
        <v>0</v>
      </c>
      <c r="D196" s="260">
        <f>+'OLD Tables'!H104+'OLD Tables'!H135</f>
        <v>0</v>
      </c>
      <c r="E196" s="271">
        <f>+GETPIVOTDATA("Sum of Old-HS % of Total",'Pivot-HS Student % of Undergrad'!$A$3,"State","DE","Category",13,"Category2","Technical")</f>
        <v>0</v>
      </c>
      <c r="F196" s="260">
        <f>+'OLD Tables'!I104+'OLD Tables'!I135</f>
        <v>0</v>
      </c>
      <c r="G196" s="271">
        <f>+GETPIVOTDATA("Sum of Old-HS % of Total",'Pivot-HS Student % of Undergrad'!$A$3,"State","DE","Category2","Group3")</f>
        <v>0</v>
      </c>
      <c r="K196" s="222"/>
    </row>
    <row r="197" spans="1:11">
      <c r="A197" s="1" t="s">
        <v>698</v>
      </c>
      <c r="B197" s="230">
        <f>+'OLD Tables'!G105+'OLD Tables'!G136</f>
        <v>0</v>
      </c>
      <c r="C197" s="271">
        <f>+GETPIVOTDATA("Sum of Old-HS % of Total",'Pivot-HS Student % of Undergrad'!$A$3,"State","FL","Category",12,"Category2","Technical")</f>
        <v>0</v>
      </c>
      <c r="D197" s="260">
        <f>+'OLD Tables'!H105+'OLD Tables'!H136</f>
        <v>0</v>
      </c>
      <c r="E197" s="271">
        <f>+GETPIVOTDATA("Sum of Old-HS % of Total",'Pivot-HS Student % of Undergrad'!$A$3,"State","FL","Category",13,"Category2","Technical")</f>
        <v>0</v>
      </c>
      <c r="F197" s="260">
        <f>+'OLD Tables'!I105+'OLD Tables'!I136</f>
        <v>0</v>
      </c>
      <c r="G197" s="271">
        <f>+GETPIVOTDATA("Sum of Old-HS % of Total",'Pivot-HS Student % of Undergrad'!$A$3,"State","FL","Category2","Group3")</f>
        <v>0</v>
      </c>
      <c r="K197" s="222"/>
    </row>
    <row r="198" spans="1:11">
      <c r="B198" s="230"/>
      <c r="C198" s="271"/>
      <c r="D198" s="260"/>
      <c r="E198" s="271"/>
      <c r="F198" s="260"/>
      <c r="G198" s="271"/>
      <c r="K198" s="222"/>
    </row>
    <row r="199" spans="1:11">
      <c r="A199" s="1" t="s">
        <v>699</v>
      </c>
      <c r="B199" s="230">
        <f>+'OLD Tables'!G107+'OLD Tables'!G138</f>
        <v>65212.350000000013</v>
      </c>
      <c r="C199" s="271">
        <f>+GETPIVOTDATA("Sum of Old-HS % of Total",'Pivot-HS Student % of Undergrad'!$A$3,"State","GA","Category",12,"Category2","Technical")</f>
        <v>0.16323671819831673</v>
      </c>
      <c r="D199" s="260">
        <f>+'OLD Tables'!H107+'OLD Tables'!H138</f>
        <v>0</v>
      </c>
      <c r="E199" s="271">
        <f>+GETPIVOTDATA("Sum of Old-HS % of Total",'Pivot-HS Student % of Undergrad'!$A$3,"State","GA","Category",13,"Category2","Technical")</f>
        <v>0</v>
      </c>
      <c r="F199" s="260">
        <f>+'OLD Tables'!I107+'OLD Tables'!I138</f>
        <v>65212.350000000013</v>
      </c>
      <c r="G199" s="271">
        <f>+GETPIVOTDATA("Sum of Old-HS % of Total",'Pivot-HS Student % of Undergrad'!$A$3,"State","GA","Category2","Group3")</f>
        <v>0.16323671819831673</v>
      </c>
      <c r="K199" s="222"/>
    </row>
    <row r="200" spans="1:11">
      <c r="A200" s="1" t="s">
        <v>700</v>
      </c>
      <c r="B200" s="230">
        <f>+'OLD Tables'!G108+'OLD Tables'!G139</f>
        <v>5040.7</v>
      </c>
      <c r="C200" s="271">
        <f>+GETPIVOTDATA("Sum of Old-HS % of Total",'Pivot-HS Student % of Undergrad'!$A$3,"State","KY","Category",12,"Category2","Technical")</f>
        <v>0.16373387294092751</v>
      </c>
      <c r="D200" s="260">
        <f>+'OLD Tables'!H108+'OLD Tables'!H139</f>
        <v>0</v>
      </c>
      <c r="E200" s="271">
        <f>+GETPIVOTDATA("Sum of Old-HS % of Total",'Pivot-HS Student % of Undergrad'!$A$3,"State","KY","Category",13,"Category2","Technical")</f>
        <v>0</v>
      </c>
      <c r="F200" s="260">
        <f>+'OLD Tables'!I108+'OLD Tables'!I139</f>
        <v>5040.7</v>
      </c>
      <c r="G200" s="271">
        <f>+GETPIVOTDATA("Sum of Old-HS % of Total",'Pivot-HS Student % of Undergrad'!$A$3,"State","KY","Category2","Group3")</f>
        <v>0.16373387294092751</v>
      </c>
      <c r="K200" s="222"/>
    </row>
    <row r="201" spans="1:11">
      <c r="A201" s="1" t="s">
        <v>701</v>
      </c>
      <c r="B201" s="230">
        <f>+'OLD Tables'!G109+'OLD Tables'!G140</f>
        <v>7418.1666666666661</v>
      </c>
      <c r="C201" s="271">
        <f>+GETPIVOTDATA("Sum of Old-HS % of Total",'Pivot-HS Student % of Undergrad'!$A$3,"State","LA","Category",12,"Category2","Technical")</f>
        <v>8.4216675279157022E-2</v>
      </c>
      <c r="D201" s="260">
        <f>+'OLD Tables'!H109+'OLD Tables'!H140</f>
        <v>760.76666666666665</v>
      </c>
      <c r="E201" s="271">
        <f>+GETPIVOTDATA("Sum of Old-HS % of Total",'Pivot-HS Student % of Undergrad'!$A$3,"State","LA","Category",13,"Category2","Technical")</f>
        <v>5.9063225693379483E-2</v>
      </c>
      <c r="F201" s="260">
        <f>+'OLD Tables'!I109+'OLD Tables'!I140</f>
        <v>8178.9333333333325</v>
      </c>
      <c r="G201" s="271">
        <f>+GETPIVOTDATA("Sum of Old-HS % of Total",'Pivot-HS Student % of Undergrad'!$A$3,"State","LA","Category2","Group3")</f>
        <v>8.18770173779792E-2</v>
      </c>
      <c r="K201" s="222"/>
    </row>
    <row r="202" spans="1:11">
      <c r="A202" s="1" t="s">
        <v>702</v>
      </c>
      <c r="B202" s="230">
        <f>+'OLD Tables'!G110+'OLD Tables'!G141</f>
        <v>0</v>
      </c>
      <c r="C202" s="271">
        <f>+GETPIVOTDATA("Sum of Old-HS % of Total",'Pivot-HS Student % of Undergrad'!$A$3,"State","MD","Category",12,"Category2","Technical")</f>
        <v>0</v>
      </c>
      <c r="D202" s="260">
        <f>+'OLD Tables'!H110+'OLD Tables'!H141</f>
        <v>0</v>
      </c>
      <c r="E202" s="271">
        <f>+GETPIVOTDATA("Sum of Old-HS % of Total",'Pivot-HS Student % of Undergrad'!$A$3,"State","MD","Category",13,"Category2","Technical")</f>
        <v>0</v>
      </c>
      <c r="F202" s="260">
        <f>+'OLD Tables'!I110+'OLD Tables'!I141</f>
        <v>0</v>
      </c>
      <c r="G202" s="271">
        <f>+GETPIVOTDATA("Sum of Old-HS % of Total",'Pivot-HS Student % of Undergrad'!$A$3,"State","MD","Category2","Group3")</f>
        <v>0</v>
      </c>
      <c r="K202" s="222"/>
    </row>
    <row r="203" spans="1:11">
      <c r="B203" s="230"/>
      <c r="C203" s="271"/>
      <c r="D203" s="260"/>
      <c r="E203" s="271"/>
      <c r="F203" s="260"/>
      <c r="G203" s="271"/>
      <c r="K203" s="222"/>
    </row>
    <row r="204" spans="1:11">
      <c r="A204" s="1" t="s">
        <v>703</v>
      </c>
      <c r="B204" s="230">
        <f>+'OLD Tables'!G112+'OLD Tables'!G143</f>
        <v>0</v>
      </c>
      <c r="C204" s="271">
        <f>+GETPIVOTDATA("Sum of Old-HS % of Total",'Pivot-HS Student % of Undergrad'!$A$3,"State","MS","Category",12,"Category2","Technical")</f>
        <v>0</v>
      </c>
      <c r="D204" s="260">
        <f>+'OLD Tables'!H112+'OLD Tables'!H143</f>
        <v>0</v>
      </c>
      <c r="E204" s="271">
        <f>+GETPIVOTDATA("Sum of Old-HS % of Total",'Pivot-HS Student % of Undergrad'!$A$3,"State","MS","Category",13,"Category2","Technical")</f>
        <v>0</v>
      </c>
      <c r="F204" s="260">
        <f>+'OLD Tables'!I112+'OLD Tables'!I143</f>
        <v>0</v>
      </c>
      <c r="G204" s="271">
        <f>+GETPIVOTDATA("Sum of Old-HS % of Total",'Pivot-HS Student % of Undergrad'!$A$3,"State","MS","Category2","Group3")</f>
        <v>0</v>
      </c>
      <c r="K204" s="222"/>
    </row>
    <row r="205" spans="1:11">
      <c r="A205" s="1" t="s">
        <v>704</v>
      </c>
      <c r="B205" s="230">
        <f>+'OLD Tables'!G113+'OLD Tables'!G144</f>
        <v>0</v>
      </c>
      <c r="C205" s="271">
        <f>+GETPIVOTDATA("Sum of Old-HS % of Total",'Pivot-HS Student % of Undergrad'!$A$3,"State","NC","Category",12,"Category2","Technical")</f>
        <v>0</v>
      </c>
      <c r="D205" s="260">
        <f>+'OLD Tables'!H113+'OLD Tables'!H144</f>
        <v>0</v>
      </c>
      <c r="E205" s="271">
        <f>+GETPIVOTDATA("Sum of Old-HS % of Total",'Pivot-HS Student % of Undergrad'!$A$3,"State","NC","Category",13,"Category2","Technical")</f>
        <v>0</v>
      </c>
      <c r="F205" s="260">
        <f>+'OLD Tables'!I113+'OLD Tables'!I144</f>
        <v>0</v>
      </c>
      <c r="G205" s="271">
        <f>+GETPIVOTDATA("Sum of Old-HS % of Total",'Pivot-HS Student % of Undergrad'!$A$3,"State","NC","Category2","Group3")</f>
        <v>0</v>
      </c>
      <c r="K205" s="222"/>
    </row>
    <row r="206" spans="1:11">
      <c r="A206" s="1" t="s">
        <v>705</v>
      </c>
      <c r="B206" s="230">
        <f>+'OLD Tables'!G114+'OLD Tables'!G145</f>
        <v>4216.6121111111115</v>
      </c>
      <c r="C206" s="271">
        <f>+GETPIVOTDATA("Sum of Old-HS % of Total",'Pivot-HS Student % of Undergrad'!$A$3,"State","OK","Category",12,"Category2","Technical")</f>
        <v>0</v>
      </c>
      <c r="D206" s="260">
        <f>+'OLD Tables'!H114+'OLD Tables'!H145</f>
        <v>18113.878999999997</v>
      </c>
      <c r="E206" s="271">
        <f>+GETPIVOTDATA("Sum of Old-HS % of Total",'Pivot-HS Student % of Undergrad'!$A$3,"State","OK","Category",13,"Category2","Technical")</f>
        <v>0</v>
      </c>
      <c r="F206" s="260">
        <f>+'OLD Tables'!I114+'OLD Tables'!I145</f>
        <v>22330.491111111107</v>
      </c>
      <c r="G206" s="271">
        <f>+GETPIVOTDATA("Sum of Old-HS % of Total",'Pivot-HS Student % of Undergrad'!$A$3,"State","OK","Category2","Group3")</f>
        <v>0</v>
      </c>
      <c r="K206" s="222"/>
    </row>
    <row r="207" spans="1:11">
      <c r="A207" s="1" t="s">
        <v>706</v>
      </c>
      <c r="B207" s="230">
        <f>+'OLD Tables'!G115+'OLD Tables'!G146</f>
        <v>0</v>
      </c>
      <c r="C207" s="271">
        <f>+GETPIVOTDATA("Sum of Old-HS % of Total",'Pivot-HS Student % of Undergrad'!$A$3,"State","SC","Category",12,"Category2","Technical")</f>
        <v>0</v>
      </c>
      <c r="D207" s="260">
        <f>+'OLD Tables'!H115+'OLD Tables'!H146</f>
        <v>0</v>
      </c>
      <c r="E207" s="271">
        <f>+GETPIVOTDATA("Sum of Old-HS % of Total",'Pivot-HS Student % of Undergrad'!$A$3,"State","SC","Category",13,"Category2","Technical")</f>
        <v>0</v>
      </c>
      <c r="F207" s="260">
        <f>+'OLD Tables'!I115+'OLD Tables'!I146</f>
        <v>0</v>
      </c>
      <c r="G207" s="271">
        <f>+GETPIVOTDATA("Sum of Old-HS % of Total",'Pivot-HS Student % of Undergrad'!$A$3,"State","SC","Category2","Group3")</f>
        <v>0</v>
      </c>
      <c r="K207" s="222"/>
    </row>
    <row r="208" spans="1:11">
      <c r="B208" s="230"/>
      <c r="C208" s="271"/>
      <c r="D208" s="260"/>
      <c r="E208" s="271"/>
      <c r="F208" s="260"/>
      <c r="G208" s="271"/>
      <c r="K208" s="222"/>
    </row>
    <row r="209" spans="1:13">
      <c r="A209" s="1" t="s">
        <v>707</v>
      </c>
      <c r="B209" s="230">
        <f>+'OLD Tables'!G117+'OLD Tables'!G148</f>
        <v>0</v>
      </c>
      <c r="C209" s="271">
        <f>+GETPIVOTDATA("Sum of Old-HS % of Total",'Pivot-HS Student % of Undergrad'!$A$3,"State","TN","Category",12,"Category2","Technical")</f>
        <v>0</v>
      </c>
      <c r="D209" s="260">
        <f>+'OLD Tables'!H117+'OLD Tables'!H148</f>
        <v>12630.868888888888</v>
      </c>
      <c r="E209" s="271">
        <f>+GETPIVOTDATA("Sum of Old-HS % of Total",'Pivot-HS Student % of Undergrad'!$A$3,"State","TN","Category",13,"Category2","Technical")</f>
        <v>0</v>
      </c>
      <c r="F209" s="260">
        <f>+'OLD Tables'!I117+'OLD Tables'!I148</f>
        <v>12630.868888888888</v>
      </c>
      <c r="G209" s="271">
        <f>+GETPIVOTDATA("Sum of Old-HS % of Total",'Pivot-HS Student % of Undergrad'!$A$3,"State","TN","Category2","Group3")</f>
        <v>0</v>
      </c>
      <c r="K209" s="222"/>
    </row>
    <row r="210" spans="1:13">
      <c r="A210" s="1" t="s">
        <v>708</v>
      </c>
      <c r="B210" s="230">
        <f>+'OLD Tables'!G118+'OLD Tables'!G149</f>
        <v>0</v>
      </c>
      <c r="C210" s="271">
        <f>+GETPIVOTDATA("Sum of Old-HS % of Total",'Pivot-HS Student % of Undergrad'!$A$3,"State","TX","Category",12,"Category2","Technical")</f>
        <v>0</v>
      </c>
      <c r="D210" s="260">
        <f>+'OLD Tables'!H118+'OLD Tables'!H149</f>
        <v>0</v>
      </c>
      <c r="E210" s="271">
        <f>+GETPIVOTDATA("Sum of Old-HS % of Total",'Pivot-HS Student % of Undergrad'!$A$3,"State","TX","Category",13,"Category2","Technical")</f>
        <v>0</v>
      </c>
      <c r="F210" s="260">
        <f>+'OLD Tables'!I118+'OLD Tables'!I149</f>
        <v>0</v>
      </c>
      <c r="G210" s="271">
        <f>+GETPIVOTDATA("Sum of Old-HS % of Total",'Pivot-HS Student % of Undergrad'!$A$3,"State","TX","Category2","Group3")</f>
        <v>0</v>
      </c>
      <c r="K210" s="222"/>
    </row>
    <row r="211" spans="1:13">
      <c r="A211" s="1" t="s">
        <v>709</v>
      </c>
      <c r="B211" s="230">
        <f>+'OLD Tables'!G119+'OLD Tables'!G150</f>
        <v>0</v>
      </c>
      <c r="C211" s="271">
        <f>+GETPIVOTDATA("Sum of Old-HS % of Total",'Pivot-HS Student % of Undergrad'!$A$3,"State","VA","Category",12,"Category2","Technical")</f>
        <v>0</v>
      </c>
      <c r="D211" s="260">
        <f>+'OLD Tables'!H119+'OLD Tables'!H150</f>
        <v>0</v>
      </c>
      <c r="E211" s="271">
        <f>+GETPIVOTDATA("Sum of Old-HS % of Total",'Pivot-HS Student % of Undergrad'!$A$3,"State","VA","Category",13,"Category2","Technical")</f>
        <v>0</v>
      </c>
      <c r="F211" s="260">
        <f>+'OLD Tables'!I119+'OLD Tables'!I150</f>
        <v>0</v>
      </c>
      <c r="G211" s="271">
        <f>+GETPIVOTDATA("Sum of Old-HS % of Total",'Pivot-HS Student % of Undergrad'!$A$3,"State","VA","Category2","Group3")</f>
        <v>0</v>
      </c>
      <c r="K211" s="222"/>
    </row>
    <row r="212" spans="1:13">
      <c r="A212" s="166" t="s">
        <v>710</v>
      </c>
      <c r="B212" s="234">
        <f>+'OLD Tables'!G120+'OLD Tables'!G151</f>
        <v>0</v>
      </c>
      <c r="C212" s="279">
        <f>+GETPIVOTDATA("Sum of Old-HS % of Total",'Pivot-HS Student % of Undergrad'!$A$3,"State","WV","Category",12,"Category2","Technical")</f>
        <v>0</v>
      </c>
      <c r="D212" s="280">
        <f>+'OLD Tables'!H120+'OLD Tables'!H151</f>
        <v>0</v>
      </c>
      <c r="E212" s="279">
        <f>+GETPIVOTDATA("Sum of Old-HS % of Total",'Pivot-HS Student % of Undergrad'!$A$3,"State","WV","Category",13,"Category2","Technical")</f>
        <v>0</v>
      </c>
      <c r="F212" s="280">
        <f>+'OLD Tables'!I120+'OLD Tables'!I151</f>
        <v>0</v>
      </c>
      <c r="G212" s="279">
        <f>+GETPIVOTDATA("Sum of Old-HS % of Total",'Pivot-HS Student % of Undergrad'!$A$3,"State","WV","Category2","Group3")</f>
        <v>0</v>
      </c>
      <c r="K212" s="222"/>
    </row>
    <row r="213" spans="1:13" ht="58.5" customHeight="1">
      <c r="A213" s="645" t="s">
        <v>849</v>
      </c>
      <c r="B213" s="645"/>
      <c r="C213" s="645"/>
      <c r="D213" s="645"/>
      <c r="E213" s="645"/>
      <c r="F213" s="645"/>
      <c r="G213" s="645"/>
      <c r="H213" s="340"/>
      <c r="I213" s="340"/>
      <c r="M213" s="222"/>
    </row>
    <row r="214" spans="1:13" ht="10.5" customHeight="1">
      <c r="A214" s="221"/>
      <c r="B214" s="221"/>
      <c r="C214" s="221"/>
      <c r="D214" s="221"/>
      <c r="E214" s="221"/>
      <c r="F214" s="221"/>
      <c r="G214" s="221"/>
      <c r="H214" s="221"/>
      <c r="I214" s="192" t="s">
        <v>919</v>
      </c>
      <c r="M214" s="222"/>
    </row>
    <row r="215" spans="1:13" ht="18" hidden="1">
      <c r="A215" s="341" t="s">
        <v>792</v>
      </c>
      <c r="B215" s="117"/>
      <c r="C215" s="117"/>
      <c r="D215" s="117"/>
      <c r="E215" s="118"/>
      <c r="F215" s="119"/>
      <c r="G215" s="119"/>
      <c r="H215" s="119"/>
    </row>
    <row r="216" spans="1:13" ht="9.75" hidden="1" customHeight="1">
      <c r="A216" s="120"/>
      <c r="B216" s="120"/>
      <c r="C216" s="120"/>
      <c r="D216" s="120"/>
      <c r="E216" s="118"/>
      <c r="F216" s="119"/>
      <c r="G216" s="119"/>
      <c r="H216" s="119"/>
    </row>
    <row r="217" spans="1:13" ht="15.75" hidden="1">
      <c r="A217" s="122" t="s">
        <v>714</v>
      </c>
      <c r="B217" s="122"/>
      <c r="C217" s="122"/>
      <c r="D217" s="122"/>
      <c r="E217" s="118"/>
      <c r="F217" s="119"/>
      <c r="G217" s="119"/>
      <c r="H217" s="119"/>
    </row>
    <row r="218" spans="1:13" ht="15.75" hidden="1">
      <c r="A218" s="122" t="s">
        <v>750</v>
      </c>
      <c r="B218" s="122"/>
      <c r="C218" s="122"/>
      <c r="D218" s="122"/>
      <c r="E218" s="118"/>
      <c r="F218" s="119"/>
      <c r="G218" s="119"/>
      <c r="H218" s="119"/>
    </row>
    <row r="219" spans="1:13" ht="15.75" hidden="1">
      <c r="A219" s="122" t="s">
        <v>846</v>
      </c>
      <c r="B219" s="122"/>
      <c r="C219" s="122"/>
      <c r="D219" s="122"/>
      <c r="E219" s="118"/>
      <c r="F219" s="119"/>
      <c r="G219" s="119"/>
      <c r="H219" s="119"/>
    </row>
    <row r="220" spans="1:13" ht="13.5" hidden="1" customHeight="1"/>
    <row r="221" spans="1:13" ht="63" hidden="1" customHeight="1">
      <c r="A221" s="313"/>
      <c r="B221" s="314" t="s">
        <v>667</v>
      </c>
      <c r="C221" s="134"/>
      <c r="D221" s="314" t="s">
        <v>719</v>
      </c>
      <c r="E221" s="132" t="s">
        <v>721</v>
      </c>
      <c r="F221" s="132" t="s">
        <v>720</v>
      </c>
      <c r="G221" s="315" t="s">
        <v>721</v>
      </c>
      <c r="H221" s="139" t="s">
        <v>5</v>
      </c>
      <c r="I221" s="316"/>
    </row>
    <row r="222" spans="1:13" ht="15" hidden="1" customHeight="1">
      <c r="A222" s="1" t="s">
        <v>687</v>
      </c>
      <c r="B222" s="145">
        <f>+GETPIVOTDATA("Sum of Old Grand Total FTE",'FTE Pivot for regular counts'!$A$2,"Category2","Four-Year")</f>
        <v>2186202.558305556</v>
      </c>
      <c r="D222" s="159">
        <f>+GETPIVOTDATA("Sum of Old Grand Total FTE",'FTE Pivot for regular counts'!$A$2,"Category2","Two-Year")</f>
        <v>1466205.9138888889</v>
      </c>
      <c r="F222" s="321">
        <f>+GETPIVOTDATA("Sum of Old Grand Total FTE",'FTE Pivot for regular counts'!$A$2,"Category2","Technical")</f>
        <v>115990.47666666668</v>
      </c>
      <c r="G222" s="322"/>
      <c r="H222" s="230">
        <f>+F222+D222+B222</f>
        <v>3768398.9488611114</v>
      </c>
    </row>
    <row r="223" spans="1:13" ht="13.5" hidden="1" customHeight="1">
      <c r="B223" s="159"/>
      <c r="D223" s="159"/>
      <c r="F223" s="321"/>
      <c r="G223" s="322"/>
      <c r="H223" s="230"/>
    </row>
    <row r="224" spans="1:13" ht="15" hidden="1" customHeight="1">
      <c r="A224" s="1" t="s">
        <v>695</v>
      </c>
      <c r="B224" s="159">
        <f>+GETPIVOTDATA("Sum of Old Grand Total FTE",'FTE Pivot for regular counts'!$A$2,"State","AL","Category2","Four-Year")</f>
        <v>144670.71388888889</v>
      </c>
      <c r="D224" s="159">
        <f>+GETPIVOTDATA("Sum of Old Grand Total FTE",'FTE Pivot for regular counts'!$A$2,"State","AL","Category2","Two-Year")</f>
        <v>51303.566666666666</v>
      </c>
      <c r="F224" s="321">
        <f>+GETPIVOTDATA("Sum of Old Grand Total FTE",'FTE Pivot for regular counts'!$A$2,"State","AL","Category2","Technical")</f>
        <v>2597.1333333333332</v>
      </c>
      <c r="G224" s="322"/>
      <c r="H224" s="230">
        <f t="shared" ref="H224:H239" si="0">+F224+D224+B224</f>
        <v>198571.4138888889</v>
      </c>
    </row>
    <row r="225" spans="1:13" ht="15" hidden="1" customHeight="1">
      <c r="A225" s="1" t="s">
        <v>696</v>
      </c>
      <c r="B225" s="159">
        <f>+GETPIVOTDATA("Sum of Old Grand Total FTE",'FTE Pivot for regular counts'!$A$2,"State","AR","Category2","Four-Year")</f>
        <v>79439.650000000009</v>
      </c>
      <c r="D225" s="159">
        <f>+GETPIVOTDATA("Sum of Old Grand Total FTE",'FTE Pivot for regular counts'!$A$2,"State","AR","Category2","Two-Year")</f>
        <v>29249.333333333332</v>
      </c>
      <c r="F225" s="321">
        <f>+GETPIVOTDATA("Sum of Old Grand Total FTE",'FTE Pivot for regular counts'!$A$2,"State","AR","Category2","Technical")</f>
        <v>0</v>
      </c>
      <c r="G225" s="322"/>
      <c r="H225" s="230">
        <f t="shared" si="0"/>
        <v>108688.98333333334</v>
      </c>
    </row>
    <row r="226" spans="1:13" ht="15" hidden="1" customHeight="1">
      <c r="A226" s="1" t="s">
        <v>697</v>
      </c>
      <c r="B226" s="159">
        <f>+GETPIVOTDATA("Sum of Old Grand Total FTE",'FTE Pivot for regular counts'!$A$2,"State","DE","Category2","Four-Year")</f>
        <v>27909.01666666667</v>
      </c>
      <c r="D226" s="159">
        <f>+GETPIVOTDATA("Sum of Old Grand Total FTE",'FTE Pivot for regular counts'!$A$2,"State","DE","Category2","Two-Year")</f>
        <v>8302.7000000000007</v>
      </c>
      <c r="F226" s="321">
        <f>+GETPIVOTDATA("Sum of Old Grand Total FTE",'FTE Pivot for regular counts'!$A$2,"State","DE","Category2","Technical")</f>
        <v>0</v>
      </c>
      <c r="G226" s="322"/>
      <c r="H226" s="230">
        <f t="shared" si="0"/>
        <v>36211.716666666674</v>
      </c>
    </row>
    <row r="227" spans="1:13" ht="15" hidden="1" customHeight="1">
      <c r="A227" s="1" t="s">
        <v>698</v>
      </c>
      <c r="B227" s="159">
        <f>+GETPIVOTDATA("Sum of Old Grand Total FTE",'FTE Pivot for regular counts'!$A$2,"State","FL","Category2","Four-Year")</f>
        <v>0</v>
      </c>
      <c r="D227" s="159">
        <f>+GETPIVOTDATA("Sum of Old Grand Total FTE",'FTE Pivot for regular counts'!$A$2,"State","FL","Category2","Two-Year")</f>
        <v>306797.25555555552</v>
      </c>
      <c r="F227" s="321">
        <f>+GETPIVOTDATA("Sum of Old Grand Total FTE",'FTE Pivot for regular counts'!$A$2,"State","FL","Category2","Technical")</f>
        <v>0</v>
      </c>
      <c r="G227" s="322"/>
      <c r="H227" s="230">
        <f t="shared" si="0"/>
        <v>306797.25555555552</v>
      </c>
    </row>
    <row r="228" spans="1:13" ht="15" hidden="1" customHeight="1">
      <c r="A228" s="1" t="s">
        <v>699</v>
      </c>
      <c r="B228" s="159">
        <f>+GETPIVOTDATA("Sum of Old Grand Total FTE",'FTE Pivot for regular counts'!$A$2,"State","GA","Category2","Four-Year")</f>
        <v>288605.06566666666</v>
      </c>
      <c r="D228" s="159">
        <f>+GETPIVOTDATA("Sum of Old Grand Total FTE",'FTE Pivot for regular counts'!$A$2,"State","GA","Category2","Two-Year")</f>
        <v>9231.1</v>
      </c>
      <c r="F228" s="321">
        <f>+GETPIVOTDATA("Sum of Old Grand Total FTE",'FTE Pivot for regular counts'!$A$2,"State","GA","Category2","Technical")</f>
        <v>65212.350000000013</v>
      </c>
      <c r="G228" s="322"/>
      <c r="H228" s="230">
        <f t="shared" si="0"/>
        <v>363048.51566666667</v>
      </c>
    </row>
    <row r="229" spans="1:13" ht="15" hidden="1" customHeight="1">
      <c r="A229" s="1" t="s">
        <v>700</v>
      </c>
      <c r="B229" s="159">
        <f>+GETPIVOTDATA("Sum of Old Grand Total FTE",'FTE Pivot for regular counts'!$A$2,"State","KY","Category2","Four-Year")</f>
        <v>94954.674999999988</v>
      </c>
      <c r="D229" s="159">
        <f>+GETPIVOTDATA("Sum of Old Grand Total FTE",'FTE Pivot for regular counts'!$A$2,"State","KY","Category2","Two-Year")</f>
        <v>37544.333333333328</v>
      </c>
      <c r="F229" s="321">
        <f>+GETPIVOTDATA("Sum of Old Grand Total FTE",'FTE Pivot for regular counts'!$A$2,"State","KY","Category2","Technical")</f>
        <v>5040.7</v>
      </c>
      <c r="G229" s="322"/>
      <c r="H229" s="230">
        <f t="shared" si="0"/>
        <v>137539.70833333331</v>
      </c>
    </row>
    <row r="230" spans="1:13" ht="15" hidden="1" customHeight="1">
      <c r="A230" s="1" t="s">
        <v>701</v>
      </c>
      <c r="B230" s="159">
        <f>+GETPIVOTDATA("Sum of Old Grand Total FTE",'FTE Pivot for regular counts'!$A$2,"State","LA","Category2","Four-Year")</f>
        <v>123648.94166666665</v>
      </c>
      <c r="D230" s="159">
        <f>+GETPIVOTDATA("Sum of Old Grand Total FTE",'FTE Pivot for regular counts'!$A$2,"State","LA","Category2","Two-Year")</f>
        <v>33557.366666666669</v>
      </c>
      <c r="F230" s="321">
        <f>+GETPIVOTDATA("Sum of Old Grand Total FTE",'FTE Pivot for regular counts'!$A$2,"State","LA","Category2","Technical")</f>
        <v>8178.9333333333325</v>
      </c>
      <c r="G230" s="322"/>
      <c r="H230" s="230">
        <f t="shared" si="0"/>
        <v>165385.24166666664</v>
      </c>
    </row>
    <row r="231" spans="1:13" ht="15" hidden="1" customHeight="1">
      <c r="A231" s="1" t="s">
        <v>702</v>
      </c>
      <c r="B231" s="159">
        <f>+GETPIVOTDATA("Sum of Old Grand Total FTE",'FTE Pivot for regular counts'!$A$2,"State","MD","Category2","Four-Year")</f>
        <v>101792.13333333333</v>
      </c>
      <c r="D231" s="159">
        <f>+GETPIVOTDATA("Sum of Old Grand Total FTE",'FTE Pivot for regular counts'!$A$2,"State","MD","Category2","Two-Year")</f>
        <v>82699.34166666666</v>
      </c>
      <c r="F231" s="321">
        <f>+GETPIVOTDATA("Sum of Old Grand Total FTE",'FTE Pivot for regular counts'!$A$2,"State","MD","Category2","Technical")</f>
        <v>0</v>
      </c>
      <c r="G231" s="322"/>
      <c r="H231" s="230">
        <f t="shared" si="0"/>
        <v>184491.47499999998</v>
      </c>
    </row>
    <row r="232" spans="1:13" ht="12" hidden="1" customHeight="1">
      <c r="A232" s="1" t="s">
        <v>703</v>
      </c>
      <c r="B232" s="159">
        <f>+GETPIVOTDATA("Sum of Old Grand Total FTE",'FTE Pivot for regular counts'!$A$2,"State","MS","Category2","Four-Year")</f>
        <v>69980.05</v>
      </c>
      <c r="D232" s="159">
        <f>+GETPIVOTDATA("Sum of Old Grand Total FTE",'FTE Pivot for regular counts'!$A$2,"State","MS","Category2","Two-Year")</f>
        <v>58856.983333333323</v>
      </c>
      <c r="F232" s="321">
        <f>+GETPIVOTDATA("Sum of Old Grand Total FTE",'FTE Pivot for regular counts'!$A$2,"State","MS","Category2","Technical")</f>
        <v>0</v>
      </c>
      <c r="G232" s="322"/>
      <c r="H232" s="230">
        <f t="shared" si="0"/>
        <v>128837.03333333333</v>
      </c>
    </row>
    <row r="233" spans="1:13" ht="15" hidden="1" customHeight="1">
      <c r="A233" s="1" t="s">
        <v>704</v>
      </c>
      <c r="B233" s="159">
        <f>+GETPIVOTDATA("Sum of Old Grand Total FTE",'FTE Pivot for regular counts'!$A$2,"State","NC","Category2","Four-Year")</f>
        <v>216356.58124999996</v>
      </c>
      <c r="D233" s="159">
        <f>+GETPIVOTDATA("Sum of Old Grand Total FTE",'FTE Pivot for regular counts'!$A$2,"State","NC","Category2","Two-Year")</f>
        <v>173510.29888888888</v>
      </c>
      <c r="F233" s="321">
        <f>+GETPIVOTDATA("Sum of Old Grand Total FTE",'FTE Pivot for regular counts'!$A$2,"State","NC","Category2","Technical")</f>
        <v>0</v>
      </c>
      <c r="G233" s="322"/>
      <c r="H233" s="230">
        <f t="shared" si="0"/>
        <v>389866.88013888884</v>
      </c>
    </row>
    <row r="234" spans="1:13" ht="15" hidden="1" customHeight="1">
      <c r="A234" s="1" t="s">
        <v>705</v>
      </c>
      <c r="B234" s="159">
        <f>+GETPIVOTDATA("Sum of Old Grand Total FTE",'FTE Pivot for regular counts'!$A$2,"State","OK","Category2","Four-Year")</f>
        <v>0</v>
      </c>
      <c r="D234" s="159">
        <f>+GETPIVOTDATA("Sum of Old Grand Total FTE",'FTE Pivot for regular counts'!$A$2,"State","OK","Category2","Two-Year")</f>
        <v>0</v>
      </c>
      <c r="F234" s="321">
        <f>+GETPIVOTDATA("Sum of Old Grand Total FTE",'FTE Pivot for regular counts'!$A$2,"State","OK","Category2","Technical")</f>
        <v>22330.491111111107</v>
      </c>
      <c r="G234" s="322"/>
      <c r="H234" s="230">
        <f t="shared" si="0"/>
        <v>22330.491111111107</v>
      </c>
    </row>
    <row r="235" spans="1:13" ht="15" hidden="1" customHeight="1">
      <c r="A235" s="1" t="s">
        <v>706</v>
      </c>
      <c r="B235" s="159">
        <f>+GETPIVOTDATA("Sum of Old Grand Total FTE",'FTE Pivot for regular counts'!$A$2,"State","SC","Category2","Four-Year")</f>
        <v>109091.15000000001</v>
      </c>
      <c r="D235" s="159">
        <f>+GETPIVOTDATA("Sum of Old Grand Total FTE",'FTE Pivot for regular counts'!$A$2,"State","SC","Category2","Two-Year")</f>
        <v>55970.23333333333</v>
      </c>
      <c r="F235" s="321">
        <f>+GETPIVOTDATA("Sum of Old Grand Total FTE",'FTE Pivot for regular counts'!$A$2,"State","SC","Category2","Technical")</f>
        <v>0</v>
      </c>
      <c r="G235" s="322"/>
      <c r="H235" s="230">
        <f t="shared" si="0"/>
        <v>165061.38333333333</v>
      </c>
    </row>
    <row r="236" spans="1:13" ht="15" hidden="1" customHeight="1">
      <c r="A236" s="1" t="s">
        <v>707</v>
      </c>
      <c r="B236" s="159">
        <f>+GETPIVOTDATA("Sum of Old Grand Total FTE",'FTE Pivot for regular counts'!$A$2,"State","TN","Category2","Four-Year")</f>
        <v>116595.54166666669</v>
      </c>
      <c r="D236" s="159">
        <f>+GETPIVOTDATA("Sum of Old Grand Total FTE",'FTE Pivot for regular counts'!$A$2,"State","TN","Category2","Two-Year")</f>
        <v>55614.083333333328</v>
      </c>
      <c r="F236" s="321">
        <f>+GETPIVOTDATA("Sum of Old Grand Total FTE",'FTE Pivot for regular counts'!$A$2,"State","TN","Category2","Technical")</f>
        <v>12630.868888888888</v>
      </c>
      <c r="G236" s="322"/>
      <c r="H236" s="230">
        <f t="shared" si="0"/>
        <v>184840.49388888892</v>
      </c>
    </row>
    <row r="237" spans="1:13" ht="15" hidden="1" customHeight="1">
      <c r="A237" s="1" t="s">
        <v>708</v>
      </c>
      <c r="B237" s="159">
        <f>+GETPIVOTDATA("Sum of Old Grand Total FTE",'FTE Pivot for regular counts'!$A$2,"State","TX","Category2","Four-Year")</f>
        <v>559807.18333333335</v>
      </c>
      <c r="D237" s="159">
        <f>+GETPIVOTDATA("Sum of Old Grand Total FTE",'FTE Pivot for regular counts'!$A$2,"State","TX","Category2","Two-Year")</f>
        <v>457343.73777777789</v>
      </c>
      <c r="F237" s="321">
        <f>+GETPIVOTDATA("Sum of Old Grand Total FTE",'FTE Pivot for regular counts'!$A$2,"State","TX","Category2","Technical")</f>
        <v>0</v>
      </c>
      <c r="G237" s="322"/>
      <c r="H237" s="230">
        <f t="shared" si="0"/>
        <v>1017150.9211111113</v>
      </c>
    </row>
    <row r="238" spans="1:13" ht="15" hidden="1" customHeight="1">
      <c r="A238" s="1" t="s">
        <v>709</v>
      </c>
      <c r="B238" s="159">
        <f>+GETPIVOTDATA("Sum of Old Grand Total FTE",'FTE Pivot for regular counts'!$A$2,"State","VA","Category2","Four-Year")</f>
        <v>202968.16416666671</v>
      </c>
      <c r="D238" s="159">
        <f>+GETPIVOTDATA("Sum of Old Grand Total FTE",'FTE Pivot for regular counts'!$A$2,"State","VA","Category2","Two-Year")</f>
        <v>95027.466666666674</v>
      </c>
      <c r="F238" s="321">
        <f>+GETPIVOTDATA("Sum of Old Grand Total FTE",'FTE Pivot for regular counts'!$A$2,"State","VA","Category2","Technical")</f>
        <v>0</v>
      </c>
      <c r="G238" s="322"/>
      <c r="H238" s="230">
        <f t="shared" si="0"/>
        <v>297995.63083333336</v>
      </c>
    </row>
    <row r="239" spans="1:13" ht="15" hidden="1" customHeight="1">
      <c r="A239" s="166" t="s">
        <v>710</v>
      </c>
      <c r="B239" s="167">
        <f>+GETPIVOTDATA("Sum of Old Grand Total FTE",'FTE Pivot for regular counts'!$A$2,"State","WV","Category2","Four-Year")</f>
        <v>50383.691666666658</v>
      </c>
      <c r="C239" s="166"/>
      <c r="D239" s="167">
        <f>+GETPIVOTDATA("Sum of Old Grand Total FTE",'FTE Pivot for regular counts'!$A$2,"State","WV","Category2","Two-Year")</f>
        <v>11198.113333333333</v>
      </c>
      <c r="E239" s="166"/>
      <c r="F239" s="329">
        <f>+GETPIVOTDATA("Sum of Old Grand Total FTE",'FTE Pivot for regular counts'!$A$2,"State","WV","Category2","Technical")</f>
        <v>0</v>
      </c>
      <c r="G239" s="330"/>
      <c r="H239" s="230">
        <f t="shared" si="0"/>
        <v>61581.804999999993</v>
      </c>
    </row>
    <row r="240" spans="1:13" ht="20.25" hidden="1" customHeight="1">
      <c r="A240" s="72"/>
      <c r="B240" s="337"/>
      <c r="C240" s="337"/>
      <c r="D240" s="337"/>
      <c r="E240" s="337"/>
      <c r="F240" s="337"/>
      <c r="G240" s="337"/>
      <c r="H240" s="337"/>
      <c r="I240" s="159"/>
      <c r="J240" s="159"/>
      <c r="K240" s="159"/>
      <c r="L240" s="159"/>
      <c r="M240" s="159"/>
    </row>
    <row r="241" spans="1:8" ht="71.25" hidden="1" customHeight="1">
      <c r="A241" s="645" t="s">
        <v>947</v>
      </c>
      <c r="B241" s="652"/>
      <c r="C241" s="652"/>
      <c r="D241" s="652"/>
      <c r="E241" s="652"/>
      <c r="F241" s="652"/>
      <c r="G241" s="652"/>
      <c r="H241" s="652"/>
    </row>
    <row r="242" spans="1:8">
      <c r="H242" s="192"/>
    </row>
  </sheetData>
  <mergeCells count="17">
    <mergeCell ref="A95:J95"/>
    <mergeCell ref="B6:G6"/>
    <mergeCell ref="A30:O30"/>
    <mergeCell ref="A60:H60"/>
    <mergeCell ref="A91:H91"/>
    <mergeCell ref="A93:J93"/>
    <mergeCell ref="A182:K182"/>
    <mergeCell ref="A213:G213"/>
    <mergeCell ref="A241:H241"/>
    <mergeCell ref="A96:J96"/>
    <mergeCell ref="A121:I121"/>
    <mergeCell ref="A124:J124"/>
    <mergeCell ref="A126:J126"/>
    <mergeCell ref="A127:J127"/>
    <mergeCell ref="A152:I152"/>
    <mergeCell ref="A122:I122"/>
    <mergeCell ref="A183:I183"/>
  </mergeCells>
  <printOptions horizontalCentered="1"/>
  <pageMargins left="0.5" right="0.44" top="1" bottom="0.85" header="0.75" footer="0.5"/>
  <pageSetup scale="89" firstPageNumber="80" fitToHeight="7" orientation="landscape" useFirstPageNumber="1" r:id="rId1"/>
  <headerFooter alignWithMargins="0">
    <oddHeader>&amp;RSREB-State Data Exchange</oddHeader>
    <oddFooter>&amp;CC-&amp;P</oddFooter>
  </headerFooter>
  <rowBreaks count="6" manualBreakCount="6">
    <brk id="31" max="14" man="1"/>
    <brk id="62" max="14" man="1"/>
    <brk id="92" max="14" man="1"/>
    <brk id="123" max="14" man="1"/>
    <brk id="153" max="14" man="1"/>
    <brk id="184"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339933"/>
  </sheetPr>
  <dimension ref="A1:AC141"/>
  <sheetViews>
    <sheetView zoomScale="80" zoomScaleNormal="80" workbookViewId="0">
      <pane xSplit="2" ySplit="5" topLeftCell="C6" activePane="bottomRight" state="frozen"/>
      <selection pane="topRight" activeCell="C1" sqref="C1"/>
      <selection pane="bottomLeft" activeCell="A6" sqref="A6"/>
      <selection pane="bottomRight" sqref="A1:XFD1048576"/>
    </sheetView>
  </sheetViews>
  <sheetFormatPr defaultColWidth="9.33203125" defaultRowHeight="12.75"/>
  <cols>
    <col min="1" max="1" width="5" style="1" customWidth="1"/>
    <col min="2" max="2" width="32" style="1" customWidth="1"/>
    <col min="3" max="8" width="15.1640625" style="1" customWidth="1"/>
    <col min="9" max="9" width="17.5" style="1" customWidth="1"/>
    <col min="10" max="13" width="13.6640625" style="1" customWidth="1"/>
    <col min="14" max="14" width="17.5" style="1" customWidth="1"/>
    <col min="15" max="16" width="11.5" style="1" customWidth="1"/>
    <col min="17" max="18" width="12.83203125" style="1" customWidth="1"/>
    <col min="19" max="19" width="16.6640625" style="1" customWidth="1"/>
    <col min="20" max="20" width="6.5" style="1" customWidth="1"/>
    <col min="21" max="21" width="9.33203125" style="1"/>
    <col min="22" max="25" width="11.5" style="1" customWidth="1"/>
    <col min="26" max="26" width="9.5" style="1" customWidth="1"/>
    <col min="27" max="27" width="10.6640625" style="1" customWidth="1"/>
    <col min="28" max="28" width="10.1640625" style="1" customWidth="1"/>
    <col min="29" max="29" width="13.6640625" style="1" customWidth="1"/>
    <col min="30" max="16384" width="9.33203125" style="1"/>
  </cols>
  <sheetData>
    <row r="1" spans="1:29">
      <c r="E1" s="73" t="s">
        <v>763</v>
      </c>
      <c r="L1" s="74"/>
    </row>
    <row r="3" spans="1:29">
      <c r="A3" s="75"/>
      <c r="B3" s="76"/>
      <c r="C3" s="75" t="s">
        <v>764</v>
      </c>
      <c r="D3" s="76" t="s">
        <v>21</v>
      </c>
      <c r="E3" s="76"/>
      <c r="F3" s="76"/>
      <c r="G3" s="76"/>
      <c r="H3" s="76"/>
      <c r="I3" s="76"/>
      <c r="J3" s="76"/>
      <c r="K3" s="76"/>
      <c r="L3" s="76"/>
      <c r="M3" s="76"/>
      <c r="N3" s="76"/>
      <c r="O3" s="76"/>
      <c r="P3" s="76"/>
      <c r="Q3" s="76"/>
      <c r="R3" s="76"/>
      <c r="S3" s="76"/>
      <c r="T3" s="77"/>
      <c r="U3" s="77"/>
      <c r="V3" s="77"/>
      <c r="W3" s="78"/>
      <c r="X3" s="77"/>
      <c r="Y3" s="77"/>
      <c r="Z3" s="77"/>
      <c r="AA3" s="78"/>
      <c r="AB3" s="79"/>
      <c r="AC3" s="80"/>
    </row>
    <row r="4" spans="1:29">
      <c r="A4" s="81"/>
      <c r="B4" s="82"/>
      <c r="C4" s="75" t="s">
        <v>667</v>
      </c>
      <c r="D4" s="76"/>
      <c r="E4" s="76"/>
      <c r="F4" s="76"/>
      <c r="G4" s="76"/>
      <c r="H4" s="76"/>
      <c r="I4" s="75" t="s">
        <v>666</v>
      </c>
      <c r="J4" s="75" t="s">
        <v>668</v>
      </c>
      <c r="K4" s="76"/>
      <c r="L4" s="76"/>
      <c r="M4" s="76"/>
      <c r="N4" s="75" t="s">
        <v>669</v>
      </c>
      <c r="O4" s="75">
        <v>11</v>
      </c>
      <c r="P4" s="76" t="s">
        <v>765</v>
      </c>
      <c r="Q4" s="75" t="s">
        <v>670</v>
      </c>
      <c r="R4" s="75"/>
      <c r="S4" s="75" t="s">
        <v>671</v>
      </c>
      <c r="T4" s="83">
        <v>15</v>
      </c>
      <c r="U4" s="83" t="s">
        <v>821</v>
      </c>
      <c r="V4" s="83" t="s">
        <v>614</v>
      </c>
      <c r="W4" s="84" t="s">
        <v>640</v>
      </c>
      <c r="X4" s="83" t="s">
        <v>615</v>
      </c>
      <c r="Y4" s="83" t="s">
        <v>641</v>
      </c>
      <c r="Z4" s="83" t="s">
        <v>616</v>
      </c>
      <c r="AA4" s="84" t="s">
        <v>642</v>
      </c>
      <c r="AB4" s="85" t="s">
        <v>868</v>
      </c>
      <c r="AC4" s="86" t="s">
        <v>869</v>
      </c>
    </row>
    <row r="5" spans="1:29">
      <c r="A5" s="75" t="s">
        <v>17</v>
      </c>
      <c r="B5" s="75" t="s">
        <v>766</v>
      </c>
      <c r="C5" s="75">
        <v>1</v>
      </c>
      <c r="D5" s="87">
        <v>2</v>
      </c>
      <c r="E5" s="87">
        <v>3</v>
      </c>
      <c r="F5" s="87">
        <v>4</v>
      </c>
      <c r="G5" s="87">
        <v>5</v>
      </c>
      <c r="H5" s="87">
        <v>6</v>
      </c>
      <c r="I5" s="81"/>
      <c r="J5" s="75">
        <v>7</v>
      </c>
      <c r="K5" s="87">
        <v>8</v>
      </c>
      <c r="L5" s="87">
        <v>9</v>
      </c>
      <c r="M5" s="87">
        <v>10</v>
      </c>
      <c r="N5" s="81"/>
      <c r="O5" s="75">
        <v>11</v>
      </c>
      <c r="P5" s="87"/>
      <c r="Q5" s="81">
        <v>12</v>
      </c>
      <c r="R5" s="75">
        <v>13</v>
      </c>
      <c r="S5" s="81"/>
      <c r="T5" s="83">
        <v>15</v>
      </c>
      <c r="U5" s="88"/>
      <c r="V5" s="83" t="s">
        <v>614</v>
      </c>
      <c r="W5" s="89"/>
      <c r="X5" s="83" t="s">
        <v>615</v>
      </c>
      <c r="Y5" s="88"/>
      <c r="Z5" s="83" t="s">
        <v>616</v>
      </c>
      <c r="AA5" s="89"/>
      <c r="AB5" s="85" t="s">
        <v>868</v>
      </c>
      <c r="AC5" s="90"/>
    </row>
    <row r="6" spans="1:29">
      <c r="A6" s="91" t="s">
        <v>72</v>
      </c>
      <c r="B6" s="75" t="s">
        <v>767</v>
      </c>
      <c r="C6" s="75">
        <v>1970846</v>
      </c>
      <c r="D6" s="87">
        <v>451735</v>
      </c>
      <c r="E6" s="87">
        <v>945030</v>
      </c>
      <c r="F6" s="87">
        <v>173450</v>
      </c>
      <c r="G6" s="87">
        <v>127307</v>
      </c>
      <c r="H6" s="87">
        <v>0</v>
      </c>
      <c r="I6" s="75">
        <v>3668368</v>
      </c>
      <c r="J6" s="75">
        <v>0</v>
      </c>
      <c r="K6" s="87">
        <v>493936</v>
      </c>
      <c r="L6" s="87">
        <v>755028</v>
      </c>
      <c r="M6" s="87">
        <v>290143</v>
      </c>
      <c r="N6" s="75">
        <v>1539107</v>
      </c>
      <c r="O6" s="75">
        <v>0</v>
      </c>
      <c r="P6" s="87">
        <v>0</v>
      </c>
      <c r="Q6" s="75">
        <v>40736</v>
      </c>
      <c r="R6" s="75">
        <v>37178</v>
      </c>
      <c r="S6" s="75">
        <v>77914</v>
      </c>
      <c r="T6" s="83">
        <v>12708</v>
      </c>
      <c r="U6" s="83">
        <v>12708</v>
      </c>
      <c r="V6" s="83">
        <v>0</v>
      </c>
      <c r="W6" s="84">
        <v>0</v>
      </c>
      <c r="X6" s="83">
        <v>0</v>
      </c>
      <c r="Y6" s="83">
        <v>0</v>
      </c>
      <c r="Z6" s="83">
        <v>0</v>
      </c>
      <c r="AA6" s="84">
        <v>0</v>
      </c>
      <c r="AB6" s="85">
        <v>0</v>
      </c>
      <c r="AC6" s="86">
        <v>0</v>
      </c>
    </row>
    <row r="7" spans="1:29">
      <c r="A7" s="92"/>
      <c r="B7" s="93" t="s">
        <v>768</v>
      </c>
      <c r="C7" s="93">
        <v>14017</v>
      </c>
      <c r="D7" s="1">
        <v>1772</v>
      </c>
      <c r="E7" s="1">
        <v>12592</v>
      </c>
      <c r="F7" s="1">
        <v>252</v>
      </c>
      <c r="G7" s="1">
        <v>227</v>
      </c>
      <c r="H7" s="1">
        <v>0</v>
      </c>
      <c r="I7" s="93">
        <v>28860</v>
      </c>
      <c r="J7" s="93">
        <v>0</v>
      </c>
      <c r="K7" s="1">
        <v>46119</v>
      </c>
      <c r="L7" s="1">
        <v>51290</v>
      </c>
      <c r="M7" s="1">
        <v>37313</v>
      </c>
      <c r="N7" s="93">
        <v>134722</v>
      </c>
      <c r="O7" s="93">
        <v>0</v>
      </c>
      <c r="P7" s="1">
        <v>0</v>
      </c>
      <c r="Q7" s="93">
        <v>1729</v>
      </c>
      <c r="R7" s="93">
        <v>2343</v>
      </c>
      <c r="S7" s="93">
        <v>4072</v>
      </c>
      <c r="T7" s="94">
        <v>36</v>
      </c>
      <c r="U7" s="94">
        <v>36</v>
      </c>
      <c r="V7" s="94">
        <v>0</v>
      </c>
      <c r="W7" s="95">
        <v>0</v>
      </c>
      <c r="X7" s="94">
        <v>0</v>
      </c>
      <c r="Y7" s="94">
        <v>0</v>
      </c>
      <c r="Z7" s="94">
        <v>0</v>
      </c>
      <c r="AA7" s="95">
        <v>0</v>
      </c>
      <c r="AB7" s="96">
        <v>0</v>
      </c>
      <c r="AC7" s="97">
        <v>0</v>
      </c>
    </row>
    <row r="8" spans="1:29">
      <c r="A8" s="92"/>
      <c r="B8" s="98" t="s">
        <v>769</v>
      </c>
      <c r="C8" s="98">
        <v>7.112174162770709E-3</v>
      </c>
      <c r="D8" s="99">
        <v>3.922653768249084E-3</v>
      </c>
      <c r="E8" s="99">
        <v>1.3324444726622435E-2</v>
      </c>
      <c r="F8" s="99">
        <v>1.452868261746901E-3</v>
      </c>
      <c r="G8" s="99">
        <v>1.7830912675658056E-3</v>
      </c>
      <c r="H8" s="99">
        <v>0</v>
      </c>
      <c r="I8" s="98">
        <v>7.8672586828802352E-3</v>
      </c>
      <c r="J8" s="98">
        <v>0</v>
      </c>
      <c r="K8" s="99">
        <v>9.3370396164685301E-2</v>
      </c>
      <c r="L8" s="99">
        <v>6.7931255529596252E-2</v>
      </c>
      <c r="M8" s="99">
        <v>0.12860210310088474</v>
      </c>
      <c r="N8" s="98">
        <v>8.7532575707861771E-2</v>
      </c>
      <c r="O8" s="98">
        <v>0</v>
      </c>
      <c r="P8" s="99">
        <v>0</v>
      </c>
      <c r="Q8" s="98">
        <v>4.2444029850746266E-2</v>
      </c>
      <c r="R8" s="98">
        <v>6.3021141535316585E-2</v>
      </c>
      <c r="S8" s="98">
        <v>5.2262751238545062E-2</v>
      </c>
      <c r="T8" s="100">
        <v>2.8328611898016999E-3</v>
      </c>
      <c r="U8" s="100">
        <v>2.8328611898016999E-3</v>
      </c>
      <c r="V8" s="100">
        <v>0</v>
      </c>
      <c r="W8" s="101">
        <v>0</v>
      </c>
      <c r="X8" s="100">
        <v>0</v>
      </c>
      <c r="Y8" s="100">
        <v>0</v>
      </c>
      <c r="Z8" s="100">
        <v>0</v>
      </c>
      <c r="AA8" s="101">
        <v>0</v>
      </c>
      <c r="AB8" s="96">
        <v>0</v>
      </c>
      <c r="AC8" s="97">
        <v>0</v>
      </c>
    </row>
    <row r="9" spans="1:29">
      <c r="A9" s="92"/>
      <c r="B9" s="93" t="s">
        <v>770</v>
      </c>
      <c r="C9" s="93">
        <v>1915356</v>
      </c>
      <c r="D9" s="1">
        <v>428972</v>
      </c>
      <c r="E9" s="1">
        <v>881358</v>
      </c>
      <c r="F9" s="1">
        <v>156042</v>
      </c>
      <c r="G9" s="1">
        <v>122801</v>
      </c>
      <c r="H9" s="1">
        <v>0</v>
      </c>
      <c r="I9" s="93">
        <v>3504529</v>
      </c>
      <c r="J9" s="93">
        <v>0</v>
      </c>
      <c r="K9" s="1">
        <v>474880</v>
      </c>
      <c r="L9" s="1">
        <v>713469</v>
      </c>
      <c r="M9" s="1">
        <v>274384</v>
      </c>
      <c r="N9" s="93">
        <v>1462733</v>
      </c>
      <c r="O9" s="93">
        <v>0</v>
      </c>
      <c r="P9" s="1">
        <v>0</v>
      </c>
      <c r="Q9" s="93">
        <v>39698</v>
      </c>
      <c r="R9" s="93">
        <v>38198</v>
      </c>
      <c r="S9" s="93">
        <v>77896</v>
      </c>
      <c r="T9" s="94">
        <v>10955</v>
      </c>
      <c r="U9" s="94">
        <v>10955</v>
      </c>
      <c r="V9" s="94">
        <v>0</v>
      </c>
      <c r="W9" s="95">
        <v>0</v>
      </c>
      <c r="X9" s="94">
        <v>0</v>
      </c>
      <c r="Y9" s="94">
        <v>0</v>
      </c>
      <c r="Z9" s="94">
        <v>0</v>
      </c>
      <c r="AA9" s="95">
        <v>0</v>
      </c>
      <c r="AB9" s="96">
        <v>0</v>
      </c>
      <c r="AC9" s="97">
        <v>0</v>
      </c>
    </row>
    <row r="10" spans="1:29">
      <c r="A10" s="92"/>
      <c r="B10" s="93" t="s">
        <v>771</v>
      </c>
      <c r="C10" s="93">
        <v>13964</v>
      </c>
      <c r="D10" s="1">
        <v>2510</v>
      </c>
      <c r="E10" s="1">
        <v>14214</v>
      </c>
      <c r="F10" s="1">
        <v>400</v>
      </c>
      <c r="G10" s="1">
        <v>170</v>
      </c>
      <c r="H10" s="1">
        <v>0</v>
      </c>
      <c r="I10" s="93">
        <v>31258</v>
      </c>
      <c r="J10" s="93">
        <v>0</v>
      </c>
      <c r="K10" s="1">
        <v>47103</v>
      </c>
      <c r="L10" s="1">
        <v>54122</v>
      </c>
      <c r="M10" s="1">
        <v>42078</v>
      </c>
      <c r="N10" s="93">
        <v>143303</v>
      </c>
      <c r="O10" s="93">
        <v>0</v>
      </c>
      <c r="P10" s="1">
        <v>0</v>
      </c>
      <c r="Q10" s="93">
        <v>1720</v>
      </c>
      <c r="R10" s="93">
        <v>2009</v>
      </c>
      <c r="S10" s="93">
        <v>3729</v>
      </c>
      <c r="T10" s="94">
        <v>0</v>
      </c>
      <c r="U10" s="94">
        <v>0</v>
      </c>
      <c r="V10" s="94">
        <v>0</v>
      </c>
      <c r="W10" s="95">
        <v>0</v>
      </c>
      <c r="X10" s="94">
        <v>0</v>
      </c>
      <c r="Y10" s="94">
        <v>0</v>
      </c>
      <c r="Z10" s="94">
        <v>0</v>
      </c>
      <c r="AA10" s="95">
        <v>0</v>
      </c>
      <c r="AB10" s="96">
        <v>0</v>
      </c>
      <c r="AC10" s="97">
        <v>0</v>
      </c>
    </row>
    <row r="11" spans="1:29">
      <c r="A11" s="92"/>
      <c r="B11" s="102" t="s">
        <v>772</v>
      </c>
      <c r="C11" s="98">
        <v>7.2905506861387645E-3</v>
      </c>
      <c r="D11" s="99">
        <v>5.85119774717231E-3</v>
      </c>
      <c r="E11" s="99">
        <v>1.612738523959617E-2</v>
      </c>
      <c r="F11" s="99">
        <v>2.5634124146063238E-3</v>
      </c>
      <c r="G11" s="99">
        <v>1.3843535476095472E-3</v>
      </c>
      <c r="H11" s="99">
        <v>0</v>
      </c>
      <c r="I11" s="98">
        <v>8.9193155485373359E-3</v>
      </c>
      <c r="J11" s="98">
        <v>0</v>
      </c>
      <c r="K11" s="99">
        <v>9.9189268867924535E-2</v>
      </c>
      <c r="L11" s="99">
        <v>7.5857535506097667E-2</v>
      </c>
      <c r="M11" s="99">
        <v>0.15335442299842555</v>
      </c>
      <c r="N11" s="98">
        <v>9.796934915668136E-2</v>
      </c>
      <c r="O11" s="98">
        <v>0</v>
      </c>
      <c r="P11" s="99">
        <v>0</v>
      </c>
      <c r="Q11" s="98">
        <v>4.3327119754143786E-2</v>
      </c>
      <c r="R11" s="102">
        <v>5.2594376668935544E-2</v>
      </c>
      <c r="S11" s="102">
        <v>4.7871521002362125E-2</v>
      </c>
      <c r="T11" s="103">
        <v>0</v>
      </c>
      <c r="U11" s="103">
        <v>0</v>
      </c>
      <c r="V11" s="103">
        <v>0</v>
      </c>
      <c r="W11" s="104">
        <v>0</v>
      </c>
      <c r="X11" s="103">
        <v>0</v>
      </c>
      <c r="Y11" s="103">
        <v>0</v>
      </c>
      <c r="Z11" s="103">
        <v>0</v>
      </c>
      <c r="AA11" s="104">
        <v>0</v>
      </c>
      <c r="AB11" s="96">
        <v>0</v>
      </c>
      <c r="AC11" s="97">
        <v>0</v>
      </c>
    </row>
    <row r="12" spans="1:29">
      <c r="A12" s="105"/>
      <c r="B12" s="106" t="s">
        <v>773</v>
      </c>
      <c r="C12" s="107">
        <v>1.7837652336805555E-4</v>
      </c>
      <c r="D12" s="108">
        <v>1.9285439789232259E-3</v>
      </c>
      <c r="E12" s="108">
        <v>2.802940512973735E-3</v>
      </c>
      <c r="F12" s="108">
        <v>1.1105441528594228E-3</v>
      </c>
      <c r="G12" s="108">
        <v>-3.9873771995625838E-4</v>
      </c>
      <c r="H12" s="108">
        <v>0</v>
      </c>
      <c r="I12" s="107">
        <v>1.0520568656571007E-3</v>
      </c>
      <c r="J12" s="107">
        <v>0</v>
      </c>
      <c r="K12" s="108">
        <v>5.8188727032392334E-3</v>
      </c>
      <c r="L12" s="108">
        <v>7.9262799765014158E-3</v>
      </c>
      <c r="M12" s="108">
        <v>2.4752319897540814E-2</v>
      </c>
      <c r="N12" s="107">
        <v>1.0436773448819589E-2</v>
      </c>
      <c r="O12" s="107">
        <v>0</v>
      </c>
      <c r="P12" s="108">
        <v>0</v>
      </c>
      <c r="Q12" s="107">
        <v>8.8308990339752008E-4</v>
      </c>
      <c r="R12" s="107">
        <v>-1.0426764866381041E-2</v>
      </c>
      <c r="S12" s="107">
        <v>-4.3912302361829372E-3</v>
      </c>
      <c r="T12" s="109">
        <v>-2.8328611898016999E-3</v>
      </c>
      <c r="U12" s="109">
        <v>-2.8328611898016999E-3</v>
      </c>
      <c r="V12" s="109">
        <v>0</v>
      </c>
      <c r="W12" s="110">
        <v>0</v>
      </c>
      <c r="X12" s="109">
        <v>0</v>
      </c>
      <c r="Y12" s="109">
        <v>0</v>
      </c>
      <c r="Z12" s="109">
        <v>0</v>
      </c>
      <c r="AA12" s="110">
        <v>0</v>
      </c>
      <c r="AB12" s="96">
        <v>0</v>
      </c>
      <c r="AC12" s="97">
        <v>0</v>
      </c>
    </row>
    <row r="13" spans="1:29">
      <c r="A13" s="91" t="s">
        <v>102</v>
      </c>
      <c r="B13" s="75" t="s">
        <v>767</v>
      </c>
      <c r="C13" s="75">
        <v>654179</v>
      </c>
      <c r="D13" s="87">
        <v>165654</v>
      </c>
      <c r="E13" s="87">
        <v>720104</v>
      </c>
      <c r="F13" s="87">
        <v>244220</v>
      </c>
      <c r="G13" s="87">
        <v>0</v>
      </c>
      <c r="H13" s="87">
        <v>211095</v>
      </c>
      <c r="I13" s="75">
        <v>1995252</v>
      </c>
      <c r="J13" s="75">
        <v>0</v>
      </c>
      <c r="K13" s="87">
        <v>140961</v>
      </c>
      <c r="L13" s="87">
        <v>181816</v>
      </c>
      <c r="M13" s="87">
        <v>554703</v>
      </c>
      <c r="N13" s="75">
        <v>877480</v>
      </c>
      <c r="O13" s="75">
        <v>0</v>
      </c>
      <c r="P13" s="87">
        <v>0</v>
      </c>
      <c r="Q13" s="75">
        <v>0</v>
      </c>
      <c r="R13" s="75">
        <v>0</v>
      </c>
      <c r="S13" s="75">
        <v>0</v>
      </c>
      <c r="T13" s="83">
        <v>0</v>
      </c>
      <c r="U13" s="83">
        <v>0</v>
      </c>
      <c r="V13" s="83">
        <v>0</v>
      </c>
      <c r="W13" s="84">
        <v>0</v>
      </c>
      <c r="X13" s="83">
        <v>0</v>
      </c>
      <c r="Y13" s="83">
        <v>0</v>
      </c>
      <c r="Z13" s="83">
        <v>0</v>
      </c>
      <c r="AA13" s="84">
        <v>0</v>
      </c>
      <c r="AB13" s="85">
        <v>0</v>
      </c>
      <c r="AC13" s="86">
        <v>0</v>
      </c>
    </row>
    <row r="14" spans="1:29">
      <c r="A14" s="92"/>
      <c r="B14" s="93" t="s">
        <v>768</v>
      </c>
      <c r="C14" s="93">
        <v>106</v>
      </c>
      <c r="D14" s="1">
        <v>9952</v>
      </c>
      <c r="E14" s="1">
        <v>33847</v>
      </c>
      <c r="F14" s="1">
        <v>8106</v>
      </c>
      <c r="G14" s="1">
        <v>0</v>
      </c>
      <c r="H14" s="1">
        <v>15957</v>
      </c>
      <c r="I14" s="93">
        <v>67968</v>
      </c>
      <c r="J14" s="93">
        <v>0</v>
      </c>
      <c r="K14" s="1">
        <v>19113</v>
      </c>
      <c r="L14" s="1">
        <v>11784</v>
      </c>
      <c r="M14" s="1">
        <v>79447</v>
      </c>
      <c r="N14" s="93">
        <v>110344</v>
      </c>
      <c r="O14" s="93">
        <v>0</v>
      </c>
      <c r="P14" s="1">
        <v>0</v>
      </c>
      <c r="Q14" s="93">
        <v>0</v>
      </c>
      <c r="R14" s="93">
        <v>0</v>
      </c>
      <c r="S14" s="93">
        <v>0</v>
      </c>
      <c r="T14" s="94">
        <v>0</v>
      </c>
      <c r="U14" s="94">
        <v>0</v>
      </c>
      <c r="V14" s="94">
        <v>0</v>
      </c>
      <c r="W14" s="95">
        <v>0</v>
      </c>
      <c r="X14" s="94">
        <v>0</v>
      </c>
      <c r="Y14" s="94">
        <v>0</v>
      </c>
      <c r="Z14" s="94">
        <v>0</v>
      </c>
      <c r="AA14" s="95">
        <v>0</v>
      </c>
      <c r="AB14" s="96">
        <v>0</v>
      </c>
      <c r="AC14" s="97">
        <v>0</v>
      </c>
    </row>
    <row r="15" spans="1:29">
      <c r="A15" s="92"/>
      <c r="B15" s="98" t="s">
        <v>769</v>
      </c>
      <c r="C15" s="98">
        <v>1.6203516163007373E-4</v>
      </c>
      <c r="D15" s="99">
        <v>6.0077028022263272E-2</v>
      </c>
      <c r="E15" s="99">
        <v>4.700293290969082E-2</v>
      </c>
      <c r="F15" s="99">
        <v>3.319138481696831E-2</v>
      </c>
      <c r="G15" s="99">
        <v>0</v>
      </c>
      <c r="H15" s="99">
        <v>7.559155830313366E-2</v>
      </c>
      <c r="I15" s="98">
        <v>3.4064870001383286E-2</v>
      </c>
      <c r="J15" s="98">
        <v>0</v>
      </c>
      <c r="K15" s="99">
        <v>0.13559069529869963</v>
      </c>
      <c r="L15" s="99">
        <v>6.4812777753333037E-2</v>
      </c>
      <c r="M15" s="99">
        <v>0.14322439215219676</v>
      </c>
      <c r="N15" s="98">
        <v>0.12575101426813146</v>
      </c>
      <c r="O15" s="98">
        <v>0</v>
      </c>
      <c r="P15" s="99">
        <v>0</v>
      </c>
      <c r="Q15" s="98">
        <v>0</v>
      </c>
      <c r="R15" s="98">
        <v>0</v>
      </c>
      <c r="S15" s="98">
        <v>0</v>
      </c>
      <c r="T15" s="100">
        <v>0</v>
      </c>
      <c r="U15" s="100">
        <v>0</v>
      </c>
      <c r="V15" s="100">
        <v>0</v>
      </c>
      <c r="W15" s="101">
        <v>0</v>
      </c>
      <c r="X15" s="100">
        <v>0</v>
      </c>
      <c r="Y15" s="100">
        <v>0</v>
      </c>
      <c r="Z15" s="100">
        <v>0</v>
      </c>
      <c r="AA15" s="101">
        <v>0</v>
      </c>
      <c r="AB15" s="96">
        <v>0</v>
      </c>
      <c r="AC15" s="97">
        <v>0</v>
      </c>
    </row>
    <row r="16" spans="1:29">
      <c r="A16" s="92"/>
      <c r="B16" s="93" t="s">
        <v>770</v>
      </c>
      <c r="C16" s="93">
        <v>665784</v>
      </c>
      <c r="D16" s="1">
        <v>147611</v>
      </c>
      <c r="E16" s="1">
        <v>664673</v>
      </c>
      <c r="F16" s="1">
        <v>219412</v>
      </c>
      <c r="G16" s="1">
        <v>0</v>
      </c>
      <c r="H16" s="1">
        <v>195805</v>
      </c>
      <c r="I16" s="93">
        <v>1893285</v>
      </c>
      <c r="J16" s="93">
        <v>0</v>
      </c>
      <c r="K16" s="1">
        <v>127234</v>
      </c>
      <c r="L16" s="1">
        <v>163102</v>
      </c>
      <c r="M16" s="1">
        <v>523008</v>
      </c>
      <c r="N16" s="93">
        <v>813344</v>
      </c>
      <c r="O16" s="93">
        <v>0</v>
      </c>
      <c r="P16" s="1">
        <v>0</v>
      </c>
      <c r="Q16" s="93">
        <v>0</v>
      </c>
      <c r="R16" s="93">
        <v>0</v>
      </c>
      <c r="S16" s="93">
        <v>0</v>
      </c>
      <c r="T16" s="94">
        <v>0</v>
      </c>
      <c r="U16" s="94">
        <v>0</v>
      </c>
      <c r="V16" s="94">
        <v>0</v>
      </c>
      <c r="W16" s="95">
        <v>0</v>
      </c>
      <c r="X16" s="94">
        <v>0</v>
      </c>
      <c r="Y16" s="94">
        <v>0</v>
      </c>
      <c r="Z16" s="94">
        <v>0</v>
      </c>
      <c r="AA16" s="95">
        <v>0</v>
      </c>
      <c r="AB16" s="96">
        <v>0</v>
      </c>
      <c r="AC16" s="97">
        <v>0</v>
      </c>
    </row>
    <row r="17" spans="1:29">
      <c r="A17" s="92"/>
      <c r="B17" s="93" t="s">
        <v>771</v>
      </c>
      <c r="C17" s="93">
        <v>116</v>
      </c>
      <c r="D17" s="1">
        <v>9012</v>
      </c>
      <c r="E17" s="1">
        <v>31484</v>
      </c>
      <c r="F17" s="1">
        <v>5369</v>
      </c>
      <c r="G17" s="1">
        <v>0</v>
      </c>
      <c r="H17" s="1">
        <v>14726</v>
      </c>
      <c r="I17" s="93">
        <v>60707</v>
      </c>
      <c r="J17" s="93">
        <v>0</v>
      </c>
      <c r="K17" s="1">
        <v>19763</v>
      </c>
      <c r="L17" s="1">
        <v>10394</v>
      </c>
      <c r="M17" s="1">
        <v>81386</v>
      </c>
      <c r="N17" s="93">
        <v>111543</v>
      </c>
      <c r="O17" s="93">
        <v>0</v>
      </c>
      <c r="P17" s="1">
        <v>0</v>
      </c>
      <c r="Q17" s="93">
        <v>0</v>
      </c>
      <c r="R17" s="93">
        <v>0</v>
      </c>
      <c r="S17" s="93">
        <v>0</v>
      </c>
      <c r="T17" s="94">
        <v>0</v>
      </c>
      <c r="U17" s="94">
        <v>0</v>
      </c>
      <c r="V17" s="94">
        <v>0</v>
      </c>
      <c r="W17" s="95">
        <v>0</v>
      </c>
      <c r="X17" s="94">
        <v>0</v>
      </c>
      <c r="Y17" s="94">
        <v>0</v>
      </c>
      <c r="Z17" s="94">
        <v>0</v>
      </c>
      <c r="AA17" s="95">
        <v>0</v>
      </c>
      <c r="AB17" s="96">
        <v>0</v>
      </c>
      <c r="AC17" s="97">
        <v>0</v>
      </c>
    </row>
    <row r="18" spans="1:29">
      <c r="A18" s="92"/>
      <c r="B18" s="102" t="s">
        <v>772</v>
      </c>
      <c r="C18" s="98">
        <v>1.74230681422203E-4</v>
      </c>
      <c r="D18" s="99">
        <v>6.1052360596432514E-2</v>
      </c>
      <c r="E18" s="99">
        <v>4.7367652966195405E-2</v>
      </c>
      <c r="F18" s="99">
        <v>2.4469946949118554E-2</v>
      </c>
      <c r="G18" s="99">
        <v>0</v>
      </c>
      <c r="H18" s="99">
        <v>7.5207476826434458E-2</v>
      </c>
      <c r="I18" s="98">
        <v>3.2064374882809506E-2</v>
      </c>
      <c r="J18" s="98">
        <v>0</v>
      </c>
      <c r="K18" s="99">
        <v>0.15532797837056134</v>
      </c>
      <c r="L18" s="99">
        <v>6.3726992924672904E-2</v>
      </c>
      <c r="M18" s="99">
        <v>0.1556113864415076</v>
      </c>
      <c r="N18" s="98">
        <v>0.13714123421332181</v>
      </c>
      <c r="O18" s="98">
        <v>0</v>
      </c>
      <c r="P18" s="99">
        <v>0</v>
      </c>
      <c r="Q18" s="98">
        <v>0</v>
      </c>
      <c r="R18" s="102">
        <v>0</v>
      </c>
      <c r="S18" s="102">
        <v>0</v>
      </c>
      <c r="T18" s="103">
        <v>0</v>
      </c>
      <c r="U18" s="103">
        <v>0</v>
      </c>
      <c r="V18" s="103">
        <v>0</v>
      </c>
      <c r="W18" s="104">
        <v>0</v>
      </c>
      <c r="X18" s="103">
        <v>0</v>
      </c>
      <c r="Y18" s="103">
        <v>0</v>
      </c>
      <c r="Z18" s="103">
        <v>0</v>
      </c>
      <c r="AA18" s="104">
        <v>0</v>
      </c>
      <c r="AB18" s="96">
        <v>0</v>
      </c>
      <c r="AC18" s="97">
        <v>0</v>
      </c>
    </row>
    <row r="19" spans="1:29">
      <c r="A19" s="105"/>
      <c r="B19" s="106" t="s">
        <v>773</v>
      </c>
      <c r="C19" s="107">
        <v>1.2195519792129262E-5</v>
      </c>
      <c r="D19" s="108">
        <v>9.7533257416924229E-4</v>
      </c>
      <c r="E19" s="108">
        <v>3.6472005650458467E-4</v>
      </c>
      <c r="F19" s="108">
        <v>-8.7214378678497559E-3</v>
      </c>
      <c r="G19" s="108">
        <v>0</v>
      </c>
      <c r="H19" s="108">
        <v>-3.8408147669920234E-4</v>
      </c>
      <c r="I19" s="107">
        <v>-2.0004951185737807E-3</v>
      </c>
      <c r="J19" s="107">
        <v>0</v>
      </c>
      <c r="K19" s="108">
        <v>1.9737283071861705E-2</v>
      </c>
      <c r="L19" s="108">
        <v>-1.0857848286601329E-3</v>
      </c>
      <c r="M19" s="108">
        <v>1.2386994289310838E-2</v>
      </c>
      <c r="N19" s="107">
        <v>1.139021994519035E-2</v>
      </c>
      <c r="O19" s="107">
        <v>0</v>
      </c>
      <c r="P19" s="108">
        <v>0</v>
      </c>
      <c r="Q19" s="107">
        <v>0</v>
      </c>
      <c r="R19" s="107">
        <v>0</v>
      </c>
      <c r="S19" s="107">
        <v>0</v>
      </c>
      <c r="T19" s="109">
        <v>0</v>
      </c>
      <c r="U19" s="109">
        <v>0</v>
      </c>
      <c r="V19" s="109">
        <v>0</v>
      </c>
      <c r="W19" s="110">
        <v>0</v>
      </c>
      <c r="X19" s="109">
        <v>0</v>
      </c>
      <c r="Y19" s="109">
        <v>0</v>
      </c>
      <c r="Z19" s="109">
        <v>0</v>
      </c>
      <c r="AA19" s="110">
        <v>0</v>
      </c>
      <c r="AB19" s="96">
        <v>0</v>
      </c>
      <c r="AC19" s="97">
        <v>0</v>
      </c>
    </row>
    <row r="20" spans="1:29">
      <c r="A20" s="91" t="s">
        <v>429</v>
      </c>
      <c r="B20" s="75" t="s">
        <v>767</v>
      </c>
      <c r="C20" s="75">
        <v>0</v>
      </c>
      <c r="D20" s="87">
        <v>0</v>
      </c>
      <c r="E20" s="87">
        <v>0</v>
      </c>
      <c r="F20" s="87">
        <v>0</v>
      </c>
      <c r="G20" s="87">
        <v>0</v>
      </c>
      <c r="H20" s="87">
        <v>0</v>
      </c>
      <c r="I20" s="75">
        <v>0</v>
      </c>
      <c r="J20" s="75">
        <v>0</v>
      </c>
      <c r="K20" s="87">
        <v>0</v>
      </c>
      <c r="L20" s="87">
        <v>0</v>
      </c>
      <c r="M20" s="87">
        <v>0</v>
      </c>
      <c r="N20" s="75">
        <v>0</v>
      </c>
      <c r="O20" s="75">
        <v>0</v>
      </c>
      <c r="P20" s="87">
        <v>0</v>
      </c>
      <c r="Q20" s="75">
        <v>0</v>
      </c>
      <c r="R20" s="75">
        <v>0</v>
      </c>
      <c r="S20" s="75">
        <v>0</v>
      </c>
      <c r="T20" s="83">
        <v>0</v>
      </c>
      <c r="U20" s="83">
        <v>0</v>
      </c>
      <c r="V20" s="83">
        <v>0</v>
      </c>
      <c r="W20" s="84">
        <v>0</v>
      </c>
      <c r="X20" s="83">
        <v>0</v>
      </c>
      <c r="Y20" s="83">
        <v>0</v>
      </c>
      <c r="Z20" s="83">
        <v>0</v>
      </c>
      <c r="AA20" s="84">
        <v>0</v>
      </c>
      <c r="AB20" s="85">
        <v>0</v>
      </c>
      <c r="AC20" s="86">
        <v>0</v>
      </c>
    </row>
    <row r="21" spans="1:29">
      <c r="A21" s="92"/>
      <c r="B21" s="93" t="s">
        <v>768</v>
      </c>
      <c r="C21" s="93">
        <v>0</v>
      </c>
      <c r="D21" s="1">
        <v>0</v>
      </c>
      <c r="E21" s="1">
        <v>0</v>
      </c>
      <c r="F21" s="1">
        <v>0</v>
      </c>
      <c r="G21" s="1">
        <v>0</v>
      </c>
      <c r="H21" s="1">
        <v>0</v>
      </c>
      <c r="I21" s="93">
        <v>0</v>
      </c>
      <c r="J21" s="93">
        <v>0</v>
      </c>
      <c r="K21" s="1">
        <v>0</v>
      </c>
      <c r="L21" s="1">
        <v>0</v>
      </c>
      <c r="M21" s="1">
        <v>0</v>
      </c>
      <c r="N21" s="93">
        <v>0</v>
      </c>
      <c r="O21" s="93">
        <v>0</v>
      </c>
      <c r="P21" s="1">
        <v>0</v>
      </c>
      <c r="Q21" s="93">
        <v>0</v>
      </c>
      <c r="R21" s="93">
        <v>0</v>
      </c>
      <c r="S21" s="93">
        <v>0</v>
      </c>
      <c r="T21" s="94">
        <v>0</v>
      </c>
      <c r="U21" s="94">
        <v>0</v>
      </c>
      <c r="V21" s="94">
        <v>0</v>
      </c>
      <c r="W21" s="95">
        <v>0</v>
      </c>
      <c r="X21" s="94">
        <v>0</v>
      </c>
      <c r="Y21" s="94">
        <v>0</v>
      </c>
      <c r="Z21" s="94">
        <v>0</v>
      </c>
      <c r="AA21" s="95">
        <v>0</v>
      </c>
      <c r="AB21" s="96">
        <v>0</v>
      </c>
      <c r="AC21" s="97">
        <v>0</v>
      </c>
    </row>
    <row r="22" spans="1:29">
      <c r="A22" s="92"/>
      <c r="B22" s="98" t="s">
        <v>769</v>
      </c>
      <c r="C22" s="98">
        <v>0</v>
      </c>
      <c r="D22" s="99">
        <v>0</v>
      </c>
      <c r="E22" s="99">
        <v>0</v>
      </c>
      <c r="F22" s="99">
        <v>0</v>
      </c>
      <c r="G22" s="99">
        <v>0</v>
      </c>
      <c r="H22" s="99">
        <v>0</v>
      </c>
      <c r="I22" s="98">
        <v>0</v>
      </c>
      <c r="J22" s="98">
        <v>0</v>
      </c>
      <c r="K22" s="99">
        <v>0</v>
      </c>
      <c r="L22" s="99">
        <v>0</v>
      </c>
      <c r="M22" s="99">
        <v>0</v>
      </c>
      <c r="N22" s="98">
        <v>0</v>
      </c>
      <c r="O22" s="98">
        <v>0</v>
      </c>
      <c r="P22" s="99">
        <v>0</v>
      </c>
      <c r="Q22" s="98">
        <v>0</v>
      </c>
      <c r="R22" s="98">
        <v>0</v>
      </c>
      <c r="S22" s="98">
        <v>0</v>
      </c>
      <c r="T22" s="100">
        <v>0</v>
      </c>
      <c r="U22" s="100">
        <v>0</v>
      </c>
      <c r="V22" s="100">
        <v>0</v>
      </c>
      <c r="W22" s="101">
        <v>0</v>
      </c>
      <c r="X22" s="100">
        <v>0</v>
      </c>
      <c r="Y22" s="100">
        <v>0</v>
      </c>
      <c r="Z22" s="100">
        <v>0</v>
      </c>
      <c r="AA22" s="101">
        <v>0</v>
      </c>
      <c r="AB22" s="96">
        <v>0</v>
      </c>
      <c r="AC22" s="97">
        <v>0</v>
      </c>
    </row>
    <row r="23" spans="1:29">
      <c r="A23" s="92"/>
      <c r="B23" s="93" t="s">
        <v>770</v>
      </c>
      <c r="C23" s="93">
        <v>0</v>
      </c>
      <c r="D23" s="1">
        <v>0</v>
      </c>
      <c r="E23" s="1">
        <v>0</v>
      </c>
      <c r="F23" s="1">
        <v>0</v>
      </c>
      <c r="G23" s="1">
        <v>0</v>
      </c>
      <c r="H23" s="1">
        <v>0</v>
      </c>
      <c r="I23" s="93">
        <v>0</v>
      </c>
      <c r="J23" s="93">
        <v>0</v>
      </c>
      <c r="K23" s="1">
        <v>0</v>
      </c>
      <c r="L23" s="1">
        <v>0</v>
      </c>
      <c r="M23" s="1">
        <v>0</v>
      </c>
      <c r="N23" s="93">
        <v>0</v>
      </c>
      <c r="O23" s="93">
        <v>0</v>
      </c>
      <c r="P23" s="1">
        <v>0</v>
      </c>
      <c r="Q23" s="93">
        <v>0</v>
      </c>
      <c r="R23" s="93">
        <v>0</v>
      </c>
      <c r="S23" s="93">
        <v>0</v>
      </c>
      <c r="T23" s="94">
        <v>0</v>
      </c>
      <c r="U23" s="94">
        <v>0</v>
      </c>
      <c r="V23" s="94">
        <v>0</v>
      </c>
      <c r="W23" s="95">
        <v>0</v>
      </c>
      <c r="X23" s="94">
        <v>0</v>
      </c>
      <c r="Y23" s="94">
        <v>0</v>
      </c>
      <c r="Z23" s="94">
        <v>0</v>
      </c>
      <c r="AA23" s="95">
        <v>0</v>
      </c>
      <c r="AB23" s="96">
        <v>0</v>
      </c>
      <c r="AC23" s="97">
        <v>0</v>
      </c>
    </row>
    <row r="24" spans="1:29">
      <c r="A24" s="92"/>
      <c r="B24" s="93" t="s">
        <v>771</v>
      </c>
      <c r="C24" s="93">
        <v>0</v>
      </c>
      <c r="D24" s="1">
        <v>0</v>
      </c>
      <c r="E24" s="1">
        <v>0</v>
      </c>
      <c r="F24" s="1">
        <v>0</v>
      </c>
      <c r="G24" s="1">
        <v>0</v>
      </c>
      <c r="H24" s="1">
        <v>0</v>
      </c>
      <c r="I24" s="93">
        <v>0</v>
      </c>
      <c r="J24" s="93">
        <v>0</v>
      </c>
      <c r="K24" s="1">
        <v>0</v>
      </c>
      <c r="L24" s="1">
        <v>0</v>
      </c>
      <c r="M24" s="1">
        <v>0</v>
      </c>
      <c r="N24" s="93">
        <v>0</v>
      </c>
      <c r="O24" s="93">
        <v>0</v>
      </c>
      <c r="P24" s="1">
        <v>0</v>
      </c>
      <c r="Q24" s="93">
        <v>0</v>
      </c>
      <c r="R24" s="93">
        <v>0</v>
      </c>
      <c r="S24" s="93">
        <v>0</v>
      </c>
      <c r="T24" s="94">
        <v>0</v>
      </c>
      <c r="U24" s="94">
        <v>0</v>
      </c>
      <c r="V24" s="94">
        <v>0</v>
      </c>
      <c r="W24" s="95">
        <v>0</v>
      </c>
      <c r="X24" s="94">
        <v>0</v>
      </c>
      <c r="Y24" s="94">
        <v>0</v>
      </c>
      <c r="Z24" s="94">
        <v>0</v>
      </c>
      <c r="AA24" s="95">
        <v>0</v>
      </c>
      <c r="AB24" s="96">
        <v>0</v>
      </c>
      <c r="AC24" s="97">
        <v>0</v>
      </c>
    </row>
    <row r="25" spans="1:29">
      <c r="A25" s="92"/>
      <c r="B25" s="102" t="s">
        <v>772</v>
      </c>
      <c r="C25" s="98">
        <v>0</v>
      </c>
      <c r="D25" s="99">
        <v>0</v>
      </c>
      <c r="E25" s="99">
        <v>0</v>
      </c>
      <c r="F25" s="99">
        <v>0</v>
      </c>
      <c r="G25" s="99">
        <v>0</v>
      </c>
      <c r="H25" s="99">
        <v>0</v>
      </c>
      <c r="I25" s="98">
        <v>0</v>
      </c>
      <c r="J25" s="98">
        <v>0</v>
      </c>
      <c r="K25" s="99">
        <v>0</v>
      </c>
      <c r="L25" s="99">
        <v>0</v>
      </c>
      <c r="M25" s="99">
        <v>0</v>
      </c>
      <c r="N25" s="98">
        <v>0</v>
      </c>
      <c r="O25" s="98">
        <v>0</v>
      </c>
      <c r="P25" s="99">
        <v>0</v>
      </c>
      <c r="Q25" s="98">
        <v>0</v>
      </c>
      <c r="R25" s="102">
        <v>0</v>
      </c>
      <c r="S25" s="102">
        <v>0</v>
      </c>
      <c r="T25" s="103">
        <v>0</v>
      </c>
      <c r="U25" s="103">
        <v>0</v>
      </c>
      <c r="V25" s="103">
        <v>0</v>
      </c>
      <c r="W25" s="104">
        <v>0</v>
      </c>
      <c r="X25" s="103">
        <v>0</v>
      </c>
      <c r="Y25" s="103">
        <v>0</v>
      </c>
      <c r="Z25" s="103">
        <v>0</v>
      </c>
      <c r="AA25" s="104">
        <v>0</v>
      </c>
      <c r="AB25" s="96">
        <v>0</v>
      </c>
      <c r="AC25" s="97">
        <v>0</v>
      </c>
    </row>
    <row r="26" spans="1:29">
      <c r="A26" s="105"/>
      <c r="B26" s="106" t="s">
        <v>773</v>
      </c>
      <c r="C26" s="107">
        <v>0</v>
      </c>
      <c r="D26" s="108">
        <v>0</v>
      </c>
      <c r="E26" s="108">
        <v>0</v>
      </c>
      <c r="F26" s="108">
        <v>0</v>
      </c>
      <c r="G26" s="108">
        <v>0</v>
      </c>
      <c r="H26" s="108">
        <v>0</v>
      </c>
      <c r="I26" s="107">
        <v>0</v>
      </c>
      <c r="J26" s="107">
        <v>0</v>
      </c>
      <c r="K26" s="108">
        <v>0</v>
      </c>
      <c r="L26" s="108">
        <v>0</v>
      </c>
      <c r="M26" s="108">
        <v>0</v>
      </c>
      <c r="N26" s="107">
        <v>0</v>
      </c>
      <c r="O26" s="107">
        <v>0</v>
      </c>
      <c r="P26" s="108">
        <v>0</v>
      </c>
      <c r="Q26" s="107">
        <v>0</v>
      </c>
      <c r="R26" s="107">
        <v>0</v>
      </c>
      <c r="S26" s="107">
        <v>0</v>
      </c>
      <c r="T26" s="109">
        <v>0</v>
      </c>
      <c r="U26" s="109">
        <v>0</v>
      </c>
      <c r="V26" s="109">
        <v>0</v>
      </c>
      <c r="W26" s="110">
        <v>0</v>
      </c>
      <c r="X26" s="109">
        <v>0</v>
      </c>
      <c r="Y26" s="109">
        <v>0</v>
      </c>
      <c r="Z26" s="109">
        <v>0</v>
      </c>
      <c r="AA26" s="110">
        <v>0</v>
      </c>
      <c r="AB26" s="96">
        <v>0</v>
      </c>
      <c r="AC26" s="97">
        <v>0</v>
      </c>
    </row>
    <row r="27" spans="1:29">
      <c r="A27" s="91" t="s">
        <v>131</v>
      </c>
      <c r="B27" s="75" t="s">
        <v>767</v>
      </c>
      <c r="C27" s="75">
        <v>0</v>
      </c>
      <c r="D27" s="87">
        <v>0</v>
      </c>
      <c r="E27" s="87">
        <v>0</v>
      </c>
      <c r="F27" s="87">
        <v>0</v>
      </c>
      <c r="G27" s="87">
        <v>0</v>
      </c>
      <c r="H27" s="87">
        <v>0</v>
      </c>
      <c r="I27" s="75">
        <v>0</v>
      </c>
      <c r="J27" s="75">
        <v>19298009</v>
      </c>
      <c r="K27" s="87">
        <v>2873562</v>
      </c>
      <c r="L27" s="87">
        <v>0</v>
      </c>
      <c r="M27" s="87">
        <v>185084</v>
      </c>
      <c r="N27" s="75">
        <v>22356655</v>
      </c>
      <c r="O27" s="75">
        <v>0</v>
      </c>
      <c r="P27" s="87">
        <v>0</v>
      </c>
      <c r="Q27" s="75">
        <v>0</v>
      </c>
      <c r="R27" s="75">
        <v>0</v>
      </c>
      <c r="S27" s="75">
        <v>0</v>
      </c>
      <c r="T27" s="83">
        <v>0</v>
      </c>
      <c r="U27" s="83">
        <v>0</v>
      </c>
      <c r="V27" s="83">
        <v>0</v>
      </c>
      <c r="W27" s="84">
        <v>0</v>
      </c>
      <c r="X27" s="83">
        <v>0</v>
      </c>
      <c r="Y27" s="83">
        <v>0</v>
      </c>
      <c r="Z27" s="83">
        <v>0</v>
      </c>
      <c r="AA27" s="84">
        <v>0</v>
      </c>
      <c r="AB27" s="85">
        <v>0</v>
      </c>
      <c r="AC27" s="86">
        <v>0</v>
      </c>
    </row>
    <row r="28" spans="1:29">
      <c r="A28" s="92"/>
      <c r="B28" s="93" t="s">
        <v>768</v>
      </c>
      <c r="C28" s="93">
        <v>0</v>
      </c>
      <c r="D28" s="1">
        <v>0</v>
      </c>
      <c r="E28" s="1">
        <v>0</v>
      </c>
      <c r="F28" s="1">
        <v>0</v>
      </c>
      <c r="G28" s="1">
        <v>0</v>
      </c>
      <c r="H28" s="1">
        <v>0</v>
      </c>
      <c r="I28" s="93">
        <v>0</v>
      </c>
      <c r="J28" s="93">
        <v>997636</v>
      </c>
      <c r="K28" s="1">
        <v>82655</v>
      </c>
      <c r="L28" s="1">
        <v>0</v>
      </c>
      <c r="M28" s="1">
        <v>10778</v>
      </c>
      <c r="N28" s="93">
        <v>1091069</v>
      </c>
      <c r="O28" s="93">
        <v>0</v>
      </c>
      <c r="P28" s="1">
        <v>0</v>
      </c>
      <c r="Q28" s="93">
        <v>0</v>
      </c>
      <c r="R28" s="93">
        <v>0</v>
      </c>
      <c r="S28" s="93">
        <v>0</v>
      </c>
      <c r="T28" s="94">
        <v>0</v>
      </c>
      <c r="U28" s="94">
        <v>0</v>
      </c>
      <c r="V28" s="94">
        <v>0</v>
      </c>
      <c r="W28" s="95">
        <v>0</v>
      </c>
      <c r="X28" s="94">
        <v>0</v>
      </c>
      <c r="Y28" s="94">
        <v>0</v>
      </c>
      <c r="Z28" s="94">
        <v>0</v>
      </c>
      <c r="AA28" s="95">
        <v>0</v>
      </c>
      <c r="AB28" s="96">
        <v>0</v>
      </c>
      <c r="AC28" s="97">
        <v>0</v>
      </c>
    </row>
    <row r="29" spans="1:29">
      <c r="A29" s="92"/>
      <c r="B29" s="98" t="s">
        <v>769</v>
      </c>
      <c r="C29" s="98">
        <v>0</v>
      </c>
      <c r="D29" s="99">
        <v>0</v>
      </c>
      <c r="E29" s="99">
        <v>0</v>
      </c>
      <c r="F29" s="99">
        <v>0</v>
      </c>
      <c r="G29" s="99">
        <v>0</v>
      </c>
      <c r="H29" s="99">
        <v>0</v>
      </c>
      <c r="I29" s="98">
        <v>0</v>
      </c>
      <c r="J29" s="98">
        <v>5.1696317480212597E-2</v>
      </c>
      <c r="K29" s="99">
        <v>2.876395219591573E-2</v>
      </c>
      <c r="L29" s="99">
        <v>0</v>
      </c>
      <c r="M29" s="99">
        <v>5.8233018521320047E-2</v>
      </c>
      <c r="N29" s="98">
        <v>4.8802873238416034E-2</v>
      </c>
      <c r="O29" s="98">
        <v>0</v>
      </c>
      <c r="P29" s="99">
        <v>0</v>
      </c>
      <c r="Q29" s="98">
        <v>0</v>
      </c>
      <c r="R29" s="98">
        <v>0</v>
      </c>
      <c r="S29" s="98">
        <v>0</v>
      </c>
      <c r="T29" s="100">
        <v>0</v>
      </c>
      <c r="U29" s="100">
        <v>0</v>
      </c>
      <c r="V29" s="100">
        <v>0</v>
      </c>
      <c r="W29" s="101">
        <v>0</v>
      </c>
      <c r="X29" s="100">
        <v>0</v>
      </c>
      <c r="Y29" s="100">
        <v>0</v>
      </c>
      <c r="Z29" s="100">
        <v>0</v>
      </c>
      <c r="AA29" s="101">
        <v>0</v>
      </c>
      <c r="AB29" s="96">
        <v>0</v>
      </c>
      <c r="AC29" s="97">
        <v>0</v>
      </c>
    </row>
    <row r="30" spans="1:29">
      <c r="A30" s="92"/>
      <c r="B30" s="93" t="s">
        <v>770</v>
      </c>
      <c r="C30" s="93">
        <v>0</v>
      </c>
      <c r="D30" s="1">
        <v>0</v>
      </c>
      <c r="E30" s="1">
        <v>0</v>
      </c>
      <c r="F30" s="1">
        <v>0</v>
      </c>
      <c r="G30" s="1">
        <v>0</v>
      </c>
      <c r="H30" s="1">
        <v>0</v>
      </c>
      <c r="I30" s="93">
        <v>0</v>
      </c>
      <c r="J30" s="93">
        <v>17784245</v>
      </c>
      <c r="K30" s="1">
        <v>2557072</v>
      </c>
      <c r="L30" s="1">
        <v>0</v>
      </c>
      <c r="M30" s="1">
        <v>206597</v>
      </c>
      <c r="N30" s="93">
        <v>20547914</v>
      </c>
      <c r="O30" s="93">
        <v>0</v>
      </c>
      <c r="P30" s="1">
        <v>0</v>
      </c>
      <c r="Q30" s="93">
        <v>0</v>
      </c>
      <c r="R30" s="93">
        <v>0</v>
      </c>
      <c r="S30" s="93">
        <v>0</v>
      </c>
      <c r="T30" s="94">
        <v>0</v>
      </c>
      <c r="U30" s="94">
        <v>0</v>
      </c>
      <c r="V30" s="94">
        <v>0</v>
      </c>
      <c r="W30" s="95">
        <v>0</v>
      </c>
      <c r="X30" s="94">
        <v>0</v>
      </c>
      <c r="Y30" s="94">
        <v>0</v>
      </c>
      <c r="Z30" s="94">
        <v>0</v>
      </c>
      <c r="AA30" s="95">
        <v>0</v>
      </c>
      <c r="AB30" s="96">
        <v>0</v>
      </c>
      <c r="AC30" s="97">
        <v>0</v>
      </c>
    </row>
    <row r="31" spans="1:29">
      <c r="A31" s="92"/>
      <c r="B31" s="93" t="s">
        <v>771</v>
      </c>
      <c r="C31" s="93">
        <v>0</v>
      </c>
      <c r="D31" s="1">
        <v>0</v>
      </c>
      <c r="E31" s="1">
        <v>0</v>
      </c>
      <c r="F31" s="1">
        <v>0</v>
      </c>
      <c r="G31" s="1">
        <v>0</v>
      </c>
      <c r="H31" s="1">
        <v>0</v>
      </c>
      <c r="I31" s="93">
        <v>0</v>
      </c>
      <c r="J31" s="93">
        <v>909526</v>
      </c>
      <c r="K31" s="1">
        <v>82614</v>
      </c>
      <c r="L31" s="1">
        <v>0</v>
      </c>
      <c r="M31" s="1">
        <v>8373</v>
      </c>
      <c r="N31" s="93">
        <v>1000513</v>
      </c>
      <c r="O31" s="93">
        <v>0</v>
      </c>
      <c r="P31" s="1">
        <v>0</v>
      </c>
      <c r="Q31" s="93">
        <v>0</v>
      </c>
      <c r="R31" s="93">
        <v>0</v>
      </c>
      <c r="S31" s="93">
        <v>0</v>
      </c>
      <c r="T31" s="94">
        <v>0</v>
      </c>
      <c r="U31" s="94">
        <v>0</v>
      </c>
      <c r="V31" s="94">
        <v>0</v>
      </c>
      <c r="W31" s="95">
        <v>0</v>
      </c>
      <c r="X31" s="94">
        <v>0</v>
      </c>
      <c r="Y31" s="94">
        <v>0</v>
      </c>
      <c r="Z31" s="94">
        <v>0</v>
      </c>
      <c r="AA31" s="95">
        <v>0</v>
      </c>
      <c r="AB31" s="96">
        <v>0</v>
      </c>
      <c r="AC31" s="97">
        <v>0</v>
      </c>
    </row>
    <row r="32" spans="1:29">
      <c r="A32" s="92"/>
      <c r="B32" s="102" t="s">
        <v>772</v>
      </c>
      <c r="C32" s="98">
        <v>0</v>
      </c>
      <c r="D32" s="99">
        <v>0</v>
      </c>
      <c r="E32" s="99">
        <v>0</v>
      </c>
      <c r="F32" s="99">
        <v>0</v>
      </c>
      <c r="G32" s="99">
        <v>0</v>
      </c>
      <c r="H32" s="99">
        <v>0</v>
      </c>
      <c r="I32" s="98">
        <v>0</v>
      </c>
      <c r="J32" s="98">
        <v>5.1142232914582544E-2</v>
      </c>
      <c r="K32" s="99">
        <v>3.2308046077701373E-2</v>
      </c>
      <c r="L32" s="99">
        <v>0</v>
      </c>
      <c r="M32" s="99">
        <v>4.0528178047115886E-2</v>
      </c>
      <c r="N32" s="98">
        <v>4.8691706613138444E-2</v>
      </c>
      <c r="O32" s="98">
        <v>0</v>
      </c>
      <c r="P32" s="99">
        <v>0</v>
      </c>
      <c r="Q32" s="98">
        <v>0</v>
      </c>
      <c r="R32" s="102">
        <v>0</v>
      </c>
      <c r="S32" s="102">
        <v>0</v>
      </c>
      <c r="T32" s="103">
        <v>0</v>
      </c>
      <c r="U32" s="103">
        <v>0</v>
      </c>
      <c r="V32" s="103">
        <v>0</v>
      </c>
      <c r="W32" s="104">
        <v>0</v>
      </c>
      <c r="X32" s="103">
        <v>0</v>
      </c>
      <c r="Y32" s="103">
        <v>0</v>
      </c>
      <c r="Z32" s="103">
        <v>0</v>
      </c>
      <c r="AA32" s="104">
        <v>0</v>
      </c>
      <c r="AB32" s="96">
        <v>0</v>
      </c>
      <c r="AC32" s="97">
        <v>0</v>
      </c>
    </row>
    <row r="33" spans="1:29">
      <c r="A33" s="105"/>
      <c r="B33" s="106" t="s">
        <v>773</v>
      </c>
      <c r="C33" s="107">
        <v>0</v>
      </c>
      <c r="D33" s="108">
        <v>0</v>
      </c>
      <c r="E33" s="108">
        <v>0</v>
      </c>
      <c r="F33" s="108">
        <v>0</v>
      </c>
      <c r="G33" s="108">
        <v>0</v>
      </c>
      <c r="H33" s="108">
        <v>0</v>
      </c>
      <c r="I33" s="107">
        <v>0</v>
      </c>
      <c r="J33" s="107">
        <v>-5.5408456563005304E-4</v>
      </c>
      <c r="K33" s="108">
        <v>3.5440938817856427E-3</v>
      </c>
      <c r="L33" s="108">
        <v>0</v>
      </c>
      <c r="M33" s="108">
        <v>-1.7704840474204162E-2</v>
      </c>
      <c r="N33" s="107">
        <v>-1.1116662527758947E-4</v>
      </c>
      <c r="O33" s="107">
        <v>0</v>
      </c>
      <c r="P33" s="108">
        <v>0</v>
      </c>
      <c r="Q33" s="107">
        <v>0</v>
      </c>
      <c r="R33" s="107">
        <v>0</v>
      </c>
      <c r="S33" s="107">
        <v>0</v>
      </c>
      <c r="T33" s="109">
        <v>0</v>
      </c>
      <c r="U33" s="109">
        <v>0</v>
      </c>
      <c r="V33" s="109">
        <v>0</v>
      </c>
      <c r="W33" s="110">
        <v>0</v>
      </c>
      <c r="X33" s="109">
        <v>0</v>
      </c>
      <c r="Y33" s="109">
        <v>0</v>
      </c>
      <c r="Z33" s="109">
        <v>0</v>
      </c>
      <c r="AA33" s="110">
        <v>0</v>
      </c>
      <c r="AB33" s="96">
        <v>0</v>
      </c>
      <c r="AC33" s="97">
        <v>0</v>
      </c>
    </row>
    <row r="34" spans="1:29">
      <c r="A34" s="91" t="s">
        <v>158</v>
      </c>
      <c r="B34" s="75" t="s">
        <v>767</v>
      </c>
      <c r="C34" s="75">
        <v>2036165.5</v>
      </c>
      <c r="D34" s="87">
        <v>481969.97</v>
      </c>
      <c r="E34" s="87">
        <v>2138152</v>
      </c>
      <c r="F34" s="87">
        <v>1339602</v>
      </c>
      <c r="G34" s="87">
        <v>358198</v>
      </c>
      <c r="H34" s="87">
        <v>671934</v>
      </c>
      <c r="I34" s="75">
        <v>7026021.4699999997</v>
      </c>
      <c r="J34" s="75">
        <v>276933</v>
      </c>
      <c r="K34" s="87">
        <v>0</v>
      </c>
      <c r="L34" s="87">
        <v>0</v>
      </c>
      <c r="M34" s="87">
        <v>0</v>
      </c>
      <c r="N34" s="75">
        <v>276933</v>
      </c>
      <c r="O34" s="75">
        <v>0</v>
      </c>
      <c r="P34" s="87">
        <v>0</v>
      </c>
      <c r="Q34" s="75">
        <v>1956370.5</v>
      </c>
      <c r="R34" s="75">
        <v>0</v>
      </c>
      <c r="S34" s="75">
        <v>1956370.5</v>
      </c>
      <c r="T34" s="83">
        <v>0</v>
      </c>
      <c r="U34" s="83">
        <v>0</v>
      </c>
      <c r="V34" s="83">
        <v>0</v>
      </c>
      <c r="W34" s="84">
        <v>0</v>
      </c>
      <c r="X34" s="83">
        <v>0</v>
      </c>
      <c r="Y34" s="83">
        <v>0</v>
      </c>
      <c r="Z34" s="83">
        <v>0</v>
      </c>
      <c r="AA34" s="84">
        <v>0</v>
      </c>
      <c r="AB34" s="85">
        <v>0</v>
      </c>
      <c r="AC34" s="86">
        <v>0</v>
      </c>
    </row>
    <row r="35" spans="1:29">
      <c r="A35" s="92"/>
      <c r="B35" s="93" t="s">
        <v>768</v>
      </c>
      <c r="C35" s="93">
        <v>29923.5</v>
      </c>
      <c r="D35" s="1">
        <v>4804</v>
      </c>
      <c r="E35" s="1">
        <v>41079</v>
      </c>
      <c r="F35" s="1">
        <v>54302</v>
      </c>
      <c r="G35" s="1">
        <v>9761</v>
      </c>
      <c r="H35" s="1">
        <v>34307</v>
      </c>
      <c r="I35" s="93">
        <v>174176.5</v>
      </c>
      <c r="J35" s="93">
        <v>17728</v>
      </c>
      <c r="K35" s="1">
        <v>0</v>
      </c>
      <c r="L35" s="1">
        <v>0</v>
      </c>
      <c r="M35" s="1">
        <v>0</v>
      </c>
      <c r="N35" s="93">
        <v>17728</v>
      </c>
      <c r="O35" s="93">
        <v>0</v>
      </c>
      <c r="P35" s="1">
        <v>0</v>
      </c>
      <c r="Q35" s="93">
        <v>319351.5</v>
      </c>
      <c r="R35" s="93">
        <v>0</v>
      </c>
      <c r="S35" s="93">
        <v>319351.5</v>
      </c>
      <c r="T35" s="94">
        <v>0</v>
      </c>
      <c r="U35" s="94">
        <v>0</v>
      </c>
      <c r="V35" s="94">
        <v>0</v>
      </c>
      <c r="W35" s="95">
        <v>0</v>
      </c>
      <c r="X35" s="94">
        <v>0</v>
      </c>
      <c r="Y35" s="94">
        <v>0</v>
      </c>
      <c r="Z35" s="94">
        <v>0</v>
      </c>
      <c r="AA35" s="95">
        <v>0</v>
      </c>
      <c r="AB35" s="96">
        <v>0</v>
      </c>
      <c r="AC35" s="97">
        <v>0</v>
      </c>
    </row>
    <row r="36" spans="1:29">
      <c r="A36" s="92"/>
      <c r="B36" s="98" t="s">
        <v>769</v>
      </c>
      <c r="C36" s="98">
        <v>1.4696005801100157E-2</v>
      </c>
      <c r="D36" s="99">
        <v>9.9674259788426235E-3</v>
      </c>
      <c r="E36" s="99">
        <v>1.9212385274760633E-2</v>
      </c>
      <c r="F36" s="99">
        <v>4.0535920370378661E-2</v>
      </c>
      <c r="G36" s="99">
        <v>2.7250291738088989E-2</v>
      </c>
      <c r="H36" s="99">
        <v>5.1057097869731255E-2</v>
      </c>
      <c r="I36" s="98">
        <v>2.4790203210124834E-2</v>
      </c>
      <c r="J36" s="98">
        <v>6.4015483889605068E-2</v>
      </c>
      <c r="K36" s="99">
        <v>0</v>
      </c>
      <c r="L36" s="99">
        <v>0</v>
      </c>
      <c r="M36" s="99">
        <v>0</v>
      </c>
      <c r="N36" s="98">
        <v>6.4015483889605068E-2</v>
      </c>
      <c r="O36" s="98">
        <v>0</v>
      </c>
      <c r="P36" s="99">
        <v>0</v>
      </c>
      <c r="Q36" s="98">
        <v>0.16323671819831673</v>
      </c>
      <c r="R36" s="98">
        <v>0</v>
      </c>
      <c r="S36" s="98">
        <v>0.16323671819831673</v>
      </c>
      <c r="T36" s="100">
        <v>0</v>
      </c>
      <c r="U36" s="100">
        <v>0</v>
      </c>
      <c r="V36" s="100">
        <v>0</v>
      </c>
      <c r="W36" s="101">
        <v>0</v>
      </c>
      <c r="X36" s="100">
        <v>0</v>
      </c>
      <c r="Y36" s="100">
        <v>0</v>
      </c>
      <c r="Z36" s="100">
        <v>0</v>
      </c>
      <c r="AA36" s="101">
        <v>0</v>
      </c>
      <c r="AB36" s="96">
        <v>0</v>
      </c>
      <c r="AC36" s="97">
        <v>0</v>
      </c>
    </row>
    <row r="37" spans="1:29">
      <c r="A37" s="92"/>
      <c r="B37" s="93" t="s">
        <v>770</v>
      </c>
      <c r="C37" s="93">
        <v>1943252.5</v>
      </c>
      <c r="D37" s="1">
        <v>479302</v>
      </c>
      <c r="E37" s="1">
        <v>2147636</v>
      </c>
      <c r="F37" s="1">
        <v>1269195.5</v>
      </c>
      <c r="G37" s="1">
        <v>338671</v>
      </c>
      <c r="H37" s="1">
        <v>619916</v>
      </c>
      <c r="I37" s="93">
        <v>6797973</v>
      </c>
      <c r="J37" s="93">
        <v>237728</v>
      </c>
      <c r="K37" s="1">
        <v>0</v>
      </c>
      <c r="L37" s="1">
        <v>0</v>
      </c>
      <c r="M37" s="1">
        <v>0</v>
      </c>
      <c r="N37" s="93">
        <v>237728</v>
      </c>
      <c r="O37" s="93">
        <v>0</v>
      </c>
      <c r="P37" s="1">
        <v>0</v>
      </c>
      <c r="Q37" s="93">
        <v>1811553.5</v>
      </c>
      <c r="R37" s="93">
        <v>0</v>
      </c>
      <c r="S37" s="93">
        <v>1811553.5</v>
      </c>
      <c r="T37" s="94">
        <v>0</v>
      </c>
      <c r="U37" s="94">
        <v>0</v>
      </c>
      <c r="V37" s="94">
        <v>0</v>
      </c>
      <c r="W37" s="95">
        <v>0</v>
      </c>
      <c r="X37" s="94">
        <v>0</v>
      </c>
      <c r="Y37" s="94">
        <v>0</v>
      </c>
      <c r="Z37" s="94">
        <v>0</v>
      </c>
      <c r="AA37" s="95">
        <v>0</v>
      </c>
      <c r="AB37" s="96">
        <v>0</v>
      </c>
      <c r="AC37" s="97">
        <v>0</v>
      </c>
    </row>
    <row r="38" spans="1:29">
      <c r="A38" s="92"/>
      <c r="B38" s="93" t="s">
        <v>771</v>
      </c>
      <c r="C38" s="93">
        <v>29408.5</v>
      </c>
      <c r="D38" s="1">
        <v>5539</v>
      </c>
      <c r="E38" s="1">
        <v>41769</v>
      </c>
      <c r="F38" s="1">
        <v>46906</v>
      </c>
      <c r="G38" s="1">
        <v>8146</v>
      </c>
      <c r="H38" s="1">
        <v>27819</v>
      </c>
      <c r="I38" s="93">
        <v>159587.5</v>
      </c>
      <c r="J38" s="93">
        <v>14591</v>
      </c>
      <c r="K38" s="1">
        <v>0</v>
      </c>
      <c r="L38" s="1">
        <v>0</v>
      </c>
      <c r="M38" s="1">
        <v>0</v>
      </c>
      <c r="N38" s="93">
        <v>14591</v>
      </c>
      <c r="O38" s="93">
        <v>0</v>
      </c>
      <c r="P38" s="1">
        <v>0</v>
      </c>
      <c r="Q38" s="93">
        <v>254206.6</v>
      </c>
      <c r="R38" s="93">
        <v>0</v>
      </c>
      <c r="S38" s="93">
        <v>254206.6</v>
      </c>
      <c r="T38" s="94">
        <v>0</v>
      </c>
      <c r="U38" s="94">
        <v>0</v>
      </c>
      <c r="V38" s="94">
        <v>0</v>
      </c>
      <c r="W38" s="95">
        <v>0</v>
      </c>
      <c r="X38" s="94">
        <v>0</v>
      </c>
      <c r="Y38" s="94">
        <v>0</v>
      </c>
      <c r="Z38" s="94">
        <v>0</v>
      </c>
      <c r="AA38" s="95">
        <v>0</v>
      </c>
      <c r="AB38" s="96">
        <v>0</v>
      </c>
      <c r="AC38" s="97">
        <v>0</v>
      </c>
    </row>
    <row r="39" spans="1:29">
      <c r="A39" s="92"/>
      <c r="B39" s="102" t="s">
        <v>772</v>
      </c>
      <c r="C39" s="98">
        <v>1.5133648355013051E-2</v>
      </c>
      <c r="D39" s="99">
        <v>1.1556388247910504E-2</v>
      </c>
      <c r="E39" s="99">
        <v>1.9448826523675335E-2</v>
      </c>
      <c r="F39" s="99">
        <v>3.6957269388364522E-2</v>
      </c>
      <c r="G39" s="99">
        <v>2.4052841843559089E-2</v>
      </c>
      <c r="H39" s="99">
        <v>4.4875434736319116E-2</v>
      </c>
      <c r="I39" s="98">
        <v>2.3475747844247101E-2</v>
      </c>
      <c r="J39" s="98">
        <v>6.1376867680710726E-2</v>
      </c>
      <c r="K39" s="99">
        <v>0</v>
      </c>
      <c r="L39" s="99">
        <v>0</v>
      </c>
      <c r="M39" s="99">
        <v>0</v>
      </c>
      <c r="N39" s="98">
        <v>6.1376867680710726E-2</v>
      </c>
      <c r="O39" s="98">
        <v>0</v>
      </c>
      <c r="P39" s="99">
        <v>0</v>
      </c>
      <c r="Q39" s="98">
        <v>0.14032519602650434</v>
      </c>
      <c r="R39" s="102">
        <v>0</v>
      </c>
      <c r="S39" s="102">
        <v>0.14032519602650434</v>
      </c>
      <c r="T39" s="103">
        <v>0</v>
      </c>
      <c r="U39" s="103">
        <v>0</v>
      </c>
      <c r="V39" s="103">
        <v>0</v>
      </c>
      <c r="W39" s="104">
        <v>0</v>
      </c>
      <c r="X39" s="103">
        <v>0</v>
      </c>
      <c r="Y39" s="103">
        <v>0</v>
      </c>
      <c r="Z39" s="103">
        <v>0</v>
      </c>
      <c r="AA39" s="104">
        <v>0</v>
      </c>
      <c r="AB39" s="96">
        <v>0</v>
      </c>
      <c r="AC39" s="97">
        <v>0</v>
      </c>
    </row>
    <row r="40" spans="1:29">
      <c r="A40" s="105"/>
      <c r="B40" s="106" t="s">
        <v>773</v>
      </c>
      <c r="C40" s="107">
        <v>4.3764255391289496E-4</v>
      </c>
      <c r="D40" s="108">
        <v>1.5889622690678801E-3</v>
      </c>
      <c r="E40" s="108">
        <v>2.3644124891470178E-4</v>
      </c>
      <c r="F40" s="108">
        <v>-3.5786509820141393E-3</v>
      </c>
      <c r="G40" s="108">
        <v>-3.1974498945298996E-3</v>
      </c>
      <c r="H40" s="108">
        <v>-6.1816631334121394E-3</v>
      </c>
      <c r="I40" s="107">
        <v>-1.3144553658777335E-3</v>
      </c>
      <c r="J40" s="107">
        <v>-2.6386162088943427E-3</v>
      </c>
      <c r="K40" s="108">
        <v>0</v>
      </c>
      <c r="L40" s="108">
        <v>0</v>
      </c>
      <c r="M40" s="108">
        <v>0</v>
      </c>
      <c r="N40" s="107">
        <v>-2.6386162088943427E-3</v>
      </c>
      <c r="O40" s="107">
        <v>0</v>
      </c>
      <c r="P40" s="108">
        <v>0</v>
      </c>
      <c r="Q40" s="107">
        <v>-2.2911522171812387E-2</v>
      </c>
      <c r="R40" s="107">
        <v>0</v>
      </c>
      <c r="S40" s="107">
        <v>-2.2911522171812387E-2</v>
      </c>
      <c r="T40" s="109">
        <v>0</v>
      </c>
      <c r="U40" s="109">
        <v>0</v>
      </c>
      <c r="V40" s="109">
        <v>0</v>
      </c>
      <c r="W40" s="110">
        <v>0</v>
      </c>
      <c r="X40" s="109">
        <v>0</v>
      </c>
      <c r="Y40" s="109">
        <v>0</v>
      </c>
      <c r="Z40" s="109">
        <v>0</v>
      </c>
      <c r="AA40" s="110">
        <v>0</v>
      </c>
      <c r="AB40" s="96">
        <v>0</v>
      </c>
      <c r="AC40" s="97">
        <v>0</v>
      </c>
    </row>
    <row r="41" spans="1:29">
      <c r="A41" s="91" t="s">
        <v>205</v>
      </c>
      <c r="B41" s="75" t="s">
        <v>767</v>
      </c>
      <c r="C41" s="75">
        <v>992846</v>
      </c>
      <c r="D41" s="87">
        <v>0</v>
      </c>
      <c r="E41" s="87">
        <v>1360395</v>
      </c>
      <c r="F41" s="87">
        <v>49613</v>
      </c>
      <c r="G41" s="87">
        <v>0</v>
      </c>
      <c r="H41" s="87">
        <v>0</v>
      </c>
      <c r="I41" s="75">
        <v>2402854</v>
      </c>
      <c r="J41" s="75">
        <v>0</v>
      </c>
      <c r="K41" s="87">
        <v>390784</v>
      </c>
      <c r="L41" s="87">
        <v>412395</v>
      </c>
      <c r="M41" s="87">
        <v>323151</v>
      </c>
      <c r="N41" s="75">
        <v>1126330</v>
      </c>
      <c r="O41" s="75">
        <v>0</v>
      </c>
      <c r="P41" s="87">
        <v>0</v>
      </c>
      <c r="Q41" s="75">
        <v>151221</v>
      </c>
      <c r="R41" s="75">
        <v>0</v>
      </c>
      <c r="S41" s="75">
        <v>151221</v>
      </c>
      <c r="T41" s="83">
        <v>0</v>
      </c>
      <c r="U41" s="83">
        <v>0</v>
      </c>
      <c r="V41" s="83">
        <v>0</v>
      </c>
      <c r="W41" s="84">
        <v>0</v>
      </c>
      <c r="X41" s="83">
        <v>0</v>
      </c>
      <c r="Y41" s="83">
        <v>0</v>
      </c>
      <c r="Z41" s="83">
        <v>0</v>
      </c>
      <c r="AA41" s="84">
        <v>0</v>
      </c>
      <c r="AB41" s="85">
        <v>0</v>
      </c>
      <c r="AC41" s="86">
        <v>0</v>
      </c>
    </row>
    <row r="42" spans="1:29">
      <c r="A42" s="92"/>
      <c r="B42" s="93" t="s">
        <v>768</v>
      </c>
      <c r="C42" s="93">
        <v>8417</v>
      </c>
      <c r="D42" s="1">
        <v>0</v>
      </c>
      <c r="E42" s="1">
        <v>77306</v>
      </c>
      <c r="F42" s="1">
        <v>6607</v>
      </c>
      <c r="G42" s="1">
        <v>0</v>
      </c>
      <c r="H42" s="1">
        <v>0</v>
      </c>
      <c r="I42" s="93">
        <v>92330</v>
      </c>
      <c r="J42" s="93">
        <v>0</v>
      </c>
      <c r="K42" s="1">
        <v>47564</v>
      </c>
      <c r="L42" s="1">
        <v>60225</v>
      </c>
      <c r="M42" s="1">
        <v>41194</v>
      </c>
      <c r="N42" s="93">
        <v>148983</v>
      </c>
      <c r="O42" s="93">
        <v>0</v>
      </c>
      <c r="P42" s="1">
        <v>0</v>
      </c>
      <c r="Q42" s="93">
        <v>24760</v>
      </c>
      <c r="R42" s="93">
        <v>0</v>
      </c>
      <c r="S42" s="93">
        <v>24760</v>
      </c>
      <c r="T42" s="94">
        <v>0</v>
      </c>
      <c r="U42" s="94">
        <v>0</v>
      </c>
      <c r="V42" s="94">
        <v>0</v>
      </c>
      <c r="W42" s="95">
        <v>0</v>
      </c>
      <c r="X42" s="94">
        <v>0</v>
      </c>
      <c r="Y42" s="94">
        <v>0</v>
      </c>
      <c r="Z42" s="94">
        <v>0</v>
      </c>
      <c r="AA42" s="95">
        <v>0</v>
      </c>
      <c r="AB42" s="96">
        <v>0</v>
      </c>
      <c r="AC42" s="97">
        <v>0</v>
      </c>
    </row>
    <row r="43" spans="1:29">
      <c r="A43" s="92"/>
      <c r="B43" s="98" t="s">
        <v>769</v>
      </c>
      <c r="C43" s="98">
        <v>8.4776491016733714E-3</v>
      </c>
      <c r="D43" s="99">
        <v>0</v>
      </c>
      <c r="E43" s="99">
        <v>5.6826142407168503E-2</v>
      </c>
      <c r="F43" s="99">
        <v>0.13317074153951586</v>
      </c>
      <c r="G43" s="99">
        <v>0</v>
      </c>
      <c r="H43" s="99">
        <v>0</v>
      </c>
      <c r="I43" s="98">
        <v>3.8425139438351227E-2</v>
      </c>
      <c r="J43" s="98">
        <v>0</v>
      </c>
      <c r="K43" s="99">
        <v>0.12171429741238127</v>
      </c>
      <c r="L43" s="99">
        <v>0.14603717309860692</v>
      </c>
      <c r="M43" s="99">
        <v>0.12747600966730724</v>
      </c>
      <c r="N43" s="98">
        <v>0.13227295730380972</v>
      </c>
      <c r="O43" s="98">
        <v>0</v>
      </c>
      <c r="P43" s="99">
        <v>0</v>
      </c>
      <c r="Q43" s="98">
        <v>0.16373387294092751</v>
      </c>
      <c r="R43" s="98">
        <v>0</v>
      </c>
      <c r="S43" s="98">
        <v>0.16373387294092751</v>
      </c>
      <c r="T43" s="100">
        <v>0</v>
      </c>
      <c r="U43" s="100">
        <v>0</v>
      </c>
      <c r="V43" s="100">
        <v>0</v>
      </c>
      <c r="W43" s="101">
        <v>0</v>
      </c>
      <c r="X43" s="100">
        <v>0</v>
      </c>
      <c r="Y43" s="100">
        <v>0</v>
      </c>
      <c r="Z43" s="100">
        <v>0</v>
      </c>
      <c r="AA43" s="101">
        <v>0</v>
      </c>
      <c r="AB43" s="96">
        <v>0</v>
      </c>
      <c r="AC43" s="97">
        <v>0</v>
      </c>
    </row>
    <row r="44" spans="1:29">
      <c r="A44" s="92"/>
      <c r="B44" s="93" t="s">
        <v>770</v>
      </c>
      <c r="C44" s="93">
        <v>970025</v>
      </c>
      <c r="D44" s="1">
        <v>0</v>
      </c>
      <c r="E44" s="1">
        <v>1305817</v>
      </c>
      <c r="F44" s="1">
        <v>50393</v>
      </c>
      <c r="G44" s="1">
        <v>0</v>
      </c>
      <c r="H44" s="1">
        <v>0</v>
      </c>
      <c r="I44" s="93">
        <v>2326235</v>
      </c>
      <c r="J44" s="93">
        <v>0</v>
      </c>
      <c r="K44" s="1">
        <v>359171</v>
      </c>
      <c r="L44" s="1">
        <v>381190</v>
      </c>
      <c r="M44" s="1">
        <v>296289</v>
      </c>
      <c r="N44" s="93">
        <v>1036650</v>
      </c>
      <c r="O44" s="93">
        <v>0</v>
      </c>
      <c r="P44" s="1">
        <v>0</v>
      </c>
      <c r="Q44" s="93">
        <v>147859</v>
      </c>
      <c r="R44" s="93">
        <v>0</v>
      </c>
      <c r="S44" s="93">
        <v>147859</v>
      </c>
      <c r="T44" s="94">
        <v>0</v>
      </c>
      <c r="U44" s="94">
        <v>0</v>
      </c>
      <c r="V44" s="94">
        <v>0</v>
      </c>
      <c r="W44" s="95">
        <v>0</v>
      </c>
      <c r="X44" s="94">
        <v>0</v>
      </c>
      <c r="Y44" s="94">
        <v>0</v>
      </c>
      <c r="Z44" s="94">
        <v>0</v>
      </c>
      <c r="AA44" s="95">
        <v>0</v>
      </c>
      <c r="AB44" s="96">
        <v>0</v>
      </c>
      <c r="AC44" s="97">
        <v>0</v>
      </c>
    </row>
    <row r="45" spans="1:29">
      <c r="A45" s="92"/>
      <c r="B45" s="93" t="s">
        <v>771</v>
      </c>
      <c r="C45" s="93">
        <v>9771</v>
      </c>
      <c r="D45" s="1">
        <v>0</v>
      </c>
      <c r="E45" s="1">
        <v>70513</v>
      </c>
      <c r="F45" s="1">
        <v>5530</v>
      </c>
      <c r="G45" s="1">
        <v>0</v>
      </c>
      <c r="H45" s="1">
        <v>0</v>
      </c>
      <c r="I45" s="93">
        <v>85814</v>
      </c>
      <c r="J45" s="93">
        <v>0</v>
      </c>
      <c r="K45" s="1">
        <v>49899</v>
      </c>
      <c r="L45" s="1">
        <v>64556</v>
      </c>
      <c r="M45" s="1">
        <v>44263</v>
      </c>
      <c r="N45" s="93">
        <v>158718</v>
      </c>
      <c r="O45" s="93">
        <v>0</v>
      </c>
      <c r="P45" s="1">
        <v>0</v>
      </c>
      <c r="Q45" s="93">
        <v>29810</v>
      </c>
      <c r="R45" s="93">
        <v>0</v>
      </c>
      <c r="S45" s="93">
        <v>29810</v>
      </c>
      <c r="T45" s="94">
        <v>0</v>
      </c>
      <c r="U45" s="94">
        <v>0</v>
      </c>
      <c r="V45" s="94">
        <v>0</v>
      </c>
      <c r="W45" s="95">
        <v>0</v>
      </c>
      <c r="X45" s="94">
        <v>0</v>
      </c>
      <c r="Y45" s="94">
        <v>0</v>
      </c>
      <c r="Z45" s="94">
        <v>0</v>
      </c>
      <c r="AA45" s="95">
        <v>0</v>
      </c>
      <c r="AB45" s="96">
        <v>0</v>
      </c>
      <c r="AC45" s="97">
        <v>0</v>
      </c>
    </row>
    <row r="46" spans="1:29">
      <c r="A46" s="92"/>
      <c r="B46" s="102" t="s">
        <v>772</v>
      </c>
      <c r="C46" s="98">
        <v>1.0072936264529264E-2</v>
      </c>
      <c r="D46" s="99">
        <v>0</v>
      </c>
      <c r="E46" s="99">
        <v>5.3999143831026858E-2</v>
      </c>
      <c r="F46" s="99">
        <v>0.10973746353660231</v>
      </c>
      <c r="G46" s="99">
        <v>0</v>
      </c>
      <c r="H46" s="99">
        <v>0</v>
      </c>
      <c r="I46" s="98">
        <v>3.6889652163259519E-2</v>
      </c>
      <c r="J46" s="98">
        <v>0</v>
      </c>
      <c r="K46" s="99">
        <v>0.13892825422987937</v>
      </c>
      <c r="L46" s="99">
        <v>0.16935386552637793</v>
      </c>
      <c r="M46" s="99">
        <v>0.1493913037608551</v>
      </c>
      <c r="N46" s="98">
        <v>0.15310664158587758</v>
      </c>
      <c r="O46" s="98">
        <v>0</v>
      </c>
      <c r="P46" s="99">
        <v>0</v>
      </c>
      <c r="Q46" s="98">
        <v>0.20161099425804313</v>
      </c>
      <c r="R46" s="102">
        <v>0</v>
      </c>
      <c r="S46" s="102">
        <v>0.20161099425804313</v>
      </c>
      <c r="T46" s="103">
        <v>0</v>
      </c>
      <c r="U46" s="103">
        <v>0</v>
      </c>
      <c r="V46" s="103">
        <v>0</v>
      </c>
      <c r="W46" s="104">
        <v>0</v>
      </c>
      <c r="X46" s="103">
        <v>0</v>
      </c>
      <c r="Y46" s="103">
        <v>0</v>
      </c>
      <c r="Z46" s="103">
        <v>0</v>
      </c>
      <c r="AA46" s="104">
        <v>0</v>
      </c>
      <c r="AB46" s="96">
        <v>0</v>
      </c>
      <c r="AC46" s="97">
        <v>0</v>
      </c>
    </row>
    <row r="47" spans="1:29">
      <c r="A47" s="105"/>
      <c r="B47" s="106" t="s">
        <v>773</v>
      </c>
      <c r="C47" s="107">
        <v>1.5952871628558928E-3</v>
      </c>
      <c r="D47" s="108">
        <v>0</v>
      </c>
      <c r="E47" s="108">
        <v>-2.8269985761416455E-3</v>
      </c>
      <c r="F47" s="108">
        <v>-2.3433278002913546E-2</v>
      </c>
      <c r="G47" s="108">
        <v>0</v>
      </c>
      <c r="H47" s="108">
        <v>0</v>
      </c>
      <c r="I47" s="107">
        <v>-1.5354872750917084E-3</v>
      </c>
      <c r="J47" s="107">
        <v>0</v>
      </c>
      <c r="K47" s="108">
        <v>1.7213956817498099E-2</v>
      </c>
      <c r="L47" s="108">
        <v>2.3316692427771013E-2</v>
      </c>
      <c r="M47" s="108">
        <v>2.1915294093547866E-2</v>
      </c>
      <c r="N47" s="107">
        <v>2.083368428206786E-2</v>
      </c>
      <c r="O47" s="107">
        <v>0</v>
      </c>
      <c r="P47" s="108">
        <v>0</v>
      </c>
      <c r="Q47" s="107">
        <v>3.7877121317115625E-2</v>
      </c>
      <c r="R47" s="107">
        <v>0</v>
      </c>
      <c r="S47" s="107">
        <v>3.7877121317115625E-2</v>
      </c>
      <c r="T47" s="109">
        <v>0</v>
      </c>
      <c r="U47" s="109">
        <v>0</v>
      </c>
      <c r="V47" s="109">
        <v>0</v>
      </c>
      <c r="W47" s="110">
        <v>0</v>
      </c>
      <c r="X47" s="109">
        <v>0</v>
      </c>
      <c r="Y47" s="109">
        <v>0</v>
      </c>
      <c r="Z47" s="109">
        <v>0</v>
      </c>
      <c r="AA47" s="110">
        <v>0</v>
      </c>
      <c r="AB47" s="96">
        <v>0</v>
      </c>
      <c r="AC47" s="97">
        <v>0</v>
      </c>
    </row>
    <row r="48" spans="1:29">
      <c r="A48" s="91" t="s">
        <v>433</v>
      </c>
      <c r="B48" s="75" t="s">
        <v>767</v>
      </c>
      <c r="C48" s="75">
        <v>745363</v>
      </c>
      <c r="D48" s="87">
        <v>795437</v>
      </c>
      <c r="E48" s="87">
        <v>839756</v>
      </c>
      <c r="F48" s="87">
        <v>586975</v>
      </c>
      <c r="G48" s="87">
        <v>41596</v>
      </c>
      <c r="H48" s="87">
        <v>80500</v>
      </c>
      <c r="I48" s="75">
        <v>3089627</v>
      </c>
      <c r="J48" s="75">
        <v>0</v>
      </c>
      <c r="K48" s="87">
        <v>430515</v>
      </c>
      <c r="L48" s="87">
        <v>473035</v>
      </c>
      <c r="M48" s="87">
        <v>103171</v>
      </c>
      <c r="N48" s="75">
        <v>1006721</v>
      </c>
      <c r="O48" s="75">
        <v>0</v>
      </c>
      <c r="P48" s="87">
        <v>0</v>
      </c>
      <c r="Q48" s="75">
        <v>222545</v>
      </c>
      <c r="R48" s="75">
        <v>22823</v>
      </c>
      <c r="S48" s="75">
        <v>245368</v>
      </c>
      <c r="T48" s="83">
        <v>0</v>
      </c>
      <c r="U48" s="83">
        <v>0</v>
      </c>
      <c r="V48" s="83">
        <v>0</v>
      </c>
      <c r="W48" s="84">
        <v>0</v>
      </c>
      <c r="X48" s="83">
        <v>0</v>
      </c>
      <c r="Y48" s="83">
        <v>0</v>
      </c>
      <c r="Z48" s="83">
        <v>0</v>
      </c>
      <c r="AA48" s="84">
        <v>0</v>
      </c>
      <c r="AB48" s="85">
        <v>0</v>
      </c>
      <c r="AC48" s="86">
        <v>0</v>
      </c>
    </row>
    <row r="49" spans="1:29">
      <c r="A49" s="92"/>
      <c r="B49" s="93" t="s">
        <v>768</v>
      </c>
      <c r="C49" s="93">
        <v>18051</v>
      </c>
      <c r="D49" s="1">
        <v>29650</v>
      </c>
      <c r="E49" s="1">
        <v>48683</v>
      </c>
      <c r="F49" s="1">
        <v>26591</v>
      </c>
      <c r="G49" s="1">
        <v>2642</v>
      </c>
      <c r="H49" s="1">
        <v>5643</v>
      </c>
      <c r="I49" s="93">
        <v>131260</v>
      </c>
      <c r="J49" s="93">
        <v>0</v>
      </c>
      <c r="K49" s="1">
        <v>8455</v>
      </c>
      <c r="L49" s="1">
        <v>30293</v>
      </c>
      <c r="M49" s="1">
        <v>13253</v>
      </c>
      <c r="N49" s="93">
        <v>52001</v>
      </c>
      <c r="O49" s="93">
        <v>0</v>
      </c>
      <c r="P49" s="1">
        <v>0</v>
      </c>
      <c r="Q49" s="93">
        <v>18742</v>
      </c>
      <c r="R49" s="93">
        <v>1348</v>
      </c>
      <c r="S49" s="93">
        <v>20090</v>
      </c>
      <c r="T49" s="94">
        <v>0</v>
      </c>
      <c r="U49" s="94">
        <v>0</v>
      </c>
      <c r="V49" s="94">
        <v>0</v>
      </c>
      <c r="W49" s="95">
        <v>0</v>
      </c>
      <c r="X49" s="94">
        <v>0</v>
      </c>
      <c r="Y49" s="94">
        <v>0</v>
      </c>
      <c r="Z49" s="94">
        <v>0</v>
      </c>
      <c r="AA49" s="95">
        <v>0</v>
      </c>
      <c r="AB49" s="96">
        <v>0</v>
      </c>
      <c r="AC49" s="97">
        <v>0</v>
      </c>
    </row>
    <row r="50" spans="1:29">
      <c r="A50" s="92"/>
      <c r="B50" s="98" t="s">
        <v>769</v>
      </c>
      <c r="C50" s="98">
        <v>2.4217730152959027E-2</v>
      </c>
      <c r="D50" s="99">
        <v>3.7275107896665605E-2</v>
      </c>
      <c r="E50" s="99">
        <v>5.7972792096751914E-2</v>
      </c>
      <c r="F50" s="99">
        <v>4.5301759018697561E-2</v>
      </c>
      <c r="G50" s="99">
        <v>6.3515722665640928E-2</v>
      </c>
      <c r="H50" s="99">
        <v>7.0099378881987584E-2</v>
      </c>
      <c r="I50" s="98">
        <v>4.2484092739997419E-2</v>
      </c>
      <c r="J50" s="98">
        <v>0</v>
      </c>
      <c r="K50" s="99">
        <v>1.9639269247296844E-2</v>
      </c>
      <c r="L50" s="99">
        <v>6.4039658799031784E-2</v>
      </c>
      <c r="M50" s="99">
        <v>0.12845663994727199</v>
      </c>
      <c r="N50" s="98">
        <v>5.1653834577802586E-2</v>
      </c>
      <c r="O50" s="98">
        <v>0</v>
      </c>
      <c r="P50" s="99">
        <v>0</v>
      </c>
      <c r="Q50" s="98">
        <v>8.4216675279157022E-2</v>
      </c>
      <c r="R50" s="98">
        <v>5.9063225693379483E-2</v>
      </c>
      <c r="S50" s="98">
        <v>8.18770173779792E-2</v>
      </c>
      <c r="T50" s="100">
        <v>0</v>
      </c>
      <c r="U50" s="100">
        <v>0</v>
      </c>
      <c r="V50" s="100">
        <v>0</v>
      </c>
      <c r="W50" s="101">
        <v>0</v>
      </c>
      <c r="X50" s="100">
        <v>0</v>
      </c>
      <c r="Y50" s="100">
        <v>0</v>
      </c>
      <c r="Z50" s="100">
        <v>0</v>
      </c>
      <c r="AA50" s="101">
        <v>0</v>
      </c>
      <c r="AB50" s="96">
        <v>0</v>
      </c>
      <c r="AC50" s="97">
        <v>0</v>
      </c>
    </row>
    <row r="51" spans="1:29">
      <c r="A51" s="92"/>
      <c r="B51" s="93" t="s">
        <v>770</v>
      </c>
      <c r="C51" s="93">
        <v>790236</v>
      </c>
      <c r="D51" s="1">
        <v>762404</v>
      </c>
      <c r="E51" s="1">
        <v>796136</v>
      </c>
      <c r="F51" s="1">
        <v>568392</v>
      </c>
      <c r="G51" s="1">
        <v>36080</v>
      </c>
      <c r="H51" s="1">
        <v>88467</v>
      </c>
      <c r="I51" s="93">
        <v>3041715</v>
      </c>
      <c r="J51" s="93">
        <v>0</v>
      </c>
      <c r="K51" s="1">
        <v>404263</v>
      </c>
      <c r="L51" s="1">
        <v>439471</v>
      </c>
      <c r="M51" s="1">
        <v>89282</v>
      </c>
      <c r="N51" s="93">
        <v>933016</v>
      </c>
      <c r="O51" s="93">
        <v>0</v>
      </c>
      <c r="P51" s="1">
        <v>0</v>
      </c>
      <c r="Q51" s="93">
        <v>204878</v>
      </c>
      <c r="R51" s="93">
        <v>20536</v>
      </c>
      <c r="S51" s="93">
        <v>225414</v>
      </c>
      <c r="T51" s="94">
        <v>0</v>
      </c>
      <c r="U51" s="94">
        <v>0</v>
      </c>
      <c r="V51" s="94">
        <v>0</v>
      </c>
      <c r="W51" s="95">
        <v>0</v>
      </c>
      <c r="X51" s="94">
        <v>0</v>
      </c>
      <c r="Y51" s="94">
        <v>0</v>
      </c>
      <c r="Z51" s="94">
        <v>0</v>
      </c>
      <c r="AA51" s="95">
        <v>0</v>
      </c>
      <c r="AB51" s="96">
        <v>0</v>
      </c>
      <c r="AC51" s="97">
        <v>0</v>
      </c>
    </row>
    <row r="52" spans="1:29">
      <c r="A52" s="92"/>
      <c r="B52" s="93" t="s">
        <v>771</v>
      </c>
      <c r="C52" s="93">
        <v>18813</v>
      </c>
      <c r="D52" s="1">
        <v>32493</v>
      </c>
      <c r="E52" s="1">
        <v>48018</v>
      </c>
      <c r="F52" s="1">
        <v>28986</v>
      </c>
      <c r="G52" s="1">
        <v>2742</v>
      </c>
      <c r="H52" s="1">
        <v>6788</v>
      </c>
      <c r="I52" s="93">
        <v>137840</v>
      </c>
      <c r="J52" s="93">
        <v>0</v>
      </c>
      <c r="K52" s="1">
        <v>9787</v>
      </c>
      <c r="L52" s="1">
        <v>35397</v>
      </c>
      <c r="M52" s="1">
        <v>13344</v>
      </c>
      <c r="N52" s="93">
        <v>58528</v>
      </c>
      <c r="O52" s="93">
        <v>0</v>
      </c>
      <c r="P52" s="1">
        <v>0</v>
      </c>
      <c r="Q52" s="93">
        <v>21261</v>
      </c>
      <c r="R52" s="93">
        <v>2125</v>
      </c>
      <c r="S52" s="93">
        <v>23386</v>
      </c>
      <c r="T52" s="94">
        <v>0</v>
      </c>
      <c r="U52" s="94">
        <v>0</v>
      </c>
      <c r="V52" s="94">
        <v>0</v>
      </c>
      <c r="W52" s="95">
        <v>0</v>
      </c>
      <c r="X52" s="94">
        <v>0</v>
      </c>
      <c r="Y52" s="94">
        <v>0</v>
      </c>
      <c r="Z52" s="94">
        <v>0</v>
      </c>
      <c r="AA52" s="95">
        <v>0</v>
      </c>
      <c r="AB52" s="96">
        <v>0</v>
      </c>
      <c r="AC52" s="97">
        <v>0</v>
      </c>
    </row>
    <row r="53" spans="1:29">
      <c r="A53" s="92"/>
      <c r="B53" s="102" t="s">
        <v>772</v>
      </c>
      <c r="C53" s="98">
        <v>2.3806812142195495E-2</v>
      </c>
      <c r="D53" s="99">
        <v>4.2619136310932261E-2</v>
      </c>
      <c r="E53" s="99">
        <v>6.0313815729975781E-2</v>
      </c>
      <c r="F53" s="99">
        <v>5.0996495376430348E-2</v>
      </c>
      <c r="G53" s="99">
        <v>7.5997782705099784E-2</v>
      </c>
      <c r="H53" s="99">
        <v>7.672917585088225E-2</v>
      </c>
      <c r="I53" s="98">
        <v>4.5316540175525978E-2</v>
      </c>
      <c r="J53" s="98">
        <v>0</v>
      </c>
      <c r="K53" s="99">
        <v>2.4209487388160679E-2</v>
      </c>
      <c r="L53" s="99">
        <v>8.0544563805120248E-2</v>
      </c>
      <c r="M53" s="99">
        <v>0.1494590174951278</v>
      </c>
      <c r="N53" s="98">
        <v>6.2729899594433536E-2</v>
      </c>
      <c r="O53" s="98">
        <v>0</v>
      </c>
      <c r="P53" s="99">
        <v>0</v>
      </c>
      <c r="Q53" s="98">
        <v>0.10377395327951268</v>
      </c>
      <c r="R53" s="102">
        <v>0.10347682119205298</v>
      </c>
      <c r="S53" s="102">
        <v>0.10374688351211549</v>
      </c>
      <c r="T53" s="103">
        <v>0</v>
      </c>
      <c r="U53" s="103">
        <v>0</v>
      </c>
      <c r="V53" s="103">
        <v>0</v>
      </c>
      <c r="W53" s="104">
        <v>0</v>
      </c>
      <c r="X53" s="103">
        <v>0</v>
      </c>
      <c r="Y53" s="103">
        <v>0</v>
      </c>
      <c r="Z53" s="103">
        <v>0</v>
      </c>
      <c r="AA53" s="104">
        <v>0</v>
      </c>
      <c r="AB53" s="96">
        <v>0</v>
      </c>
      <c r="AC53" s="97">
        <v>0</v>
      </c>
    </row>
    <row r="54" spans="1:29">
      <c r="A54" s="105"/>
      <c r="B54" s="106" t="s">
        <v>773</v>
      </c>
      <c r="C54" s="107">
        <v>-4.1091801076353213E-4</v>
      </c>
      <c r="D54" s="108">
        <v>5.3440284142666564E-3</v>
      </c>
      <c r="E54" s="108">
        <v>2.3410236332238668E-3</v>
      </c>
      <c r="F54" s="108">
        <v>5.6947363577327867E-3</v>
      </c>
      <c r="G54" s="108">
        <v>1.2482060039458856E-2</v>
      </c>
      <c r="H54" s="108">
        <v>6.6297969688946662E-3</v>
      </c>
      <c r="I54" s="107">
        <v>2.8324474355285595E-3</v>
      </c>
      <c r="J54" s="107">
        <v>0</v>
      </c>
      <c r="K54" s="108">
        <v>4.5702181408638354E-3</v>
      </c>
      <c r="L54" s="108">
        <v>1.6504905006088463E-2</v>
      </c>
      <c r="M54" s="108">
        <v>2.1002377547855805E-2</v>
      </c>
      <c r="N54" s="107">
        <v>1.107606501663095E-2</v>
      </c>
      <c r="O54" s="107">
        <v>0</v>
      </c>
      <c r="P54" s="108">
        <v>0</v>
      </c>
      <c r="Q54" s="107">
        <v>1.9557278000355657E-2</v>
      </c>
      <c r="R54" s="107">
        <v>4.4413595498673498E-2</v>
      </c>
      <c r="S54" s="107">
        <v>2.1869866134136287E-2</v>
      </c>
      <c r="T54" s="109">
        <v>0</v>
      </c>
      <c r="U54" s="109">
        <v>0</v>
      </c>
      <c r="V54" s="109">
        <v>0</v>
      </c>
      <c r="W54" s="110">
        <v>0</v>
      </c>
      <c r="X54" s="109">
        <v>0</v>
      </c>
      <c r="Y54" s="109">
        <v>0</v>
      </c>
      <c r="Z54" s="109">
        <v>0</v>
      </c>
      <c r="AA54" s="110">
        <v>0</v>
      </c>
      <c r="AB54" s="96">
        <v>0</v>
      </c>
      <c r="AC54" s="97">
        <v>0</v>
      </c>
    </row>
    <row r="55" spans="1:29">
      <c r="A55" s="91" t="s">
        <v>461</v>
      </c>
      <c r="B55" s="75" t="s">
        <v>767</v>
      </c>
      <c r="C55" s="75">
        <v>0</v>
      </c>
      <c r="D55" s="87">
        <v>0</v>
      </c>
      <c r="E55" s="87">
        <v>0</v>
      </c>
      <c r="F55" s="87">
        <v>0</v>
      </c>
      <c r="G55" s="87">
        <v>0</v>
      </c>
      <c r="H55" s="87">
        <v>0</v>
      </c>
      <c r="I55" s="75">
        <v>0</v>
      </c>
      <c r="J55" s="75">
        <v>0</v>
      </c>
      <c r="K55" s="87">
        <v>0</v>
      </c>
      <c r="L55" s="87">
        <v>0</v>
      </c>
      <c r="M55" s="87">
        <v>0</v>
      </c>
      <c r="N55" s="75">
        <v>0</v>
      </c>
      <c r="O55" s="75">
        <v>0</v>
      </c>
      <c r="P55" s="87">
        <v>0</v>
      </c>
      <c r="Q55" s="75">
        <v>0</v>
      </c>
      <c r="R55" s="75">
        <v>0</v>
      </c>
      <c r="S55" s="75">
        <v>0</v>
      </c>
      <c r="T55" s="83">
        <v>0</v>
      </c>
      <c r="U55" s="83">
        <v>0</v>
      </c>
      <c r="V55" s="83">
        <v>0</v>
      </c>
      <c r="W55" s="84">
        <v>0</v>
      </c>
      <c r="X55" s="83">
        <v>0</v>
      </c>
      <c r="Y55" s="83">
        <v>0</v>
      </c>
      <c r="Z55" s="83">
        <v>0</v>
      </c>
      <c r="AA55" s="84">
        <v>0</v>
      </c>
      <c r="AB55" s="85">
        <v>0</v>
      </c>
      <c r="AC55" s="86">
        <v>0</v>
      </c>
    </row>
    <row r="56" spans="1:29">
      <c r="A56" s="92"/>
      <c r="B56" s="93" t="s">
        <v>768</v>
      </c>
      <c r="C56" s="93">
        <v>0</v>
      </c>
      <c r="D56" s="1">
        <v>0</v>
      </c>
      <c r="E56" s="1">
        <v>0</v>
      </c>
      <c r="F56" s="1">
        <v>0</v>
      </c>
      <c r="G56" s="1">
        <v>0</v>
      </c>
      <c r="H56" s="1">
        <v>0</v>
      </c>
      <c r="I56" s="93">
        <v>0</v>
      </c>
      <c r="J56" s="93">
        <v>0</v>
      </c>
      <c r="K56" s="1">
        <v>0</v>
      </c>
      <c r="L56" s="1">
        <v>0</v>
      </c>
      <c r="M56" s="1">
        <v>0</v>
      </c>
      <c r="N56" s="93">
        <v>0</v>
      </c>
      <c r="O56" s="93">
        <v>0</v>
      </c>
      <c r="P56" s="1">
        <v>0</v>
      </c>
      <c r="Q56" s="93">
        <v>0</v>
      </c>
      <c r="R56" s="93">
        <v>0</v>
      </c>
      <c r="S56" s="93">
        <v>0</v>
      </c>
      <c r="T56" s="94">
        <v>0</v>
      </c>
      <c r="U56" s="94">
        <v>0</v>
      </c>
      <c r="V56" s="94">
        <v>0</v>
      </c>
      <c r="W56" s="95">
        <v>0</v>
      </c>
      <c r="X56" s="94">
        <v>0</v>
      </c>
      <c r="Y56" s="94">
        <v>0</v>
      </c>
      <c r="Z56" s="94">
        <v>0</v>
      </c>
      <c r="AA56" s="95">
        <v>0</v>
      </c>
      <c r="AB56" s="96">
        <v>0</v>
      </c>
      <c r="AC56" s="97">
        <v>0</v>
      </c>
    </row>
    <row r="57" spans="1:29">
      <c r="A57" s="92"/>
      <c r="B57" s="98" t="s">
        <v>769</v>
      </c>
      <c r="C57" s="98">
        <v>0</v>
      </c>
      <c r="D57" s="99">
        <v>0</v>
      </c>
      <c r="E57" s="99">
        <v>0</v>
      </c>
      <c r="F57" s="99">
        <v>0</v>
      </c>
      <c r="G57" s="99">
        <v>0</v>
      </c>
      <c r="H57" s="99">
        <v>0</v>
      </c>
      <c r="I57" s="98">
        <v>0</v>
      </c>
      <c r="J57" s="98">
        <v>0</v>
      </c>
      <c r="K57" s="99">
        <v>0</v>
      </c>
      <c r="L57" s="99">
        <v>0</v>
      </c>
      <c r="M57" s="99">
        <v>0</v>
      </c>
      <c r="N57" s="98">
        <v>0</v>
      </c>
      <c r="O57" s="98">
        <v>0</v>
      </c>
      <c r="P57" s="99">
        <v>0</v>
      </c>
      <c r="Q57" s="98">
        <v>0</v>
      </c>
      <c r="R57" s="98">
        <v>0</v>
      </c>
      <c r="S57" s="98">
        <v>0</v>
      </c>
      <c r="T57" s="100">
        <v>0</v>
      </c>
      <c r="U57" s="100">
        <v>0</v>
      </c>
      <c r="V57" s="100">
        <v>0</v>
      </c>
      <c r="W57" s="101">
        <v>0</v>
      </c>
      <c r="X57" s="100">
        <v>0</v>
      </c>
      <c r="Y57" s="100">
        <v>0</v>
      </c>
      <c r="Z57" s="100">
        <v>0</v>
      </c>
      <c r="AA57" s="101">
        <v>0</v>
      </c>
      <c r="AB57" s="96">
        <v>0</v>
      </c>
      <c r="AC57" s="97">
        <v>0</v>
      </c>
    </row>
    <row r="58" spans="1:29">
      <c r="A58" s="92"/>
      <c r="B58" s="93" t="s">
        <v>770</v>
      </c>
      <c r="C58" s="93">
        <v>0</v>
      </c>
      <c r="D58" s="1">
        <v>0</v>
      </c>
      <c r="E58" s="1">
        <v>0</v>
      </c>
      <c r="F58" s="1">
        <v>0</v>
      </c>
      <c r="G58" s="1">
        <v>0</v>
      </c>
      <c r="H58" s="1">
        <v>0</v>
      </c>
      <c r="I58" s="93">
        <v>0</v>
      </c>
      <c r="J58" s="93">
        <v>0</v>
      </c>
      <c r="K58" s="1">
        <v>0</v>
      </c>
      <c r="L58" s="1">
        <v>0</v>
      </c>
      <c r="M58" s="1">
        <v>0</v>
      </c>
      <c r="N58" s="93">
        <v>0</v>
      </c>
      <c r="O58" s="93">
        <v>0</v>
      </c>
      <c r="P58" s="1">
        <v>0</v>
      </c>
      <c r="Q58" s="93">
        <v>0</v>
      </c>
      <c r="R58" s="93">
        <v>0</v>
      </c>
      <c r="S58" s="93">
        <v>0</v>
      </c>
      <c r="T58" s="94">
        <v>0</v>
      </c>
      <c r="U58" s="94">
        <v>0</v>
      </c>
      <c r="V58" s="94">
        <v>0</v>
      </c>
      <c r="W58" s="95">
        <v>0</v>
      </c>
      <c r="X58" s="94">
        <v>0</v>
      </c>
      <c r="Y58" s="94">
        <v>0</v>
      </c>
      <c r="Z58" s="94">
        <v>0</v>
      </c>
      <c r="AA58" s="95">
        <v>0</v>
      </c>
      <c r="AB58" s="96">
        <v>0</v>
      </c>
      <c r="AC58" s="97">
        <v>0</v>
      </c>
    </row>
    <row r="59" spans="1:29">
      <c r="A59" s="92"/>
      <c r="B59" s="93" t="s">
        <v>771</v>
      </c>
      <c r="C59" s="93">
        <v>0</v>
      </c>
      <c r="D59" s="1">
        <v>0</v>
      </c>
      <c r="E59" s="1">
        <v>0</v>
      </c>
      <c r="F59" s="1">
        <v>0</v>
      </c>
      <c r="G59" s="1">
        <v>0</v>
      </c>
      <c r="H59" s="1">
        <v>0</v>
      </c>
      <c r="I59" s="93">
        <v>0</v>
      </c>
      <c r="J59" s="93">
        <v>0</v>
      </c>
      <c r="K59" s="1">
        <v>0</v>
      </c>
      <c r="L59" s="1">
        <v>0</v>
      </c>
      <c r="M59" s="1">
        <v>0</v>
      </c>
      <c r="N59" s="93">
        <v>0</v>
      </c>
      <c r="O59" s="93">
        <v>0</v>
      </c>
      <c r="P59" s="1">
        <v>0</v>
      </c>
      <c r="Q59" s="93">
        <v>0</v>
      </c>
      <c r="R59" s="93">
        <v>0</v>
      </c>
      <c r="S59" s="93">
        <v>0</v>
      </c>
      <c r="T59" s="94">
        <v>0</v>
      </c>
      <c r="U59" s="94">
        <v>0</v>
      </c>
      <c r="V59" s="94">
        <v>0</v>
      </c>
      <c r="W59" s="95">
        <v>0</v>
      </c>
      <c r="X59" s="94">
        <v>0</v>
      </c>
      <c r="Y59" s="94">
        <v>0</v>
      </c>
      <c r="Z59" s="94">
        <v>0</v>
      </c>
      <c r="AA59" s="95">
        <v>0</v>
      </c>
      <c r="AB59" s="96">
        <v>0</v>
      </c>
      <c r="AC59" s="97">
        <v>0</v>
      </c>
    </row>
    <row r="60" spans="1:29">
      <c r="A60" s="92"/>
      <c r="B60" s="102" t="s">
        <v>772</v>
      </c>
      <c r="C60" s="98">
        <v>0</v>
      </c>
      <c r="D60" s="99">
        <v>0</v>
      </c>
      <c r="E60" s="99">
        <v>0</v>
      </c>
      <c r="F60" s="99">
        <v>0</v>
      </c>
      <c r="G60" s="99">
        <v>0</v>
      </c>
      <c r="H60" s="99">
        <v>0</v>
      </c>
      <c r="I60" s="98">
        <v>0</v>
      </c>
      <c r="J60" s="98">
        <v>0</v>
      </c>
      <c r="K60" s="99">
        <v>0</v>
      </c>
      <c r="L60" s="99">
        <v>0</v>
      </c>
      <c r="M60" s="99">
        <v>0</v>
      </c>
      <c r="N60" s="98">
        <v>0</v>
      </c>
      <c r="O60" s="98">
        <v>0</v>
      </c>
      <c r="P60" s="99">
        <v>0</v>
      </c>
      <c r="Q60" s="98">
        <v>0</v>
      </c>
      <c r="R60" s="102">
        <v>0</v>
      </c>
      <c r="S60" s="102">
        <v>0</v>
      </c>
      <c r="T60" s="103">
        <v>0</v>
      </c>
      <c r="U60" s="103">
        <v>0</v>
      </c>
      <c r="V60" s="103">
        <v>0</v>
      </c>
      <c r="W60" s="104">
        <v>0</v>
      </c>
      <c r="X60" s="103">
        <v>0</v>
      </c>
      <c r="Y60" s="103">
        <v>0</v>
      </c>
      <c r="Z60" s="103">
        <v>0</v>
      </c>
      <c r="AA60" s="104">
        <v>0</v>
      </c>
      <c r="AB60" s="96">
        <v>0</v>
      </c>
      <c r="AC60" s="97">
        <v>0</v>
      </c>
    </row>
    <row r="61" spans="1:29">
      <c r="A61" s="105"/>
      <c r="B61" s="106" t="s">
        <v>773</v>
      </c>
      <c r="C61" s="107">
        <v>0</v>
      </c>
      <c r="D61" s="108">
        <v>0</v>
      </c>
      <c r="E61" s="108">
        <v>0</v>
      </c>
      <c r="F61" s="108">
        <v>0</v>
      </c>
      <c r="G61" s="108">
        <v>0</v>
      </c>
      <c r="H61" s="108">
        <v>0</v>
      </c>
      <c r="I61" s="107">
        <v>0</v>
      </c>
      <c r="J61" s="107">
        <v>0</v>
      </c>
      <c r="K61" s="108">
        <v>0</v>
      </c>
      <c r="L61" s="108">
        <v>0</v>
      </c>
      <c r="M61" s="108">
        <v>0</v>
      </c>
      <c r="N61" s="107">
        <v>0</v>
      </c>
      <c r="O61" s="107">
        <v>0</v>
      </c>
      <c r="P61" s="108">
        <v>0</v>
      </c>
      <c r="Q61" s="107">
        <v>0</v>
      </c>
      <c r="R61" s="107">
        <v>0</v>
      </c>
      <c r="S61" s="107">
        <v>0</v>
      </c>
      <c r="T61" s="109">
        <v>0</v>
      </c>
      <c r="U61" s="109">
        <v>0</v>
      </c>
      <c r="V61" s="109">
        <v>0</v>
      </c>
      <c r="W61" s="110">
        <v>0</v>
      </c>
      <c r="X61" s="109">
        <v>0</v>
      </c>
      <c r="Y61" s="109">
        <v>0</v>
      </c>
      <c r="Z61" s="109">
        <v>0</v>
      </c>
      <c r="AA61" s="110">
        <v>0</v>
      </c>
      <c r="AB61" s="96">
        <v>0</v>
      </c>
      <c r="AC61" s="97">
        <v>0</v>
      </c>
    </row>
    <row r="62" spans="1:29">
      <c r="A62" s="91" t="s">
        <v>230</v>
      </c>
      <c r="B62" s="75" t="s">
        <v>767</v>
      </c>
      <c r="C62" s="75">
        <v>0</v>
      </c>
      <c r="D62" s="87">
        <v>0</v>
      </c>
      <c r="E62" s="87">
        <v>0</v>
      </c>
      <c r="F62" s="87">
        <v>0</v>
      </c>
      <c r="G62" s="87">
        <v>0</v>
      </c>
      <c r="H62" s="87">
        <v>0</v>
      </c>
      <c r="I62" s="75">
        <v>0</v>
      </c>
      <c r="J62" s="75">
        <v>0</v>
      </c>
      <c r="K62" s="87">
        <v>772535</v>
      </c>
      <c r="L62" s="87">
        <v>889312.5</v>
      </c>
      <c r="M62" s="87">
        <v>103862</v>
      </c>
      <c r="N62" s="75">
        <v>1765709.5</v>
      </c>
      <c r="O62" s="75">
        <v>0</v>
      </c>
      <c r="P62" s="87">
        <v>0</v>
      </c>
      <c r="Q62" s="75">
        <v>0</v>
      </c>
      <c r="R62" s="75">
        <v>0</v>
      </c>
      <c r="S62" s="75">
        <v>0</v>
      </c>
      <c r="T62" s="83">
        <v>0</v>
      </c>
      <c r="U62" s="83">
        <v>0</v>
      </c>
      <c r="V62" s="83">
        <v>0</v>
      </c>
      <c r="W62" s="84">
        <v>0</v>
      </c>
      <c r="X62" s="83">
        <v>0</v>
      </c>
      <c r="Y62" s="83">
        <v>0</v>
      </c>
      <c r="Z62" s="83">
        <v>0</v>
      </c>
      <c r="AA62" s="84">
        <v>0</v>
      </c>
      <c r="AB62" s="85">
        <v>0</v>
      </c>
      <c r="AC62" s="86">
        <v>0</v>
      </c>
    </row>
    <row r="63" spans="1:29">
      <c r="A63" s="92"/>
      <c r="B63" s="93" t="s">
        <v>768</v>
      </c>
      <c r="C63" s="93">
        <v>0</v>
      </c>
      <c r="D63" s="1">
        <v>0</v>
      </c>
      <c r="E63" s="1">
        <v>0</v>
      </c>
      <c r="F63" s="1">
        <v>0</v>
      </c>
      <c r="G63" s="1">
        <v>0</v>
      </c>
      <c r="H63" s="1">
        <v>0</v>
      </c>
      <c r="I63" s="93">
        <v>0</v>
      </c>
      <c r="J63" s="93">
        <v>0</v>
      </c>
      <c r="K63" s="1">
        <v>66086</v>
      </c>
      <c r="L63" s="1">
        <v>64775</v>
      </c>
      <c r="M63" s="1">
        <v>6353</v>
      </c>
      <c r="N63" s="93">
        <v>137214</v>
      </c>
      <c r="O63" s="93">
        <v>0</v>
      </c>
      <c r="P63" s="1">
        <v>0</v>
      </c>
      <c r="Q63" s="93">
        <v>0</v>
      </c>
      <c r="R63" s="93">
        <v>0</v>
      </c>
      <c r="S63" s="93">
        <v>0</v>
      </c>
      <c r="T63" s="94">
        <v>0</v>
      </c>
      <c r="U63" s="94">
        <v>0</v>
      </c>
      <c r="V63" s="94">
        <v>0</v>
      </c>
      <c r="W63" s="95">
        <v>0</v>
      </c>
      <c r="X63" s="94">
        <v>0</v>
      </c>
      <c r="Y63" s="94">
        <v>0</v>
      </c>
      <c r="Z63" s="94">
        <v>0</v>
      </c>
      <c r="AA63" s="95">
        <v>0</v>
      </c>
      <c r="AB63" s="96">
        <v>0</v>
      </c>
      <c r="AC63" s="97">
        <v>0</v>
      </c>
    </row>
    <row r="64" spans="1:29">
      <c r="A64" s="92"/>
      <c r="B64" s="98" t="s">
        <v>769</v>
      </c>
      <c r="C64" s="98">
        <v>0</v>
      </c>
      <c r="D64" s="99">
        <v>0</v>
      </c>
      <c r="E64" s="99">
        <v>0</v>
      </c>
      <c r="F64" s="99">
        <v>0</v>
      </c>
      <c r="G64" s="99">
        <v>0</v>
      </c>
      <c r="H64" s="99">
        <v>0</v>
      </c>
      <c r="I64" s="98">
        <v>0</v>
      </c>
      <c r="J64" s="98">
        <v>0</v>
      </c>
      <c r="K64" s="99">
        <v>8.5544344269191691E-2</v>
      </c>
      <c r="L64" s="99">
        <v>7.2837163539250821E-2</v>
      </c>
      <c r="M64" s="99">
        <v>6.1167703298607767E-2</v>
      </c>
      <c r="N64" s="98">
        <v>7.7710404797618177E-2</v>
      </c>
      <c r="O64" s="98">
        <v>0</v>
      </c>
      <c r="P64" s="99">
        <v>0</v>
      </c>
      <c r="Q64" s="98">
        <v>0</v>
      </c>
      <c r="R64" s="98">
        <v>0</v>
      </c>
      <c r="S64" s="98">
        <v>0</v>
      </c>
      <c r="T64" s="100">
        <v>0</v>
      </c>
      <c r="U64" s="100">
        <v>0</v>
      </c>
      <c r="V64" s="100">
        <v>0</v>
      </c>
      <c r="W64" s="101">
        <v>0</v>
      </c>
      <c r="X64" s="100">
        <v>0</v>
      </c>
      <c r="Y64" s="100">
        <v>0</v>
      </c>
      <c r="Z64" s="100">
        <v>0</v>
      </c>
      <c r="AA64" s="101">
        <v>0</v>
      </c>
      <c r="AB64" s="96">
        <v>0</v>
      </c>
      <c r="AC64" s="97">
        <v>0</v>
      </c>
    </row>
    <row r="65" spans="1:29">
      <c r="A65" s="92"/>
      <c r="B65" s="93" t="s">
        <v>770</v>
      </c>
      <c r="C65" s="93">
        <v>0</v>
      </c>
      <c r="D65" s="1">
        <v>0</v>
      </c>
      <c r="E65" s="1">
        <v>0</v>
      </c>
      <c r="F65" s="1">
        <v>0</v>
      </c>
      <c r="G65" s="1">
        <v>0</v>
      </c>
      <c r="H65" s="1">
        <v>0</v>
      </c>
      <c r="I65" s="93">
        <v>0</v>
      </c>
      <c r="J65" s="93">
        <v>0</v>
      </c>
      <c r="K65" s="1">
        <v>718727</v>
      </c>
      <c r="L65" s="1">
        <v>855120</v>
      </c>
      <c r="M65" s="1">
        <v>96183</v>
      </c>
      <c r="N65" s="93">
        <v>1670030</v>
      </c>
      <c r="O65" s="93">
        <v>0</v>
      </c>
      <c r="P65" s="1">
        <v>0</v>
      </c>
      <c r="Q65" s="93">
        <v>0</v>
      </c>
      <c r="R65" s="93">
        <v>0</v>
      </c>
      <c r="S65" s="93">
        <v>0</v>
      </c>
      <c r="T65" s="94">
        <v>0</v>
      </c>
      <c r="U65" s="94">
        <v>0</v>
      </c>
      <c r="V65" s="94">
        <v>0</v>
      </c>
      <c r="W65" s="95">
        <v>0</v>
      </c>
      <c r="X65" s="94">
        <v>0</v>
      </c>
      <c r="Y65" s="94">
        <v>0</v>
      </c>
      <c r="Z65" s="94">
        <v>0</v>
      </c>
      <c r="AA65" s="95">
        <v>0</v>
      </c>
      <c r="AB65" s="96">
        <v>0</v>
      </c>
      <c r="AC65" s="97">
        <v>0</v>
      </c>
    </row>
    <row r="66" spans="1:29">
      <c r="A66" s="92"/>
      <c r="B66" s="93" t="s">
        <v>771</v>
      </c>
      <c r="C66" s="93">
        <v>0</v>
      </c>
      <c r="D66" s="1">
        <v>0</v>
      </c>
      <c r="E66" s="1">
        <v>0</v>
      </c>
      <c r="F66" s="1">
        <v>0</v>
      </c>
      <c r="G66" s="1">
        <v>0</v>
      </c>
      <c r="H66" s="1">
        <v>0</v>
      </c>
      <c r="I66" s="93">
        <v>0</v>
      </c>
      <c r="J66" s="93">
        <v>0</v>
      </c>
      <c r="K66" s="1">
        <v>65362</v>
      </c>
      <c r="L66" s="1">
        <v>68673</v>
      </c>
      <c r="M66" s="1">
        <v>4569</v>
      </c>
      <c r="N66" s="93">
        <v>138604</v>
      </c>
      <c r="O66" s="93">
        <v>0</v>
      </c>
      <c r="P66" s="1">
        <v>0</v>
      </c>
      <c r="Q66" s="93">
        <v>0</v>
      </c>
      <c r="R66" s="93">
        <v>0</v>
      </c>
      <c r="S66" s="93">
        <v>0</v>
      </c>
      <c r="T66" s="94">
        <v>0</v>
      </c>
      <c r="U66" s="94">
        <v>0</v>
      </c>
      <c r="V66" s="94">
        <v>0</v>
      </c>
      <c r="W66" s="95">
        <v>0</v>
      </c>
      <c r="X66" s="94">
        <v>0</v>
      </c>
      <c r="Y66" s="94">
        <v>0</v>
      </c>
      <c r="Z66" s="94">
        <v>0</v>
      </c>
      <c r="AA66" s="95">
        <v>0</v>
      </c>
      <c r="AB66" s="96">
        <v>0</v>
      </c>
      <c r="AC66" s="97">
        <v>0</v>
      </c>
    </row>
    <row r="67" spans="1:29">
      <c r="A67" s="92"/>
      <c r="B67" s="102" t="s">
        <v>772</v>
      </c>
      <c r="C67" s="98">
        <v>0</v>
      </c>
      <c r="D67" s="99">
        <v>0</v>
      </c>
      <c r="E67" s="99">
        <v>0</v>
      </c>
      <c r="F67" s="99">
        <v>0</v>
      </c>
      <c r="G67" s="99">
        <v>0</v>
      </c>
      <c r="H67" s="99">
        <v>0</v>
      </c>
      <c r="I67" s="98">
        <v>0</v>
      </c>
      <c r="J67" s="98">
        <v>0</v>
      </c>
      <c r="K67" s="99">
        <v>9.0941344905645677E-2</v>
      </c>
      <c r="L67" s="99">
        <v>8.0308026943586866E-2</v>
      </c>
      <c r="M67" s="99">
        <v>4.7503197030660305E-2</v>
      </c>
      <c r="N67" s="98">
        <v>8.299491625898936E-2</v>
      </c>
      <c r="O67" s="98">
        <v>0</v>
      </c>
      <c r="P67" s="99">
        <v>0</v>
      </c>
      <c r="Q67" s="98">
        <v>0</v>
      </c>
      <c r="R67" s="102">
        <v>0</v>
      </c>
      <c r="S67" s="102">
        <v>0</v>
      </c>
      <c r="T67" s="103">
        <v>0</v>
      </c>
      <c r="U67" s="103">
        <v>0</v>
      </c>
      <c r="V67" s="103">
        <v>0</v>
      </c>
      <c r="W67" s="104">
        <v>0</v>
      </c>
      <c r="X67" s="103">
        <v>0</v>
      </c>
      <c r="Y67" s="103">
        <v>0</v>
      </c>
      <c r="Z67" s="103">
        <v>0</v>
      </c>
      <c r="AA67" s="104">
        <v>0</v>
      </c>
      <c r="AB67" s="96">
        <v>0</v>
      </c>
      <c r="AC67" s="97">
        <v>0</v>
      </c>
    </row>
    <row r="68" spans="1:29">
      <c r="A68" s="92"/>
      <c r="B68" s="106" t="s">
        <v>773</v>
      </c>
      <c r="C68" s="107">
        <v>0</v>
      </c>
      <c r="D68" s="108">
        <v>0</v>
      </c>
      <c r="E68" s="108">
        <v>0</v>
      </c>
      <c r="F68" s="108">
        <v>0</v>
      </c>
      <c r="G68" s="108">
        <v>0</v>
      </c>
      <c r="H68" s="108">
        <v>0</v>
      </c>
      <c r="I68" s="107">
        <v>0</v>
      </c>
      <c r="J68" s="107">
        <v>0</v>
      </c>
      <c r="K68" s="108">
        <v>5.3970006364539858E-3</v>
      </c>
      <c r="L68" s="108">
        <v>7.470863404336045E-3</v>
      </c>
      <c r="M68" s="108">
        <v>-1.3664506267947463E-2</v>
      </c>
      <c r="N68" s="107">
        <v>5.284511461371183E-3</v>
      </c>
      <c r="O68" s="107">
        <v>0</v>
      </c>
      <c r="P68" s="108">
        <v>0</v>
      </c>
      <c r="Q68" s="107">
        <v>0</v>
      </c>
      <c r="R68" s="107">
        <v>0</v>
      </c>
      <c r="S68" s="107">
        <v>0</v>
      </c>
      <c r="T68" s="109">
        <v>0</v>
      </c>
      <c r="U68" s="109">
        <v>0</v>
      </c>
      <c r="V68" s="109">
        <v>0</v>
      </c>
      <c r="W68" s="110">
        <v>0</v>
      </c>
      <c r="X68" s="109">
        <v>0</v>
      </c>
      <c r="Y68" s="109">
        <v>0</v>
      </c>
      <c r="Z68" s="109">
        <v>0</v>
      </c>
      <c r="AA68" s="110">
        <v>0</v>
      </c>
      <c r="AB68" s="96">
        <v>0</v>
      </c>
      <c r="AC68" s="97">
        <v>0</v>
      </c>
    </row>
    <row r="69" spans="1:29">
      <c r="A69" s="91" t="s">
        <v>239</v>
      </c>
      <c r="B69" s="75" t="s">
        <v>767</v>
      </c>
      <c r="C69" s="75">
        <v>2454605</v>
      </c>
      <c r="D69" s="87">
        <v>951993</v>
      </c>
      <c r="E69" s="87">
        <v>1414747</v>
      </c>
      <c r="F69" s="87">
        <v>150073</v>
      </c>
      <c r="G69" s="87">
        <v>307836</v>
      </c>
      <c r="H69" s="87">
        <v>146810</v>
      </c>
      <c r="I69" s="75">
        <v>5426064</v>
      </c>
      <c r="J69" s="75">
        <v>0</v>
      </c>
      <c r="K69" s="87">
        <v>2090712.5</v>
      </c>
      <c r="L69" s="87">
        <v>1639071.8</v>
      </c>
      <c r="M69" s="87">
        <v>782878.5</v>
      </c>
      <c r="N69" s="75">
        <v>4512662.8</v>
      </c>
      <c r="O69" s="75">
        <v>0</v>
      </c>
      <c r="P69" s="87">
        <v>0</v>
      </c>
      <c r="Q69" s="75">
        <v>0</v>
      </c>
      <c r="R69" s="75">
        <v>0</v>
      </c>
      <c r="S69" s="75">
        <v>0</v>
      </c>
      <c r="T69" s="83">
        <v>26718</v>
      </c>
      <c r="U69" s="83">
        <v>26718</v>
      </c>
      <c r="V69" s="83">
        <v>0</v>
      </c>
      <c r="W69" s="84">
        <v>0</v>
      </c>
      <c r="X69" s="83">
        <v>0</v>
      </c>
      <c r="Y69" s="83">
        <v>0</v>
      </c>
      <c r="Z69" s="83">
        <v>0</v>
      </c>
      <c r="AA69" s="84">
        <v>0</v>
      </c>
      <c r="AB69" s="85">
        <v>0</v>
      </c>
      <c r="AC69" s="86">
        <v>0</v>
      </c>
    </row>
    <row r="70" spans="1:29">
      <c r="A70" s="92"/>
      <c r="B70" s="93" t="s">
        <v>768</v>
      </c>
      <c r="C70" s="93">
        <v>8921</v>
      </c>
      <c r="D70" s="1">
        <v>3585</v>
      </c>
      <c r="E70" s="1">
        <v>8929</v>
      </c>
      <c r="F70" s="1">
        <v>7856</v>
      </c>
      <c r="G70" s="1">
        <v>0</v>
      </c>
      <c r="H70" s="1">
        <v>9</v>
      </c>
      <c r="I70" s="93">
        <v>29300</v>
      </c>
      <c r="J70" s="93">
        <v>0</v>
      </c>
      <c r="K70" s="1">
        <v>239859</v>
      </c>
      <c r="L70" s="1">
        <v>376063.5</v>
      </c>
      <c r="M70" s="1">
        <v>231235</v>
      </c>
      <c r="N70" s="93">
        <v>847157.5</v>
      </c>
      <c r="O70" s="93">
        <v>0</v>
      </c>
      <c r="P70" s="1">
        <v>0</v>
      </c>
      <c r="Q70" s="93">
        <v>0</v>
      </c>
      <c r="R70" s="93">
        <v>0</v>
      </c>
      <c r="S70" s="93">
        <v>0</v>
      </c>
      <c r="T70" s="94">
        <v>0</v>
      </c>
      <c r="U70" s="94">
        <v>0</v>
      </c>
      <c r="V70" s="94">
        <v>0</v>
      </c>
      <c r="W70" s="95">
        <v>0</v>
      </c>
      <c r="X70" s="94">
        <v>0</v>
      </c>
      <c r="Y70" s="94">
        <v>0</v>
      </c>
      <c r="Z70" s="94">
        <v>0</v>
      </c>
      <c r="AA70" s="95">
        <v>0</v>
      </c>
      <c r="AB70" s="96">
        <v>0</v>
      </c>
      <c r="AC70" s="97">
        <v>0</v>
      </c>
    </row>
    <row r="71" spans="1:29">
      <c r="A71" s="92"/>
      <c r="B71" s="98" t="s">
        <v>769</v>
      </c>
      <c r="C71" s="98">
        <v>3.634393313791832E-3</v>
      </c>
      <c r="D71" s="99">
        <v>3.7657839921091856E-3</v>
      </c>
      <c r="E71" s="99">
        <v>6.3113758148983529E-3</v>
      </c>
      <c r="F71" s="99">
        <v>5.2347857376076973E-2</v>
      </c>
      <c r="G71" s="99">
        <v>0</v>
      </c>
      <c r="H71" s="99">
        <v>6.1303725904229961E-5</v>
      </c>
      <c r="I71" s="98">
        <v>5.3998625891622364E-3</v>
      </c>
      <c r="J71" s="98">
        <v>0</v>
      </c>
      <c r="K71" s="99">
        <v>0.11472596064738695</v>
      </c>
      <c r="L71" s="99">
        <v>0.22943686786631312</v>
      </c>
      <c r="M71" s="99">
        <v>0.29536511732024828</v>
      </c>
      <c r="N71" s="98">
        <v>0.18772896126872143</v>
      </c>
      <c r="O71" s="98">
        <v>0</v>
      </c>
      <c r="P71" s="99">
        <v>0</v>
      </c>
      <c r="Q71" s="98">
        <v>0</v>
      </c>
      <c r="R71" s="98">
        <v>0</v>
      </c>
      <c r="S71" s="98">
        <v>0</v>
      </c>
      <c r="T71" s="100">
        <v>0</v>
      </c>
      <c r="U71" s="100">
        <v>0</v>
      </c>
      <c r="V71" s="100">
        <v>0</v>
      </c>
      <c r="W71" s="101">
        <v>0</v>
      </c>
      <c r="X71" s="100">
        <v>0</v>
      </c>
      <c r="Y71" s="100">
        <v>0</v>
      </c>
      <c r="Z71" s="100">
        <v>0</v>
      </c>
      <c r="AA71" s="101">
        <v>0</v>
      </c>
      <c r="AB71" s="96">
        <v>0</v>
      </c>
      <c r="AC71" s="97">
        <v>0</v>
      </c>
    </row>
    <row r="72" spans="1:29">
      <c r="A72" s="92"/>
      <c r="B72" s="93" t="s">
        <v>770</v>
      </c>
      <c r="C72" s="93">
        <v>2405143.5</v>
      </c>
      <c r="D72" s="1">
        <v>944481</v>
      </c>
      <c r="E72" s="1">
        <v>1387041.5</v>
      </c>
      <c r="F72" s="1">
        <v>144424</v>
      </c>
      <c r="G72" s="1">
        <v>304710.5</v>
      </c>
      <c r="H72" s="1">
        <v>145310</v>
      </c>
      <c r="I72" s="93">
        <v>5331110.5</v>
      </c>
      <c r="J72" s="93">
        <v>0</v>
      </c>
      <c r="K72" s="1">
        <v>1963986.5</v>
      </c>
      <c r="L72" s="1">
        <v>1603861.9</v>
      </c>
      <c r="M72" s="1">
        <v>744630.5</v>
      </c>
      <c r="N72" s="93">
        <v>4312478.9000000004</v>
      </c>
      <c r="O72" s="93">
        <v>0</v>
      </c>
      <c r="P72" s="1">
        <v>0</v>
      </c>
      <c r="Q72" s="93">
        <v>0</v>
      </c>
      <c r="R72" s="93">
        <v>0</v>
      </c>
      <c r="S72" s="93">
        <v>0</v>
      </c>
      <c r="T72" s="94">
        <v>26646</v>
      </c>
      <c r="U72" s="94">
        <v>26646</v>
      </c>
      <c r="V72" s="94">
        <v>0</v>
      </c>
      <c r="W72" s="95">
        <v>0</v>
      </c>
      <c r="X72" s="94">
        <v>0</v>
      </c>
      <c r="Y72" s="94">
        <v>0</v>
      </c>
      <c r="Z72" s="94">
        <v>0</v>
      </c>
      <c r="AA72" s="95">
        <v>0</v>
      </c>
      <c r="AB72" s="96">
        <v>0</v>
      </c>
      <c r="AC72" s="97">
        <v>0</v>
      </c>
    </row>
    <row r="73" spans="1:29">
      <c r="A73" s="92"/>
      <c r="B73" s="93" t="s">
        <v>771</v>
      </c>
      <c r="C73" s="93">
        <v>8976</v>
      </c>
      <c r="D73" s="1">
        <v>4558</v>
      </c>
      <c r="E73" s="1">
        <v>8932</v>
      </c>
      <c r="F73" s="1">
        <v>7668</v>
      </c>
      <c r="G73" s="1">
        <v>0</v>
      </c>
      <c r="H73" s="1">
        <v>434</v>
      </c>
      <c r="I73" s="93">
        <v>30568</v>
      </c>
      <c r="J73" s="93">
        <v>0</v>
      </c>
      <c r="K73" s="1">
        <v>231236.5</v>
      </c>
      <c r="L73" s="1">
        <v>374614.1</v>
      </c>
      <c r="M73" s="1">
        <v>213640.5</v>
      </c>
      <c r="N73" s="93">
        <v>819491.1</v>
      </c>
      <c r="O73" s="93">
        <v>0</v>
      </c>
      <c r="P73" s="1">
        <v>0</v>
      </c>
      <c r="Q73" s="93">
        <v>0</v>
      </c>
      <c r="R73" s="93">
        <v>0</v>
      </c>
      <c r="S73" s="93">
        <v>0</v>
      </c>
      <c r="T73" s="94">
        <v>0</v>
      </c>
      <c r="U73" s="94">
        <v>0</v>
      </c>
      <c r="V73" s="94">
        <v>0</v>
      </c>
      <c r="W73" s="95">
        <v>0</v>
      </c>
      <c r="X73" s="94">
        <v>0</v>
      </c>
      <c r="Y73" s="94">
        <v>0</v>
      </c>
      <c r="Z73" s="94">
        <v>0</v>
      </c>
      <c r="AA73" s="95">
        <v>0</v>
      </c>
      <c r="AB73" s="96">
        <v>0</v>
      </c>
      <c r="AC73" s="97">
        <v>0</v>
      </c>
    </row>
    <row r="74" spans="1:29">
      <c r="A74" s="92"/>
      <c r="B74" s="102" t="s">
        <v>772</v>
      </c>
      <c r="C74" s="98">
        <v>3.7320018535276587E-3</v>
      </c>
      <c r="D74" s="99">
        <v>4.8259308551469012E-3</v>
      </c>
      <c r="E74" s="99">
        <v>6.4396054479984918E-3</v>
      </c>
      <c r="F74" s="99">
        <v>5.3093668642330914E-2</v>
      </c>
      <c r="G74" s="99">
        <v>0</v>
      </c>
      <c r="H74" s="99">
        <v>2.9867180510632441E-3</v>
      </c>
      <c r="I74" s="98">
        <v>5.7338897777489328E-3</v>
      </c>
      <c r="J74" s="98">
        <v>0</v>
      </c>
      <c r="K74" s="99">
        <v>0.11773833475942935</v>
      </c>
      <c r="L74" s="99">
        <v>0.23357004739622533</v>
      </c>
      <c r="M74" s="99">
        <v>0.2869080705128248</v>
      </c>
      <c r="N74" s="98">
        <v>0.19002785149858933</v>
      </c>
      <c r="O74" s="98">
        <v>0</v>
      </c>
      <c r="P74" s="99">
        <v>0</v>
      </c>
      <c r="Q74" s="98">
        <v>0</v>
      </c>
      <c r="R74" s="102">
        <v>0</v>
      </c>
      <c r="S74" s="102">
        <v>0</v>
      </c>
      <c r="T74" s="103">
        <v>0</v>
      </c>
      <c r="U74" s="103">
        <v>0</v>
      </c>
      <c r="V74" s="103">
        <v>0</v>
      </c>
      <c r="W74" s="104">
        <v>0</v>
      </c>
      <c r="X74" s="103">
        <v>0</v>
      </c>
      <c r="Y74" s="103">
        <v>0</v>
      </c>
      <c r="Z74" s="103">
        <v>0</v>
      </c>
      <c r="AA74" s="104">
        <v>0</v>
      </c>
      <c r="AB74" s="96">
        <v>0</v>
      </c>
      <c r="AC74" s="97">
        <v>0</v>
      </c>
    </row>
    <row r="75" spans="1:29">
      <c r="A75" s="92"/>
      <c r="B75" s="106" t="s">
        <v>773</v>
      </c>
      <c r="C75" s="107">
        <v>9.7608539735826675E-5</v>
      </c>
      <c r="D75" s="108">
        <v>1.0601468630377156E-3</v>
      </c>
      <c r="E75" s="108">
        <v>1.2822963310013882E-4</v>
      </c>
      <c r="F75" s="108">
        <v>7.4581126625394151E-4</v>
      </c>
      <c r="G75" s="108">
        <v>0</v>
      </c>
      <c r="H75" s="108">
        <v>2.9254143251590142E-3</v>
      </c>
      <c r="I75" s="107">
        <v>3.3402718858669637E-4</v>
      </c>
      <c r="J75" s="107">
        <v>0</v>
      </c>
      <c r="K75" s="108">
        <v>3.0123741120424014E-3</v>
      </c>
      <c r="L75" s="108">
        <v>4.133179529912212E-3</v>
      </c>
      <c r="M75" s="108">
        <v>-8.457046807423485E-3</v>
      </c>
      <c r="N75" s="107">
        <v>2.2988902298679004E-3</v>
      </c>
      <c r="O75" s="107">
        <v>0</v>
      </c>
      <c r="P75" s="108">
        <v>0</v>
      </c>
      <c r="Q75" s="107">
        <v>0</v>
      </c>
      <c r="R75" s="107">
        <v>0</v>
      </c>
      <c r="S75" s="107">
        <v>0</v>
      </c>
      <c r="T75" s="109">
        <v>0</v>
      </c>
      <c r="U75" s="109">
        <v>0</v>
      </c>
      <c r="V75" s="109">
        <v>0</v>
      </c>
      <c r="W75" s="110">
        <v>0</v>
      </c>
      <c r="X75" s="109">
        <v>0</v>
      </c>
      <c r="Y75" s="109">
        <v>0</v>
      </c>
      <c r="Z75" s="109">
        <v>0</v>
      </c>
      <c r="AA75" s="110">
        <v>0</v>
      </c>
      <c r="AB75" s="96">
        <v>0</v>
      </c>
      <c r="AC75" s="97">
        <v>0</v>
      </c>
    </row>
    <row r="76" spans="1:29">
      <c r="A76" s="91" t="s">
        <v>867</v>
      </c>
      <c r="B76" s="75" t="s">
        <v>767</v>
      </c>
      <c r="C76" s="75">
        <v>0</v>
      </c>
      <c r="D76" s="87">
        <v>0</v>
      </c>
      <c r="E76" s="87">
        <v>0</v>
      </c>
      <c r="F76" s="87">
        <v>0</v>
      </c>
      <c r="G76" s="87">
        <v>0</v>
      </c>
      <c r="H76" s="87">
        <v>0</v>
      </c>
      <c r="I76" s="75">
        <v>0</v>
      </c>
      <c r="J76" s="75">
        <v>0</v>
      </c>
      <c r="K76" s="87">
        <v>0</v>
      </c>
      <c r="L76" s="87">
        <v>0</v>
      </c>
      <c r="M76" s="87">
        <v>0</v>
      </c>
      <c r="N76" s="75">
        <v>0</v>
      </c>
      <c r="O76" s="75">
        <v>0</v>
      </c>
      <c r="P76" s="87">
        <v>0</v>
      </c>
      <c r="Q76" s="75">
        <v>0</v>
      </c>
      <c r="R76" s="75">
        <v>0</v>
      </c>
      <c r="S76" s="75">
        <v>0</v>
      </c>
      <c r="T76" s="83">
        <v>0</v>
      </c>
      <c r="U76" s="83">
        <v>0</v>
      </c>
      <c r="V76" s="83">
        <v>0</v>
      </c>
      <c r="W76" s="84">
        <v>0</v>
      </c>
      <c r="X76" s="83">
        <v>0</v>
      </c>
      <c r="Y76" s="83">
        <v>0</v>
      </c>
      <c r="Z76" s="83">
        <v>0</v>
      </c>
      <c r="AA76" s="84">
        <v>0</v>
      </c>
      <c r="AB76" s="85">
        <v>0</v>
      </c>
      <c r="AC76" s="86">
        <v>0</v>
      </c>
    </row>
    <row r="77" spans="1:29">
      <c r="A77" s="92"/>
      <c r="B77" s="93" t="s">
        <v>768</v>
      </c>
      <c r="C77" s="93">
        <v>0</v>
      </c>
      <c r="D77" s="1">
        <v>0</v>
      </c>
      <c r="E77" s="1">
        <v>0</v>
      </c>
      <c r="F77" s="1">
        <v>0</v>
      </c>
      <c r="G77" s="1">
        <v>0</v>
      </c>
      <c r="H77" s="1">
        <v>0</v>
      </c>
      <c r="I77" s="93">
        <v>0</v>
      </c>
      <c r="J77" s="93">
        <v>0</v>
      </c>
      <c r="K77" s="1">
        <v>0</v>
      </c>
      <c r="L77" s="1">
        <v>0</v>
      </c>
      <c r="M77" s="1">
        <v>0</v>
      </c>
      <c r="N77" s="93">
        <v>0</v>
      </c>
      <c r="O77" s="93">
        <v>0</v>
      </c>
      <c r="P77" s="1">
        <v>0</v>
      </c>
      <c r="Q77" s="93">
        <v>0</v>
      </c>
      <c r="R77" s="93">
        <v>0</v>
      </c>
      <c r="S77" s="93">
        <v>0</v>
      </c>
      <c r="T77" s="94">
        <v>0</v>
      </c>
      <c r="U77" s="94">
        <v>0</v>
      </c>
      <c r="V77" s="94">
        <v>0</v>
      </c>
      <c r="W77" s="95">
        <v>0</v>
      </c>
      <c r="X77" s="94">
        <v>0</v>
      </c>
      <c r="Y77" s="94">
        <v>0</v>
      </c>
      <c r="Z77" s="94">
        <v>0</v>
      </c>
      <c r="AA77" s="95">
        <v>0</v>
      </c>
      <c r="AB77" s="96">
        <v>0</v>
      </c>
      <c r="AC77" s="97">
        <v>0</v>
      </c>
    </row>
    <row r="78" spans="1:29">
      <c r="A78" s="92"/>
      <c r="B78" s="98" t="s">
        <v>769</v>
      </c>
      <c r="C78" s="98">
        <v>0</v>
      </c>
      <c r="D78" s="99">
        <v>0</v>
      </c>
      <c r="E78" s="99">
        <v>0</v>
      </c>
      <c r="F78" s="99">
        <v>0</v>
      </c>
      <c r="G78" s="99">
        <v>0</v>
      </c>
      <c r="H78" s="99">
        <v>0</v>
      </c>
      <c r="I78" s="98">
        <v>0</v>
      </c>
      <c r="J78" s="98">
        <v>0</v>
      </c>
      <c r="K78" s="99">
        <v>0</v>
      </c>
      <c r="L78" s="99">
        <v>0</v>
      </c>
      <c r="M78" s="99">
        <v>0</v>
      </c>
      <c r="N78" s="98">
        <v>0</v>
      </c>
      <c r="O78" s="98">
        <v>0</v>
      </c>
      <c r="P78" s="99">
        <v>0</v>
      </c>
      <c r="Q78" s="98">
        <v>0</v>
      </c>
      <c r="R78" s="98">
        <v>0</v>
      </c>
      <c r="S78" s="98">
        <v>0</v>
      </c>
      <c r="T78" s="100">
        <v>0</v>
      </c>
      <c r="U78" s="100">
        <v>0</v>
      </c>
      <c r="V78" s="100">
        <v>0</v>
      </c>
      <c r="W78" s="101">
        <v>0</v>
      </c>
      <c r="X78" s="100">
        <v>0</v>
      </c>
      <c r="Y78" s="100">
        <v>0</v>
      </c>
      <c r="Z78" s="100">
        <v>0</v>
      </c>
      <c r="AA78" s="101">
        <v>0</v>
      </c>
      <c r="AB78" s="96">
        <v>0</v>
      </c>
      <c r="AC78" s="97">
        <v>0</v>
      </c>
    </row>
    <row r="79" spans="1:29">
      <c r="A79" s="92"/>
      <c r="B79" s="93" t="s">
        <v>770</v>
      </c>
      <c r="C79" s="93">
        <v>0</v>
      </c>
      <c r="D79" s="1">
        <v>0</v>
      </c>
      <c r="E79" s="1">
        <v>0</v>
      </c>
      <c r="F79" s="1">
        <v>0</v>
      </c>
      <c r="G79" s="1">
        <v>0</v>
      </c>
      <c r="H79" s="1">
        <v>0</v>
      </c>
      <c r="I79" s="93">
        <v>0</v>
      </c>
      <c r="J79" s="93">
        <v>0</v>
      </c>
      <c r="K79" s="1">
        <v>0</v>
      </c>
      <c r="L79" s="1">
        <v>0</v>
      </c>
      <c r="M79" s="1">
        <v>0</v>
      </c>
      <c r="N79" s="93">
        <v>0</v>
      </c>
      <c r="O79" s="93">
        <v>0</v>
      </c>
      <c r="P79" s="1">
        <v>0</v>
      </c>
      <c r="Q79" s="93">
        <v>0</v>
      </c>
      <c r="R79" s="93">
        <v>0</v>
      </c>
      <c r="S79" s="93">
        <v>0</v>
      </c>
      <c r="T79" s="94">
        <v>0</v>
      </c>
      <c r="U79" s="94">
        <v>0</v>
      </c>
      <c r="V79" s="94">
        <v>0</v>
      </c>
      <c r="W79" s="95">
        <v>0</v>
      </c>
      <c r="X79" s="94">
        <v>0</v>
      </c>
      <c r="Y79" s="94">
        <v>0</v>
      </c>
      <c r="Z79" s="94">
        <v>0</v>
      </c>
      <c r="AA79" s="95">
        <v>0</v>
      </c>
      <c r="AB79" s="96">
        <v>0</v>
      </c>
      <c r="AC79" s="97">
        <v>0</v>
      </c>
    </row>
    <row r="80" spans="1:29">
      <c r="A80" s="92"/>
      <c r="B80" s="93" t="s">
        <v>771</v>
      </c>
      <c r="C80" s="93">
        <v>0</v>
      </c>
      <c r="D80" s="1">
        <v>0</v>
      </c>
      <c r="E80" s="1">
        <v>0</v>
      </c>
      <c r="F80" s="1">
        <v>0</v>
      </c>
      <c r="G80" s="1">
        <v>0</v>
      </c>
      <c r="H80" s="1">
        <v>0</v>
      </c>
      <c r="I80" s="93">
        <v>0</v>
      </c>
      <c r="J80" s="93">
        <v>0</v>
      </c>
      <c r="K80" s="1">
        <v>0</v>
      </c>
      <c r="L80" s="1">
        <v>0</v>
      </c>
      <c r="M80" s="1">
        <v>0</v>
      </c>
      <c r="N80" s="93">
        <v>0</v>
      </c>
      <c r="O80" s="93">
        <v>0</v>
      </c>
      <c r="P80" s="1">
        <v>0</v>
      </c>
      <c r="Q80" s="93">
        <v>0</v>
      </c>
      <c r="R80" s="93">
        <v>0</v>
      </c>
      <c r="S80" s="93">
        <v>0</v>
      </c>
      <c r="T80" s="94">
        <v>0</v>
      </c>
      <c r="U80" s="94">
        <v>0</v>
      </c>
      <c r="V80" s="94">
        <v>0</v>
      </c>
      <c r="W80" s="95">
        <v>0</v>
      </c>
      <c r="X80" s="94">
        <v>0</v>
      </c>
      <c r="Y80" s="94">
        <v>0</v>
      </c>
      <c r="Z80" s="94">
        <v>0</v>
      </c>
      <c r="AA80" s="95">
        <v>0</v>
      </c>
      <c r="AB80" s="96">
        <v>0</v>
      </c>
      <c r="AC80" s="97">
        <v>0</v>
      </c>
    </row>
    <row r="81" spans="1:29">
      <c r="A81" s="92"/>
      <c r="B81" s="102" t="s">
        <v>772</v>
      </c>
      <c r="C81" s="98">
        <v>0</v>
      </c>
      <c r="D81" s="99">
        <v>0</v>
      </c>
      <c r="E81" s="99">
        <v>0</v>
      </c>
      <c r="F81" s="99">
        <v>0</v>
      </c>
      <c r="G81" s="99">
        <v>0</v>
      </c>
      <c r="H81" s="99">
        <v>0</v>
      </c>
      <c r="I81" s="98">
        <v>0</v>
      </c>
      <c r="J81" s="98">
        <v>0</v>
      </c>
      <c r="K81" s="99">
        <v>0</v>
      </c>
      <c r="L81" s="99">
        <v>0</v>
      </c>
      <c r="M81" s="99">
        <v>0</v>
      </c>
      <c r="N81" s="98">
        <v>0</v>
      </c>
      <c r="O81" s="98">
        <v>0</v>
      </c>
      <c r="P81" s="99">
        <v>0</v>
      </c>
      <c r="Q81" s="98">
        <v>0</v>
      </c>
      <c r="R81" s="102">
        <v>0</v>
      </c>
      <c r="S81" s="102">
        <v>0</v>
      </c>
      <c r="T81" s="103">
        <v>0</v>
      </c>
      <c r="U81" s="103">
        <v>0</v>
      </c>
      <c r="V81" s="103">
        <v>0</v>
      </c>
      <c r="W81" s="104">
        <v>0</v>
      </c>
      <c r="X81" s="103">
        <v>0</v>
      </c>
      <c r="Y81" s="103">
        <v>0</v>
      </c>
      <c r="Z81" s="103">
        <v>0</v>
      </c>
      <c r="AA81" s="104">
        <v>0</v>
      </c>
      <c r="AB81" s="96">
        <v>0</v>
      </c>
      <c r="AC81" s="97">
        <v>0</v>
      </c>
    </row>
    <row r="82" spans="1:29">
      <c r="A82" s="92"/>
      <c r="B82" s="106" t="s">
        <v>773</v>
      </c>
      <c r="C82" s="107">
        <v>0</v>
      </c>
      <c r="D82" s="108">
        <v>0</v>
      </c>
      <c r="E82" s="108">
        <v>0</v>
      </c>
      <c r="F82" s="108">
        <v>0</v>
      </c>
      <c r="G82" s="108">
        <v>0</v>
      </c>
      <c r="H82" s="108">
        <v>0</v>
      </c>
      <c r="I82" s="107">
        <v>0</v>
      </c>
      <c r="J82" s="107">
        <v>0</v>
      </c>
      <c r="K82" s="108">
        <v>0</v>
      </c>
      <c r="L82" s="108">
        <v>0</v>
      </c>
      <c r="M82" s="108">
        <v>0</v>
      </c>
      <c r="N82" s="107">
        <v>0</v>
      </c>
      <c r="O82" s="107">
        <v>0</v>
      </c>
      <c r="P82" s="108">
        <v>0</v>
      </c>
      <c r="Q82" s="107">
        <v>0</v>
      </c>
      <c r="R82" s="107">
        <v>0</v>
      </c>
      <c r="S82" s="107">
        <v>0</v>
      </c>
      <c r="T82" s="109">
        <v>0</v>
      </c>
      <c r="U82" s="109">
        <v>0</v>
      </c>
      <c r="V82" s="109">
        <v>0</v>
      </c>
      <c r="W82" s="110">
        <v>0</v>
      </c>
      <c r="X82" s="109">
        <v>0</v>
      </c>
      <c r="Y82" s="109">
        <v>0</v>
      </c>
      <c r="Z82" s="109">
        <v>0</v>
      </c>
      <c r="AA82" s="110">
        <v>0</v>
      </c>
      <c r="AB82" s="96">
        <v>0</v>
      </c>
      <c r="AC82" s="97">
        <v>0</v>
      </c>
    </row>
    <row r="83" spans="1:29">
      <c r="A83" s="91" t="s">
        <v>489</v>
      </c>
      <c r="B83" s="75" t="s">
        <v>767</v>
      </c>
      <c r="C83" s="75">
        <v>1466593</v>
      </c>
      <c r="D83" s="87">
        <v>0</v>
      </c>
      <c r="E83" s="87">
        <v>510901.5</v>
      </c>
      <c r="F83" s="87">
        <v>283759</v>
      </c>
      <c r="G83" s="87">
        <v>235917</v>
      </c>
      <c r="H83" s="87">
        <v>302199</v>
      </c>
      <c r="I83" s="75">
        <v>2799369.5</v>
      </c>
      <c r="J83" s="75">
        <v>0</v>
      </c>
      <c r="K83" s="87">
        <v>816309</v>
      </c>
      <c r="L83" s="87">
        <v>573968</v>
      </c>
      <c r="M83" s="87">
        <v>288830</v>
      </c>
      <c r="N83" s="75">
        <v>1679107</v>
      </c>
      <c r="O83" s="75">
        <v>0</v>
      </c>
      <c r="P83" s="87">
        <v>0</v>
      </c>
      <c r="Q83" s="75">
        <v>0</v>
      </c>
      <c r="R83" s="75">
        <v>0</v>
      </c>
      <c r="S83" s="75">
        <v>0</v>
      </c>
      <c r="T83" s="83">
        <v>0</v>
      </c>
      <c r="U83" s="83">
        <v>0</v>
      </c>
      <c r="V83" s="83">
        <v>0</v>
      </c>
      <c r="W83" s="84">
        <v>0</v>
      </c>
      <c r="X83" s="83">
        <v>0</v>
      </c>
      <c r="Y83" s="83">
        <v>0</v>
      </c>
      <c r="Z83" s="83">
        <v>0</v>
      </c>
      <c r="AA83" s="84">
        <v>0</v>
      </c>
      <c r="AB83" s="85">
        <v>0</v>
      </c>
      <c r="AC83" s="86">
        <v>0</v>
      </c>
    </row>
    <row r="84" spans="1:29">
      <c r="A84" s="92"/>
      <c r="B84" s="93" t="s">
        <v>768</v>
      </c>
      <c r="C84" s="93">
        <v>224</v>
      </c>
      <c r="D84" s="1">
        <v>0</v>
      </c>
      <c r="E84" s="1">
        <v>1890</v>
      </c>
      <c r="F84" s="1">
        <v>2560</v>
      </c>
      <c r="G84" s="1">
        <v>7015</v>
      </c>
      <c r="H84" s="1">
        <v>6400</v>
      </c>
      <c r="I84" s="93">
        <v>18089</v>
      </c>
      <c r="J84" s="93">
        <v>0</v>
      </c>
      <c r="K84" s="1">
        <v>71418</v>
      </c>
      <c r="L84" s="1">
        <v>56812</v>
      </c>
      <c r="M84" s="1">
        <v>69932</v>
      </c>
      <c r="N84" s="93">
        <v>198162</v>
      </c>
      <c r="O84" s="93">
        <v>0</v>
      </c>
      <c r="P84" s="1">
        <v>0</v>
      </c>
      <c r="Q84" s="93">
        <v>0</v>
      </c>
      <c r="R84" s="93">
        <v>0</v>
      </c>
      <c r="S84" s="93">
        <v>0</v>
      </c>
      <c r="T84" s="94">
        <v>0</v>
      </c>
      <c r="U84" s="94">
        <v>0</v>
      </c>
      <c r="V84" s="94">
        <v>0</v>
      </c>
      <c r="W84" s="95">
        <v>0</v>
      </c>
      <c r="X84" s="94">
        <v>0</v>
      </c>
      <c r="Y84" s="94">
        <v>0</v>
      </c>
      <c r="Z84" s="94">
        <v>0</v>
      </c>
      <c r="AA84" s="95">
        <v>0</v>
      </c>
      <c r="AB84" s="96">
        <v>0</v>
      </c>
      <c r="AC84" s="97">
        <v>0</v>
      </c>
    </row>
    <row r="85" spans="1:29">
      <c r="A85" s="92"/>
      <c r="B85" s="98" t="s">
        <v>769</v>
      </c>
      <c r="C85" s="98">
        <v>1.5273494418696938E-4</v>
      </c>
      <c r="D85" s="99">
        <v>0</v>
      </c>
      <c r="E85" s="99">
        <v>3.6993432197791553E-3</v>
      </c>
      <c r="F85" s="99">
        <v>9.0217402796034657E-3</v>
      </c>
      <c r="G85" s="99">
        <v>2.9735033931425035E-2</v>
      </c>
      <c r="H85" s="99">
        <v>2.1178097875902965E-2</v>
      </c>
      <c r="I85" s="98">
        <v>6.4618122044981918E-3</v>
      </c>
      <c r="J85" s="98">
        <v>0</v>
      </c>
      <c r="K85" s="99">
        <v>8.7488928824746515E-2</v>
      </c>
      <c r="L85" s="99">
        <v>9.8981127867755689E-2</v>
      </c>
      <c r="M85" s="99">
        <v>0.2421216632621265</v>
      </c>
      <c r="N85" s="98">
        <v>0.11801630271328747</v>
      </c>
      <c r="O85" s="98">
        <v>0</v>
      </c>
      <c r="P85" s="99">
        <v>0</v>
      </c>
      <c r="Q85" s="98">
        <v>0</v>
      </c>
      <c r="R85" s="98">
        <v>0</v>
      </c>
      <c r="S85" s="98">
        <v>0</v>
      </c>
      <c r="T85" s="100">
        <v>0</v>
      </c>
      <c r="U85" s="100">
        <v>0</v>
      </c>
      <c r="V85" s="100">
        <v>0</v>
      </c>
      <c r="W85" s="101">
        <v>0</v>
      </c>
      <c r="X85" s="100">
        <v>0</v>
      </c>
      <c r="Y85" s="100">
        <v>0</v>
      </c>
      <c r="Z85" s="100">
        <v>0</v>
      </c>
      <c r="AA85" s="101">
        <v>0</v>
      </c>
      <c r="AB85" s="96">
        <v>0</v>
      </c>
      <c r="AC85" s="97">
        <v>0</v>
      </c>
    </row>
    <row r="86" spans="1:29">
      <c r="A86" s="92"/>
      <c r="B86" s="93" t="s">
        <v>770</v>
      </c>
      <c r="C86" s="93">
        <v>1469605</v>
      </c>
      <c r="D86" s="1">
        <v>0</v>
      </c>
      <c r="E86" s="1">
        <v>499039</v>
      </c>
      <c r="F86" s="1">
        <v>282992</v>
      </c>
      <c r="G86" s="1">
        <v>224379</v>
      </c>
      <c r="H86" s="1">
        <v>292326.5</v>
      </c>
      <c r="I86" s="93">
        <v>2768341.5</v>
      </c>
      <c r="J86" s="93">
        <v>0</v>
      </c>
      <c r="K86" s="1">
        <v>772483</v>
      </c>
      <c r="L86" s="1">
        <v>551729</v>
      </c>
      <c r="M86" s="1">
        <v>280318</v>
      </c>
      <c r="N86" s="93">
        <v>1604530</v>
      </c>
      <c r="O86" s="93">
        <v>0</v>
      </c>
      <c r="P86" s="1">
        <v>0</v>
      </c>
      <c r="Q86" s="93">
        <v>0</v>
      </c>
      <c r="R86" s="93">
        <v>0</v>
      </c>
      <c r="S86" s="93">
        <v>0</v>
      </c>
      <c r="T86" s="94">
        <v>0</v>
      </c>
      <c r="U86" s="94">
        <v>0</v>
      </c>
      <c r="V86" s="94">
        <v>0</v>
      </c>
      <c r="W86" s="95">
        <v>0</v>
      </c>
      <c r="X86" s="94">
        <v>0</v>
      </c>
      <c r="Y86" s="94">
        <v>0</v>
      </c>
      <c r="Z86" s="94">
        <v>0</v>
      </c>
      <c r="AA86" s="95">
        <v>0</v>
      </c>
      <c r="AB86" s="96">
        <v>0</v>
      </c>
      <c r="AC86" s="97">
        <v>0</v>
      </c>
    </row>
    <row r="87" spans="1:29">
      <c r="A87" s="92"/>
      <c r="B87" s="93" t="s">
        <v>771</v>
      </c>
      <c r="C87" s="93">
        <v>235</v>
      </c>
      <c r="D87" s="1">
        <v>0</v>
      </c>
      <c r="E87" s="1">
        <v>1594</v>
      </c>
      <c r="F87" s="1">
        <v>2472</v>
      </c>
      <c r="G87" s="1">
        <v>7843</v>
      </c>
      <c r="H87" s="1">
        <v>7071</v>
      </c>
      <c r="I87" s="93">
        <v>19215</v>
      </c>
      <c r="J87" s="93">
        <v>0</v>
      </c>
      <c r="K87" s="1">
        <v>76667</v>
      </c>
      <c r="L87" s="1">
        <v>57949</v>
      </c>
      <c r="M87" s="1">
        <v>74469</v>
      </c>
      <c r="N87" s="93">
        <v>209085</v>
      </c>
      <c r="O87" s="93">
        <v>0</v>
      </c>
      <c r="P87" s="1">
        <v>0</v>
      </c>
      <c r="Q87" s="93">
        <v>0</v>
      </c>
      <c r="R87" s="93">
        <v>0</v>
      </c>
      <c r="S87" s="93">
        <v>0</v>
      </c>
      <c r="T87" s="94">
        <v>0</v>
      </c>
      <c r="U87" s="94">
        <v>0</v>
      </c>
      <c r="V87" s="94">
        <v>0</v>
      </c>
      <c r="W87" s="95">
        <v>0</v>
      </c>
      <c r="X87" s="94">
        <v>0</v>
      </c>
      <c r="Y87" s="94">
        <v>0</v>
      </c>
      <c r="Z87" s="94">
        <v>0</v>
      </c>
      <c r="AA87" s="95">
        <v>0</v>
      </c>
      <c r="AB87" s="96">
        <v>0</v>
      </c>
      <c r="AC87" s="97">
        <v>0</v>
      </c>
    </row>
    <row r="88" spans="1:29">
      <c r="A88" s="92"/>
      <c r="B88" s="102" t="s">
        <v>772</v>
      </c>
      <c r="C88" s="98">
        <v>1.5990691376254165E-4</v>
      </c>
      <c r="D88" s="99">
        <v>0</v>
      </c>
      <c r="E88" s="99">
        <v>3.1941391354182737E-3</v>
      </c>
      <c r="F88" s="99">
        <v>8.7352292644315033E-3</v>
      </c>
      <c r="G88" s="99">
        <v>3.4954251511950765E-2</v>
      </c>
      <c r="H88" s="99">
        <v>2.4188706805575274E-2</v>
      </c>
      <c r="I88" s="98">
        <v>6.940978921856281E-3</v>
      </c>
      <c r="J88" s="98">
        <v>0</v>
      </c>
      <c r="K88" s="99">
        <v>9.9247491530557952E-2</v>
      </c>
      <c r="L88" s="99">
        <v>0.10503163690869974</v>
      </c>
      <c r="M88" s="99">
        <v>0.26565900156251115</v>
      </c>
      <c r="N88" s="98">
        <v>0.13030918711398354</v>
      </c>
      <c r="O88" s="98">
        <v>0</v>
      </c>
      <c r="P88" s="99">
        <v>0</v>
      </c>
      <c r="Q88" s="98">
        <v>0</v>
      </c>
      <c r="R88" s="102">
        <v>0</v>
      </c>
      <c r="S88" s="102">
        <v>0</v>
      </c>
      <c r="T88" s="103">
        <v>0</v>
      </c>
      <c r="U88" s="103">
        <v>0</v>
      </c>
      <c r="V88" s="103">
        <v>0</v>
      </c>
      <c r="W88" s="104">
        <v>0</v>
      </c>
      <c r="X88" s="103">
        <v>0</v>
      </c>
      <c r="Y88" s="103">
        <v>0</v>
      </c>
      <c r="Z88" s="103">
        <v>0</v>
      </c>
      <c r="AA88" s="104">
        <v>0</v>
      </c>
      <c r="AB88" s="96">
        <v>0</v>
      </c>
      <c r="AC88" s="97">
        <v>0</v>
      </c>
    </row>
    <row r="89" spans="1:29">
      <c r="A89" s="92"/>
      <c r="B89" s="106" t="s">
        <v>773</v>
      </c>
      <c r="C89" s="107">
        <v>7.1719695755722711E-6</v>
      </c>
      <c r="D89" s="108">
        <v>0</v>
      </c>
      <c r="E89" s="108">
        <v>-5.0520408436088154E-4</v>
      </c>
      <c r="F89" s="108">
        <v>-2.8651101517196235E-4</v>
      </c>
      <c r="G89" s="108">
        <v>5.2192175805257299E-3</v>
      </c>
      <c r="H89" s="108">
        <v>3.0106089296723093E-3</v>
      </c>
      <c r="I89" s="107">
        <v>4.7916671735808922E-4</v>
      </c>
      <c r="J89" s="107">
        <v>0</v>
      </c>
      <c r="K89" s="108">
        <v>1.1758562705811437E-2</v>
      </c>
      <c r="L89" s="108">
        <v>6.0505090409440493E-3</v>
      </c>
      <c r="M89" s="108">
        <v>2.3537338300384653E-2</v>
      </c>
      <c r="N89" s="107">
        <v>1.2292884400696064E-2</v>
      </c>
      <c r="O89" s="107">
        <v>0</v>
      </c>
      <c r="P89" s="108">
        <v>0</v>
      </c>
      <c r="Q89" s="107">
        <v>0</v>
      </c>
      <c r="R89" s="107">
        <v>0</v>
      </c>
      <c r="S89" s="107">
        <v>0</v>
      </c>
      <c r="T89" s="109">
        <v>0</v>
      </c>
      <c r="U89" s="109">
        <v>0</v>
      </c>
      <c r="V89" s="109">
        <v>0</v>
      </c>
      <c r="W89" s="110">
        <v>0</v>
      </c>
      <c r="X89" s="109">
        <v>0</v>
      </c>
      <c r="Y89" s="109">
        <v>0</v>
      </c>
      <c r="Z89" s="109">
        <v>0</v>
      </c>
      <c r="AA89" s="110">
        <v>0</v>
      </c>
      <c r="AB89" s="96">
        <v>0</v>
      </c>
      <c r="AC89" s="97">
        <v>0</v>
      </c>
    </row>
    <row r="90" spans="1:29">
      <c r="A90" s="91" t="s">
        <v>359</v>
      </c>
      <c r="B90" s="75" t="s">
        <v>767</v>
      </c>
      <c r="C90" s="75">
        <v>1104659.5</v>
      </c>
      <c r="D90" s="87">
        <v>969964</v>
      </c>
      <c r="E90" s="87">
        <v>771745</v>
      </c>
      <c r="F90" s="87">
        <v>161529</v>
      </c>
      <c r="G90" s="87">
        <v>0</v>
      </c>
      <c r="H90" s="87">
        <v>0</v>
      </c>
      <c r="I90" s="75">
        <v>3007897.5</v>
      </c>
      <c r="J90" s="75">
        <v>0</v>
      </c>
      <c r="K90" s="87">
        <v>852295.5</v>
      </c>
      <c r="L90" s="87">
        <v>764588</v>
      </c>
      <c r="M90" s="87">
        <v>51539</v>
      </c>
      <c r="N90" s="75">
        <v>1668422.5</v>
      </c>
      <c r="O90" s="75">
        <v>0</v>
      </c>
      <c r="P90" s="87">
        <v>0</v>
      </c>
      <c r="Q90" s="75">
        <v>0</v>
      </c>
      <c r="R90" s="75">
        <v>0</v>
      </c>
      <c r="S90" s="75">
        <v>0</v>
      </c>
      <c r="T90" s="83">
        <v>0</v>
      </c>
      <c r="U90" s="83">
        <v>0</v>
      </c>
      <c r="V90" s="83">
        <v>0</v>
      </c>
      <c r="W90" s="84">
        <v>0</v>
      </c>
      <c r="X90" s="83">
        <v>0</v>
      </c>
      <c r="Y90" s="83">
        <v>0</v>
      </c>
      <c r="Z90" s="83">
        <v>0</v>
      </c>
      <c r="AA90" s="84">
        <v>0</v>
      </c>
      <c r="AB90" s="85">
        <v>0</v>
      </c>
      <c r="AC90" s="86">
        <v>0</v>
      </c>
    </row>
    <row r="91" spans="1:29">
      <c r="A91" s="92"/>
      <c r="B91" s="93" t="s">
        <v>768</v>
      </c>
      <c r="C91" s="93">
        <v>14303</v>
      </c>
      <c r="D91" s="1">
        <v>15039</v>
      </c>
      <c r="E91" s="1">
        <v>11793</v>
      </c>
      <c r="F91" s="1">
        <v>9560</v>
      </c>
      <c r="G91" s="1">
        <v>0</v>
      </c>
      <c r="H91" s="1">
        <v>0</v>
      </c>
      <c r="I91" s="93">
        <v>50695</v>
      </c>
      <c r="J91" s="93">
        <v>0</v>
      </c>
      <c r="K91" s="1">
        <v>56039.5</v>
      </c>
      <c r="L91" s="1">
        <v>85602</v>
      </c>
      <c r="M91" s="1">
        <v>5504</v>
      </c>
      <c r="N91" s="93">
        <v>147145.5</v>
      </c>
      <c r="O91" s="93">
        <v>0</v>
      </c>
      <c r="P91" s="1">
        <v>0</v>
      </c>
      <c r="Q91" s="93">
        <v>0</v>
      </c>
      <c r="R91" s="93">
        <v>0</v>
      </c>
      <c r="S91" s="93">
        <v>0</v>
      </c>
      <c r="T91" s="94">
        <v>0</v>
      </c>
      <c r="U91" s="94">
        <v>0</v>
      </c>
      <c r="V91" s="94">
        <v>0</v>
      </c>
      <c r="W91" s="95">
        <v>0</v>
      </c>
      <c r="X91" s="94">
        <v>0</v>
      </c>
      <c r="Y91" s="94">
        <v>0</v>
      </c>
      <c r="Z91" s="94">
        <v>0</v>
      </c>
      <c r="AA91" s="95">
        <v>0</v>
      </c>
      <c r="AB91" s="96">
        <v>0</v>
      </c>
      <c r="AC91" s="97">
        <v>0</v>
      </c>
    </row>
    <row r="92" spans="1:29">
      <c r="A92" s="92"/>
      <c r="B92" s="98" t="s">
        <v>769</v>
      </c>
      <c r="C92" s="98">
        <v>1.2947881224938545E-2</v>
      </c>
      <c r="D92" s="99">
        <v>1.5504699143473365E-2</v>
      </c>
      <c r="E92" s="99">
        <v>1.52809542011934E-2</v>
      </c>
      <c r="F92" s="99">
        <v>5.9184418896916342E-2</v>
      </c>
      <c r="G92" s="99">
        <v>0</v>
      </c>
      <c r="H92" s="99">
        <v>0</v>
      </c>
      <c r="I92" s="98">
        <v>1.6853965269760688E-2</v>
      </c>
      <c r="J92" s="98">
        <v>0</v>
      </c>
      <c r="K92" s="99">
        <v>6.5751256459760724E-2</v>
      </c>
      <c r="L92" s="99">
        <v>0.11195833573113886</v>
      </c>
      <c r="M92" s="99">
        <v>0.1067929141038825</v>
      </c>
      <c r="N92" s="98">
        <v>8.8194387213071032E-2</v>
      </c>
      <c r="O92" s="98">
        <v>0</v>
      </c>
      <c r="P92" s="99">
        <v>0</v>
      </c>
      <c r="Q92" s="98">
        <v>0</v>
      </c>
      <c r="R92" s="98">
        <v>0</v>
      </c>
      <c r="S92" s="98">
        <v>0</v>
      </c>
      <c r="T92" s="100">
        <v>0</v>
      </c>
      <c r="U92" s="100">
        <v>0</v>
      </c>
      <c r="V92" s="100">
        <v>0</v>
      </c>
      <c r="W92" s="101">
        <v>0</v>
      </c>
      <c r="X92" s="100">
        <v>0</v>
      </c>
      <c r="Y92" s="100">
        <v>0</v>
      </c>
      <c r="Z92" s="100">
        <v>0</v>
      </c>
      <c r="AA92" s="101">
        <v>0</v>
      </c>
      <c r="AB92" s="96">
        <v>0</v>
      </c>
      <c r="AC92" s="97">
        <v>0</v>
      </c>
    </row>
    <row r="93" spans="1:29">
      <c r="A93" s="92"/>
      <c r="B93" s="93" t="s">
        <v>770</v>
      </c>
      <c r="C93" s="93">
        <v>1106593</v>
      </c>
      <c r="D93" s="1">
        <v>926523</v>
      </c>
      <c r="E93" s="1">
        <v>730100</v>
      </c>
      <c r="F93" s="1">
        <v>150869</v>
      </c>
      <c r="G93" s="1">
        <v>0</v>
      </c>
      <c r="H93" s="1">
        <v>0</v>
      </c>
      <c r="I93" s="93">
        <v>2914085</v>
      </c>
      <c r="J93" s="93">
        <v>0</v>
      </c>
      <c r="K93" s="1">
        <v>741242</v>
      </c>
      <c r="L93" s="1">
        <v>683813</v>
      </c>
      <c r="M93" s="1">
        <v>51816</v>
      </c>
      <c r="N93" s="93">
        <v>1476871</v>
      </c>
      <c r="O93" s="93">
        <v>0</v>
      </c>
      <c r="P93" s="1">
        <v>0</v>
      </c>
      <c r="Q93" s="93">
        <v>0</v>
      </c>
      <c r="R93" s="93">
        <v>0</v>
      </c>
      <c r="S93" s="93">
        <v>0</v>
      </c>
      <c r="T93" s="94">
        <v>0</v>
      </c>
      <c r="U93" s="94">
        <v>0</v>
      </c>
      <c r="V93" s="94">
        <v>0</v>
      </c>
      <c r="W93" s="95">
        <v>0</v>
      </c>
      <c r="X93" s="94">
        <v>0</v>
      </c>
      <c r="Y93" s="94">
        <v>0</v>
      </c>
      <c r="Z93" s="94">
        <v>0</v>
      </c>
      <c r="AA93" s="95">
        <v>0</v>
      </c>
      <c r="AB93" s="96">
        <v>0</v>
      </c>
      <c r="AC93" s="97">
        <v>0</v>
      </c>
    </row>
    <row r="94" spans="1:29">
      <c r="A94" s="92"/>
      <c r="B94" s="93" t="s">
        <v>771</v>
      </c>
      <c r="C94" s="93">
        <v>16053</v>
      </c>
      <c r="D94" s="1">
        <v>14084</v>
      </c>
      <c r="E94" s="1">
        <v>11967</v>
      </c>
      <c r="F94" s="1">
        <v>8627</v>
      </c>
      <c r="G94" s="1">
        <v>0</v>
      </c>
      <c r="H94" s="1">
        <v>0</v>
      </c>
      <c r="I94" s="93">
        <v>50731</v>
      </c>
      <c r="J94" s="93">
        <v>0</v>
      </c>
      <c r="K94" s="1">
        <v>54548</v>
      </c>
      <c r="L94" s="1">
        <v>81954</v>
      </c>
      <c r="M94" s="1">
        <v>5566</v>
      </c>
      <c r="N94" s="93">
        <v>142068</v>
      </c>
      <c r="O94" s="93">
        <v>0</v>
      </c>
      <c r="P94" s="1">
        <v>0</v>
      </c>
      <c r="Q94" s="93">
        <v>0</v>
      </c>
      <c r="R94" s="93">
        <v>0</v>
      </c>
      <c r="S94" s="93">
        <v>0</v>
      </c>
      <c r="T94" s="94">
        <v>0</v>
      </c>
      <c r="U94" s="94">
        <v>0</v>
      </c>
      <c r="V94" s="94">
        <v>0</v>
      </c>
      <c r="W94" s="95">
        <v>0</v>
      </c>
      <c r="X94" s="94">
        <v>0</v>
      </c>
      <c r="Y94" s="94">
        <v>0</v>
      </c>
      <c r="Z94" s="94">
        <v>0</v>
      </c>
      <c r="AA94" s="95">
        <v>0</v>
      </c>
      <c r="AB94" s="96">
        <v>0</v>
      </c>
      <c r="AC94" s="97">
        <v>0</v>
      </c>
    </row>
    <row r="95" spans="1:29">
      <c r="A95" s="92"/>
      <c r="B95" s="102" t="s">
        <v>772</v>
      </c>
      <c r="C95" s="98">
        <v>1.4506688547641275E-2</v>
      </c>
      <c r="D95" s="99">
        <v>1.5200917840139964E-2</v>
      </c>
      <c r="E95" s="99">
        <v>1.6390905355430762E-2</v>
      </c>
      <c r="F95" s="99">
        <v>5.7182058607135995E-2</v>
      </c>
      <c r="G95" s="99">
        <v>0</v>
      </c>
      <c r="H95" s="99">
        <v>0</v>
      </c>
      <c r="I95" s="98">
        <v>1.7408895073410695E-2</v>
      </c>
      <c r="J95" s="98">
        <v>0</v>
      </c>
      <c r="K95" s="99">
        <v>7.3590001645886235E-2</v>
      </c>
      <c r="L95" s="99">
        <v>0.11984855508742888</v>
      </c>
      <c r="M95" s="99">
        <v>0.10741855797437085</v>
      </c>
      <c r="N95" s="98">
        <v>9.6195266885191727E-2</v>
      </c>
      <c r="O95" s="98">
        <v>0</v>
      </c>
      <c r="P95" s="99">
        <v>0</v>
      </c>
      <c r="Q95" s="98">
        <v>0</v>
      </c>
      <c r="R95" s="102">
        <v>0</v>
      </c>
      <c r="S95" s="102">
        <v>0</v>
      </c>
      <c r="T95" s="103">
        <v>0</v>
      </c>
      <c r="U95" s="103">
        <v>0</v>
      </c>
      <c r="V95" s="103">
        <v>0</v>
      </c>
      <c r="W95" s="104">
        <v>0</v>
      </c>
      <c r="X95" s="103">
        <v>0</v>
      </c>
      <c r="Y95" s="103">
        <v>0</v>
      </c>
      <c r="Z95" s="103">
        <v>0</v>
      </c>
      <c r="AA95" s="104">
        <v>0</v>
      </c>
      <c r="AB95" s="96">
        <v>0</v>
      </c>
      <c r="AC95" s="97">
        <v>0</v>
      </c>
    </row>
    <row r="96" spans="1:29">
      <c r="A96" s="92"/>
      <c r="B96" s="106" t="s">
        <v>773</v>
      </c>
      <c r="C96" s="107">
        <v>1.5588073227027297E-3</v>
      </c>
      <c r="D96" s="108">
        <v>-3.037813033334013E-4</v>
      </c>
      <c r="E96" s="108">
        <v>1.1099511542373621E-3</v>
      </c>
      <c r="F96" s="108">
        <v>-2.0023602897803472E-3</v>
      </c>
      <c r="G96" s="108">
        <v>0</v>
      </c>
      <c r="H96" s="108">
        <v>0</v>
      </c>
      <c r="I96" s="107">
        <v>5.549298036500068E-4</v>
      </c>
      <c r="J96" s="107">
        <v>0</v>
      </c>
      <c r="K96" s="108">
        <v>7.838745186125512E-3</v>
      </c>
      <c r="L96" s="108">
        <v>7.8902193562900153E-3</v>
      </c>
      <c r="M96" s="108">
        <v>6.2564387048834325E-4</v>
      </c>
      <c r="N96" s="107">
        <v>8.0008796721206948E-3</v>
      </c>
      <c r="O96" s="107">
        <v>0</v>
      </c>
      <c r="P96" s="108">
        <v>0</v>
      </c>
      <c r="Q96" s="107">
        <v>0</v>
      </c>
      <c r="R96" s="107">
        <v>0</v>
      </c>
      <c r="S96" s="107">
        <v>0</v>
      </c>
      <c r="T96" s="109">
        <v>0</v>
      </c>
      <c r="U96" s="109">
        <v>0</v>
      </c>
      <c r="V96" s="109">
        <v>0</v>
      </c>
      <c r="W96" s="110">
        <v>0</v>
      </c>
      <c r="X96" s="109">
        <v>0</v>
      </c>
      <c r="Y96" s="109">
        <v>0</v>
      </c>
      <c r="Z96" s="109">
        <v>0</v>
      </c>
      <c r="AA96" s="110">
        <v>0</v>
      </c>
      <c r="AB96" s="96">
        <v>0</v>
      </c>
      <c r="AC96" s="97">
        <v>0</v>
      </c>
    </row>
    <row r="97" spans="1:29">
      <c r="A97" s="91" t="s">
        <v>521</v>
      </c>
      <c r="B97" s="75" t="s">
        <v>767</v>
      </c>
      <c r="C97" s="75">
        <v>7381823</v>
      </c>
      <c r="D97" s="87">
        <v>1631238</v>
      </c>
      <c r="E97" s="87">
        <v>4129716</v>
      </c>
      <c r="F97" s="87">
        <v>626989</v>
      </c>
      <c r="G97" s="87">
        <v>64897</v>
      </c>
      <c r="H97" s="87">
        <v>0</v>
      </c>
      <c r="I97" s="75">
        <v>13834663</v>
      </c>
      <c r="J97" s="75">
        <v>745813</v>
      </c>
      <c r="K97" s="87">
        <v>9894310</v>
      </c>
      <c r="L97" s="87">
        <v>2369322</v>
      </c>
      <c r="M97" s="87">
        <v>399029</v>
      </c>
      <c r="N97" s="75">
        <v>13408474</v>
      </c>
      <c r="O97" s="75">
        <v>2096776</v>
      </c>
      <c r="P97" s="87">
        <v>2096776</v>
      </c>
      <c r="Q97" s="75">
        <v>0</v>
      </c>
      <c r="R97" s="75">
        <v>0</v>
      </c>
      <c r="S97" s="75">
        <v>0</v>
      </c>
      <c r="T97" s="83">
        <v>0</v>
      </c>
      <c r="U97" s="83">
        <v>0</v>
      </c>
      <c r="V97" s="83">
        <v>1837716</v>
      </c>
      <c r="W97" s="84">
        <v>1837716</v>
      </c>
      <c r="X97" s="83">
        <v>155619</v>
      </c>
      <c r="Y97" s="83">
        <v>155619</v>
      </c>
      <c r="Z97" s="83">
        <v>103441</v>
      </c>
      <c r="AA97" s="84">
        <v>103441</v>
      </c>
      <c r="AB97" s="85">
        <v>0</v>
      </c>
      <c r="AC97" s="86">
        <v>0</v>
      </c>
    </row>
    <row r="98" spans="1:29">
      <c r="A98" s="92"/>
      <c r="B98" s="93" t="s">
        <v>768</v>
      </c>
      <c r="C98" s="93">
        <v>6307</v>
      </c>
      <c r="D98" s="1">
        <v>12311</v>
      </c>
      <c r="E98" s="1">
        <v>100398</v>
      </c>
      <c r="F98" s="1">
        <v>784</v>
      </c>
      <c r="G98" s="1">
        <v>0</v>
      </c>
      <c r="H98" s="1">
        <v>0</v>
      </c>
      <c r="I98" s="93">
        <v>119800</v>
      </c>
      <c r="J98" s="93">
        <v>240909</v>
      </c>
      <c r="K98" s="1">
        <v>1511857</v>
      </c>
      <c r="L98" s="1">
        <v>474017</v>
      </c>
      <c r="M98" s="1">
        <v>77274</v>
      </c>
      <c r="N98" s="93">
        <v>2304057</v>
      </c>
      <c r="O98" s="93">
        <v>330131</v>
      </c>
      <c r="P98" s="1">
        <v>330131</v>
      </c>
      <c r="Q98" s="93">
        <v>0</v>
      </c>
      <c r="R98" s="93">
        <v>0</v>
      </c>
      <c r="S98" s="93">
        <v>0</v>
      </c>
      <c r="T98" s="94">
        <v>0</v>
      </c>
      <c r="U98" s="94">
        <v>0</v>
      </c>
      <c r="V98" s="94">
        <v>287923</v>
      </c>
      <c r="W98" s="95">
        <v>287923</v>
      </c>
      <c r="X98" s="94">
        <v>29060</v>
      </c>
      <c r="Y98" s="94">
        <v>29060</v>
      </c>
      <c r="Z98" s="94">
        <v>13148</v>
      </c>
      <c r="AA98" s="95">
        <v>13148</v>
      </c>
      <c r="AB98" s="96">
        <v>0</v>
      </c>
      <c r="AC98" s="97">
        <v>0</v>
      </c>
    </row>
    <row r="99" spans="1:29">
      <c r="A99" s="92"/>
      <c r="B99" s="98" t="s">
        <v>769</v>
      </c>
      <c r="C99" s="98">
        <v>8.5439599405187584E-4</v>
      </c>
      <c r="D99" s="99">
        <v>7.5470286984486625E-3</v>
      </c>
      <c r="E99" s="99">
        <v>2.431111485632426E-2</v>
      </c>
      <c r="F99" s="99">
        <v>1.2504206612875186E-3</v>
      </c>
      <c r="G99" s="99">
        <v>0</v>
      </c>
      <c r="H99" s="99">
        <v>0</v>
      </c>
      <c r="I99" s="98">
        <v>8.6594086173259147E-3</v>
      </c>
      <c r="J99" s="98">
        <v>0.32301528667373725</v>
      </c>
      <c r="K99" s="99">
        <v>0.15280065007059612</v>
      </c>
      <c r="L99" s="99">
        <v>0.20006440661083635</v>
      </c>
      <c r="M99" s="99">
        <v>0.19365509774978762</v>
      </c>
      <c r="N99" s="98">
        <v>0.17183588527672874</v>
      </c>
      <c r="O99" s="98">
        <v>0.15744695666108349</v>
      </c>
      <c r="P99" s="99">
        <v>0.15744695666108349</v>
      </c>
      <c r="Q99" s="98">
        <v>0</v>
      </c>
      <c r="R99" s="98">
        <v>0</v>
      </c>
      <c r="S99" s="98">
        <v>0</v>
      </c>
      <c r="T99" s="100">
        <v>0</v>
      </c>
      <c r="U99" s="100">
        <v>0</v>
      </c>
      <c r="V99" s="100">
        <v>0.15667437188335956</v>
      </c>
      <c r="W99" s="101">
        <v>0.15667437188335956</v>
      </c>
      <c r="X99" s="100">
        <v>0.18673812323687983</v>
      </c>
      <c r="Y99" s="100">
        <v>0.18673812323687983</v>
      </c>
      <c r="Z99" s="100">
        <v>0.12710627314121092</v>
      </c>
      <c r="AA99" s="101">
        <v>0.12710627314121092</v>
      </c>
      <c r="AB99" s="96">
        <v>0</v>
      </c>
      <c r="AC99" s="97">
        <v>0</v>
      </c>
    </row>
    <row r="100" spans="1:29">
      <c r="A100" s="92"/>
      <c r="B100" s="93" t="s">
        <v>770</v>
      </c>
      <c r="C100" s="93">
        <v>7293246</v>
      </c>
      <c r="D100" s="1">
        <v>1558115</v>
      </c>
      <c r="E100" s="1">
        <v>3964517</v>
      </c>
      <c r="F100" s="1">
        <v>621858</v>
      </c>
      <c r="G100" s="1">
        <v>63037</v>
      </c>
      <c r="H100" s="1">
        <v>0</v>
      </c>
      <c r="I100" s="93">
        <v>13500773</v>
      </c>
      <c r="J100" s="93">
        <v>676958</v>
      </c>
      <c r="K100" s="1">
        <v>8081152</v>
      </c>
      <c r="L100" s="1">
        <v>2133895</v>
      </c>
      <c r="M100" s="1">
        <v>395796</v>
      </c>
      <c r="N100" s="93">
        <v>11287801</v>
      </c>
      <c r="O100" s="93">
        <v>0</v>
      </c>
      <c r="P100" s="1">
        <v>0</v>
      </c>
      <c r="Q100" s="93">
        <v>0</v>
      </c>
      <c r="R100" s="93">
        <v>0</v>
      </c>
      <c r="S100" s="93">
        <v>0</v>
      </c>
      <c r="T100" s="94">
        <v>0</v>
      </c>
      <c r="U100" s="94">
        <v>0</v>
      </c>
      <c r="V100" s="94">
        <v>0</v>
      </c>
      <c r="W100" s="95">
        <v>0</v>
      </c>
      <c r="X100" s="94">
        <v>0</v>
      </c>
      <c r="Y100" s="94">
        <v>0</v>
      </c>
      <c r="Z100" s="94">
        <v>0</v>
      </c>
      <c r="AA100" s="95">
        <v>0</v>
      </c>
      <c r="AB100" s="96">
        <v>0</v>
      </c>
      <c r="AC100" s="97">
        <v>0</v>
      </c>
    </row>
    <row r="101" spans="1:29">
      <c r="A101" s="92"/>
      <c r="B101" s="93" t="s">
        <v>771</v>
      </c>
      <c r="C101" s="93">
        <v>5838</v>
      </c>
      <c r="D101" s="1">
        <v>12917</v>
      </c>
      <c r="E101" s="1">
        <v>97140</v>
      </c>
      <c r="F101" s="1">
        <v>2025</v>
      </c>
      <c r="G101" s="1">
        <v>0</v>
      </c>
      <c r="H101" s="1">
        <v>0</v>
      </c>
      <c r="I101" s="93">
        <v>117920</v>
      </c>
      <c r="J101" s="93">
        <v>201361</v>
      </c>
      <c r="K101" s="1">
        <v>1359836</v>
      </c>
      <c r="L101" s="1">
        <v>478173</v>
      </c>
      <c r="M101" s="1">
        <v>82225</v>
      </c>
      <c r="N101" s="93">
        <v>2121595</v>
      </c>
      <c r="O101" s="93">
        <v>0</v>
      </c>
      <c r="P101" s="1">
        <v>0</v>
      </c>
      <c r="Q101" s="93">
        <v>0</v>
      </c>
      <c r="R101" s="93">
        <v>0</v>
      </c>
      <c r="S101" s="93">
        <v>0</v>
      </c>
      <c r="T101" s="94">
        <v>0</v>
      </c>
      <c r="U101" s="94">
        <v>0</v>
      </c>
      <c r="V101" s="94">
        <v>0</v>
      </c>
      <c r="W101" s="95">
        <v>0</v>
      </c>
      <c r="X101" s="94">
        <v>0</v>
      </c>
      <c r="Y101" s="94">
        <v>0</v>
      </c>
      <c r="Z101" s="94">
        <v>0</v>
      </c>
      <c r="AA101" s="95">
        <v>0</v>
      </c>
      <c r="AB101" s="96">
        <v>0</v>
      </c>
      <c r="AC101" s="97">
        <v>0</v>
      </c>
    </row>
    <row r="102" spans="1:29">
      <c r="A102" s="92"/>
      <c r="B102" s="102" t="s">
        <v>772</v>
      </c>
      <c r="C102" s="98">
        <v>8.0046662350344419E-4</v>
      </c>
      <c r="D102" s="99">
        <v>8.2901454642308175E-3</v>
      </c>
      <c r="E102" s="99">
        <v>2.4502354259043409E-2</v>
      </c>
      <c r="F102" s="99">
        <v>3.256370425402584E-3</v>
      </c>
      <c r="G102" s="99">
        <v>0</v>
      </c>
      <c r="H102" s="99">
        <v>0</v>
      </c>
      <c r="I102" s="98">
        <v>8.7343146944252742E-3</v>
      </c>
      <c r="J102" s="98">
        <v>0.29744976793242711</v>
      </c>
      <c r="K102" s="99">
        <v>0.16827254332055627</v>
      </c>
      <c r="L102" s="99">
        <v>0.2240845964773337</v>
      </c>
      <c r="M102" s="99">
        <v>0.20774590950893895</v>
      </c>
      <c r="N102" s="98">
        <v>0.18795467779773933</v>
      </c>
      <c r="O102" s="98">
        <v>0</v>
      </c>
      <c r="P102" s="99">
        <v>0</v>
      </c>
      <c r="Q102" s="98">
        <v>0</v>
      </c>
      <c r="R102" s="102">
        <v>0</v>
      </c>
      <c r="S102" s="102">
        <v>0</v>
      </c>
      <c r="T102" s="103">
        <v>0</v>
      </c>
      <c r="U102" s="103">
        <v>0</v>
      </c>
      <c r="V102" s="103">
        <v>0</v>
      </c>
      <c r="W102" s="104">
        <v>0</v>
      </c>
      <c r="X102" s="103">
        <v>0</v>
      </c>
      <c r="Y102" s="103">
        <v>0</v>
      </c>
      <c r="Z102" s="103">
        <v>0</v>
      </c>
      <c r="AA102" s="104">
        <v>0</v>
      </c>
      <c r="AB102" s="96">
        <v>0</v>
      </c>
      <c r="AC102" s="97">
        <v>0</v>
      </c>
    </row>
    <row r="103" spans="1:29">
      <c r="A103" s="92"/>
      <c r="B103" s="106" t="s">
        <v>773</v>
      </c>
      <c r="C103" s="107">
        <v>-5.3929370548431652E-5</v>
      </c>
      <c r="D103" s="108">
        <v>7.4311676578215496E-4</v>
      </c>
      <c r="E103" s="108">
        <v>1.9123940271914899E-4</v>
      </c>
      <c r="F103" s="108">
        <v>2.0059497641150654E-3</v>
      </c>
      <c r="G103" s="108">
        <v>0</v>
      </c>
      <c r="H103" s="108">
        <v>0</v>
      </c>
      <c r="I103" s="107">
        <v>7.4906077099359467E-5</v>
      </c>
      <c r="J103" s="107">
        <v>-2.5565518741310134E-2</v>
      </c>
      <c r="K103" s="108">
        <v>1.547189324996015E-2</v>
      </c>
      <c r="L103" s="108">
        <v>2.4020189866497343E-2</v>
      </c>
      <c r="M103" s="108">
        <v>1.4090811759151334E-2</v>
      </c>
      <c r="N103" s="107">
        <v>1.6118792521010589E-2</v>
      </c>
      <c r="O103" s="107">
        <v>-0.15744695666108349</v>
      </c>
      <c r="P103" s="108">
        <v>-0.15744695666108349</v>
      </c>
      <c r="Q103" s="107">
        <v>0</v>
      </c>
      <c r="R103" s="107">
        <v>0</v>
      </c>
      <c r="S103" s="107">
        <v>0</v>
      </c>
      <c r="T103" s="109">
        <v>0</v>
      </c>
      <c r="U103" s="109">
        <v>0</v>
      </c>
      <c r="V103" s="109">
        <v>-0.15667437188335956</v>
      </c>
      <c r="W103" s="110">
        <v>-0.15667437188335956</v>
      </c>
      <c r="X103" s="109">
        <v>-0.18673812323687983</v>
      </c>
      <c r="Y103" s="109">
        <v>-0.18673812323687983</v>
      </c>
      <c r="Z103" s="109">
        <v>-0.12710627314121092</v>
      </c>
      <c r="AA103" s="110">
        <v>-0.12710627314121092</v>
      </c>
      <c r="AB103" s="96">
        <v>0</v>
      </c>
      <c r="AC103" s="97">
        <v>0</v>
      </c>
    </row>
    <row r="104" spans="1:29">
      <c r="A104" s="91" t="s">
        <v>619</v>
      </c>
      <c r="B104" s="75" t="s">
        <v>767</v>
      </c>
      <c r="C104" s="75">
        <v>3317776</v>
      </c>
      <c r="D104" s="87">
        <v>182600.3</v>
      </c>
      <c r="E104" s="87">
        <v>922524</v>
      </c>
      <c r="F104" s="87">
        <v>136802</v>
      </c>
      <c r="G104" s="87">
        <v>364064</v>
      </c>
      <c r="H104" s="87">
        <v>45821</v>
      </c>
      <c r="I104" s="75">
        <v>4969587.3</v>
      </c>
      <c r="J104" s="75">
        <v>0</v>
      </c>
      <c r="K104" s="87">
        <v>1599415</v>
      </c>
      <c r="L104" s="87">
        <v>777539</v>
      </c>
      <c r="M104" s="87">
        <v>473870</v>
      </c>
      <c r="N104" s="75">
        <v>2850824</v>
      </c>
      <c r="O104" s="75">
        <v>2813976</v>
      </c>
      <c r="P104" s="87">
        <v>2813976</v>
      </c>
      <c r="Q104" s="75">
        <v>0</v>
      </c>
      <c r="R104" s="75">
        <v>0</v>
      </c>
      <c r="S104" s="75">
        <v>0</v>
      </c>
      <c r="T104" s="83">
        <v>0</v>
      </c>
      <c r="U104" s="83">
        <v>0</v>
      </c>
      <c r="V104" s="83">
        <v>1731760</v>
      </c>
      <c r="W104" s="84">
        <v>1731760</v>
      </c>
      <c r="X104" s="83">
        <v>704936</v>
      </c>
      <c r="Y104" s="83">
        <v>704936</v>
      </c>
      <c r="Z104" s="83">
        <v>414128</v>
      </c>
      <c r="AA104" s="84">
        <v>414128</v>
      </c>
      <c r="AB104" s="85">
        <v>0</v>
      </c>
      <c r="AC104" s="86">
        <v>0</v>
      </c>
    </row>
    <row r="105" spans="1:29">
      <c r="A105" s="92"/>
      <c r="B105" s="93" t="s">
        <v>768</v>
      </c>
      <c r="C105" s="93">
        <v>18374</v>
      </c>
      <c r="D105" s="1">
        <v>0</v>
      </c>
      <c r="E105" s="1">
        <v>2998</v>
      </c>
      <c r="F105" s="1">
        <v>106</v>
      </c>
      <c r="G105" s="1">
        <v>3944</v>
      </c>
      <c r="H105" s="1">
        <v>0</v>
      </c>
      <c r="I105" s="93">
        <v>25422</v>
      </c>
      <c r="J105" s="93">
        <v>0</v>
      </c>
      <c r="K105" s="1">
        <v>344822</v>
      </c>
      <c r="L105" s="1">
        <v>316062</v>
      </c>
      <c r="M105" s="1">
        <v>282768</v>
      </c>
      <c r="N105" s="93">
        <v>943652</v>
      </c>
      <c r="O105" s="93">
        <v>918047</v>
      </c>
      <c r="P105" s="1">
        <v>918047</v>
      </c>
      <c r="Q105" s="93">
        <v>0</v>
      </c>
      <c r="R105" s="93">
        <v>0</v>
      </c>
      <c r="S105" s="93">
        <v>0</v>
      </c>
      <c r="T105" s="94">
        <v>0</v>
      </c>
      <c r="U105" s="94">
        <v>0</v>
      </c>
      <c r="V105" s="94">
        <v>381149</v>
      </c>
      <c r="W105" s="95">
        <v>381149</v>
      </c>
      <c r="X105" s="94">
        <v>330066</v>
      </c>
      <c r="Y105" s="94">
        <v>330066</v>
      </c>
      <c r="Z105" s="94">
        <v>232437</v>
      </c>
      <c r="AA105" s="95">
        <v>232437</v>
      </c>
      <c r="AB105" s="96">
        <v>0</v>
      </c>
      <c r="AC105" s="97">
        <v>0</v>
      </c>
    </row>
    <row r="106" spans="1:29">
      <c r="A106" s="92"/>
      <c r="B106" s="98" t="s">
        <v>769</v>
      </c>
      <c r="C106" s="98">
        <v>5.5380471737694163E-3</v>
      </c>
      <c r="D106" s="99">
        <v>0</v>
      </c>
      <c r="E106" s="99">
        <v>3.2497799515242964E-3</v>
      </c>
      <c r="F106" s="99">
        <v>7.7484247306325933E-4</v>
      </c>
      <c r="G106" s="99">
        <v>1.0833260086138701E-2</v>
      </c>
      <c r="H106" s="99">
        <v>0</v>
      </c>
      <c r="I106" s="98">
        <v>5.1155153265946248E-3</v>
      </c>
      <c r="J106" s="98">
        <v>0</v>
      </c>
      <c r="K106" s="99">
        <v>0.21559257603561302</v>
      </c>
      <c r="L106" s="99">
        <v>0.40649022106929683</v>
      </c>
      <c r="M106" s="99">
        <v>0.59672061957920952</v>
      </c>
      <c r="N106" s="98">
        <v>0.33101026229609404</v>
      </c>
      <c r="O106" s="98">
        <v>0.32624549747403675</v>
      </c>
      <c r="P106" s="99">
        <v>0.32624549747403675</v>
      </c>
      <c r="Q106" s="98">
        <v>0</v>
      </c>
      <c r="R106" s="98">
        <v>0</v>
      </c>
      <c r="S106" s="98">
        <v>0</v>
      </c>
      <c r="T106" s="100">
        <v>0</v>
      </c>
      <c r="U106" s="100">
        <v>0</v>
      </c>
      <c r="V106" s="100">
        <v>0.22009343096041023</v>
      </c>
      <c r="W106" s="101">
        <v>0.22009343096041023</v>
      </c>
      <c r="X106" s="100">
        <v>0.46822122859380144</v>
      </c>
      <c r="Y106" s="100">
        <v>0.46822122859380144</v>
      </c>
      <c r="Z106" s="100">
        <v>0.56126849669667345</v>
      </c>
      <c r="AA106" s="101">
        <v>0.56126849669667345</v>
      </c>
      <c r="AB106" s="96">
        <v>0</v>
      </c>
      <c r="AC106" s="97">
        <v>0</v>
      </c>
    </row>
    <row r="107" spans="1:29">
      <c r="A107" s="92"/>
      <c r="B107" s="93" t="s">
        <v>770</v>
      </c>
      <c r="C107" s="93">
        <v>3295684</v>
      </c>
      <c r="D107" s="1">
        <v>186084.5</v>
      </c>
      <c r="E107" s="1">
        <v>899462</v>
      </c>
      <c r="F107" s="1">
        <v>133357</v>
      </c>
      <c r="G107" s="1">
        <v>338062</v>
      </c>
      <c r="H107" s="1">
        <v>46575</v>
      </c>
      <c r="I107" s="93">
        <v>4899224.5</v>
      </c>
      <c r="J107" s="93">
        <v>0</v>
      </c>
      <c r="K107" s="1">
        <v>1550720</v>
      </c>
      <c r="L107" s="1">
        <v>742004</v>
      </c>
      <c r="M107" s="1">
        <v>452149.5</v>
      </c>
      <c r="N107" s="93">
        <v>2744873.5</v>
      </c>
      <c r="O107" s="93">
        <v>2712327.5</v>
      </c>
      <c r="P107" s="1">
        <v>2712327.5</v>
      </c>
      <c r="Q107" s="93">
        <v>0</v>
      </c>
      <c r="R107" s="93">
        <v>0</v>
      </c>
      <c r="S107" s="93">
        <v>0</v>
      </c>
      <c r="T107" s="94">
        <v>0</v>
      </c>
      <c r="U107" s="94">
        <v>0</v>
      </c>
      <c r="V107" s="94">
        <v>1669154</v>
      </c>
      <c r="W107" s="95">
        <v>1669154</v>
      </c>
      <c r="X107" s="94">
        <v>679879</v>
      </c>
      <c r="Y107" s="94">
        <v>679879</v>
      </c>
      <c r="Z107" s="94">
        <v>395840.5</v>
      </c>
      <c r="AA107" s="95">
        <v>395840.5</v>
      </c>
      <c r="AB107" s="96">
        <v>0</v>
      </c>
      <c r="AC107" s="97">
        <v>0</v>
      </c>
    </row>
    <row r="108" spans="1:29">
      <c r="A108" s="92"/>
      <c r="B108" s="93" t="s">
        <v>771</v>
      </c>
      <c r="C108" s="93">
        <v>9330</v>
      </c>
      <c r="D108" s="1">
        <v>0</v>
      </c>
      <c r="E108" s="1">
        <v>1914</v>
      </c>
      <c r="F108" s="1">
        <v>61</v>
      </c>
      <c r="G108" s="1">
        <v>3346</v>
      </c>
      <c r="H108" s="1">
        <v>27</v>
      </c>
      <c r="I108" s="93">
        <v>14678</v>
      </c>
      <c r="J108" s="93">
        <v>0</v>
      </c>
      <c r="K108" s="1">
        <v>359586</v>
      </c>
      <c r="L108" s="1">
        <v>311141</v>
      </c>
      <c r="M108" s="1">
        <v>273003</v>
      </c>
      <c r="N108" s="93">
        <v>943730</v>
      </c>
      <c r="O108" s="93">
        <v>918214</v>
      </c>
      <c r="P108" s="1">
        <v>918214</v>
      </c>
      <c r="Q108" s="93">
        <v>0</v>
      </c>
      <c r="R108" s="93">
        <v>0</v>
      </c>
      <c r="S108" s="93">
        <v>0</v>
      </c>
      <c r="T108" s="94">
        <v>0</v>
      </c>
      <c r="U108" s="94">
        <v>0</v>
      </c>
      <c r="V108" s="94">
        <v>396258</v>
      </c>
      <c r="W108" s="95">
        <v>396258</v>
      </c>
      <c r="X108" s="94">
        <v>321855</v>
      </c>
      <c r="Y108" s="94">
        <v>321855</v>
      </c>
      <c r="Z108" s="94">
        <v>225617</v>
      </c>
      <c r="AA108" s="95">
        <v>225617</v>
      </c>
      <c r="AB108" s="96">
        <v>0</v>
      </c>
      <c r="AC108" s="97">
        <v>0</v>
      </c>
    </row>
    <row r="109" spans="1:29">
      <c r="A109" s="92"/>
      <c r="B109" s="102" t="s">
        <v>772</v>
      </c>
      <c r="C109" s="98">
        <v>2.8309752998163661E-3</v>
      </c>
      <c r="D109" s="99">
        <v>0</v>
      </c>
      <c r="E109" s="99">
        <v>2.1279387011346783E-3</v>
      </c>
      <c r="F109" s="99">
        <v>4.5741880816155131E-4</v>
      </c>
      <c r="G109" s="99">
        <v>9.8975927492590109E-3</v>
      </c>
      <c r="H109" s="99">
        <v>5.7971014492753622E-4</v>
      </c>
      <c r="I109" s="98">
        <v>2.9959843644642129E-3</v>
      </c>
      <c r="J109" s="98">
        <v>0</v>
      </c>
      <c r="K109" s="99">
        <v>0.23188325423029302</v>
      </c>
      <c r="L109" s="99">
        <v>0.41932523274807143</v>
      </c>
      <c r="M109" s="99">
        <v>0.60378923342832402</v>
      </c>
      <c r="N109" s="98">
        <v>0.34381548002121043</v>
      </c>
      <c r="O109" s="98">
        <v>0.33853360259776888</v>
      </c>
      <c r="P109" s="99">
        <v>0.33853360259776888</v>
      </c>
      <c r="Q109" s="98">
        <v>0</v>
      </c>
      <c r="R109" s="102">
        <v>0</v>
      </c>
      <c r="S109" s="102">
        <v>0</v>
      </c>
      <c r="T109" s="103">
        <v>0</v>
      </c>
      <c r="U109" s="103">
        <v>0</v>
      </c>
      <c r="V109" s="103">
        <v>0.23740050348859362</v>
      </c>
      <c r="W109" s="104">
        <v>0.23740050348859362</v>
      </c>
      <c r="X109" s="103">
        <v>0.47340041389717874</v>
      </c>
      <c r="Y109" s="103">
        <v>0.47340041389717874</v>
      </c>
      <c r="Z109" s="103">
        <v>0.56996947002643739</v>
      </c>
      <c r="AA109" s="104">
        <v>0.56996947002643739</v>
      </c>
      <c r="AB109" s="96">
        <v>0</v>
      </c>
      <c r="AC109" s="97">
        <v>0</v>
      </c>
    </row>
    <row r="110" spans="1:29">
      <c r="A110" s="92"/>
      <c r="B110" s="106" t="s">
        <v>773</v>
      </c>
      <c r="C110" s="107">
        <v>-2.7070718739530502E-3</v>
      </c>
      <c r="D110" s="108">
        <v>0</v>
      </c>
      <c r="E110" s="108">
        <v>-1.1218412503896181E-3</v>
      </c>
      <c r="F110" s="108">
        <v>-3.1742366490170802E-4</v>
      </c>
      <c r="G110" s="108">
        <v>-9.3566733687969021E-4</v>
      </c>
      <c r="H110" s="108">
        <v>5.7971014492753622E-4</v>
      </c>
      <c r="I110" s="107">
        <v>-2.1195309621304119E-3</v>
      </c>
      <c r="J110" s="107">
        <v>0</v>
      </c>
      <c r="K110" s="108">
        <v>1.6290678194679997E-2</v>
      </c>
      <c r="L110" s="108">
        <v>1.2835011678774599E-2</v>
      </c>
      <c r="M110" s="108">
        <v>7.0686138491145023E-3</v>
      </c>
      <c r="N110" s="107">
        <v>1.2805217725116391E-2</v>
      </c>
      <c r="O110" s="107">
        <v>1.2288105123732129E-2</v>
      </c>
      <c r="P110" s="108">
        <v>1.2288105123732129E-2</v>
      </c>
      <c r="Q110" s="107">
        <v>0</v>
      </c>
      <c r="R110" s="107">
        <v>0</v>
      </c>
      <c r="S110" s="107">
        <v>0</v>
      </c>
      <c r="T110" s="109">
        <v>0</v>
      </c>
      <c r="U110" s="109">
        <v>0</v>
      </c>
      <c r="V110" s="109">
        <v>1.7307072528183393E-2</v>
      </c>
      <c r="W110" s="110">
        <v>1.7307072528183393E-2</v>
      </c>
      <c r="X110" s="109">
        <v>5.1791853033772983E-3</v>
      </c>
      <c r="Y110" s="109">
        <v>5.1791853033772983E-3</v>
      </c>
      <c r="Z110" s="109">
        <v>8.7009733297639391E-3</v>
      </c>
      <c r="AA110" s="110">
        <v>8.7009733297639391E-3</v>
      </c>
      <c r="AB110" s="96">
        <v>0</v>
      </c>
      <c r="AC110" s="97">
        <v>0</v>
      </c>
    </row>
    <row r="111" spans="1:29">
      <c r="A111" s="91" t="s">
        <v>410</v>
      </c>
      <c r="B111" s="75" t="s">
        <v>767</v>
      </c>
      <c r="C111" s="75">
        <v>596147</v>
      </c>
      <c r="D111" s="87">
        <v>0</v>
      </c>
      <c r="E111" s="87">
        <v>235956</v>
      </c>
      <c r="F111" s="87">
        <v>124966</v>
      </c>
      <c r="G111" s="87">
        <v>213370</v>
      </c>
      <c r="H111" s="87">
        <v>107883</v>
      </c>
      <c r="I111" s="75">
        <v>1278322</v>
      </c>
      <c r="J111" s="75">
        <v>85741</v>
      </c>
      <c r="K111" s="87">
        <v>0</v>
      </c>
      <c r="L111" s="87">
        <v>50852.399999999994</v>
      </c>
      <c r="M111" s="87">
        <v>199350</v>
      </c>
      <c r="N111" s="75">
        <v>335943.4</v>
      </c>
      <c r="O111" s="75">
        <v>0</v>
      </c>
      <c r="P111" s="87">
        <v>0</v>
      </c>
      <c r="Q111" s="75">
        <v>0</v>
      </c>
      <c r="R111" s="75">
        <v>0</v>
      </c>
      <c r="S111" s="75">
        <v>0</v>
      </c>
      <c r="T111" s="83">
        <v>0</v>
      </c>
      <c r="U111" s="83">
        <v>0</v>
      </c>
      <c r="V111" s="83">
        <v>0</v>
      </c>
      <c r="W111" s="84">
        <v>0</v>
      </c>
      <c r="X111" s="83">
        <v>0</v>
      </c>
      <c r="Y111" s="83">
        <v>0</v>
      </c>
      <c r="Z111" s="83">
        <v>0</v>
      </c>
      <c r="AA111" s="84">
        <v>0</v>
      </c>
      <c r="AB111" s="85">
        <v>0</v>
      </c>
      <c r="AC111" s="86">
        <v>0</v>
      </c>
    </row>
    <row r="112" spans="1:29">
      <c r="A112" s="92"/>
      <c r="B112" s="93" t="s">
        <v>768</v>
      </c>
      <c r="C112" s="93">
        <v>6214</v>
      </c>
      <c r="D112" s="1">
        <v>0</v>
      </c>
      <c r="E112" s="1">
        <v>12750</v>
      </c>
      <c r="F112" s="1">
        <v>18544</v>
      </c>
      <c r="G112" s="1">
        <v>3874</v>
      </c>
      <c r="H112" s="1">
        <v>9018</v>
      </c>
      <c r="I112" s="93">
        <v>50400</v>
      </c>
      <c r="J112" s="93">
        <v>11989</v>
      </c>
      <c r="K112" s="1">
        <v>0</v>
      </c>
      <c r="L112" s="1">
        <v>7811.1</v>
      </c>
      <c r="M112" s="1">
        <v>15315</v>
      </c>
      <c r="N112" s="93">
        <v>35115.1</v>
      </c>
      <c r="O112" s="93">
        <v>0</v>
      </c>
      <c r="P112" s="1">
        <v>0</v>
      </c>
      <c r="Q112" s="93">
        <v>0</v>
      </c>
      <c r="R112" s="93">
        <v>0</v>
      </c>
      <c r="S112" s="93">
        <v>0</v>
      </c>
      <c r="T112" s="94">
        <v>0</v>
      </c>
      <c r="U112" s="94">
        <v>0</v>
      </c>
      <c r="V112" s="94">
        <v>0</v>
      </c>
      <c r="W112" s="95">
        <v>0</v>
      </c>
      <c r="X112" s="94">
        <v>0</v>
      </c>
      <c r="Y112" s="94">
        <v>0</v>
      </c>
      <c r="Z112" s="94">
        <v>0</v>
      </c>
      <c r="AA112" s="95">
        <v>0</v>
      </c>
      <c r="AB112" s="96">
        <v>0</v>
      </c>
      <c r="AC112" s="97">
        <v>0</v>
      </c>
    </row>
    <row r="113" spans="1:29">
      <c r="A113" s="92"/>
      <c r="B113" s="98" t="s">
        <v>769</v>
      </c>
      <c r="C113" s="98">
        <v>1.0423603574286207E-2</v>
      </c>
      <c r="D113" s="99">
        <v>0</v>
      </c>
      <c r="E113" s="99">
        <v>5.4035498143721709E-2</v>
      </c>
      <c r="F113" s="99">
        <v>0.14839236272266057</v>
      </c>
      <c r="G113" s="99">
        <v>1.8156254393776071E-2</v>
      </c>
      <c r="H113" s="99">
        <v>8.3590556436139149E-2</v>
      </c>
      <c r="I113" s="98">
        <v>3.9426685921074657E-2</v>
      </c>
      <c r="J113" s="98">
        <v>0.13982808691291215</v>
      </c>
      <c r="K113" s="99">
        <v>0</v>
      </c>
      <c r="L113" s="99">
        <v>0.15360336975246008</v>
      </c>
      <c r="M113" s="99">
        <v>7.6824680210684726E-2</v>
      </c>
      <c r="N113" s="98">
        <v>0.10452683398453429</v>
      </c>
      <c r="O113" s="98">
        <v>0</v>
      </c>
      <c r="P113" s="99">
        <v>0</v>
      </c>
      <c r="Q113" s="98">
        <v>0</v>
      </c>
      <c r="R113" s="98">
        <v>0</v>
      </c>
      <c r="S113" s="98">
        <v>0</v>
      </c>
      <c r="T113" s="100">
        <v>0</v>
      </c>
      <c r="U113" s="100">
        <v>0</v>
      </c>
      <c r="V113" s="100">
        <v>0</v>
      </c>
      <c r="W113" s="101">
        <v>0</v>
      </c>
      <c r="X113" s="100">
        <v>0</v>
      </c>
      <c r="Y113" s="100">
        <v>0</v>
      </c>
      <c r="Z113" s="100">
        <v>0</v>
      </c>
      <c r="AA113" s="101">
        <v>0</v>
      </c>
      <c r="AB113" s="96">
        <v>0</v>
      </c>
      <c r="AC113" s="97">
        <v>0</v>
      </c>
    </row>
    <row r="114" spans="1:29">
      <c r="A114" s="92"/>
      <c r="B114" s="93" t="s">
        <v>770</v>
      </c>
      <c r="C114" s="93">
        <v>561945</v>
      </c>
      <c r="D114" s="1">
        <v>0</v>
      </c>
      <c r="E114" s="1">
        <v>219384</v>
      </c>
      <c r="F114" s="1">
        <v>111769</v>
      </c>
      <c r="G114" s="1">
        <v>195852.5</v>
      </c>
      <c r="H114" s="1">
        <v>103575</v>
      </c>
      <c r="I114" s="93">
        <v>1192525.5</v>
      </c>
      <c r="J114" s="93">
        <v>79349</v>
      </c>
      <c r="K114" s="1">
        <v>0</v>
      </c>
      <c r="L114" s="1">
        <v>39810</v>
      </c>
      <c r="M114" s="1">
        <v>180648</v>
      </c>
      <c r="N114" s="93">
        <v>299807</v>
      </c>
      <c r="O114" s="93">
        <v>0</v>
      </c>
      <c r="P114" s="1">
        <v>0</v>
      </c>
      <c r="Q114" s="93">
        <v>0</v>
      </c>
      <c r="R114" s="93">
        <v>0</v>
      </c>
      <c r="S114" s="93">
        <v>0</v>
      </c>
      <c r="T114" s="94">
        <v>0</v>
      </c>
      <c r="U114" s="94">
        <v>0</v>
      </c>
      <c r="V114" s="94">
        <v>0</v>
      </c>
      <c r="W114" s="95">
        <v>0</v>
      </c>
      <c r="X114" s="94">
        <v>0</v>
      </c>
      <c r="Y114" s="94">
        <v>0</v>
      </c>
      <c r="Z114" s="94">
        <v>0</v>
      </c>
      <c r="AA114" s="95">
        <v>0</v>
      </c>
      <c r="AB114" s="96">
        <v>0</v>
      </c>
      <c r="AC114" s="97">
        <v>0</v>
      </c>
    </row>
    <row r="115" spans="1:29">
      <c r="A115" s="92"/>
      <c r="B115" s="93" t="s">
        <v>771</v>
      </c>
      <c r="C115" s="93">
        <v>5820</v>
      </c>
      <c r="D115" s="1">
        <v>0</v>
      </c>
      <c r="E115" s="1">
        <v>8077</v>
      </c>
      <c r="F115" s="1">
        <v>19337</v>
      </c>
      <c r="G115" s="1">
        <v>4029</v>
      </c>
      <c r="H115" s="1">
        <v>9118</v>
      </c>
      <c r="I115" s="93">
        <v>46381</v>
      </c>
      <c r="J115" s="93">
        <v>10812</v>
      </c>
      <c r="K115" s="1">
        <v>0</v>
      </c>
      <c r="L115" s="1">
        <v>7077</v>
      </c>
      <c r="M115" s="1">
        <v>14097</v>
      </c>
      <c r="N115" s="93">
        <v>31986</v>
      </c>
      <c r="O115" s="93">
        <v>0</v>
      </c>
      <c r="P115" s="1">
        <v>0</v>
      </c>
      <c r="Q115" s="93">
        <v>0</v>
      </c>
      <c r="R115" s="93">
        <v>0</v>
      </c>
      <c r="S115" s="93">
        <v>0</v>
      </c>
      <c r="T115" s="94">
        <v>0</v>
      </c>
      <c r="U115" s="94">
        <v>0</v>
      </c>
      <c r="V115" s="94">
        <v>0</v>
      </c>
      <c r="W115" s="95">
        <v>0</v>
      </c>
      <c r="X115" s="94">
        <v>0</v>
      </c>
      <c r="Y115" s="94">
        <v>0</v>
      </c>
      <c r="Z115" s="94">
        <v>0</v>
      </c>
      <c r="AA115" s="95">
        <v>0</v>
      </c>
      <c r="AB115" s="96">
        <v>0</v>
      </c>
      <c r="AC115" s="97">
        <v>0</v>
      </c>
    </row>
    <row r="116" spans="1:29">
      <c r="A116" s="92"/>
      <c r="B116" s="102" t="s">
        <v>772</v>
      </c>
      <c r="C116" s="98">
        <v>1.0356885460320851E-2</v>
      </c>
      <c r="D116" s="99">
        <v>0</v>
      </c>
      <c r="E116" s="99">
        <v>3.681672318856434E-2</v>
      </c>
      <c r="F116" s="99">
        <v>0.17300861598475428</v>
      </c>
      <c r="G116" s="99">
        <v>2.0571603630282993E-2</v>
      </c>
      <c r="H116" s="99">
        <v>8.8032826454260193E-2</v>
      </c>
      <c r="I116" s="98">
        <v>3.889308865932007E-2</v>
      </c>
      <c r="J116" s="98">
        <v>0.13625880603410251</v>
      </c>
      <c r="K116" s="99">
        <v>0</v>
      </c>
      <c r="L116" s="99">
        <v>0.1777694046721929</v>
      </c>
      <c r="M116" s="99">
        <v>7.8035738009831268E-2</v>
      </c>
      <c r="N116" s="98">
        <v>0.10668863635605573</v>
      </c>
      <c r="O116" s="98">
        <v>0</v>
      </c>
      <c r="P116" s="99">
        <v>0</v>
      </c>
      <c r="Q116" s="98">
        <v>0</v>
      </c>
      <c r="R116" s="102">
        <v>0</v>
      </c>
      <c r="S116" s="102">
        <v>0</v>
      </c>
      <c r="T116" s="103">
        <v>0</v>
      </c>
      <c r="U116" s="103">
        <v>0</v>
      </c>
      <c r="V116" s="103">
        <v>0</v>
      </c>
      <c r="W116" s="104">
        <v>0</v>
      </c>
      <c r="X116" s="103">
        <v>0</v>
      </c>
      <c r="Y116" s="103">
        <v>0</v>
      </c>
      <c r="Z116" s="103">
        <v>0</v>
      </c>
      <c r="AA116" s="104">
        <v>0</v>
      </c>
      <c r="AB116" s="96">
        <v>0</v>
      </c>
      <c r="AC116" s="97">
        <v>0</v>
      </c>
    </row>
    <row r="117" spans="1:29">
      <c r="A117" s="92"/>
      <c r="B117" s="106" t="s">
        <v>773</v>
      </c>
      <c r="C117" s="107">
        <v>-6.6718113965356582E-5</v>
      </c>
      <c r="D117" s="108">
        <v>0</v>
      </c>
      <c r="E117" s="108">
        <v>-1.7218774955157369E-2</v>
      </c>
      <c r="F117" s="108">
        <v>2.4616253262093712E-2</v>
      </c>
      <c r="G117" s="108">
        <v>2.4153492365069223E-3</v>
      </c>
      <c r="H117" s="108">
        <v>4.4422700181210445E-3</v>
      </c>
      <c r="I117" s="107">
        <v>-5.3359726175458699E-4</v>
      </c>
      <c r="J117" s="107">
        <v>-3.5692808788096442E-3</v>
      </c>
      <c r="K117" s="108">
        <v>0</v>
      </c>
      <c r="L117" s="108">
        <v>2.4166034919732821E-2</v>
      </c>
      <c r="M117" s="108">
        <v>1.2110577991465421E-3</v>
      </c>
      <c r="N117" s="107">
        <v>2.1618023715214429E-3</v>
      </c>
      <c r="O117" s="107">
        <v>0</v>
      </c>
      <c r="P117" s="108">
        <v>0</v>
      </c>
      <c r="Q117" s="107">
        <v>0</v>
      </c>
      <c r="R117" s="107">
        <v>0</v>
      </c>
      <c r="S117" s="107">
        <v>0</v>
      </c>
      <c r="T117" s="109">
        <v>0</v>
      </c>
      <c r="U117" s="109">
        <v>0</v>
      </c>
      <c r="V117" s="109">
        <v>0</v>
      </c>
      <c r="W117" s="110">
        <v>0</v>
      </c>
      <c r="X117" s="109">
        <v>0</v>
      </c>
      <c r="Y117" s="109">
        <v>0</v>
      </c>
      <c r="Z117" s="109">
        <v>0</v>
      </c>
      <c r="AA117" s="110">
        <v>0</v>
      </c>
      <c r="AB117" s="96">
        <v>0</v>
      </c>
      <c r="AC117" s="97">
        <v>0</v>
      </c>
    </row>
    <row r="118" spans="1:29">
      <c r="A118" s="91" t="s">
        <v>774</v>
      </c>
      <c r="B118" s="75"/>
      <c r="C118" s="75">
        <v>22721003</v>
      </c>
      <c r="D118" s="87">
        <v>5630591.2699999996</v>
      </c>
      <c r="E118" s="87">
        <v>13989026.5</v>
      </c>
      <c r="F118" s="87">
        <v>3877978</v>
      </c>
      <c r="G118" s="87">
        <v>1713185</v>
      </c>
      <c r="H118" s="87">
        <v>1566242</v>
      </c>
      <c r="I118" s="75">
        <v>49498025.769999996</v>
      </c>
      <c r="J118" s="75">
        <v>20406496</v>
      </c>
      <c r="K118" s="87">
        <v>20355335</v>
      </c>
      <c r="L118" s="87">
        <v>8886927.7000000011</v>
      </c>
      <c r="M118" s="87">
        <v>3755610.5</v>
      </c>
      <c r="N118" s="75">
        <v>53404369.199999996</v>
      </c>
      <c r="O118" s="75">
        <v>4910752</v>
      </c>
      <c r="P118" s="87">
        <v>4910752</v>
      </c>
      <c r="Q118" s="75">
        <v>2370872.5</v>
      </c>
      <c r="R118" s="75">
        <v>60001</v>
      </c>
      <c r="S118" s="75">
        <v>2430873.5</v>
      </c>
      <c r="T118" s="83">
        <v>39426</v>
      </c>
      <c r="U118" s="83">
        <v>39426</v>
      </c>
      <c r="V118" s="83">
        <v>3569476</v>
      </c>
      <c r="W118" s="84">
        <v>3569476</v>
      </c>
      <c r="X118" s="83">
        <v>860555</v>
      </c>
      <c r="Y118" s="83">
        <v>860555</v>
      </c>
      <c r="Z118" s="83">
        <v>517569</v>
      </c>
      <c r="AA118" s="84">
        <v>517569</v>
      </c>
      <c r="AB118" s="85">
        <v>0</v>
      </c>
      <c r="AC118" s="86">
        <v>0</v>
      </c>
    </row>
    <row r="119" spans="1:29">
      <c r="A119" s="92" t="s">
        <v>775</v>
      </c>
      <c r="B119" s="93"/>
      <c r="C119" s="93">
        <v>124857.5</v>
      </c>
      <c r="D119" s="1">
        <v>77113</v>
      </c>
      <c r="E119" s="1">
        <v>352265</v>
      </c>
      <c r="F119" s="1">
        <v>135268</v>
      </c>
      <c r="G119" s="1">
        <v>27463</v>
      </c>
      <c r="H119" s="1">
        <v>71334</v>
      </c>
      <c r="I119" s="93">
        <v>788300.5</v>
      </c>
      <c r="J119" s="93">
        <v>1268262</v>
      </c>
      <c r="K119" s="1">
        <v>2493987.5</v>
      </c>
      <c r="L119" s="1">
        <v>1534734.6</v>
      </c>
      <c r="M119" s="1">
        <v>870366</v>
      </c>
      <c r="N119" s="93">
        <v>6167350.0999999996</v>
      </c>
      <c r="O119" s="93">
        <v>1248178</v>
      </c>
      <c r="P119" s="1">
        <v>1248178</v>
      </c>
      <c r="Q119" s="93">
        <v>364582.5</v>
      </c>
      <c r="R119" s="93">
        <v>3691</v>
      </c>
      <c r="S119" s="93">
        <v>368273.5</v>
      </c>
      <c r="T119" s="94">
        <v>36</v>
      </c>
      <c r="U119" s="94">
        <v>36</v>
      </c>
      <c r="V119" s="94">
        <v>669072</v>
      </c>
      <c r="W119" s="95">
        <v>669072</v>
      </c>
      <c r="X119" s="94">
        <v>359126</v>
      </c>
      <c r="Y119" s="94">
        <v>359126</v>
      </c>
      <c r="Z119" s="94">
        <v>245585</v>
      </c>
      <c r="AA119" s="95">
        <v>245585</v>
      </c>
      <c r="AB119" s="85">
        <v>0</v>
      </c>
      <c r="AC119" s="86">
        <v>0</v>
      </c>
    </row>
    <row r="120" spans="1:29">
      <c r="A120" s="92" t="s">
        <v>776</v>
      </c>
      <c r="B120" s="98"/>
      <c r="C120" s="98">
        <v>5.4952459625131865E-3</v>
      </c>
      <c r="D120" s="99">
        <v>1.3695364536733637E-2</v>
      </c>
      <c r="E120" s="99">
        <v>2.5181523532034199E-2</v>
      </c>
      <c r="F120" s="99">
        <v>3.488106430722402E-2</v>
      </c>
      <c r="G120" s="99">
        <v>1.6030376170699603E-2</v>
      </c>
      <c r="H120" s="99">
        <v>4.5544685942529951E-2</v>
      </c>
      <c r="I120" s="98">
        <v>1.5925897805762125E-2</v>
      </c>
      <c r="J120" s="98">
        <v>6.2149915399488477E-2</v>
      </c>
      <c r="K120" s="99">
        <v>0.12252254752869457</v>
      </c>
      <c r="L120" s="99">
        <v>0.17269574500983056</v>
      </c>
      <c r="M120" s="99">
        <v>0.23175086979866522</v>
      </c>
      <c r="N120" s="98">
        <v>0.11548399863882298</v>
      </c>
      <c r="O120" s="98">
        <v>0.25417247704628537</v>
      </c>
      <c r="P120" s="99">
        <v>0.25417247704628537</v>
      </c>
      <c r="Q120" s="98">
        <v>0.15377566697492168</v>
      </c>
      <c r="R120" s="98">
        <v>6.1515641405976568E-2</v>
      </c>
      <c r="S120" s="98">
        <v>0.15149842227495589</v>
      </c>
      <c r="T120" s="100">
        <v>9.1310302845837776E-4</v>
      </c>
      <c r="U120" s="100">
        <v>9.1310302845837776E-4</v>
      </c>
      <c r="V120" s="100">
        <v>0.18744263863939692</v>
      </c>
      <c r="W120" s="101">
        <v>0.18744263863939692</v>
      </c>
      <c r="X120" s="100">
        <v>0.41731905572566541</v>
      </c>
      <c r="Y120" s="100">
        <v>0.41731905572566541</v>
      </c>
      <c r="Z120" s="100">
        <v>0.47449712019073786</v>
      </c>
      <c r="AA120" s="101">
        <v>0.47449712019073786</v>
      </c>
      <c r="AB120" s="111">
        <v>0</v>
      </c>
      <c r="AC120" s="112">
        <v>0</v>
      </c>
    </row>
    <row r="121" spans="1:29">
      <c r="A121" s="92" t="s">
        <v>777</v>
      </c>
      <c r="B121" s="93"/>
      <c r="C121" s="93">
        <v>22416870</v>
      </c>
      <c r="D121" s="1">
        <v>5433492.5</v>
      </c>
      <c r="E121" s="1">
        <v>13495163.5</v>
      </c>
      <c r="F121" s="1">
        <v>3708703.5</v>
      </c>
      <c r="G121" s="1">
        <v>1623593</v>
      </c>
      <c r="H121" s="1">
        <v>1491974.5</v>
      </c>
      <c r="I121" s="93">
        <v>48169797</v>
      </c>
      <c r="J121" s="93">
        <v>18778280</v>
      </c>
      <c r="K121" s="1">
        <v>17750930.5</v>
      </c>
      <c r="L121" s="1">
        <v>8307464.9000000004</v>
      </c>
      <c r="M121" s="1">
        <v>3591101</v>
      </c>
      <c r="N121" s="93">
        <v>48427776.399999999</v>
      </c>
      <c r="O121" s="93">
        <v>2712327.5</v>
      </c>
      <c r="P121" s="1">
        <v>2712327.5</v>
      </c>
      <c r="Q121" s="93">
        <v>2203988.5</v>
      </c>
      <c r="R121" s="93">
        <v>58734</v>
      </c>
      <c r="S121" s="93">
        <v>2262722.5</v>
      </c>
      <c r="T121" s="94">
        <v>37601</v>
      </c>
      <c r="U121" s="94">
        <v>37601</v>
      </c>
      <c r="V121" s="94">
        <v>1669154</v>
      </c>
      <c r="W121" s="95">
        <v>1669154</v>
      </c>
      <c r="X121" s="94">
        <v>679879</v>
      </c>
      <c r="Y121" s="94">
        <v>679879</v>
      </c>
      <c r="Z121" s="94">
        <v>395840.5</v>
      </c>
      <c r="AA121" s="95">
        <v>395840.5</v>
      </c>
      <c r="AB121" s="85">
        <v>0</v>
      </c>
      <c r="AC121" s="86">
        <v>0</v>
      </c>
    </row>
    <row r="122" spans="1:29">
      <c r="A122" s="92" t="s">
        <v>778</v>
      </c>
      <c r="B122" s="93"/>
      <c r="C122" s="93">
        <v>118324.5</v>
      </c>
      <c r="D122" s="1">
        <v>81113</v>
      </c>
      <c r="E122" s="1">
        <v>335622</v>
      </c>
      <c r="F122" s="1">
        <v>127381</v>
      </c>
      <c r="G122" s="1">
        <v>26276</v>
      </c>
      <c r="H122" s="1">
        <v>65983</v>
      </c>
      <c r="I122" s="93">
        <v>754699.5</v>
      </c>
      <c r="J122" s="93">
        <v>1136290</v>
      </c>
      <c r="K122" s="1">
        <v>2356401.5</v>
      </c>
      <c r="L122" s="1">
        <v>1544050.1</v>
      </c>
      <c r="M122" s="1">
        <v>857013.5</v>
      </c>
      <c r="N122" s="93">
        <v>5893755.0999999996</v>
      </c>
      <c r="O122" s="93">
        <v>918214</v>
      </c>
      <c r="P122" s="1">
        <v>918214</v>
      </c>
      <c r="Q122" s="93">
        <v>306997.59999999998</v>
      </c>
      <c r="R122" s="93">
        <v>4134</v>
      </c>
      <c r="S122" s="93">
        <v>311131.59999999998</v>
      </c>
      <c r="T122" s="94">
        <v>0</v>
      </c>
      <c r="U122" s="94">
        <v>0</v>
      </c>
      <c r="V122" s="94">
        <v>396258</v>
      </c>
      <c r="W122" s="95">
        <v>396258</v>
      </c>
      <c r="X122" s="94">
        <v>321855</v>
      </c>
      <c r="Y122" s="94">
        <v>321855</v>
      </c>
      <c r="Z122" s="94">
        <v>225617</v>
      </c>
      <c r="AA122" s="95">
        <v>225617</v>
      </c>
      <c r="AB122" s="85">
        <v>0</v>
      </c>
      <c r="AC122" s="86">
        <v>0</v>
      </c>
    </row>
    <row r="123" spans="1:29">
      <c r="A123" s="92" t="s">
        <v>779</v>
      </c>
      <c r="B123" s="102"/>
      <c r="C123" s="98">
        <v>5.2783684787394494E-3</v>
      </c>
      <c r="D123" s="99">
        <v>1.4928335688325694E-2</v>
      </c>
      <c r="E123" s="99">
        <v>2.4869798724557877E-2</v>
      </c>
      <c r="F123" s="99">
        <v>3.4346504108511235E-2</v>
      </c>
      <c r="G123" s="99">
        <v>1.6183858885816828E-2</v>
      </c>
      <c r="H123" s="99">
        <v>4.4225286692232343E-2</v>
      </c>
      <c r="I123" s="98">
        <v>1.5667483506314132E-2</v>
      </c>
      <c r="J123" s="98">
        <v>6.0510866809952775E-2</v>
      </c>
      <c r="K123" s="99">
        <v>0.13274805509491461</v>
      </c>
      <c r="L123" s="99">
        <v>0.18586297006202218</v>
      </c>
      <c r="M123" s="99">
        <v>0.23864923320173953</v>
      </c>
      <c r="N123" s="98">
        <v>0.12170195573959906</v>
      </c>
      <c r="O123" s="98">
        <v>0.33853360259776888</v>
      </c>
      <c r="P123" s="99">
        <v>0.33853360259776888</v>
      </c>
      <c r="Q123" s="98">
        <v>0.13929183387299887</v>
      </c>
      <c r="R123" s="102">
        <v>7.0385126162018599E-2</v>
      </c>
      <c r="S123" s="102">
        <v>0.13750320686694897</v>
      </c>
      <c r="T123" s="103">
        <v>0</v>
      </c>
      <c r="U123" s="103">
        <v>0</v>
      </c>
      <c r="V123" s="103">
        <v>0.23740050348859362</v>
      </c>
      <c r="W123" s="104">
        <v>0.23740050348859362</v>
      </c>
      <c r="X123" s="103">
        <v>0.47340041389717874</v>
      </c>
      <c r="Y123" s="103">
        <v>0.47340041389717874</v>
      </c>
      <c r="Z123" s="103">
        <v>0.56996947002643739</v>
      </c>
      <c r="AA123" s="104">
        <v>0.56996947002643739</v>
      </c>
      <c r="AB123" s="85">
        <v>0</v>
      </c>
      <c r="AC123" s="86">
        <v>0</v>
      </c>
    </row>
    <row r="124" spans="1:29">
      <c r="A124" s="92" t="s">
        <v>780</v>
      </c>
      <c r="B124" s="106"/>
      <c r="C124" s="107">
        <v>-2.1687748377373708E-4</v>
      </c>
      <c r="D124" s="108">
        <v>1.2329711515920577E-3</v>
      </c>
      <c r="E124" s="108">
        <v>-3.1172480747632125E-4</v>
      </c>
      <c r="F124" s="108">
        <v>-5.3456019871278571E-4</v>
      </c>
      <c r="G124" s="108">
        <v>1.5348271511722578E-4</v>
      </c>
      <c r="H124" s="108">
        <v>-1.3193992502976079E-3</v>
      </c>
      <c r="I124" s="107">
        <v>-2.5841429944799266E-4</v>
      </c>
      <c r="J124" s="107">
        <v>-1.6390485895357021E-3</v>
      </c>
      <c r="K124" s="108">
        <v>1.0225507566220038E-2</v>
      </c>
      <c r="L124" s="108">
        <v>1.3167225052191617E-2</v>
      </c>
      <c r="M124" s="108">
        <v>6.8983634030743146E-3</v>
      </c>
      <c r="N124" s="107">
        <v>6.2179571007760781E-3</v>
      </c>
      <c r="O124" s="107">
        <v>8.4361125551483507E-2</v>
      </c>
      <c r="P124" s="108">
        <v>8.4361125551483507E-2</v>
      </c>
      <c r="Q124" s="107">
        <v>-1.4483833101922805E-2</v>
      </c>
      <c r="R124" s="107">
        <v>8.8694847560420315E-3</v>
      </c>
      <c r="S124" s="107">
        <v>-1.3995215408006911E-2</v>
      </c>
      <c r="T124" s="109">
        <v>-9.1310302845837776E-4</v>
      </c>
      <c r="U124" s="109">
        <v>-9.1310302845837776E-4</v>
      </c>
      <c r="V124" s="109">
        <v>4.9957864849196704E-2</v>
      </c>
      <c r="W124" s="110">
        <v>4.9957864849196704E-2</v>
      </c>
      <c r="X124" s="109">
        <v>5.6081358171513329E-2</v>
      </c>
      <c r="Y124" s="109">
        <v>5.6081358171513329E-2</v>
      </c>
      <c r="Z124" s="109">
        <v>9.5472349835699521E-2</v>
      </c>
      <c r="AA124" s="110">
        <v>9.5472349835699521E-2</v>
      </c>
      <c r="AB124" s="113">
        <v>0</v>
      </c>
      <c r="AC124" s="114">
        <v>0</v>
      </c>
    </row>
    <row r="125" spans="1:29">
      <c r="A125" s="115"/>
      <c r="B125"/>
      <c r="C125"/>
      <c r="D125"/>
      <c r="E125"/>
      <c r="F125"/>
      <c r="G125"/>
      <c r="H125"/>
      <c r="I125"/>
      <c r="J125"/>
      <c r="K125"/>
      <c r="L125"/>
      <c r="M125"/>
      <c r="N125"/>
      <c r="O125"/>
      <c r="P125"/>
      <c r="Q125"/>
      <c r="R125"/>
      <c r="S125"/>
      <c r="T125"/>
      <c r="U125"/>
      <c r="V125"/>
      <c r="W125"/>
      <c r="X125"/>
      <c r="Y125"/>
      <c r="Z125"/>
      <c r="AA125"/>
    </row>
    <row r="126" spans="1:29">
      <c r="A126"/>
      <c r="B126"/>
      <c r="C126"/>
      <c r="D126"/>
      <c r="E126"/>
      <c r="F126"/>
      <c r="G126"/>
      <c r="H126"/>
      <c r="I126"/>
      <c r="J126"/>
      <c r="K126"/>
      <c r="L126"/>
      <c r="M126"/>
      <c r="N126"/>
      <c r="O126"/>
      <c r="P126"/>
      <c r="Q126"/>
      <c r="R126"/>
      <c r="S126"/>
      <c r="T126"/>
      <c r="U126"/>
      <c r="V126"/>
      <c r="W126"/>
      <c r="X126"/>
      <c r="Y126"/>
      <c r="Z126"/>
      <c r="AA126"/>
    </row>
    <row r="127" spans="1:29">
      <c r="A127"/>
      <c r="B127"/>
      <c r="C127"/>
      <c r="D127"/>
      <c r="E127"/>
      <c r="F127"/>
      <c r="G127"/>
      <c r="H127"/>
      <c r="I127"/>
      <c r="J127"/>
      <c r="K127"/>
      <c r="L127"/>
      <c r="M127"/>
      <c r="N127"/>
      <c r="O127"/>
      <c r="P127"/>
      <c r="Q127"/>
      <c r="R127"/>
      <c r="S127"/>
      <c r="T127"/>
      <c r="U127"/>
      <c r="V127"/>
      <c r="W127"/>
      <c r="X127"/>
      <c r="Y127"/>
      <c r="Z127"/>
      <c r="AA127"/>
    </row>
    <row r="128" spans="1:29">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pageSetup scale="77" pageOrder="overThenDown" orientation="landscape" r:id="rId2"/>
  <headerFooter>
    <oddHeader>&amp;L&amp;"Arial,Bold"SREB-State Data Exchange&amp;C&amp;"Arial,Bold"Preliminary Tables&amp;R&amp;"Arial,Bold"Part 4  -- High School Student Portion of FTE Enrollment</oddHeader>
    <oddFooter>&amp;L&amp;"Arial,Bold"For Agency Review Only&amp;R&amp;"Arial,Bold"October 2009</oddFooter>
  </headerFooter>
  <rowBreaks count="15" manualBreakCount="15">
    <brk id="11" min="2" max="23" man="1"/>
    <brk id="17" min="2" max="23" man="1"/>
    <brk id="23" min="2" max="23" man="1"/>
    <brk id="29" min="2" max="23" man="1"/>
    <brk id="35" min="2" max="23" man="1"/>
    <brk id="41" min="2" max="23" man="1"/>
    <brk id="47" min="2" max="23" man="1"/>
    <brk id="53" min="2" max="23" man="1"/>
    <brk id="59" min="2" max="23" man="1"/>
    <brk id="65" min="2" max="23" man="1"/>
    <brk id="71" min="2" max="23" man="1"/>
    <brk id="77" min="2" max="23" man="1"/>
    <brk id="83" min="2" max="23" man="1"/>
    <brk id="89" min="2" max="23" man="1"/>
    <brk id="95" min="2" max="23" man="1"/>
  </rowBreaks>
  <colBreaks count="1" manualBreakCount="1">
    <brk id="9" min="5" max="10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8000"/>
  </sheetPr>
  <dimension ref="A1:AK209"/>
  <sheetViews>
    <sheetView zoomScale="75" workbookViewId="0">
      <pane xSplit="2" ySplit="4" topLeftCell="C119" activePane="bottomRight" state="frozen"/>
      <selection pane="topRight" activeCell="C1" sqref="C1"/>
      <selection pane="bottomLeft" activeCell="A5" sqref="A5"/>
      <selection pane="bottomRight" sqref="A1:XFD1048576"/>
    </sheetView>
  </sheetViews>
  <sheetFormatPr defaultColWidth="9.33203125" defaultRowHeight="12.75"/>
  <cols>
    <col min="1" max="1" width="7.5" style="1" customWidth="1"/>
    <col min="2" max="2" width="46.6640625" style="1" customWidth="1"/>
    <col min="3" max="8" width="16.1640625" style="1" customWidth="1"/>
    <col min="9" max="9" width="17.5" style="1" customWidth="1"/>
    <col min="10" max="13" width="14.33203125" style="1" customWidth="1"/>
    <col min="14" max="14" width="17" style="1" customWidth="1"/>
    <col min="15" max="15" width="13.83203125" style="1" customWidth="1"/>
    <col min="16" max="16" width="13.83203125" style="1" hidden="1" customWidth="1"/>
    <col min="17" max="18" width="14.5" style="1" customWidth="1"/>
    <col min="19" max="19" width="11.6640625" style="1" customWidth="1"/>
    <col min="20" max="20" width="8.5" style="1" customWidth="1"/>
    <col min="21" max="21" width="10.83203125" style="1" customWidth="1"/>
    <col min="22" max="22" width="9.83203125" style="1" customWidth="1"/>
    <col min="23" max="23" width="12.1640625" style="1" customWidth="1"/>
    <col min="24" max="24" width="9.83203125" style="1" customWidth="1"/>
    <col min="25" max="25" width="12.1640625" style="1" customWidth="1"/>
    <col min="26" max="26" width="8.6640625" style="1" customWidth="1"/>
    <col min="27" max="27" width="12.1640625" style="1" customWidth="1"/>
    <col min="28" max="29" width="1.5" style="1" customWidth="1"/>
    <col min="30" max="30" width="2.1640625" style="1" customWidth="1"/>
    <col min="31" max="31" width="14.5" style="1" customWidth="1"/>
    <col min="32" max="32" width="13.6640625" style="1" customWidth="1"/>
    <col min="33" max="33" width="12.6640625" style="1" customWidth="1"/>
    <col min="34" max="34" width="16" style="1" customWidth="1"/>
    <col min="35" max="35" width="16.5" style="1" customWidth="1"/>
    <col min="36" max="36" width="14.6640625" style="1" customWidth="1"/>
    <col min="37" max="37" width="14" style="1" customWidth="1"/>
    <col min="38" max="16384" width="9.33203125" style="1"/>
  </cols>
  <sheetData>
    <row r="1" spans="1:31">
      <c r="M1" s="7"/>
      <c r="T1" s="8"/>
      <c r="U1" s="8"/>
      <c r="V1" s="8"/>
      <c r="W1" s="8"/>
      <c r="X1" s="8"/>
      <c r="Y1" s="8"/>
      <c r="Z1" s="8"/>
      <c r="AA1" s="8"/>
    </row>
    <row r="2" spans="1:31">
      <c r="C2" s="1" t="s">
        <v>645</v>
      </c>
      <c r="E2" s="9"/>
      <c r="F2" s="9"/>
      <c r="G2" s="9"/>
      <c r="H2" s="9"/>
      <c r="I2" s="9"/>
      <c r="J2" s="10"/>
      <c r="K2" s="9"/>
      <c r="L2" s="9"/>
      <c r="M2" s="11"/>
      <c r="N2" s="12"/>
      <c r="O2" s="10"/>
      <c r="P2" s="9"/>
      <c r="Q2" s="9"/>
      <c r="R2" s="9"/>
      <c r="S2" s="9"/>
      <c r="T2" s="13"/>
      <c r="U2" s="13"/>
      <c r="V2" s="13"/>
      <c r="W2" s="13"/>
      <c r="X2" s="13"/>
      <c r="Y2" s="13"/>
      <c r="Z2" s="13"/>
      <c r="AA2" s="14"/>
      <c r="AB2" s="15"/>
      <c r="AC2" s="16"/>
      <c r="AD2" s="17"/>
      <c r="AE2"/>
    </row>
    <row r="3" spans="1:31">
      <c r="A3" s="18"/>
      <c r="B3" s="9"/>
      <c r="C3" s="18" t="s">
        <v>667</v>
      </c>
      <c r="D3" s="9"/>
      <c r="E3" s="9"/>
      <c r="F3" s="9"/>
      <c r="G3" s="9"/>
      <c r="H3" s="9"/>
      <c r="I3" s="19" t="s">
        <v>666</v>
      </c>
      <c r="J3" s="18" t="s">
        <v>668</v>
      </c>
      <c r="K3" s="9"/>
      <c r="L3" s="9"/>
      <c r="M3" s="9"/>
      <c r="N3" s="19" t="s">
        <v>669</v>
      </c>
      <c r="O3" s="18">
        <v>11</v>
      </c>
      <c r="P3" s="9" t="s">
        <v>765</v>
      </c>
      <c r="Q3" s="19" t="s">
        <v>670</v>
      </c>
      <c r="R3" s="18"/>
      <c r="S3" s="18" t="s">
        <v>671</v>
      </c>
      <c r="T3" s="20" t="s">
        <v>614</v>
      </c>
      <c r="U3" s="20" t="s">
        <v>640</v>
      </c>
      <c r="V3" s="20" t="s">
        <v>615</v>
      </c>
      <c r="W3" s="20" t="s">
        <v>641</v>
      </c>
      <c r="X3" s="20" t="s">
        <v>616</v>
      </c>
      <c r="Y3" s="20" t="s">
        <v>642</v>
      </c>
      <c r="Z3" s="20" t="s">
        <v>868</v>
      </c>
      <c r="AA3" s="21" t="s">
        <v>869</v>
      </c>
      <c r="AB3" s="22">
        <v>15</v>
      </c>
      <c r="AC3" s="23" t="s">
        <v>821</v>
      </c>
      <c r="AD3" s="17" t="s">
        <v>5</v>
      </c>
      <c r="AE3"/>
    </row>
    <row r="4" spans="1:31">
      <c r="A4" s="18" t="s">
        <v>637</v>
      </c>
      <c r="B4" s="24" t="s">
        <v>672</v>
      </c>
      <c r="C4" s="25">
        <v>1</v>
      </c>
      <c r="D4" s="26">
        <v>2</v>
      </c>
      <c r="E4" s="26">
        <v>3</v>
      </c>
      <c r="F4" s="26">
        <v>4</v>
      </c>
      <c r="G4" s="26">
        <v>5</v>
      </c>
      <c r="H4" s="26">
        <v>6</v>
      </c>
      <c r="I4" s="27"/>
      <c r="J4" s="28">
        <v>7</v>
      </c>
      <c r="K4" s="29">
        <v>8</v>
      </c>
      <c r="L4" s="29">
        <v>9</v>
      </c>
      <c r="M4" s="29">
        <v>10</v>
      </c>
      <c r="N4" s="27"/>
      <c r="O4" s="28">
        <v>11</v>
      </c>
      <c r="P4" s="29"/>
      <c r="Q4" s="27">
        <v>12</v>
      </c>
      <c r="R4" s="18">
        <v>13</v>
      </c>
      <c r="S4" s="30"/>
      <c r="T4" s="20" t="s">
        <v>614</v>
      </c>
      <c r="U4" s="31"/>
      <c r="V4" s="32" t="s">
        <v>615</v>
      </c>
      <c r="W4" s="33"/>
      <c r="X4" s="32" t="s">
        <v>616</v>
      </c>
      <c r="Y4" s="33"/>
      <c r="Z4" s="20" t="s">
        <v>868</v>
      </c>
      <c r="AA4" s="34"/>
      <c r="AB4" s="22">
        <v>15</v>
      </c>
      <c r="AC4" s="35"/>
      <c r="AD4" s="17"/>
      <c r="AE4"/>
    </row>
    <row r="5" spans="1:31">
      <c r="A5" s="36" t="s">
        <v>72</v>
      </c>
      <c r="B5" s="24" t="s">
        <v>638</v>
      </c>
      <c r="C5" s="18">
        <v>64980.2</v>
      </c>
      <c r="D5" s="12">
        <v>15057.833333333334</v>
      </c>
      <c r="E5" s="12">
        <v>31500.999999999996</v>
      </c>
      <c r="F5" s="12">
        <v>5781.6666666666661</v>
      </c>
      <c r="G5" s="12">
        <v>4243.5666666666675</v>
      </c>
      <c r="H5" s="12"/>
      <c r="I5" s="18">
        <v>121564.26666666666</v>
      </c>
      <c r="J5" s="18"/>
      <c r="K5" s="12">
        <v>16464.533333333333</v>
      </c>
      <c r="L5" s="12">
        <v>25167.600000000002</v>
      </c>
      <c r="M5" s="12">
        <v>9671.4333333333343</v>
      </c>
      <c r="N5" s="18">
        <v>51303.566666666666</v>
      </c>
      <c r="O5" s="18"/>
      <c r="P5" s="12"/>
      <c r="Q5" s="18">
        <v>1357.8666666666666</v>
      </c>
      <c r="R5" s="18">
        <v>1239.2666666666667</v>
      </c>
      <c r="S5" s="18">
        <v>2597.1333333333332</v>
      </c>
      <c r="T5" s="20"/>
      <c r="U5" s="20"/>
      <c r="V5" s="20"/>
      <c r="W5" s="20"/>
      <c r="X5" s="20"/>
      <c r="Y5" s="20"/>
      <c r="Z5" s="20"/>
      <c r="AA5" s="37"/>
      <c r="AB5" s="22">
        <v>423.6</v>
      </c>
      <c r="AC5" s="23">
        <v>423.6</v>
      </c>
      <c r="AD5" s="17">
        <v>175888.56666666665</v>
      </c>
      <c r="AE5"/>
    </row>
    <row r="6" spans="1:31">
      <c r="A6" s="38"/>
      <c r="B6" s="39" t="s">
        <v>639</v>
      </c>
      <c r="C6" s="40">
        <v>63148.03333333334</v>
      </c>
      <c r="D6" s="17">
        <v>14299.066666666666</v>
      </c>
      <c r="E6" s="17">
        <v>29378.600000000002</v>
      </c>
      <c r="F6" s="17">
        <v>5201.3999999999996</v>
      </c>
      <c r="G6" s="17">
        <v>4093.3666666666668</v>
      </c>
      <c r="H6" s="17"/>
      <c r="I6" s="40">
        <v>116120.46666666667</v>
      </c>
      <c r="J6" s="40"/>
      <c r="K6" s="17">
        <v>15829.333333333334</v>
      </c>
      <c r="L6" s="17">
        <v>23782.3</v>
      </c>
      <c r="M6" s="17">
        <v>9146.1333333333332</v>
      </c>
      <c r="N6" s="40">
        <v>48757.766666666663</v>
      </c>
      <c r="O6" s="40"/>
      <c r="P6" s="17"/>
      <c r="Q6" s="40">
        <v>1323.2666666666667</v>
      </c>
      <c r="R6" s="40">
        <v>1273.2666666666667</v>
      </c>
      <c r="S6" s="40">
        <v>2596.5333333333333</v>
      </c>
      <c r="T6" s="41"/>
      <c r="U6" s="41"/>
      <c r="V6" s="41"/>
      <c r="W6" s="41"/>
      <c r="X6" s="41"/>
      <c r="Y6" s="41"/>
      <c r="Z6" s="41"/>
      <c r="AA6" s="42"/>
      <c r="AB6" s="43">
        <v>365.16666666666669</v>
      </c>
      <c r="AC6" s="44">
        <v>365.16666666666669</v>
      </c>
      <c r="AD6" s="17">
        <v>167839.93333333332</v>
      </c>
      <c r="AE6"/>
    </row>
    <row r="7" spans="1:31">
      <c r="A7" s="38"/>
      <c r="B7" s="45" t="s">
        <v>658</v>
      </c>
      <c r="C7" s="46">
        <v>-2.8195768352000411E-2</v>
      </c>
      <c r="D7" s="47">
        <v>-5.0390162373958283E-2</v>
      </c>
      <c r="E7" s="47">
        <v>-6.7375638868607174E-2</v>
      </c>
      <c r="F7" s="47">
        <v>-0.10036321706543669</v>
      </c>
      <c r="G7" s="47">
        <v>-3.5394754412561923E-2</v>
      </c>
      <c r="H7" s="47">
        <v>0</v>
      </c>
      <c r="I7" s="46">
        <v>-4.4781251508118521E-2</v>
      </c>
      <c r="J7" s="46">
        <v>0</v>
      </c>
      <c r="K7" s="47">
        <v>-3.8579896990703182E-2</v>
      </c>
      <c r="L7" s="47">
        <v>-5.5042991783086304E-2</v>
      </c>
      <c r="M7" s="47">
        <v>-5.4314596595471998E-2</v>
      </c>
      <c r="N7" s="46">
        <v>-4.9622280972018103E-2</v>
      </c>
      <c r="O7" s="48">
        <v>0</v>
      </c>
      <c r="P7" s="47">
        <v>0</v>
      </c>
      <c r="Q7" s="46">
        <v>-2.5481146897093417E-2</v>
      </c>
      <c r="R7" s="46">
        <v>2.7435580181827963E-2</v>
      </c>
      <c r="S7" s="46">
        <v>-2.3102394948272805E-4</v>
      </c>
      <c r="T7" s="49">
        <v>0</v>
      </c>
      <c r="U7" s="49">
        <v>0</v>
      </c>
      <c r="V7" s="49">
        <v>0</v>
      </c>
      <c r="W7" s="49">
        <v>0</v>
      </c>
      <c r="X7" s="49">
        <v>0</v>
      </c>
      <c r="Y7" s="49">
        <v>0</v>
      </c>
      <c r="Z7" s="49">
        <v>0</v>
      </c>
      <c r="AA7" s="50">
        <v>0</v>
      </c>
      <c r="AB7" s="51">
        <v>-0.13794460182562165</v>
      </c>
      <c r="AC7" s="52">
        <v>-0.13794460182562165</v>
      </c>
      <c r="AD7" s="47">
        <v>-4.5759843779878365E-2</v>
      </c>
      <c r="AE7"/>
    </row>
    <row r="8" spans="1:31">
      <c r="A8" s="38"/>
      <c r="B8" s="39" t="s">
        <v>646</v>
      </c>
      <c r="C8" s="40">
        <v>23.822222222222223</v>
      </c>
      <c r="D8" s="17">
        <v>0</v>
      </c>
      <c r="E8" s="17">
        <v>0</v>
      </c>
      <c r="F8" s="17">
        <v>0</v>
      </c>
      <c r="G8" s="17">
        <v>0</v>
      </c>
      <c r="H8" s="17"/>
      <c r="I8" s="40">
        <v>23.822222222222223</v>
      </c>
      <c r="J8" s="40"/>
      <c r="K8" s="17">
        <v>0</v>
      </c>
      <c r="L8" s="17">
        <v>0</v>
      </c>
      <c r="M8" s="17">
        <v>0</v>
      </c>
      <c r="N8" s="40">
        <v>0</v>
      </c>
      <c r="O8" s="53"/>
      <c r="P8" s="17"/>
      <c r="Q8" s="40">
        <v>0</v>
      </c>
      <c r="R8" s="40">
        <v>0</v>
      </c>
      <c r="S8" s="40">
        <v>0</v>
      </c>
      <c r="T8" s="41"/>
      <c r="U8" s="41"/>
      <c r="V8" s="41"/>
      <c r="W8" s="41"/>
      <c r="X8" s="41"/>
      <c r="Y8" s="41"/>
      <c r="Z8" s="41"/>
      <c r="AA8" s="54"/>
      <c r="AB8" s="43">
        <v>0</v>
      </c>
      <c r="AC8" s="44">
        <v>0</v>
      </c>
      <c r="AD8" s="17">
        <v>23.822222222222223</v>
      </c>
      <c r="AE8"/>
    </row>
    <row r="9" spans="1:31">
      <c r="A9" s="38"/>
      <c r="B9" s="39" t="s">
        <v>648</v>
      </c>
      <c r="C9" s="40">
        <v>23.238888888888887</v>
      </c>
      <c r="D9" s="17">
        <v>0</v>
      </c>
      <c r="E9" s="17">
        <v>0</v>
      </c>
      <c r="F9" s="17">
        <v>0</v>
      </c>
      <c r="G9" s="17">
        <v>0</v>
      </c>
      <c r="H9" s="17"/>
      <c r="I9" s="40">
        <v>23.238888888888887</v>
      </c>
      <c r="J9" s="40"/>
      <c r="K9" s="17">
        <v>0</v>
      </c>
      <c r="L9" s="17">
        <v>0</v>
      </c>
      <c r="M9" s="17">
        <v>0</v>
      </c>
      <c r="N9" s="40">
        <v>0</v>
      </c>
      <c r="O9" s="53"/>
      <c r="P9" s="17"/>
      <c r="Q9" s="40">
        <v>0</v>
      </c>
      <c r="R9" s="40">
        <v>0</v>
      </c>
      <c r="S9" s="40">
        <v>0</v>
      </c>
      <c r="T9" s="41"/>
      <c r="U9" s="41"/>
      <c r="V9" s="41"/>
      <c r="W9" s="41"/>
      <c r="X9" s="41"/>
      <c r="Y9" s="41"/>
      <c r="Z9" s="41"/>
      <c r="AA9" s="54"/>
      <c r="AB9" s="43">
        <v>0</v>
      </c>
      <c r="AC9" s="44">
        <v>0</v>
      </c>
      <c r="AD9" s="17">
        <v>23.238888888888887</v>
      </c>
      <c r="AE9"/>
    </row>
    <row r="10" spans="1:31">
      <c r="A10" s="38"/>
      <c r="B10" s="45" t="s">
        <v>660</v>
      </c>
      <c r="C10" s="46">
        <v>-2.4486940298507561E-2</v>
      </c>
      <c r="D10" s="47">
        <v>0</v>
      </c>
      <c r="E10" s="47">
        <v>0</v>
      </c>
      <c r="F10" s="47">
        <v>0</v>
      </c>
      <c r="G10" s="47">
        <v>0</v>
      </c>
      <c r="H10" s="47">
        <v>0</v>
      </c>
      <c r="I10" s="46">
        <v>-2.4486940298507561E-2</v>
      </c>
      <c r="J10" s="46">
        <v>0</v>
      </c>
      <c r="K10" s="47">
        <v>0</v>
      </c>
      <c r="L10" s="47">
        <v>0</v>
      </c>
      <c r="M10" s="47">
        <v>0</v>
      </c>
      <c r="N10" s="46">
        <v>0</v>
      </c>
      <c r="O10" s="48">
        <v>0</v>
      </c>
      <c r="P10" s="47">
        <v>0</v>
      </c>
      <c r="Q10" s="46">
        <v>0</v>
      </c>
      <c r="R10" s="46">
        <v>0</v>
      </c>
      <c r="S10" s="46">
        <v>0</v>
      </c>
      <c r="T10" s="49">
        <v>0</v>
      </c>
      <c r="U10" s="49">
        <v>0</v>
      </c>
      <c r="V10" s="49">
        <v>0</v>
      </c>
      <c r="W10" s="49">
        <v>0</v>
      </c>
      <c r="X10" s="49">
        <v>0</v>
      </c>
      <c r="Y10" s="49">
        <v>0</v>
      </c>
      <c r="Z10" s="49">
        <v>0</v>
      </c>
      <c r="AA10" s="50">
        <v>0</v>
      </c>
      <c r="AB10" s="51">
        <v>0</v>
      </c>
      <c r="AC10" s="52">
        <v>0</v>
      </c>
      <c r="AD10" s="47">
        <v>-2.4486940298507561E-2</v>
      </c>
      <c r="AE10"/>
    </row>
    <row r="11" spans="1:31">
      <c r="A11" s="38"/>
      <c r="B11" s="39" t="s">
        <v>650</v>
      </c>
      <c r="C11" s="40">
        <v>11407.041666666666</v>
      </c>
      <c r="D11" s="17">
        <v>2088.3333333333335</v>
      </c>
      <c r="E11" s="17">
        <v>5843.3333333333339</v>
      </c>
      <c r="F11" s="17">
        <v>3342.2083333333335</v>
      </c>
      <c r="G11" s="17">
        <v>401.70833333333331</v>
      </c>
      <c r="H11" s="17"/>
      <c r="I11" s="40">
        <v>23082.625</v>
      </c>
      <c r="J11" s="40"/>
      <c r="K11" s="17">
        <v>0</v>
      </c>
      <c r="L11" s="17">
        <v>0</v>
      </c>
      <c r="M11" s="17">
        <v>0</v>
      </c>
      <c r="N11" s="40">
        <v>0</v>
      </c>
      <c r="O11" s="53"/>
      <c r="P11" s="17"/>
      <c r="Q11" s="40">
        <v>0</v>
      </c>
      <c r="R11" s="40">
        <v>0</v>
      </c>
      <c r="S11" s="40">
        <v>0</v>
      </c>
      <c r="T11" s="41"/>
      <c r="U11" s="41"/>
      <c r="V11" s="41"/>
      <c r="W11" s="41"/>
      <c r="X11" s="41"/>
      <c r="Y11" s="41"/>
      <c r="Z11" s="41"/>
      <c r="AA11" s="54"/>
      <c r="AB11" s="43">
        <v>0</v>
      </c>
      <c r="AC11" s="44">
        <v>0</v>
      </c>
      <c r="AD11" s="17">
        <v>23082.625</v>
      </c>
      <c r="AE11"/>
    </row>
    <row r="12" spans="1:31">
      <c r="A12" s="38"/>
      <c r="B12" s="39" t="s">
        <v>652</v>
      </c>
      <c r="C12" s="40">
        <v>13174.291666666666</v>
      </c>
      <c r="D12" s="17">
        <v>2197</v>
      </c>
      <c r="E12" s="17">
        <v>6310.3333333333339</v>
      </c>
      <c r="F12" s="17">
        <v>3354.2083333333335</v>
      </c>
      <c r="G12" s="17">
        <v>473.83333333333331</v>
      </c>
      <c r="H12" s="17"/>
      <c r="I12" s="40">
        <v>25509.666666666664</v>
      </c>
      <c r="J12" s="40"/>
      <c r="K12" s="17">
        <v>0</v>
      </c>
      <c r="L12" s="17">
        <v>0</v>
      </c>
      <c r="M12" s="17">
        <v>0</v>
      </c>
      <c r="N12" s="40">
        <v>0</v>
      </c>
      <c r="O12" s="53"/>
      <c r="P12" s="17"/>
      <c r="Q12" s="40">
        <v>0</v>
      </c>
      <c r="R12" s="40">
        <v>0</v>
      </c>
      <c r="S12" s="40">
        <v>0</v>
      </c>
      <c r="T12" s="41"/>
      <c r="U12" s="41"/>
      <c r="V12" s="41"/>
      <c r="W12" s="41"/>
      <c r="X12" s="41"/>
      <c r="Y12" s="41"/>
      <c r="Z12" s="41"/>
      <c r="AA12" s="54"/>
      <c r="AB12" s="43">
        <v>0</v>
      </c>
      <c r="AC12" s="44">
        <v>0</v>
      </c>
      <c r="AD12" s="17">
        <v>25509.666666666664</v>
      </c>
      <c r="AE12"/>
    </row>
    <row r="13" spans="1:31">
      <c r="A13" s="38"/>
      <c r="B13" s="45" t="s">
        <v>662</v>
      </c>
      <c r="C13" s="46">
        <v>0.15492623343037379</v>
      </c>
      <c r="D13" s="47">
        <v>5.2035115722266483E-2</v>
      </c>
      <c r="E13" s="47">
        <v>7.9920136908157441E-2</v>
      </c>
      <c r="F13" s="47">
        <v>3.5904404522957623E-3</v>
      </c>
      <c r="G13" s="47">
        <v>0.17954569028109119</v>
      </c>
      <c r="H13" s="47">
        <v>0</v>
      </c>
      <c r="I13" s="46">
        <v>0.10514582577443719</v>
      </c>
      <c r="J13" s="46">
        <v>0</v>
      </c>
      <c r="K13" s="47">
        <v>0</v>
      </c>
      <c r="L13" s="47">
        <v>0</v>
      </c>
      <c r="M13" s="47">
        <v>0</v>
      </c>
      <c r="N13" s="46">
        <v>0</v>
      </c>
      <c r="O13" s="48">
        <v>0</v>
      </c>
      <c r="P13" s="47">
        <v>0</v>
      </c>
      <c r="Q13" s="46">
        <v>0</v>
      </c>
      <c r="R13" s="46">
        <v>0</v>
      </c>
      <c r="S13" s="46">
        <v>0</v>
      </c>
      <c r="T13" s="49">
        <v>0</v>
      </c>
      <c r="U13" s="49">
        <v>0</v>
      </c>
      <c r="V13" s="49">
        <v>0</v>
      </c>
      <c r="W13" s="49">
        <v>0</v>
      </c>
      <c r="X13" s="49">
        <v>0</v>
      </c>
      <c r="Y13" s="49">
        <v>0</v>
      </c>
      <c r="Z13" s="49">
        <v>0</v>
      </c>
      <c r="AA13" s="50">
        <v>0</v>
      </c>
      <c r="AB13" s="51">
        <v>0</v>
      </c>
      <c r="AC13" s="52">
        <v>0</v>
      </c>
      <c r="AD13" s="47">
        <v>0.10514582577443719</v>
      </c>
      <c r="AE13"/>
    </row>
    <row r="14" spans="1:31">
      <c r="A14" s="38"/>
      <c r="B14" s="39" t="s">
        <v>654</v>
      </c>
      <c r="C14" s="40">
        <v>76411.063888888893</v>
      </c>
      <c r="D14" s="17">
        <v>17146.166666666664</v>
      </c>
      <c r="E14" s="17">
        <v>37344.333333333336</v>
      </c>
      <c r="F14" s="17">
        <v>9123.875</v>
      </c>
      <c r="G14" s="17">
        <v>4645.2750000000005</v>
      </c>
      <c r="H14" s="17"/>
      <c r="I14" s="40">
        <v>144670.71388888889</v>
      </c>
      <c r="J14" s="40"/>
      <c r="K14" s="17">
        <v>16464.533333333333</v>
      </c>
      <c r="L14" s="17">
        <v>25167.600000000002</v>
      </c>
      <c r="M14" s="17">
        <v>9671.4333333333343</v>
      </c>
      <c r="N14" s="40">
        <v>51303.566666666666</v>
      </c>
      <c r="O14" s="53"/>
      <c r="P14" s="17"/>
      <c r="Q14" s="40">
        <v>1357.8666666666666</v>
      </c>
      <c r="R14" s="40">
        <v>1239.2666666666667</v>
      </c>
      <c r="S14" s="40">
        <v>2597.1333333333332</v>
      </c>
      <c r="T14" s="41"/>
      <c r="U14" s="41"/>
      <c r="V14" s="41"/>
      <c r="W14" s="41"/>
      <c r="X14" s="41"/>
      <c r="Y14" s="41"/>
      <c r="Z14" s="41"/>
      <c r="AA14" s="54"/>
      <c r="AB14" s="43">
        <v>423.6</v>
      </c>
      <c r="AC14" s="44">
        <v>423.6</v>
      </c>
      <c r="AD14" s="17">
        <v>198995.01388888888</v>
      </c>
      <c r="AE14"/>
    </row>
    <row r="15" spans="1:31">
      <c r="A15" s="38"/>
      <c r="B15" s="39" t="s">
        <v>656</v>
      </c>
      <c r="C15" s="40">
        <v>76345.563888888893</v>
      </c>
      <c r="D15" s="17">
        <v>16496.066666666666</v>
      </c>
      <c r="E15" s="17">
        <v>35688.933333333334</v>
      </c>
      <c r="F15" s="17">
        <v>8555.6083333333336</v>
      </c>
      <c r="G15" s="17">
        <v>4567.2000000000007</v>
      </c>
      <c r="H15" s="17"/>
      <c r="I15" s="40">
        <v>141653.37222222224</v>
      </c>
      <c r="J15" s="40"/>
      <c r="K15" s="17">
        <v>15829.333333333334</v>
      </c>
      <c r="L15" s="17">
        <v>23782.3</v>
      </c>
      <c r="M15" s="17">
        <v>9146.1333333333332</v>
      </c>
      <c r="N15" s="40">
        <v>48757.766666666663</v>
      </c>
      <c r="O15" s="53"/>
      <c r="P15" s="17"/>
      <c r="Q15" s="40">
        <v>1323.2666666666667</v>
      </c>
      <c r="R15" s="40">
        <v>1273.2666666666667</v>
      </c>
      <c r="S15" s="40">
        <v>2596.5333333333333</v>
      </c>
      <c r="T15" s="41"/>
      <c r="U15" s="41"/>
      <c r="V15" s="41"/>
      <c r="W15" s="41"/>
      <c r="X15" s="41"/>
      <c r="Y15" s="41"/>
      <c r="Z15" s="41"/>
      <c r="AA15" s="54"/>
      <c r="AB15" s="43">
        <v>365.16666666666669</v>
      </c>
      <c r="AC15" s="44">
        <v>365.16666666666669</v>
      </c>
      <c r="AD15" s="17">
        <v>193372.83888888889</v>
      </c>
      <c r="AE15"/>
    </row>
    <row r="16" spans="1:31">
      <c r="A16" s="55"/>
      <c r="B16" s="56" t="s">
        <v>664</v>
      </c>
      <c r="C16" s="46">
        <v>-8.5720570643074766E-4</v>
      </c>
      <c r="D16" s="47">
        <v>-3.7915180263810098E-2</v>
      </c>
      <c r="E16" s="47">
        <v>-4.4328010496907197E-2</v>
      </c>
      <c r="F16" s="47">
        <v>-6.2283477871701048E-2</v>
      </c>
      <c r="G16" s="47">
        <v>-1.680740106882796E-2</v>
      </c>
      <c r="H16" s="47">
        <v>0</v>
      </c>
      <c r="I16" s="46">
        <v>-2.0856616972140245E-2</v>
      </c>
      <c r="J16" s="46">
        <v>0</v>
      </c>
      <c r="K16" s="47">
        <v>-3.8579896990703182E-2</v>
      </c>
      <c r="L16" s="47">
        <v>-5.5042991783086304E-2</v>
      </c>
      <c r="M16" s="47">
        <v>-5.4314596595471998E-2</v>
      </c>
      <c r="N16" s="46">
        <v>-4.9622280972018103E-2</v>
      </c>
      <c r="O16" s="48">
        <v>0</v>
      </c>
      <c r="P16" s="47">
        <v>0</v>
      </c>
      <c r="Q16" s="46">
        <v>-2.5481146897093417E-2</v>
      </c>
      <c r="R16" s="46">
        <v>2.7435580181827963E-2</v>
      </c>
      <c r="S16" s="46">
        <v>-2.3102394948272805E-4</v>
      </c>
      <c r="T16" s="49">
        <v>0</v>
      </c>
      <c r="U16" s="49">
        <v>0</v>
      </c>
      <c r="V16" s="49">
        <v>0</v>
      </c>
      <c r="W16" s="49">
        <v>0</v>
      </c>
      <c r="X16" s="49">
        <v>0</v>
      </c>
      <c r="Y16" s="49">
        <v>0</v>
      </c>
      <c r="Z16" s="49">
        <v>0</v>
      </c>
      <c r="AA16" s="50">
        <v>0</v>
      </c>
      <c r="AB16" s="43">
        <v>-0.13794460182562165</v>
      </c>
      <c r="AC16" s="44">
        <v>-0.13794460182562165</v>
      </c>
      <c r="AD16" s="47">
        <v>-2.8252843576971481E-2</v>
      </c>
      <c r="AE16"/>
    </row>
    <row r="17" spans="1:31">
      <c r="A17" s="36" t="s">
        <v>102</v>
      </c>
      <c r="B17" s="24" t="s">
        <v>638</v>
      </c>
      <c r="C17" s="18">
        <v>21805.966666666667</v>
      </c>
      <c r="D17" s="12">
        <v>5521.8</v>
      </c>
      <c r="E17" s="12">
        <v>24003.466666666667</v>
      </c>
      <c r="F17" s="12">
        <v>8140.6666666666661</v>
      </c>
      <c r="G17" s="12"/>
      <c r="H17" s="12">
        <v>7036.5</v>
      </c>
      <c r="I17" s="18">
        <v>66508.399999999994</v>
      </c>
      <c r="J17" s="18"/>
      <c r="K17" s="12">
        <v>4698.7</v>
      </c>
      <c r="L17" s="12">
        <v>6060.5333333333328</v>
      </c>
      <c r="M17" s="12">
        <v>18490.099999999999</v>
      </c>
      <c r="N17" s="18">
        <v>29249.333333333332</v>
      </c>
      <c r="O17" s="18"/>
      <c r="P17" s="12"/>
      <c r="Q17" s="18"/>
      <c r="R17" s="18"/>
      <c r="S17" s="18"/>
      <c r="T17" s="20"/>
      <c r="U17" s="20"/>
      <c r="V17" s="20"/>
      <c r="W17" s="20"/>
      <c r="X17" s="20"/>
      <c r="Y17" s="20"/>
      <c r="Z17" s="20"/>
      <c r="AA17" s="37"/>
      <c r="AB17" s="22"/>
      <c r="AC17" s="23"/>
      <c r="AD17" s="17">
        <v>95757.733333333337</v>
      </c>
      <c r="AE17"/>
    </row>
    <row r="18" spans="1:31">
      <c r="A18" s="38"/>
      <c r="B18" s="39" t="s">
        <v>639</v>
      </c>
      <c r="C18" s="40">
        <v>22192.799999999999</v>
      </c>
      <c r="D18" s="17">
        <v>4920.3666666666668</v>
      </c>
      <c r="E18" s="17">
        <v>22155.766666666666</v>
      </c>
      <c r="F18" s="17">
        <v>7313.7333333333336</v>
      </c>
      <c r="G18" s="17"/>
      <c r="H18" s="17">
        <v>6526.8333333333339</v>
      </c>
      <c r="I18" s="40">
        <v>63109.500000000007</v>
      </c>
      <c r="J18" s="40"/>
      <c r="K18" s="17">
        <v>4241.1333333333332</v>
      </c>
      <c r="L18" s="17">
        <v>5436.7333333333336</v>
      </c>
      <c r="M18" s="17">
        <v>17433.599999999999</v>
      </c>
      <c r="N18" s="40">
        <v>27111.466666666667</v>
      </c>
      <c r="O18" s="40"/>
      <c r="P18" s="17"/>
      <c r="Q18" s="40"/>
      <c r="R18" s="40"/>
      <c r="S18" s="40"/>
      <c r="T18" s="41"/>
      <c r="U18" s="41"/>
      <c r="V18" s="41"/>
      <c r="W18" s="41"/>
      <c r="X18" s="41"/>
      <c r="Y18" s="41"/>
      <c r="Z18" s="41"/>
      <c r="AA18" s="42"/>
      <c r="AB18" s="43"/>
      <c r="AC18" s="44"/>
      <c r="AD18" s="17">
        <v>90220.966666666674</v>
      </c>
      <c r="AE18"/>
    </row>
    <row r="19" spans="1:31">
      <c r="A19" s="38"/>
      <c r="B19" s="45" t="s">
        <v>658</v>
      </c>
      <c r="C19" s="46">
        <v>1.773979293129245E-2</v>
      </c>
      <c r="D19" s="47">
        <v>-0.10891979668465598</v>
      </c>
      <c r="E19" s="47">
        <v>-7.6976381189383783E-2</v>
      </c>
      <c r="F19" s="47">
        <v>-0.10158054213414125</v>
      </c>
      <c r="G19" s="47">
        <v>0</v>
      </c>
      <c r="H19" s="47">
        <v>-7.2431843482792024E-2</v>
      </c>
      <c r="I19" s="46">
        <v>-5.1104822849444814E-2</v>
      </c>
      <c r="J19" s="46">
        <v>0</v>
      </c>
      <c r="K19" s="47">
        <v>-9.7381545250104631E-2</v>
      </c>
      <c r="L19" s="47">
        <v>-0.10292823513882156</v>
      </c>
      <c r="M19" s="47">
        <v>-5.713868502604097E-2</v>
      </c>
      <c r="N19" s="46">
        <v>-7.309112458403616E-2</v>
      </c>
      <c r="O19" s="48">
        <v>0</v>
      </c>
      <c r="P19" s="47">
        <v>0</v>
      </c>
      <c r="Q19" s="46">
        <v>0</v>
      </c>
      <c r="R19" s="46">
        <v>0</v>
      </c>
      <c r="S19" s="46">
        <v>0</v>
      </c>
      <c r="T19" s="49">
        <v>0</v>
      </c>
      <c r="U19" s="49">
        <v>0</v>
      </c>
      <c r="V19" s="49">
        <v>0</v>
      </c>
      <c r="W19" s="49">
        <v>0</v>
      </c>
      <c r="X19" s="49">
        <v>0</v>
      </c>
      <c r="Y19" s="49">
        <v>0</v>
      </c>
      <c r="Z19" s="49">
        <v>0</v>
      </c>
      <c r="AA19" s="50">
        <v>0</v>
      </c>
      <c r="AB19" s="51">
        <v>0</v>
      </c>
      <c r="AC19" s="52">
        <v>0</v>
      </c>
      <c r="AD19" s="47">
        <v>-5.7820569409189698E-2</v>
      </c>
      <c r="AE19"/>
    </row>
    <row r="20" spans="1:31">
      <c r="A20" s="38"/>
      <c r="B20" s="39" t="s">
        <v>646</v>
      </c>
      <c r="C20" s="40">
        <v>0</v>
      </c>
      <c r="D20" s="17">
        <v>0</v>
      </c>
      <c r="E20" s="17">
        <v>0</v>
      </c>
      <c r="F20" s="17">
        <v>0</v>
      </c>
      <c r="G20" s="17"/>
      <c r="H20" s="17">
        <v>0</v>
      </c>
      <c r="I20" s="40">
        <v>0</v>
      </c>
      <c r="J20" s="40"/>
      <c r="K20" s="17">
        <v>0</v>
      </c>
      <c r="L20" s="17">
        <v>0</v>
      </c>
      <c r="M20" s="17">
        <v>0</v>
      </c>
      <c r="N20" s="40">
        <v>0</v>
      </c>
      <c r="O20" s="53"/>
      <c r="P20" s="17"/>
      <c r="Q20" s="40"/>
      <c r="R20" s="40"/>
      <c r="S20" s="40"/>
      <c r="T20" s="41"/>
      <c r="U20" s="41"/>
      <c r="V20" s="41"/>
      <c r="W20" s="41"/>
      <c r="X20" s="41"/>
      <c r="Y20" s="41"/>
      <c r="Z20" s="41"/>
      <c r="AA20" s="54"/>
      <c r="AB20" s="43"/>
      <c r="AC20" s="44"/>
      <c r="AD20" s="17">
        <v>0</v>
      </c>
      <c r="AE20"/>
    </row>
    <row r="21" spans="1:31">
      <c r="A21" s="38"/>
      <c r="B21" s="39" t="s">
        <v>648</v>
      </c>
      <c r="C21" s="40">
        <v>0</v>
      </c>
      <c r="D21" s="17">
        <v>0</v>
      </c>
      <c r="E21" s="17">
        <v>0</v>
      </c>
      <c r="F21" s="17">
        <v>0</v>
      </c>
      <c r="G21" s="17"/>
      <c r="H21" s="17">
        <v>0</v>
      </c>
      <c r="I21" s="40">
        <v>0</v>
      </c>
      <c r="J21" s="40"/>
      <c r="K21" s="17">
        <v>0</v>
      </c>
      <c r="L21" s="17">
        <v>0</v>
      </c>
      <c r="M21" s="17">
        <v>0</v>
      </c>
      <c r="N21" s="40">
        <v>0</v>
      </c>
      <c r="O21" s="53"/>
      <c r="P21" s="17"/>
      <c r="Q21" s="40"/>
      <c r="R21" s="40"/>
      <c r="S21" s="40"/>
      <c r="T21" s="41"/>
      <c r="U21" s="41"/>
      <c r="V21" s="41"/>
      <c r="W21" s="41"/>
      <c r="X21" s="41"/>
      <c r="Y21" s="41"/>
      <c r="Z21" s="41"/>
      <c r="AA21" s="54"/>
      <c r="AB21" s="43"/>
      <c r="AC21" s="44"/>
      <c r="AD21" s="17">
        <v>0</v>
      </c>
      <c r="AE21"/>
    </row>
    <row r="22" spans="1:31">
      <c r="A22" s="38"/>
      <c r="B22" s="45" t="s">
        <v>660</v>
      </c>
      <c r="C22" s="46">
        <v>0</v>
      </c>
      <c r="D22" s="47">
        <v>0</v>
      </c>
      <c r="E22" s="47">
        <v>0</v>
      </c>
      <c r="F22" s="47">
        <v>0</v>
      </c>
      <c r="G22" s="47">
        <v>0</v>
      </c>
      <c r="H22" s="47">
        <v>0</v>
      </c>
      <c r="I22" s="46">
        <v>0</v>
      </c>
      <c r="J22" s="46">
        <v>0</v>
      </c>
      <c r="K22" s="47">
        <v>0</v>
      </c>
      <c r="L22" s="47">
        <v>0</v>
      </c>
      <c r="M22" s="47">
        <v>0</v>
      </c>
      <c r="N22" s="46">
        <v>0</v>
      </c>
      <c r="O22" s="48">
        <v>0</v>
      </c>
      <c r="P22" s="47">
        <v>0</v>
      </c>
      <c r="Q22" s="46">
        <v>0</v>
      </c>
      <c r="R22" s="46">
        <v>0</v>
      </c>
      <c r="S22" s="46">
        <v>0</v>
      </c>
      <c r="T22" s="49">
        <v>0</v>
      </c>
      <c r="U22" s="49">
        <v>0</v>
      </c>
      <c r="V22" s="49">
        <v>0</v>
      </c>
      <c r="W22" s="49">
        <v>0</v>
      </c>
      <c r="X22" s="49">
        <v>0</v>
      </c>
      <c r="Y22" s="49">
        <v>0</v>
      </c>
      <c r="Z22" s="49">
        <v>0</v>
      </c>
      <c r="AA22" s="50">
        <v>0</v>
      </c>
      <c r="AB22" s="51">
        <v>0</v>
      </c>
      <c r="AC22" s="52">
        <v>0</v>
      </c>
      <c r="AD22" s="47">
        <v>0</v>
      </c>
      <c r="AE22"/>
    </row>
    <row r="23" spans="1:31">
      <c r="A23" s="38"/>
      <c r="B23" s="39" t="s">
        <v>650</v>
      </c>
      <c r="C23" s="40">
        <v>3422.3333333333335</v>
      </c>
      <c r="D23" s="17">
        <v>1511.9166666666667</v>
      </c>
      <c r="E23" s="17">
        <v>6533.375</v>
      </c>
      <c r="F23" s="17">
        <v>1338.3333333333335</v>
      </c>
      <c r="G23" s="17"/>
      <c r="H23" s="17">
        <v>125.29166666666667</v>
      </c>
      <c r="I23" s="40">
        <v>12931.25</v>
      </c>
      <c r="J23" s="40"/>
      <c r="K23" s="17">
        <v>0</v>
      </c>
      <c r="L23" s="17">
        <v>0</v>
      </c>
      <c r="M23" s="17">
        <v>0</v>
      </c>
      <c r="N23" s="40">
        <v>0</v>
      </c>
      <c r="O23" s="53"/>
      <c r="P23" s="17"/>
      <c r="Q23" s="40"/>
      <c r="R23" s="40"/>
      <c r="S23" s="40"/>
      <c r="T23" s="41"/>
      <c r="U23" s="41"/>
      <c r="V23" s="41"/>
      <c r="W23" s="41"/>
      <c r="X23" s="41"/>
      <c r="Y23" s="41"/>
      <c r="Z23" s="41"/>
      <c r="AA23" s="54"/>
      <c r="AB23" s="43"/>
      <c r="AC23" s="44"/>
      <c r="AD23" s="17">
        <v>12931.25</v>
      </c>
      <c r="AE23"/>
    </row>
    <row r="24" spans="1:31">
      <c r="A24" s="38"/>
      <c r="B24" s="39" t="s">
        <v>652</v>
      </c>
      <c r="C24" s="40">
        <v>3608.0416666666665</v>
      </c>
      <c r="D24" s="17">
        <v>1544.4166666666667</v>
      </c>
      <c r="E24" s="17">
        <v>6514.5833333333339</v>
      </c>
      <c r="F24" s="17">
        <v>1531.1666666666667</v>
      </c>
      <c r="G24" s="17"/>
      <c r="H24" s="17">
        <v>152.75</v>
      </c>
      <c r="I24" s="40">
        <v>13350.958333333334</v>
      </c>
      <c r="J24" s="40"/>
      <c r="K24" s="17">
        <v>0</v>
      </c>
      <c r="L24" s="17">
        <v>0</v>
      </c>
      <c r="M24" s="17">
        <v>0</v>
      </c>
      <c r="N24" s="40">
        <v>0</v>
      </c>
      <c r="O24" s="53"/>
      <c r="P24" s="17"/>
      <c r="Q24" s="40"/>
      <c r="R24" s="40"/>
      <c r="S24" s="40"/>
      <c r="T24" s="41"/>
      <c r="U24" s="41"/>
      <c r="V24" s="41"/>
      <c r="W24" s="41"/>
      <c r="X24" s="41"/>
      <c r="Y24" s="41"/>
      <c r="Z24" s="41"/>
      <c r="AA24" s="54"/>
      <c r="AB24" s="43"/>
      <c r="AC24" s="44"/>
      <c r="AD24" s="17">
        <v>13350.958333333334</v>
      </c>
      <c r="AE24"/>
    </row>
    <row r="25" spans="1:31">
      <c r="A25" s="38"/>
      <c r="B25" s="45" t="s">
        <v>662</v>
      </c>
      <c r="C25" s="46">
        <v>5.4263660270770342E-2</v>
      </c>
      <c r="D25" s="47">
        <v>2.1495893733120209E-2</v>
      </c>
      <c r="E25" s="47">
        <v>-2.8762571667271604E-3</v>
      </c>
      <c r="F25" s="47">
        <v>0.14408468244084674</v>
      </c>
      <c r="G25" s="47">
        <v>0</v>
      </c>
      <c r="H25" s="47">
        <v>0.21915530428998997</v>
      </c>
      <c r="I25" s="46">
        <v>3.2456903496052895E-2</v>
      </c>
      <c r="J25" s="46">
        <v>0</v>
      </c>
      <c r="K25" s="47">
        <v>0</v>
      </c>
      <c r="L25" s="47">
        <v>0</v>
      </c>
      <c r="M25" s="47">
        <v>0</v>
      </c>
      <c r="N25" s="46">
        <v>0</v>
      </c>
      <c r="O25" s="48">
        <v>0</v>
      </c>
      <c r="P25" s="47">
        <v>0</v>
      </c>
      <c r="Q25" s="46">
        <v>0</v>
      </c>
      <c r="R25" s="46">
        <v>0</v>
      </c>
      <c r="S25" s="46">
        <v>0</v>
      </c>
      <c r="T25" s="49">
        <v>0</v>
      </c>
      <c r="U25" s="49">
        <v>0</v>
      </c>
      <c r="V25" s="49">
        <v>0</v>
      </c>
      <c r="W25" s="49">
        <v>0</v>
      </c>
      <c r="X25" s="49">
        <v>0</v>
      </c>
      <c r="Y25" s="49">
        <v>0</v>
      </c>
      <c r="Z25" s="49">
        <v>0</v>
      </c>
      <c r="AA25" s="50">
        <v>0</v>
      </c>
      <c r="AB25" s="51">
        <v>0</v>
      </c>
      <c r="AC25" s="52">
        <v>0</v>
      </c>
      <c r="AD25" s="47">
        <v>3.2456903496052895E-2</v>
      </c>
      <c r="AE25"/>
    </row>
    <row r="26" spans="1:31">
      <c r="A26" s="38"/>
      <c r="B26" s="39" t="s">
        <v>654</v>
      </c>
      <c r="C26" s="40">
        <v>25228.3</v>
      </c>
      <c r="D26" s="17">
        <v>7033.7166666666672</v>
      </c>
      <c r="E26" s="17">
        <v>30536.841666666667</v>
      </c>
      <c r="F26" s="17">
        <v>9479</v>
      </c>
      <c r="G26" s="17"/>
      <c r="H26" s="17">
        <v>7161.7916666666661</v>
      </c>
      <c r="I26" s="40">
        <v>79439.650000000009</v>
      </c>
      <c r="J26" s="40"/>
      <c r="K26" s="17">
        <v>4698.7</v>
      </c>
      <c r="L26" s="17">
        <v>6060.5333333333328</v>
      </c>
      <c r="M26" s="17">
        <v>18490.099999999999</v>
      </c>
      <c r="N26" s="40">
        <v>29249.333333333332</v>
      </c>
      <c r="O26" s="53"/>
      <c r="P26" s="17"/>
      <c r="Q26" s="40"/>
      <c r="R26" s="40"/>
      <c r="S26" s="40"/>
      <c r="T26" s="41"/>
      <c r="U26" s="41"/>
      <c r="V26" s="41"/>
      <c r="W26" s="41"/>
      <c r="X26" s="41"/>
      <c r="Y26" s="41"/>
      <c r="Z26" s="41"/>
      <c r="AA26" s="54"/>
      <c r="AB26" s="43"/>
      <c r="AC26" s="44"/>
      <c r="AD26" s="17">
        <v>108688.98333333334</v>
      </c>
      <c r="AE26"/>
    </row>
    <row r="27" spans="1:31">
      <c r="A27" s="38"/>
      <c r="B27" s="39" t="s">
        <v>656</v>
      </c>
      <c r="C27" s="40">
        <v>25800.841666666667</v>
      </c>
      <c r="D27" s="17">
        <v>6464.7833333333338</v>
      </c>
      <c r="E27" s="17">
        <v>28670.35</v>
      </c>
      <c r="F27" s="17">
        <v>8844.9</v>
      </c>
      <c r="G27" s="17"/>
      <c r="H27" s="17">
        <v>6679.5833333333339</v>
      </c>
      <c r="I27" s="40">
        <v>76460.458333333328</v>
      </c>
      <c r="J27" s="40"/>
      <c r="K27" s="17">
        <v>4241.1333333333332</v>
      </c>
      <c r="L27" s="17">
        <v>5436.7333333333336</v>
      </c>
      <c r="M27" s="17">
        <v>17433.599999999999</v>
      </c>
      <c r="N27" s="40">
        <v>27111.466666666667</v>
      </c>
      <c r="O27" s="53"/>
      <c r="P27" s="17"/>
      <c r="Q27" s="40"/>
      <c r="R27" s="40"/>
      <c r="S27" s="40"/>
      <c r="T27" s="41"/>
      <c r="U27" s="41"/>
      <c r="V27" s="41"/>
      <c r="W27" s="41"/>
      <c r="X27" s="41"/>
      <c r="Y27" s="41"/>
      <c r="Z27" s="41"/>
      <c r="AA27" s="54"/>
      <c r="AB27" s="43"/>
      <c r="AC27" s="44"/>
      <c r="AD27" s="17">
        <v>103571.92499999999</v>
      </c>
      <c r="AE27"/>
    </row>
    <row r="28" spans="1:31">
      <c r="A28" s="55"/>
      <c r="B28" s="56" t="s">
        <v>664</v>
      </c>
      <c r="C28" s="46">
        <v>2.2694421212157295E-2</v>
      </c>
      <c r="D28" s="47">
        <v>-8.0886586750011258E-2</v>
      </c>
      <c r="E28" s="47">
        <v>-6.1122616642574699E-2</v>
      </c>
      <c r="F28" s="47">
        <v>-6.6895242114147102E-2</v>
      </c>
      <c r="G28" s="47">
        <v>0</v>
      </c>
      <c r="H28" s="47">
        <v>-6.7330684244515007E-2</v>
      </c>
      <c r="I28" s="46">
        <v>-3.7502577952781148E-2</v>
      </c>
      <c r="J28" s="46">
        <v>0</v>
      </c>
      <c r="K28" s="47">
        <v>-9.7381545250104631E-2</v>
      </c>
      <c r="L28" s="47">
        <v>-0.10292823513882156</v>
      </c>
      <c r="M28" s="47">
        <v>-5.713868502604097E-2</v>
      </c>
      <c r="N28" s="46">
        <v>-7.309112458403616E-2</v>
      </c>
      <c r="O28" s="48">
        <v>0</v>
      </c>
      <c r="P28" s="47">
        <v>0</v>
      </c>
      <c r="Q28" s="46">
        <v>0</v>
      </c>
      <c r="R28" s="46">
        <v>0</v>
      </c>
      <c r="S28" s="46">
        <v>0</v>
      </c>
      <c r="T28" s="49">
        <v>0</v>
      </c>
      <c r="U28" s="49">
        <v>0</v>
      </c>
      <c r="V28" s="49">
        <v>0</v>
      </c>
      <c r="W28" s="49">
        <v>0</v>
      </c>
      <c r="X28" s="49">
        <v>0</v>
      </c>
      <c r="Y28" s="49">
        <v>0</v>
      </c>
      <c r="Z28" s="49">
        <v>0</v>
      </c>
      <c r="AA28" s="50">
        <v>0</v>
      </c>
      <c r="AB28" s="43">
        <v>0</v>
      </c>
      <c r="AC28" s="44">
        <v>0</v>
      </c>
      <c r="AD28" s="47">
        <v>-4.7079825170873529E-2</v>
      </c>
      <c r="AE28"/>
    </row>
    <row r="29" spans="1:31">
      <c r="A29" s="36" t="s">
        <v>429</v>
      </c>
      <c r="B29" s="24" t="s">
        <v>638</v>
      </c>
      <c r="C29" s="18">
        <v>20020.400000000001</v>
      </c>
      <c r="D29" s="12"/>
      <c r="E29" s="12">
        <v>4390.2</v>
      </c>
      <c r="F29" s="12"/>
      <c r="G29" s="12"/>
      <c r="H29" s="12"/>
      <c r="I29" s="18">
        <v>24410.600000000002</v>
      </c>
      <c r="J29" s="18">
        <v>8302.7000000000007</v>
      </c>
      <c r="K29" s="12"/>
      <c r="L29" s="12"/>
      <c r="M29" s="12"/>
      <c r="N29" s="18">
        <v>8302.7000000000007</v>
      </c>
      <c r="O29" s="18"/>
      <c r="P29" s="12"/>
      <c r="Q29" s="18"/>
      <c r="R29" s="18"/>
      <c r="S29" s="18"/>
      <c r="T29" s="20"/>
      <c r="U29" s="20"/>
      <c r="V29" s="20"/>
      <c r="W29" s="20"/>
      <c r="X29" s="20"/>
      <c r="Y29" s="20"/>
      <c r="Z29" s="20"/>
      <c r="AA29" s="37"/>
      <c r="AB29" s="22"/>
      <c r="AC29" s="23"/>
      <c r="AD29" s="17">
        <v>32713.300000000003</v>
      </c>
      <c r="AE29"/>
    </row>
    <row r="30" spans="1:31">
      <c r="A30" s="38"/>
      <c r="B30" s="39" t="s">
        <v>639</v>
      </c>
      <c r="C30" s="40">
        <v>19861</v>
      </c>
      <c r="D30" s="17"/>
      <c r="E30" s="17">
        <v>4299.5333333333338</v>
      </c>
      <c r="F30" s="17"/>
      <c r="G30" s="17"/>
      <c r="H30" s="17"/>
      <c r="I30" s="40">
        <v>24160.533333333333</v>
      </c>
      <c r="J30" s="40">
        <v>7603.5</v>
      </c>
      <c r="K30" s="17"/>
      <c r="L30" s="17"/>
      <c r="M30" s="17"/>
      <c r="N30" s="40">
        <v>7603.5</v>
      </c>
      <c r="O30" s="40"/>
      <c r="P30" s="17"/>
      <c r="Q30" s="40"/>
      <c r="R30" s="40"/>
      <c r="S30" s="40"/>
      <c r="T30" s="41"/>
      <c r="U30" s="41"/>
      <c r="V30" s="41"/>
      <c r="W30" s="41"/>
      <c r="X30" s="41"/>
      <c r="Y30" s="41"/>
      <c r="Z30" s="41"/>
      <c r="AA30" s="42"/>
      <c r="AB30" s="43"/>
      <c r="AC30" s="44"/>
      <c r="AD30" s="17">
        <v>31764.033333333333</v>
      </c>
      <c r="AE30"/>
    </row>
    <row r="31" spans="1:31">
      <c r="A31" s="38"/>
      <c r="B31" s="45" t="s">
        <v>658</v>
      </c>
      <c r="C31" s="46">
        <v>-7.9618788835388622E-3</v>
      </c>
      <c r="D31" s="47">
        <v>0</v>
      </c>
      <c r="E31" s="47">
        <v>-2.0652058372435438E-2</v>
      </c>
      <c r="F31" s="47">
        <v>0</v>
      </c>
      <c r="G31" s="47">
        <v>0</v>
      </c>
      <c r="H31" s="47">
        <v>0</v>
      </c>
      <c r="I31" s="46">
        <v>-1.0244183537752834E-2</v>
      </c>
      <c r="J31" s="46">
        <v>-8.4213569079937933E-2</v>
      </c>
      <c r="K31" s="47">
        <v>0</v>
      </c>
      <c r="L31" s="47">
        <v>0</v>
      </c>
      <c r="M31" s="47">
        <v>0</v>
      </c>
      <c r="N31" s="46">
        <v>-8.4213569079937933E-2</v>
      </c>
      <c r="O31" s="48">
        <v>0</v>
      </c>
      <c r="P31" s="47">
        <v>0</v>
      </c>
      <c r="Q31" s="46">
        <v>0</v>
      </c>
      <c r="R31" s="46">
        <v>0</v>
      </c>
      <c r="S31" s="46">
        <v>0</v>
      </c>
      <c r="T31" s="49">
        <v>0</v>
      </c>
      <c r="U31" s="49">
        <v>0</v>
      </c>
      <c r="V31" s="49">
        <v>0</v>
      </c>
      <c r="W31" s="49">
        <v>0</v>
      </c>
      <c r="X31" s="49">
        <v>0</v>
      </c>
      <c r="Y31" s="49">
        <v>0</v>
      </c>
      <c r="Z31" s="49">
        <v>0</v>
      </c>
      <c r="AA31" s="50">
        <v>0</v>
      </c>
      <c r="AB31" s="51">
        <v>0</v>
      </c>
      <c r="AC31" s="52">
        <v>0</v>
      </c>
      <c r="AD31" s="47">
        <v>-2.9017759341511556E-2</v>
      </c>
      <c r="AE31"/>
    </row>
    <row r="32" spans="1:31">
      <c r="A32" s="38"/>
      <c r="B32" s="39" t="s">
        <v>646</v>
      </c>
      <c r="C32" s="40">
        <v>0</v>
      </c>
      <c r="D32" s="17"/>
      <c r="E32" s="17">
        <v>0</v>
      </c>
      <c r="F32" s="17"/>
      <c r="G32" s="17"/>
      <c r="H32" s="17"/>
      <c r="I32" s="40">
        <v>0</v>
      </c>
      <c r="J32" s="40">
        <v>0</v>
      </c>
      <c r="K32" s="17"/>
      <c r="L32" s="17"/>
      <c r="M32" s="17"/>
      <c r="N32" s="40">
        <v>0</v>
      </c>
      <c r="O32" s="53"/>
      <c r="P32" s="17"/>
      <c r="Q32" s="40"/>
      <c r="R32" s="40"/>
      <c r="S32" s="40"/>
      <c r="T32" s="41"/>
      <c r="U32" s="41"/>
      <c r="V32" s="41"/>
      <c r="W32" s="41"/>
      <c r="X32" s="41"/>
      <c r="Y32" s="41"/>
      <c r="Z32" s="41"/>
      <c r="AA32" s="54"/>
      <c r="AB32" s="43"/>
      <c r="AC32" s="44"/>
      <c r="AD32" s="17">
        <v>0</v>
      </c>
      <c r="AE32"/>
    </row>
    <row r="33" spans="1:31">
      <c r="A33" s="38"/>
      <c r="B33" s="39" t="s">
        <v>648</v>
      </c>
      <c r="C33" s="40">
        <v>0</v>
      </c>
      <c r="D33" s="17"/>
      <c r="E33" s="17">
        <v>0</v>
      </c>
      <c r="F33" s="17"/>
      <c r="G33" s="17"/>
      <c r="H33" s="17"/>
      <c r="I33" s="40">
        <v>0</v>
      </c>
      <c r="J33" s="40">
        <v>0</v>
      </c>
      <c r="K33" s="17"/>
      <c r="L33" s="17"/>
      <c r="M33" s="17"/>
      <c r="N33" s="40">
        <v>0</v>
      </c>
      <c r="O33" s="53"/>
      <c r="P33" s="17"/>
      <c r="Q33" s="40"/>
      <c r="R33" s="40"/>
      <c r="S33" s="40"/>
      <c r="T33" s="41"/>
      <c r="U33" s="41"/>
      <c r="V33" s="41"/>
      <c r="W33" s="41"/>
      <c r="X33" s="41"/>
      <c r="Y33" s="41"/>
      <c r="Z33" s="41"/>
      <c r="AA33" s="54"/>
      <c r="AB33" s="43"/>
      <c r="AC33" s="44"/>
      <c r="AD33" s="17">
        <v>0</v>
      </c>
      <c r="AE33"/>
    </row>
    <row r="34" spans="1:31">
      <c r="A34" s="38"/>
      <c r="B34" s="45" t="s">
        <v>660</v>
      </c>
      <c r="C34" s="46">
        <v>0</v>
      </c>
      <c r="D34" s="47">
        <v>0</v>
      </c>
      <c r="E34" s="47">
        <v>0</v>
      </c>
      <c r="F34" s="47">
        <v>0</v>
      </c>
      <c r="G34" s="47">
        <v>0</v>
      </c>
      <c r="H34" s="47">
        <v>0</v>
      </c>
      <c r="I34" s="46">
        <v>0</v>
      </c>
      <c r="J34" s="46">
        <v>0</v>
      </c>
      <c r="K34" s="47">
        <v>0</v>
      </c>
      <c r="L34" s="47">
        <v>0</v>
      </c>
      <c r="M34" s="47">
        <v>0</v>
      </c>
      <c r="N34" s="46">
        <v>0</v>
      </c>
      <c r="O34" s="48">
        <v>0</v>
      </c>
      <c r="P34" s="47">
        <v>0</v>
      </c>
      <c r="Q34" s="46">
        <v>0</v>
      </c>
      <c r="R34" s="46">
        <v>0</v>
      </c>
      <c r="S34" s="46">
        <v>0</v>
      </c>
      <c r="T34" s="49">
        <v>0</v>
      </c>
      <c r="U34" s="49">
        <v>0</v>
      </c>
      <c r="V34" s="49">
        <v>0</v>
      </c>
      <c r="W34" s="49">
        <v>0</v>
      </c>
      <c r="X34" s="49">
        <v>0</v>
      </c>
      <c r="Y34" s="49">
        <v>0</v>
      </c>
      <c r="Z34" s="49">
        <v>0</v>
      </c>
      <c r="AA34" s="50">
        <v>0</v>
      </c>
      <c r="AB34" s="51">
        <v>0</v>
      </c>
      <c r="AC34" s="52">
        <v>0</v>
      </c>
      <c r="AD34" s="47">
        <v>0</v>
      </c>
      <c r="AE34"/>
    </row>
    <row r="35" spans="1:31">
      <c r="A35" s="38"/>
      <c r="B35" s="39" t="s">
        <v>650</v>
      </c>
      <c r="C35" s="40">
        <v>3108.6666666666665</v>
      </c>
      <c r="D35" s="17"/>
      <c r="E35" s="17">
        <v>389.75</v>
      </c>
      <c r="F35" s="17"/>
      <c r="G35" s="17"/>
      <c r="H35" s="17"/>
      <c r="I35" s="40">
        <v>3498.4166666666665</v>
      </c>
      <c r="J35" s="40">
        <v>0</v>
      </c>
      <c r="K35" s="17"/>
      <c r="L35" s="17"/>
      <c r="M35" s="17"/>
      <c r="N35" s="40">
        <v>0</v>
      </c>
      <c r="O35" s="53"/>
      <c r="P35" s="17"/>
      <c r="Q35" s="40"/>
      <c r="R35" s="40"/>
      <c r="S35" s="40"/>
      <c r="T35" s="41"/>
      <c r="U35" s="41"/>
      <c r="V35" s="41"/>
      <c r="W35" s="41"/>
      <c r="X35" s="41"/>
      <c r="Y35" s="41"/>
      <c r="Z35" s="41"/>
      <c r="AA35" s="54"/>
      <c r="AB35" s="43"/>
      <c r="AC35" s="44"/>
      <c r="AD35" s="17">
        <v>3498.4166666666665</v>
      </c>
      <c r="AE35"/>
    </row>
    <row r="36" spans="1:31">
      <c r="A36" s="38"/>
      <c r="B36" s="39" t="s">
        <v>652</v>
      </c>
      <c r="C36" s="40">
        <v>2748.6666666666665</v>
      </c>
      <c r="D36" s="17"/>
      <c r="E36" s="17">
        <v>612.41666666666663</v>
      </c>
      <c r="F36" s="17"/>
      <c r="G36" s="17"/>
      <c r="H36" s="17"/>
      <c r="I36" s="40">
        <v>3361.083333333333</v>
      </c>
      <c r="J36" s="40">
        <v>0</v>
      </c>
      <c r="K36" s="17"/>
      <c r="L36" s="17"/>
      <c r="M36" s="17"/>
      <c r="N36" s="40">
        <v>0</v>
      </c>
      <c r="O36" s="53"/>
      <c r="P36" s="17"/>
      <c r="Q36" s="40"/>
      <c r="R36" s="40"/>
      <c r="S36" s="40"/>
      <c r="T36" s="41"/>
      <c r="U36" s="41"/>
      <c r="V36" s="41"/>
      <c r="W36" s="41"/>
      <c r="X36" s="41"/>
      <c r="Y36" s="41"/>
      <c r="Z36" s="41"/>
      <c r="AA36" s="54"/>
      <c r="AB36" s="43"/>
      <c r="AC36" s="44"/>
      <c r="AD36" s="17">
        <v>3361.083333333333</v>
      </c>
      <c r="AE36"/>
    </row>
    <row r="37" spans="1:31">
      <c r="A37" s="38"/>
      <c r="B37" s="45" t="s">
        <v>662</v>
      </c>
      <c r="C37" s="46">
        <v>-0.11580527557366503</v>
      </c>
      <c r="D37" s="47">
        <v>0</v>
      </c>
      <c r="E37" s="47">
        <v>0.5713063929869574</v>
      </c>
      <c r="F37" s="47">
        <v>0</v>
      </c>
      <c r="G37" s="47">
        <v>0</v>
      </c>
      <c r="H37" s="47">
        <v>0</v>
      </c>
      <c r="I37" s="46">
        <v>-3.9255853838641337E-2</v>
      </c>
      <c r="J37" s="46">
        <v>0</v>
      </c>
      <c r="K37" s="47">
        <v>0</v>
      </c>
      <c r="L37" s="47">
        <v>0</v>
      </c>
      <c r="M37" s="47">
        <v>0</v>
      </c>
      <c r="N37" s="46">
        <v>0</v>
      </c>
      <c r="O37" s="48">
        <v>0</v>
      </c>
      <c r="P37" s="47">
        <v>0</v>
      </c>
      <c r="Q37" s="46">
        <v>0</v>
      </c>
      <c r="R37" s="46">
        <v>0</v>
      </c>
      <c r="S37" s="46">
        <v>0</v>
      </c>
      <c r="T37" s="49">
        <v>0</v>
      </c>
      <c r="U37" s="49">
        <v>0</v>
      </c>
      <c r="V37" s="49">
        <v>0</v>
      </c>
      <c r="W37" s="49">
        <v>0</v>
      </c>
      <c r="X37" s="49">
        <v>0</v>
      </c>
      <c r="Y37" s="49">
        <v>0</v>
      </c>
      <c r="Z37" s="49">
        <v>0</v>
      </c>
      <c r="AA37" s="50">
        <v>0</v>
      </c>
      <c r="AB37" s="51">
        <v>0</v>
      </c>
      <c r="AC37" s="52">
        <v>0</v>
      </c>
      <c r="AD37" s="47">
        <v>-3.9255853838641337E-2</v>
      </c>
      <c r="AE37"/>
    </row>
    <row r="38" spans="1:31">
      <c r="A38" s="38"/>
      <c r="B38" s="39" t="s">
        <v>654</v>
      </c>
      <c r="C38" s="40">
        <v>23129.066666666669</v>
      </c>
      <c r="D38" s="17"/>
      <c r="E38" s="17">
        <v>4779.95</v>
      </c>
      <c r="F38" s="17"/>
      <c r="G38" s="17"/>
      <c r="H38" s="17"/>
      <c r="I38" s="40">
        <v>27909.01666666667</v>
      </c>
      <c r="J38" s="40">
        <v>8302.7000000000007</v>
      </c>
      <c r="K38" s="17"/>
      <c r="L38" s="17"/>
      <c r="M38" s="17"/>
      <c r="N38" s="40">
        <v>8302.7000000000007</v>
      </c>
      <c r="O38" s="53"/>
      <c r="P38" s="17"/>
      <c r="Q38" s="40"/>
      <c r="R38" s="40"/>
      <c r="S38" s="40"/>
      <c r="T38" s="41"/>
      <c r="U38" s="41"/>
      <c r="V38" s="41"/>
      <c r="W38" s="41"/>
      <c r="X38" s="41"/>
      <c r="Y38" s="41"/>
      <c r="Z38" s="41"/>
      <c r="AA38" s="54"/>
      <c r="AB38" s="43"/>
      <c r="AC38" s="44"/>
      <c r="AD38" s="17">
        <v>36211.716666666674</v>
      </c>
      <c r="AE38"/>
    </row>
    <row r="39" spans="1:31">
      <c r="A39" s="38"/>
      <c r="B39" s="39" t="s">
        <v>656</v>
      </c>
      <c r="C39" s="40">
        <v>22609.666666666668</v>
      </c>
      <c r="D39" s="17"/>
      <c r="E39" s="17">
        <v>4911.9500000000007</v>
      </c>
      <c r="F39" s="17"/>
      <c r="G39" s="17"/>
      <c r="H39" s="17"/>
      <c r="I39" s="40">
        <v>27521.616666666669</v>
      </c>
      <c r="J39" s="40">
        <v>7603.5</v>
      </c>
      <c r="K39" s="17"/>
      <c r="L39" s="17"/>
      <c r="M39" s="17"/>
      <c r="N39" s="40">
        <v>7603.5</v>
      </c>
      <c r="O39" s="53"/>
      <c r="P39" s="17"/>
      <c r="Q39" s="40"/>
      <c r="R39" s="40"/>
      <c r="S39" s="40"/>
      <c r="T39" s="41"/>
      <c r="U39" s="41"/>
      <c r="V39" s="41"/>
      <c r="W39" s="41"/>
      <c r="X39" s="41"/>
      <c r="Y39" s="41"/>
      <c r="Z39" s="41"/>
      <c r="AA39" s="54"/>
      <c r="AB39" s="43"/>
      <c r="AC39" s="44"/>
      <c r="AD39" s="17">
        <v>35125.116666666669</v>
      </c>
      <c r="AE39"/>
    </row>
    <row r="40" spans="1:31">
      <c r="A40" s="55"/>
      <c r="B40" s="56" t="s">
        <v>664</v>
      </c>
      <c r="C40" s="46">
        <v>-2.2456591417437281E-2</v>
      </c>
      <c r="D40" s="47">
        <v>0</v>
      </c>
      <c r="E40" s="47">
        <v>2.7615351625017191E-2</v>
      </c>
      <c r="F40" s="47">
        <v>0</v>
      </c>
      <c r="G40" s="47">
        <v>0</v>
      </c>
      <c r="H40" s="47">
        <v>0</v>
      </c>
      <c r="I40" s="46">
        <v>-1.388081868404541E-2</v>
      </c>
      <c r="J40" s="46">
        <v>-8.4213569079937933E-2</v>
      </c>
      <c r="K40" s="47">
        <v>0</v>
      </c>
      <c r="L40" s="47">
        <v>0</v>
      </c>
      <c r="M40" s="47">
        <v>0</v>
      </c>
      <c r="N40" s="46">
        <v>-8.4213569079937933E-2</v>
      </c>
      <c r="O40" s="48">
        <v>0</v>
      </c>
      <c r="P40" s="47">
        <v>0</v>
      </c>
      <c r="Q40" s="46">
        <v>0</v>
      </c>
      <c r="R40" s="46">
        <v>0</v>
      </c>
      <c r="S40" s="46">
        <v>0</v>
      </c>
      <c r="T40" s="49">
        <v>0</v>
      </c>
      <c r="U40" s="49">
        <v>0</v>
      </c>
      <c r="V40" s="49">
        <v>0</v>
      </c>
      <c r="W40" s="49">
        <v>0</v>
      </c>
      <c r="X40" s="49">
        <v>0</v>
      </c>
      <c r="Y40" s="49">
        <v>0</v>
      </c>
      <c r="Z40" s="49">
        <v>0</v>
      </c>
      <c r="AA40" s="50">
        <v>0</v>
      </c>
      <c r="AB40" s="43">
        <v>0</v>
      </c>
      <c r="AC40" s="44">
        <v>0</v>
      </c>
      <c r="AD40" s="47">
        <v>-3.0006862419760243E-2</v>
      </c>
      <c r="AE40"/>
    </row>
    <row r="41" spans="1:31">
      <c r="A41" s="36" t="s">
        <v>131</v>
      </c>
      <c r="B41" s="24" t="s">
        <v>638</v>
      </c>
      <c r="C41" s="18"/>
      <c r="D41" s="12"/>
      <c r="E41" s="12"/>
      <c r="F41" s="12"/>
      <c r="G41" s="12"/>
      <c r="H41" s="12"/>
      <c r="I41" s="18"/>
      <c r="J41" s="18">
        <v>262944.06666666671</v>
      </c>
      <c r="K41" s="12">
        <v>27310.366666666669</v>
      </c>
      <c r="L41" s="12"/>
      <c r="M41" s="12">
        <v>1424.7333333333333</v>
      </c>
      <c r="N41" s="18">
        <v>291679.16666666669</v>
      </c>
      <c r="O41" s="18"/>
      <c r="P41" s="12"/>
      <c r="Q41" s="18"/>
      <c r="R41" s="18"/>
      <c r="S41" s="18"/>
      <c r="T41" s="20"/>
      <c r="U41" s="20"/>
      <c r="V41" s="20"/>
      <c r="W41" s="20"/>
      <c r="X41" s="20"/>
      <c r="Y41" s="20"/>
      <c r="Z41" s="20"/>
      <c r="AA41" s="37"/>
      <c r="AB41" s="22"/>
      <c r="AC41" s="23"/>
      <c r="AD41" s="17">
        <v>291679.16666666669</v>
      </c>
      <c r="AE41"/>
    </row>
    <row r="42" spans="1:31">
      <c r="A42" s="38"/>
      <c r="B42" s="39" t="s">
        <v>639</v>
      </c>
      <c r="C42" s="40"/>
      <c r="D42" s="17"/>
      <c r="E42" s="17"/>
      <c r="F42" s="17"/>
      <c r="G42" s="17"/>
      <c r="H42" s="17"/>
      <c r="I42" s="40"/>
      <c r="J42" s="40">
        <v>239870.36666666667</v>
      </c>
      <c r="K42" s="17">
        <v>26280.800000000003</v>
      </c>
      <c r="L42" s="17"/>
      <c r="M42" s="17">
        <v>1457.6666666666667</v>
      </c>
      <c r="N42" s="40">
        <v>267608.83333333337</v>
      </c>
      <c r="O42" s="40"/>
      <c r="P42" s="17"/>
      <c r="Q42" s="40"/>
      <c r="R42" s="40"/>
      <c r="S42" s="40"/>
      <c r="T42" s="41"/>
      <c r="U42" s="41"/>
      <c r="V42" s="41"/>
      <c r="W42" s="41"/>
      <c r="X42" s="41"/>
      <c r="Y42" s="41"/>
      <c r="Z42" s="41"/>
      <c r="AA42" s="42"/>
      <c r="AB42" s="43"/>
      <c r="AC42" s="44"/>
      <c r="AD42" s="17">
        <v>267608.83333333337</v>
      </c>
      <c r="AE42"/>
    </row>
    <row r="43" spans="1:31">
      <c r="A43" s="38"/>
      <c r="B43" s="45" t="s">
        <v>658</v>
      </c>
      <c r="C43" s="46">
        <v>0</v>
      </c>
      <c r="D43" s="47">
        <v>0</v>
      </c>
      <c r="E43" s="47">
        <v>0</v>
      </c>
      <c r="F43" s="47">
        <v>0</v>
      </c>
      <c r="G43" s="47">
        <v>0</v>
      </c>
      <c r="H43" s="47">
        <v>0</v>
      </c>
      <c r="I43" s="46">
        <v>0</v>
      </c>
      <c r="J43" s="46">
        <v>-8.7751362076751063E-2</v>
      </c>
      <c r="K43" s="47">
        <v>-3.7698749314973155E-2</v>
      </c>
      <c r="L43" s="47">
        <v>0</v>
      </c>
      <c r="M43" s="47">
        <v>2.3115436806887883E-2</v>
      </c>
      <c r="N43" s="46">
        <v>-8.252332042912458E-2</v>
      </c>
      <c r="O43" s="48">
        <v>0</v>
      </c>
      <c r="P43" s="47">
        <v>0</v>
      </c>
      <c r="Q43" s="46">
        <v>0</v>
      </c>
      <c r="R43" s="46">
        <v>0</v>
      </c>
      <c r="S43" s="46">
        <v>0</v>
      </c>
      <c r="T43" s="49">
        <v>0</v>
      </c>
      <c r="U43" s="49">
        <v>0</v>
      </c>
      <c r="V43" s="49">
        <v>0</v>
      </c>
      <c r="W43" s="49">
        <v>0</v>
      </c>
      <c r="X43" s="49">
        <v>0</v>
      </c>
      <c r="Y43" s="49">
        <v>0</v>
      </c>
      <c r="Z43" s="49">
        <v>0</v>
      </c>
      <c r="AA43" s="50">
        <v>0</v>
      </c>
      <c r="AB43" s="51">
        <v>0</v>
      </c>
      <c r="AC43" s="52">
        <v>0</v>
      </c>
      <c r="AD43" s="47">
        <v>-8.252332042912458E-2</v>
      </c>
      <c r="AE43"/>
    </row>
    <row r="44" spans="1:31">
      <c r="A44" s="38"/>
      <c r="B44" s="39" t="s">
        <v>646</v>
      </c>
      <c r="C44" s="40"/>
      <c r="D44" s="17"/>
      <c r="E44" s="17"/>
      <c r="F44" s="17"/>
      <c r="G44" s="17"/>
      <c r="H44" s="17"/>
      <c r="I44" s="40"/>
      <c r="J44" s="40">
        <v>12677.429999999998</v>
      </c>
      <c r="K44" s="17">
        <v>2282.5011111111112</v>
      </c>
      <c r="L44" s="17"/>
      <c r="M44" s="17">
        <v>158.15777777777777</v>
      </c>
      <c r="N44" s="40">
        <v>15118.088888888888</v>
      </c>
      <c r="O44" s="53"/>
      <c r="P44" s="17"/>
      <c r="Q44" s="40"/>
      <c r="R44" s="40"/>
      <c r="S44" s="40"/>
      <c r="T44" s="41"/>
      <c r="U44" s="41"/>
      <c r="V44" s="41"/>
      <c r="W44" s="41"/>
      <c r="X44" s="41"/>
      <c r="Y44" s="41"/>
      <c r="Z44" s="41"/>
      <c r="AA44" s="54"/>
      <c r="AB44" s="43"/>
      <c r="AC44" s="44"/>
      <c r="AD44" s="17">
        <v>15118.088888888888</v>
      </c>
      <c r="AE44"/>
    </row>
    <row r="45" spans="1:31">
      <c r="A45" s="38"/>
      <c r="B45" s="39" t="s">
        <v>648</v>
      </c>
      <c r="C45" s="40"/>
      <c r="D45" s="17"/>
      <c r="E45" s="17"/>
      <c r="F45" s="17"/>
      <c r="G45" s="17"/>
      <c r="H45" s="17"/>
      <c r="I45" s="40"/>
      <c r="J45" s="40">
        <v>11764.593333333334</v>
      </c>
      <c r="K45" s="17">
        <v>1965.1644444444444</v>
      </c>
      <c r="L45" s="17"/>
      <c r="M45" s="17">
        <v>180.96333333333334</v>
      </c>
      <c r="N45" s="40">
        <v>13910.721111111112</v>
      </c>
      <c r="O45" s="53"/>
      <c r="P45" s="17"/>
      <c r="Q45" s="40"/>
      <c r="R45" s="40"/>
      <c r="S45" s="40"/>
      <c r="T45" s="41"/>
      <c r="U45" s="41"/>
      <c r="V45" s="41"/>
      <c r="W45" s="41"/>
      <c r="X45" s="41"/>
      <c r="Y45" s="41"/>
      <c r="Z45" s="41"/>
      <c r="AA45" s="54"/>
      <c r="AB45" s="43"/>
      <c r="AC45" s="44"/>
      <c r="AD45" s="17">
        <v>13910.721111111112</v>
      </c>
      <c r="AE45"/>
    </row>
    <row r="46" spans="1:31">
      <c r="A46" s="38"/>
      <c r="B46" s="45" t="s">
        <v>660</v>
      </c>
      <c r="C46" s="46">
        <v>0</v>
      </c>
      <c r="D46" s="47">
        <v>0</v>
      </c>
      <c r="E46" s="47">
        <v>0</v>
      </c>
      <c r="F46" s="47">
        <v>0</v>
      </c>
      <c r="G46" s="47">
        <v>0</v>
      </c>
      <c r="H46" s="47">
        <v>0</v>
      </c>
      <c r="I46" s="46">
        <v>0</v>
      </c>
      <c r="J46" s="46">
        <v>-7.2004867442901632E-2</v>
      </c>
      <c r="K46" s="47">
        <v>-0.13903023535098688</v>
      </c>
      <c r="L46" s="47">
        <v>0</v>
      </c>
      <c r="M46" s="47">
        <v>0.1441949670511867</v>
      </c>
      <c r="N46" s="46">
        <v>-7.9862460569678093E-2</v>
      </c>
      <c r="O46" s="48">
        <v>0</v>
      </c>
      <c r="P46" s="47">
        <v>0</v>
      </c>
      <c r="Q46" s="46">
        <v>0</v>
      </c>
      <c r="R46" s="46">
        <v>0</v>
      </c>
      <c r="S46" s="46">
        <v>0</v>
      </c>
      <c r="T46" s="49">
        <v>0</v>
      </c>
      <c r="U46" s="49">
        <v>0</v>
      </c>
      <c r="V46" s="49">
        <v>0</v>
      </c>
      <c r="W46" s="49">
        <v>0</v>
      </c>
      <c r="X46" s="49">
        <v>0</v>
      </c>
      <c r="Y46" s="49">
        <v>0</v>
      </c>
      <c r="Z46" s="49">
        <v>0</v>
      </c>
      <c r="AA46" s="50">
        <v>0</v>
      </c>
      <c r="AB46" s="51">
        <v>0</v>
      </c>
      <c r="AC46" s="52">
        <v>0</v>
      </c>
      <c r="AD46" s="47">
        <v>-7.9862460569678093E-2</v>
      </c>
      <c r="AE46"/>
    </row>
    <row r="47" spans="1:31">
      <c r="A47" s="38"/>
      <c r="B47" s="39" t="s">
        <v>650</v>
      </c>
      <c r="C47" s="40"/>
      <c r="D47" s="17"/>
      <c r="E47" s="17"/>
      <c r="F47" s="17"/>
      <c r="G47" s="17"/>
      <c r="H47" s="17"/>
      <c r="I47" s="40"/>
      <c r="J47" s="40">
        <v>0</v>
      </c>
      <c r="K47" s="17">
        <v>0</v>
      </c>
      <c r="L47" s="17"/>
      <c r="M47" s="17">
        <v>0</v>
      </c>
      <c r="N47" s="40">
        <v>0</v>
      </c>
      <c r="O47" s="53"/>
      <c r="P47" s="17"/>
      <c r="Q47" s="40"/>
      <c r="R47" s="40"/>
      <c r="S47" s="40"/>
      <c r="T47" s="41"/>
      <c r="U47" s="41"/>
      <c r="V47" s="41"/>
      <c r="W47" s="41"/>
      <c r="X47" s="41"/>
      <c r="Y47" s="41"/>
      <c r="Z47" s="41"/>
      <c r="AA47" s="54"/>
      <c r="AB47" s="43"/>
      <c r="AC47" s="44"/>
      <c r="AD47" s="17">
        <v>0</v>
      </c>
      <c r="AE47"/>
    </row>
    <row r="48" spans="1:31">
      <c r="A48" s="38"/>
      <c r="B48" s="39" t="s">
        <v>652</v>
      </c>
      <c r="C48" s="40"/>
      <c r="D48" s="17"/>
      <c r="E48" s="17"/>
      <c r="F48" s="17"/>
      <c r="G48" s="17"/>
      <c r="H48" s="17"/>
      <c r="I48" s="40"/>
      <c r="J48" s="40">
        <v>0</v>
      </c>
      <c r="K48" s="17">
        <v>0</v>
      </c>
      <c r="L48" s="17"/>
      <c r="M48" s="17">
        <v>0</v>
      </c>
      <c r="N48" s="40">
        <v>0</v>
      </c>
      <c r="O48" s="53"/>
      <c r="P48" s="17"/>
      <c r="Q48" s="40"/>
      <c r="R48" s="40"/>
      <c r="S48" s="40"/>
      <c r="T48" s="41"/>
      <c r="U48" s="41"/>
      <c r="V48" s="41"/>
      <c r="W48" s="41"/>
      <c r="X48" s="41"/>
      <c r="Y48" s="41"/>
      <c r="Z48" s="41"/>
      <c r="AA48" s="54"/>
      <c r="AB48" s="43"/>
      <c r="AC48" s="44"/>
      <c r="AD48" s="17">
        <v>0</v>
      </c>
      <c r="AE48"/>
    </row>
    <row r="49" spans="1:31">
      <c r="A49" s="38"/>
      <c r="B49" s="45" t="s">
        <v>662</v>
      </c>
      <c r="C49" s="46">
        <v>0</v>
      </c>
      <c r="D49" s="47">
        <v>0</v>
      </c>
      <c r="E49" s="47">
        <v>0</v>
      </c>
      <c r="F49" s="47">
        <v>0</v>
      </c>
      <c r="G49" s="47">
        <v>0</v>
      </c>
      <c r="H49" s="47">
        <v>0</v>
      </c>
      <c r="I49" s="46">
        <v>0</v>
      </c>
      <c r="J49" s="46">
        <v>0</v>
      </c>
      <c r="K49" s="47">
        <v>0</v>
      </c>
      <c r="L49" s="47">
        <v>0</v>
      </c>
      <c r="M49" s="47">
        <v>0</v>
      </c>
      <c r="N49" s="46">
        <v>0</v>
      </c>
      <c r="O49" s="48">
        <v>0</v>
      </c>
      <c r="P49" s="47">
        <v>0</v>
      </c>
      <c r="Q49" s="46">
        <v>0</v>
      </c>
      <c r="R49" s="46">
        <v>0</v>
      </c>
      <c r="S49" s="46">
        <v>0</v>
      </c>
      <c r="T49" s="49">
        <v>0</v>
      </c>
      <c r="U49" s="49">
        <v>0</v>
      </c>
      <c r="V49" s="49">
        <v>0</v>
      </c>
      <c r="W49" s="49">
        <v>0</v>
      </c>
      <c r="X49" s="49">
        <v>0</v>
      </c>
      <c r="Y49" s="49">
        <v>0</v>
      </c>
      <c r="Z49" s="49">
        <v>0</v>
      </c>
      <c r="AA49" s="50">
        <v>0</v>
      </c>
      <c r="AB49" s="51">
        <v>0</v>
      </c>
      <c r="AC49" s="52">
        <v>0</v>
      </c>
      <c r="AD49" s="47">
        <v>0</v>
      </c>
      <c r="AE49"/>
    </row>
    <row r="50" spans="1:31">
      <c r="A50" s="38"/>
      <c r="B50" s="39" t="s">
        <v>654</v>
      </c>
      <c r="C50" s="40"/>
      <c r="D50" s="17"/>
      <c r="E50" s="17"/>
      <c r="F50" s="17"/>
      <c r="G50" s="17"/>
      <c r="H50" s="17"/>
      <c r="I50" s="40"/>
      <c r="J50" s="40">
        <v>275621.49666666664</v>
      </c>
      <c r="K50" s="17">
        <v>29592.867777777778</v>
      </c>
      <c r="L50" s="17"/>
      <c r="M50" s="17">
        <v>1582.8911111111111</v>
      </c>
      <c r="N50" s="40">
        <v>306797.25555555552</v>
      </c>
      <c r="O50" s="53"/>
      <c r="P50" s="17"/>
      <c r="Q50" s="40"/>
      <c r="R50" s="40"/>
      <c r="S50" s="40"/>
      <c r="T50" s="41"/>
      <c r="U50" s="41"/>
      <c r="V50" s="41"/>
      <c r="W50" s="41"/>
      <c r="X50" s="41"/>
      <c r="Y50" s="41"/>
      <c r="Z50" s="41"/>
      <c r="AA50" s="54"/>
      <c r="AB50" s="43"/>
      <c r="AC50" s="44"/>
      <c r="AD50" s="17">
        <v>306797.25555555552</v>
      </c>
      <c r="AE50"/>
    </row>
    <row r="51" spans="1:31">
      <c r="A51" s="38"/>
      <c r="B51" s="39" t="s">
        <v>656</v>
      </c>
      <c r="C51" s="40"/>
      <c r="D51" s="17"/>
      <c r="E51" s="17"/>
      <c r="F51" s="17"/>
      <c r="G51" s="17"/>
      <c r="H51" s="17"/>
      <c r="I51" s="40"/>
      <c r="J51" s="40">
        <v>251634.96</v>
      </c>
      <c r="K51" s="17">
        <v>28245.964444444449</v>
      </c>
      <c r="L51" s="17"/>
      <c r="M51" s="17">
        <v>1638.63</v>
      </c>
      <c r="N51" s="40">
        <v>281519.55444444442</v>
      </c>
      <c r="O51" s="53"/>
      <c r="P51" s="17"/>
      <c r="Q51" s="40"/>
      <c r="R51" s="40"/>
      <c r="S51" s="40"/>
      <c r="T51" s="41"/>
      <c r="U51" s="41"/>
      <c r="V51" s="41"/>
      <c r="W51" s="41"/>
      <c r="X51" s="41"/>
      <c r="Y51" s="41"/>
      <c r="Z51" s="41"/>
      <c r="AA51" s="54"/>
      <c r="AB51" s="43"/>
      <c r="AC51" s="44"/>
      <c r="AD51" s="17">
        <v>281519.55444444442</v>
      </c>
      <c r="AE51"/>
    </row>
    <row r="52" spans="1:31">
      <c r="A52" s="55"/>
      <c r="B52" s="56" t="s">
        <v>664</v>
      </c>
      <c r="C52" s="46">
        <v>0</v>
      </c>
      <c r="D52" s="47">
        <v>0</v>
      </c>
      <c r="E52" s="47">
        <v>0</v>
      </c>
      <c r="F52" s="47">
        <v>0</v>
      </c>
      <c r="G52" s="47">
        <v>0</v>
      </c>
      <c r="H52" s="47">
        <v>0</v>
      </c>
      <c r="I52" s="46">
        <v>0</v>
      </c>
      <c r="J52" s="46">
        <v>-8.7027089529506774E-2</v>
      </c>
      <c r="K52" s="47">
        <v>-4.5514457856793471E-2</v>
      </c>
      <c r="L52" s="47">
        <v>0</v>
      </c>
      <c r="M52" s="47">
        <v>3.5213343797074657E-2</v>
      </c>
      <c r="N52" s="46">
        <v>-8.2392200886339903E-2</v>
      </c>
      <c r="O52" s="48">
        <v>0</v>
      </c>
      <c r="P52" s="47">
        <v>0</v>
      </c>
      <c r="Q52" s="46">
        <v>0</v>
      </c>
      <c r="R52" s="46">
        <v>0</v>
      </c>
      <c r="S52" s="46">
        <v>0</v>
      </c>
      <c r="T52" s="49">
        <v>0</v>
      </c>
      <c r="U52" s="49">
        <v>0</v>
      </c>
      <c r="V52" s="49">
        <v>0</v>
      </c>
      <c r="W52" s="49">
        <v>0</v>
      </c>
      <c r="X52" s="49">
        <v>0</v>
      </c>
      <c r="Y52" s="49">
        <v>0</v>
      </c>
      <c r="Z52" s="49">
        <v>0</v>
      </c>
      <c r="AA52" s="50">
        <v>0</v>
      </c>
      <c r="AB52" s="43">
        <v>0</v>
      </c>
      <c r="AC52" s="44">
        <v>0</v>
      </c>
      <c r="AD52" s="47">
        <v>-8.2392200886339903E-2</v>
      </c>
      <c r="AE52"/>
    </row>
    <row r="53" spans="1:31">
      <c r="A53" s="36" t="s">
        <v>158</v>
      </c>
      <c r="B53" s="24" t="s">
        <v>638</v>
      </c>
      <c r="C53" s="18">
        <v>67872.183333333334</v>
      </c>
      <c r="D53" s="12">
        <v>16065.665666666666</v>
      </c>
      <c r="E53" s="12">
        <v>71271.733333333337</v>
      </c>
      <c r="F53" s="12">
        <v>44653.4</v>
      </c>
      <c r="G53" s="12">
        <v>11939.933333333334</v>
      </c>
      <c r="H53" s="12">
        <v>22397.8</v>
      </c>
      <c r="I53" s="18">
        <v>234200.71566666663</v>
      </c>
      <c r="J53" s="18">
        <v>9231.1</v>
      </c>
      <c r="K53" s="12"/>
      <c r="L53" s="12"/>
      <c r="M53" s="12"/>
      <c r="N53" s="18">
        <v>9231.1</v>
      </c>
      <c r="O53" s="18"/>
      <c r="P53" s="12"/>
      <c r="Q53" s="18">
        <v>65212.350000000013</v>
      </c>
      <c r="R53" s="18"/>
      <c r="S53" s="18">
        <v>65212.350000000013</v>
      </c>
      <c r="T53" s="20"/>
      <c r="U53" s="20"/>
      <c r="V53" s="20"/>
      <c r="W53" s="20"/>
      <c r="X53" s="20"/>
      <c r="Y53" s="20"/>
      <c r="Z53" s="20"/>
      <c r="AA53" s="37"/>
      <c r="AB53" s="22"/>
      <c r="AC53" s="23"/>
      <c r="AD53" s="17">
        <v>308644.16566666664</v>
      </c>
      <c r="AE53"/>
    </row>
    <row r="54" spans="1:31">
      <c r="A54" s="38"/>
      <c r="B54" s="39" t="s">
        <v>639</v>
      </c>
      <c r="C54" s="40">
        <v>64775.083333333328</v>
      </c>
      <c r="D54" s="17">
        <v>15976.733333333334</v>
      </c>
      <c r="E54" s="17">
        <v>71587.866666666683</v>
      </c>
      <c r="F54" s="17">
        <v>42306.51666666667</v>
      </c>
      <c r="G54" s="17">
        <v>11289.033333333333</v>
      </c>
      <c r="H54" s="17">
        <v>20663.866666666669</v>
      </c>
      <c r="I54" s="40">
        <v>226599.1</v>
      </c>
      <c r="J54" s="40">
        <v>7924.2666666666664</v>
      </c>
      <c r="K54" s="17"/>
      <c r="L54" s="17"/>
      <c r="M54" s="17"/>
      <c r="N54" s="40">
        <v>7924.2666666666664</v>
      </c>
      <c r="O54" s="40"/>
      <c r="P54" s="17"/>
      <c r="Q54" s="40">
        <v>60385.116666666683</v>
      </c>
      <c r="R54" s="40"/>
      <c r="S54" s="40">
        <v>60385.116666666683</v>
      </c>
      <c r="T54" s="41"/>
      <c r="U54" s="41"/>
      <c r="V54" s="41"/>
      <c r="W54" s="41"/>
      <c r="X54" s="41"/>
      <c r="Y54" s="41"/>
      <c r="Z54" s="41"/>
      <c r="AA54" s="42"/>
      <c r="AB54" s="43"/>
      <c r="AC54" s="44"/>
      <c r="AD54" s="17">
        <v>294908.48333333334</v>
      </c>
      <c r="AE54"/>
    </row>
    <row r="55" spans="1:31">
      <c r="A55" s="38"/>
      <c r="B55" s="45" t="s">
        <v>658</v>
      </c>
      <c r="C55" s="46">
        <v>-4.5631359533397545E-2</v>
      </c>
      <c r="D55" s="47">
        <v>-5.5355523498693679E-3</v>
      </c>
      <c r="E55" s="47">
        <v>4.4356060747787708E-3</v>
      </c>
      <c r="F55" s="47">
        <v>-5.2557774622611748E-2</v>
      </c>
      <c r="G55" s="47">
        <v>-5.4514542236416851E-2</v>
      </c>
      <c r="H55" s="47">
        <v>-7.7415341387695694E-2</v>
      </c>
      <c r="I55" s="46">
        <v>-3.2457696147632359E-2</v>
      </c>
      <c r="J55" s="46">
        <v>-0.14156853823849097</v>
      </c>
      <c r="K55" s="47">
        <v>0</v>
      </c>
      <c r="L55" s="47">
        <v>0</v>
      </c>
      <c r="M55" s="47">
        <v>0</v>
      </c>
      <c r="N55" s="46">
        <v>-0.14156853823849097</v>
      </c>
      <c r="O55" s="48">
        <v>0</v>
      </c>
      <c r="P55" s="47">
        <v>0</v>
      </c>
      <c r="Q55" s="46">
        <v>-7.402329977885061E-2</v>
      </c>
      <c r="R55" s="46">
        <v>0</v>
      </c>
      <c r="S55" s="46">
        <v>-7.402329977885061E-2</v>
      </c>
      <c r="T55" s="49">
        <v>0</v>
      </c>
      <c r="U55" s="49">
        <v>0</v>
      </c>
      <c r="V55" s="49">
        <v>0</v>
      </c>
      <c r="W55" s="49">
        <v>0</v>
      </c>
      <c r="X55" s="49">
        <v>0</v>
      </c>
      <c r="Y55" s="49">
        <v>0</v>
      </c>
      <c r="Z55" s="49">
        <v>0</v>
      </c>
      <c r="AA55" s="50">
        <v>0</v>
      </c>
      <c r="AB55" s="51">
        <v>0</v>
      </c>
      <c r="AC55" s="52">
        <v>0</v>
      </c>
      <c r="AD55" s="47">
        <v>-4.4503294930796938E-2</v>
      </c>
      <c r="AE55"/>
    </row>
    <row r="56" spans="1:31">
      <c r="A56" s="38"/>
      <c r="B56" s="39" t="s">
        <v>646</v>
      </c>
      <c r="C56" s="40">
        <v>0</v>
      </c>
      <c r="D56" s="17">
        <v>0</v>
      </c>
      <c r="E56" s="17">
        <v>0</v>
      </c>
      <c r="F56" s="17">
        <v>0</v>
      </c>
      <c r="G56" s="17">
        <v>0</v>
      </c>
      <c r="H56" s="17">
        <v>0</v>
      </c>
      <c r="I56" s="40">
        <v>0</v>
      </c>
      <c r="J56" s="40">
        <v>0</v>
      </c>
      <c r="K56" s="17"/>
      <c r="L56" s="17"/>
      <c r="M56" s="17"/>
      <c r="N56" s="40">
        <v>0</v>
      </c>
      <c r="O56" s="53"/>
      <c r="P56" s="17"/>
      <c r="Q56" s="40">
        <v>0</v>
      </c>
      <c r="R56" s="40"/>
      <c r="S56" s="40">
        <v>0</v>
      </c>
      <c r="T56" s="41"/>
      <c r="U56" s="41"/>
      <c r="V56" s="41"/>
      <c r="W56" s="41"/>
      <c r="X56" s="41"/>
      <c r="Y56" s="41"/>
      <c r="Z56" s="41"/>
      <c r="AA56" s="54"/>
      <c r="AB56" s="43"/>
      <c r="AC56" s="44"/>
      <c r="AD56" s="17">
        <v>0</v>
      </c>
      <c r="AE56"/>
    </row>
    <row r="57" spans="1:31">
      <c r="A57" s="38"/>
      <c r="B57" s="39" t="s">
        <v>648</v>
      </c>
      <c r="C57" s="40">
        <v>0</v>
      </c>
      <c r="D57" s="17">
        <v>0</v>
      </c>
      <c r="E57" s="17">
        <v>0</v>
      </c>
      <c r="F57" s="17">
        <v>0</v>
      </c>
      <c r="G57" s="17">
        <v>0</v>
      </c>
      <c r="H57" s="17">
        <v>0</v>
      </c>
      <c r="I57" s="40">
        <v>0</v>
      </c>
      <c r="J57" s="40">
        <v>0</v>
      </c>
      <c r="K57" s="17"/>
      <c r="L57" s="17"/>
      <c r="M57" s="17"/>
      <c r="N57" s="40">
        <v>0</v>
      </c>
      <c r="O57" s="53"/>
      <c r="P57" s="17"/>
      <c r="Q57" s="40">
        <v>0</v>
      </c>
      <c r="R57" s="40"/>
      <c r="S57" s="40">
        <v>0</v>
      </c>
      <c r="T57" s="41"/>
      <c r="U57" s="41"/>
      <c r="V57" s="41"/>
      <c r="W57" s="41"/>
      <c r="X57" s="41"/>
      <c r="Y57" s="41"/>
      <c r="Z57" s="41"/>
      <c r="AA57" s="54"/>
      <c r="AB57" s="43"/>
      <c r="AC57" s="44"/>
      <c r="AD57" s="17">
        <v>0</v>
      </c>
      <c r="AE57"/>
    </row>
    <row r="58" spans="1:31">
      <c r="A58" s="38"/>
      <c r="B58" s="45" t="s">
        <v>660</v>
      </c>
      <c r="C58" s="46">
        <v>0</v>
      </c>
      <c r="D58" s="47">
        <v>0</v>
      </c>
      <c r="E58" s="47">
        <v>0</v>
      </c>
      <c r="F58" s="47">
        <v>0</v>
      </c>
      <c r="G58" s="47">
        <v>0</v>
      </c>
      <c r="H58" s="47">
        <v>0</v>
      </c>
      <c r="I58" s="46">
        <v>0</v>
      </c>
      <c r="J58" s="46">
        <v>0</v>
      </c>
      <c r="K58" s="47">
        <v>0</v>
      </c>
      <c r="L58" s="47">
        <v>0</v>
      </c>
      <c r="M58" s="47">
        <v>0</v>
      </c>
      <c r="N58" s="46">
        <v>0</v>
      </c>
      <c r="O58" s="48">
        <v>0</v>
      </c>
      <c r="P58" s="47">
        <v>0</v>
      </c>
      <c r="Q58" s="46">
        <v>0</v>
      </c>
      <c r="R58" s="46">
        <v>0</v>
      </c>
      <c r="S58" s="46">
        <v>0</v>
      </c>
      <c r="T58" s="49">
        <v>0</v>
      </c>
      <c r="U58" s="49">
        <v>0</v>
      </c>
      <c r="V58" s="49">
        <v>0</v>
      </c>
      <c r="W58" s="49">
        <v>0</v>
      </c>
      <c r="X58" s="49">
        <v>0</v>
      </c>
      <c r="Y58" s="49">
        <v>0</v>
      </c>
      <c r="Z58" s="49">
        <v>0</v>
      </c>
      <c r="AA58" s="50">
        <v>0</v>
      </c>
      <c r="AB58" s="51">
        <v>0</v>
      </c>
      <c r="AC58" s="52">
        <v>0</v>
      </c>
      <c r="AD58" s="47">
        <v>0</v>
      </c>
      <c r="AE58"/>
    </row>
    <row r="59" spans="1:31">
      <c r="A59" s="38"/>
      <c r="B59" s="39" t="s">
        <v>650</v>
      </c>
      <c r="C59" s="40">
        <v>21274.120833333334</v>
      </c>
      <c r="D59" s="17">
        <v>16780.770833333332</v>
      </c>
      <c r="E59" s="17">
        <v>9496.4166666666661</v>
      </c>
      <c r="F59" s="17">
        <v>6179.583333333333</v>
      </c>
      <c r="G59" s="17">
        <v>673.45833333333326</v>
      </c>
      <c r="H59" s="17">
        <v>0</v>
      </c>
      <c r="I59" s="40">
        <v>54404.35</v>
      </c>
      <c r="J59" s="40">
        <v>0</v>
      </c>
      <c r="K59" s="17"/>
      <c r="L59" s="17"/>
      <c r="M59" s="17"/>
      <c r="N59" s="40">
        <v>0</v>
      </c>
      <c r="O59" s="53"/>
      <c r="P59" s="17"/>
      <c r="Q59" s="40">
        <v>0</v>
      </c>
      <c r="R59" s="40"/>
      <c r="S59" s="40">
        <v>0</v>
      </c>
      <c r="T59" s="41"/>
      <c r="U59" s="41"/>
      <c r="V59" s="41"/>
      <c r="W59" s="41"/>
      <c r="X59" s="41"/>
      <c r="Y59" s="41"/>
      <c r="Z59" s="41"/>
      <c r="AA59" s="54"/>
      <c r="AB59" s="43"/>
      <c r="AC59" s="44"/>
      <c r="AD59" s="17">
        <v>54404.35</v>
      </c>
      <c r="AE59"/>
    </row>
    <row r="60" spans="1:31">
      <c r="A60" s="38"/>
      <c r="B60" s="39" t="s">
        <v>652</v>
      </c>
      <c r="C60" s="40">
        <v>21556.862916666665</v>
      </c>
      <c r="D60" s="17">
        <v>18404.791666666668</v>
      </c>
      <c r="E60" s="17">
        <v>10104.875</v>
      </c>
      <c r="F60" s="17">
        <v>6671.583333333333</v>
      </c>
      <c r="G60" s="17">
        <v>711.33333333333326</v>
      </c>
      <c r="H60" s="17">
        <v>0</v>
      </c>
      <c r="I60" s="40">
        <v>57449.446250000008</v>
      </c>
      <c r="J60" s="40">
        <v>0</v>
      </c>
      <c r="K60" s="17"/>
      <c r="L60" s="17"/>
      <c r="M60" s="17"/>
      <c r="N60" s="40">
        <v>0</v>
      </c>
      <c r="O60" s="53"/>
      <c r="P60" s="17"/>
      <c r="Q60" s="40">
        <v>0</v>
      </c>
      <c r="R60" s="40"/>
      <c r="S60" s="40">
        <v>0</v>
      </c>
      <c r="T60" s="41"/>
      <c r="U60" s="41"/>
      <c r="V60" s="41"/>
      <c r="W60" s="41"/>
      <c r="X60" s="41"/>
      <c r="Y60" s="41"/>
      <c r="Z60" s="41"/>
      <c r="AA60" s="54"/>
      <c r="AB60" s="43"/>
      <c r="AC60" s="44"/>
      <c r="AD60" s="17">
        <v>57449.446250000008</v>
      </c>
      <c r="AE60"/>
    </row>
    <row r="61" spans="1:31">
      <c r="A61" s="38"/>
      <c r="B61" s="45" t="s">
        <v>662</v>
      </c>
      <c r="C61" s="46">
        <v>1.3290423869846441E-2</v>
      </c>
      <c r="D61" s="47">
        <v>9.6778678969107898E-2</v>
      </c>
      <c r="E61" s="47">
        <v>6.4072413278692911E-2</v>
      </c>
      <c r="F61" s="47">
        <v>7.9617018407389925E-2</v>
      </c>
      <c r="G61" s="47">
        <v>5.6239559487718874E-2</v>
      </c>
      <c r="H61" s="47">
        <v>0</v>
      </c>
      <c r="I61" s="46">
        <v>5.5971558340463627E-2</v>
      </c>
      <c r="J61" s="46">
        <v>0</v>
      </c>
      <c r="K61" s="47">
        <v>0</v>
      </c>
      <c r="L61" s="47">
        <v>0</v>
      </c>
      <c r="M61" s="47">
        <v>0</v>
      </c>
      <c r="N61" s="46">
        <v>0</v>
      </c>
      <c r="O61" s="48">
        <v>0</v>
      </c>
      <c r="P61" s="47">
        <v>0</v>
      </c>
      <c r="Q61" s="46">
        <v>0</v>
      </c>
      <c r="R61" s="46">
        <v>0</v>
      </c>
      <c r="S61" s="46">
        <v>0</v>
      </c>
      <c r="T61" s="49">
        <v>0</v>
      </c>
      <c r="U61" s="49">
        <v>0</v>
      </c>
      <c r="V61" s="49">
        <v>0</v>
      </c>
      <c r="W61" s="49">
        <v>0</v>
      </c>
      <c r="X61" s="49">
        <v>0</v>
      </c>
      <c r="Y61" s="49">
        <v>0</v>
      </c>
      <c r="Z61" s="49">
        <v>0</v>
      </c>
      <c r="AA61" s="50">
        <v>0</v>
      </c>
      <c r="AB61" s="51">
        <v>0</v>
      </c>
      <c r="AC61" s="52">
        <v>0</v>
      </c>
      <c r="AD61" s="47">
        <v>5.5971558340463627E-2</v>
      </c>
      <c r="AE61"/>
    </row>
    <row r="62" spans="1:31">
      <c r="A62" s="38"/>
      <c r="B62" s="39" t="s">
        <v>654</v>
      </c>
      <c r="C62" s="40">
        <v>89146.304166666669</v>
      </c>
      <c r="D62" s="17">
        <v>32846.436499999996</v>
      </c>
      <c r="E62" s="17">
        <v>80768.150000000009</v>
      </c>
      <c r="F62" s="17">
        <v>50832.98333333333</v>
      </c>
      <c r="G62" s="17">
        <v>12613.391666666666</v>
      </c>
      <c r="H62" s="17">
        <v>22397.8</v>
      </c>
      <c r="I62" s="40">
        <v>288605.06566666666</v>
      </c>
      <c r="J62" s="40">
        <v>9231.1</v>
      </c>
      <c r="K62" s="17"/>
      <c r="L62" s="17"/>
      <c r="M62" s="17"/>
      <c r="N62" s="40">
        <v>9231.1</v>
      </c>
      <c r="O62" s="53"/>
      <c r="P62" s="17"/>
      <c r="Q62" s="40">
        <v>65212.350000000013</v>
      </c>
      <c r="R62" s="40"/>
      <c r="S62" s="40">
        <v>65212.350000000013</v>
      </c>
      <c r="T62" s="41"/>
      <c r="U62" s="41"/>
      <c r="V62" s="41"/>
      <c r="W62" s="41"/>
      <c r="X62" s="41"/>
      <c r="Y62" s="41"/>
      <c r="Z62" s="41"/>
      <c r="AA62" s="54"/>
      <c r="AB62" s="43"/>
      <c r="AC62" s="44"/>
      <c r="AD62" s="17">
        <v>363048.51566666667</v>
      </c>
      <c r="AE62"/>
    </row>
    <row r="63" spans="1:31">
      <c r="A63" s="38"/>
      <c r="B63" s="39" t="s">
        <v>656</v>
      </c>
      <c r="C63" s="40">
        <v>86331.946249999994</v>
      </c>
      <c r="D63" s="17">
        <v>34381.525000000001</v>
      </c>
      <c r="E63" s="17">
        <v>81692.741666666669</v>
      </c>
      <c r="F63" s="17">
        <v>48978.100000000006</v>
      </c>
      <c r="G63" s="17">
        <v>12000.366666666667</v>
      </c>
      <c r="H63" s="17">
        <v>20663.866666666669</v>
      </c>
      <c r="I63" s="40">
        <v>284048.54625000001</v>
      </c>
      <c r="J63" s="40">
        <v>7924.2666666666664</v>
      </c>
      <c r="K63" s="17"/>
      <c r="L63" s="17"/>
      <c r="M63" s="17"/>
      <c r="N63" s="40">
        <v>7924.2666666666664</v>
      </c>
      <c r="O63" s="53"/>
      <c r="P63" s="17"/>
      <c r="Q63" s="40">
        <v>60385.116666666683</v>
      </c>
      <c r="R63" s="40"/>
      <c r="S63" s="40">
        <v>60385.116666666683</v>
      </c>
      <c r="T63" s="41"/>
      <c r="U63" s="41"/>
      <c r="V63" s="41"/>
      <c r="W63" s="41"/>
      <c r="X63" s="41"/>
      <c r="Y63" s="41"/>
      <c r="Z63" s="41"/>
      <c r="AA63" s="54"/>
      <c r="AB63" s="43"/>
      <c r="AC63" s="44"/>
      <c r="AD63" s="17">
        <v>352357.92958333337</v>
      </c>
      <c r="AE63"/>
    </row>
    <row r="64" spans="1:31">
      <c r="A64" s="55"/>
      <c r="B64" s="56" t="s">
        <v>664</v>
      </c>
      <c r="C64" s="46">
        <v>-3.1570102013483266E-2</v>
      </c>
      <c r="D64" s="47">
        <v>4.6735313281244542E-2</v>
      </c>
      <c r="E64" s="47">
        <v>1.1447478574991005E-2</v>
      </c>
      <c r="F64" s="47">
        <v>-3.6489759437687751E-2</v>
      </c>
      <c r="G64" s="47">
        <v>-4.8601123012776734E-2</v>
      </c>
      <c r="H64" s="47">
        <v>-7.7415341387695694E-2</v>
      </c>
      <c r="I64" s="46">
        <v>-1.5788078446028878E-2</v>
      </c>
      <c r="J64" s="46">
        <v>-0.14156853823849097</v>
      </c>
      <c r="K64" s="47">
        <v>0</v>
      </c>
      <c r="L64" s="47">
        <v>0</v>
      </c>
      <c r="M64" s="47">
        <v>0</v>
      </c>
      <c r="N64" s="46">
        <v>-0.14156853823849097</v>
      </c>
      <c r="O64" s="48">
        <v>0</v>
      </c>
      <c r="P64" s="47">
        <v>0</v>
      </c>
      <c r="Q64" s="46">
        <v>-7.402329977885061E-2</v>
      </c>
      <c r="R64" s="46">
        <v>0</v>
      </c>
      <c r="S64" s="46">
        <v>-7.402329977885061E-2</v>
      </c>
      <c r="T64" s="49">
        <v>0</v>
      </c>
      <c r="U64" s="49">
        <v>0</v>
      </c>
      <c r="V64" s="49">
        <v>0</v>
      </c>
      <c r="W64" s="49">
        <v>0</v>
      </c>
      <c r="X64" s="49">
        <v>0</v>
      </c>
      <c r="Y64" s="49">
        <v>0</v>
      </c>
      <c r="Z64" s="49">
        <v>0</v>
      </c>
      <c r="AA64" s="50">
        <v>0</v>
      </c>
      <c r="AB64" s="43">
        <v>0</v>
      </c>
      <c r="AC64" s="44">
        <v>0</v>
      </c>
      <c r="AD64" s="47">
        <v>-2.9446714755746433E-2</v>
      </c>
      <c r="AE64"/>
    </row>
    <row r="65" spans="1:31">
      <c r="A65" s="36" t="s">
        <v>205</v>
      </c>
      <c r="B65" s="24" t="s">
        <v>638</v>
      </c>
      <c r="C65" s="18">
        <v>33094.866666666669</v>
      </c>
      <c r="D65" s="12"/>
      <c r="E65" s="12">
        <v>45346.5</v>
      </c>
      <c r="F65" s="12">
        <v>1653.7666666666667</v>
      </c>
      <c r="G65" s="12"/>
      <c r="H65" s="12"/>
      <c r="I65" s="18">
        <v>80095.133333333331</v>
      </c>
      <c r="J65" s="18"/>
      <c r="K65" s="12">
        <v>13026.133333333333</v>
      </c>
      <c r="L65" s="12">
        <v>13746.499999999998</v>
      </c>
      <c r="M65" s="12">
        <v>10771.7</v>
      </c>
      <c r="N65" s="18">
        <v>37544.333333333328</v>
      </c>
      <c r="O65" s="18"/>
      <c r="P65" s="12"/>
      <c r="Q65" s="18">
        <v>5040.7</v>
      </c>
      <c r="R65" s="18"/>
      <c r="S65" s="18">
        <v>5040.7</v>
      </c>
      <c r="T65" s="20"/>
      <c r="U65" s="20"/>
      <c r="V65" s="20"/>
      <c r="W65" s="20"/>
      <c r="X65" s="20"/>
      <c r="Y65" s="20"/>
      <c r="Z65" s="20"/>
      <c r="AA65" s="37"/>
      <c r="AB65" s="22"/>
      <c r="AC65" s="23"/>
      <c r="AD65" s="17">
        <v>122680.16666666666</v>
      </c>
      <c r="AE65"/>
    </row>
    <row r="66" spans="1:31">
      <c r="A66" s="38"/>
      <c r="B66" s="39" t="s">
        <v>639</v>
      </c>
      <c r="C66" s="40">
        <v>32334.166666666664</v>
      </c>
      <c r="D66" s="17"/>
      <c r="E66" s="17">
        <v>43527.233333333337</v>
      </c>
      <c r="F66" s="17">
        <v>1679.7666666666667</v>
      </c>
      <c r="G66" s="17"/>
      <c r="H66" s="17"/>
      <c r="I66" s="40">
        <v>77541.166666666657</v>
      </c>
      <c r="J66" s="40"/>
      <c r="K66" s="17">
        <v>11972.366666666667</v>
      </c>
      <c r="L66" s="17">
        <v>12706.333333333334</v>
      </c>
      <c r="M66" s="17">
        <v>9876.2999999999993</v>
      </c>
      <c r="N66" s="40">
        <v>34555</v>
      </c>
      <c r="O66" s="40"/>
      <c r="P66" s="17"/>
      <c r="Q66" s="40">
        <v>4928.6333333333332</v>
      </c>
      <c r="R66" s="40"/>
      <c r="S66" s="40">
        <v>4928.6333333333332</v>
      </c>
      <c r="T66" s="41"/>
      <c r="U66" s="41"/>
      <c r="V66" s="41"/>
      <c r="W66" s="41"/>
      <c r="X66" s="41"/>
      <c r="Y66" s="41"/>
      <c r="Z66" s="41"/>
      <c r="AA66" s="42"/>
      <c r="AB66" s="43"/>
      <c r="AC66" s="44"/>
      <c r="AD66" s="17">
        <v>117024.79999999999</v>
      </c>
      <c r="AE66"/>
    </row>
    <row r="67" spans="1:31">
      <c r="A67" s="38"/>
      <c r="B67" s="45" t="s">
        <v>658</v>
      </c>
      <c r="C67" s="46">
        <v>-2.2985437822180006E-2</v>
      </c>
      <c r="D67" s="47">
        <v>0</v>
      </c>
      <c r="E67" s="47">
        <v>-4.0119230076558564E-2</v>
      </c>
      <c r="F67" s="47">
        <v>1.5721685848467136E-2</v>
      </c>
      <c r="G67" s="47">
        <v>0</v>
      </c>
      <c r="H67" s="47">
        <v>0</v>
      </c>
      <c r="I67" s="46">
        <v>-3.1886664774472454E-2</v>
      </c>
      <c r="J67" s="46">
        <v>0</v>
      </c>
      <c r="K67" s="47">
        <v>-8.0896351948902698E-2</v>
      </c>
      <c r="L67" s="47">
        <v>-7.5667745729215752E-2</v>
      </c>
      <c r="M67" s="47">
        <v>-8.3125226287401377E-2</v>
      </c>
      <c r="N67" s="46">
        <v>-7.962142533715702E-2</v>
      </c>
      <c r="O67" s="48">
        <v>0</v>
      </c>
      <c r="P67" s="47">
        <v>0</v>
      </c>
      <c r="Q67" s="46">
        <v>-2.2232361907407027E-2</v>
      </c>
      <c r="R67" s="46">
        <v>0</v>
      </c>
      <c r="S67" s="46">
        <v>-2.2232361907407027E-2</v>
      </c>
      <c r="T67" s="49">
        <v>0</v>
      </c>
      <c r="U67" s="49">
        <v>0</v>
      </c>
      <c r="V67" s="49">
        <v>0</v>
      </c>
      <c r="W67" s="49">
        <v>0</v>
      </c>
      <c r="X67" s="49">
        <v>0</v>
      </c>
      <c r="Y67" s="49">
        <v>0</v>
      </c>
      <c r="Z67" s="49">
        <v>0</v>
      </c>
      <c r="AA67" s="50">
        <v>0</v>
      </c>
      <c r="AB67" s="51">
        <v>0</v>
      </c>
      <c r="AC67" s="52">
        <v>0</v>
      </c>
      <c r="AD67" s="47">
        <v>-4.6098459272824376E-2</v>
      </c>
      <c r="AE67"/>
    </row>
    <row r="68" spans="1:31">
      <c r="A68" s="38"/>
      <c r="B68" s="39" t="s">
        <v>646</v>
      </c>
      <c r="C68" s="40">
        <v>0</v>
      </c>
      <c r="D68" s="17"/>
      <c r="E68" s="17">
        <v>0</v>
      </c>
      <c r="F68" s="17">
        <v>0</v>
      </c>
      <c r="G68" s="17"/>
      <c r="H68" s="17"/>
      <c r="I68" s="40">
        <v>0</v>
      </c>
      <c r="J68" s="40"/>
      <c r="K68" s="17">
        <v>0</v>
      </c>
      <c r="L68" s="17">
        <v>0</v>
      </c>
      <c r="M68" s="17">
        <v>0</v>
      </c>
      <c r="N68" s="40">
        <v>0</v>
      </c>
      <c r="O68" s="53"/>
      <c r="P68" s="17"/>
      <c r="Q68" s="40">
        <v>0</v>
      </c>
      <c r="R68" s="40"/>
      <c r="S68" s="40">
        <v>0</v>
      </c>
      <c r="T68" s="41"/>
      <c r="U68" s="41"/>
      <c r="V68" s="41"/>
      <c r="W68" s="41"/>
      <c r="X68" s="41"/>
      <c r="Y68" s="41"/>
      <c r="Z68" s="41"/>
      <c r="AA68" s="54"/>
      <c r="AB68" s="43"/>
      <c r="AC68" s="44"/>
      <c r="AD68" s="17">
        <v>0</v>
      </c>
      <c r="AE68"/>
    </row>
    <row r="69" spans="1:31">
      <c r="A69" s="38"/>
      <c r="B69" s="39" t="s">
        <v>648</v>
      </c>
      <c r="C69" s="40">
        <v>0</v>
      </c>
      <c r="D69" s="17"/>
      <c r="E69" s="17">
        <v>0</v>
      </c>
      <c r="F69" s="17">
        <v>0</v>
      </c>
      <c r="G69" s="17"/>
      <c r="H69" s="17"/>
      <c r="I69" s="40">
        <v>0</v>
      </c>
      <c r="J69" s="40"/>
      <c r="K69" s="17">
        <v>0</v>
      </c>
      <c r="L69" s="17">
        <v>0</v>
      </c>
      <c r="M69" s="17">
        <v>0</v>
      </c>
      <c r="N69" s="40">
        <v>0</v>
      </c>
      <c r="O69" s="53"/>
      <c r="P69" s="17"/>
      <c r="Q69" s="40">
        <v>0</v>
      </c>
      <c r="R69" s="40"/>
      <c r="S69" s="40">
        <v>0</v>
      </c>
      <c r="T69" s="41"/>
      <c r="U69" s="41"/>
      <c r="V69" s="41"/>
      <c r="W69" s="41"/>
      <c r="X69" s="41"/>
      <c r="Y69" s="41"/>
      <c r="Z69" s="41"/>
      <c r="AA69" s="54"/>
      <c r="AB69" s="43"/>
      <c r="AC69" s="44"/>
      <c r="AD69" s="17">
        <v>0</v>
      </c>
      <c r="AE69"/>
    </row>
    <row r="70" spans="1:31">
      <c r="A70" s="38"/>
      <c r="B70" s="45" t="s">
        <v>660</v>
      </c>
      <c r="C70" s="46">
        <v>0</v>
      </c>
      <c r="D70" s="47">
        <v>0</v>
      </c>
      <c r="E70" s="47">
        <v>0</v>
      </c>
      <c r="F70" s="47">
        <v>0</v>
      </c>
      <c r="G70" s="47">
        <v>0</v>
      </c>
      <c r="H70" s="47">
        <v>0</v>
      </c>
      <c r="I70" s="46">
        <v>0</v>
      </c>
      <c r="J70" s="46">
        <v>0</v>
      </c>
      <c r="K70" s="47">
        <v>0</v>
      </c>
      <c r="L70" s="47">
        <v>0</v>
      </c>
      <c r="M70" s="47">
        <v>0</v>
      </c>
      <c r="N70" s="46">
        <v>0</v>
      </c>
      <c r="O70" s="48">
        <v>0</v>
      </c>
      <c r="P70" s="47">
        <v>0</v>
      </c>
      <c r="Q70" s="46">
        <v>0</v>
      </c>
      <c r="R70" s="46">
        <v>0</v>
      </c>
      <c r="S70" s="46">
        <v>0</v>
      </c>
      <c r="T70" s="49">
        <v>0</v>
      </c>
      <c r="U70" s="49">
        <v>0</v>
      </c>
      <c r="V70" s="49">
        <v>0</v>
      </c>
      <c r="W70" s="49">
        <v>0</v>
      </c>
      <c r="X70" s="49">
        <v>0</v>
      </c>
      <c r="Y70" s="49">
        <v>0</v>
      </c>
      <c r="Z70" s="49">
        <v>0</v>
      </c>
      <c r="AA70" s="50">
        <v>0</v>
      </c>
      <c r="AB70" s="51">
        <v>0</v>
      </c>
      <c r="AC70" s="52">
        <v>0</v>
      </c>
      <c r="AD70" s="47">
        <v>0</v>
      </c>
      <c r="AE70"/>
    </row>
    <row r="71" spans="1:31">
      <c r="A71" s="38"/>
      <c r="B71" s="39" t="s">
        <v>650</v>
      </c>
      <c r="C71" s="40">
        <v>7172.125</v>
      </c>
      <c r="D71" s="17"/>
      <c r="E71" s="17">
        <v>7607.666666666667</v>
      </c>
      <c r="F71" s="17">
        <v>79.75</v>
      </c>
      <c r="G71" s="17"/>
      <c r="H71" s="17"/>
      <c r="I71" s="40">
        <v>14859.541666666668</v>
      </c>
      <c r="J71" s="40"/>
      <c r="K71" s="17">
        <v>0</v>
      </c>
      <c r="L71" s="17">
        <v>0</v>
      </c>
      <c r="M71" s="17">
        <v>0</v>
      </c>
      <c r="N71" s="40">
        <v>0</v>
      </c>
      <c r="O71" s="53"/>
      <c r="P71" s="17"/>
      <c r="Q71" s="40">
        <v>0</v>
      </c>
      <c r="R71" s="40"/>
      <c r="S71" s="40">
        <v>0</v>
      </c>
      <c r="T71" s="41"/>
      <c r="U71" s="41"/>
      <c r="V71" s="41"/>
      <c r="W71" s="41"/>
      <c r="X71" s="41"/>
      <c r="Y71" s="41"/>
      <c r="Z71" s="41"/>
      <c r="AA71" s="54"/>
      <c r="AB71" s="43"/>
      <c r="AC71" s="44"/>
      <c r="AD71" s="17">
        <v>14859.541666666668</v>
      </c>
      <c r="AE71"/>
    </row>
    <row r="72" spans="1:31">
      <c r="A72" s="38"/>
      <c r="B72" s="39" t="s">
        <v>652</v>
      </c>
      <c r="C72" s="40">
        <v>8251.2083333333339</v>
      </c>
      <c r="D72" s="17"/>
      <c r="E72" s="17">
        <v>8018.25</v>
      </c>
      <c r="F72" s="17">
        <v>82.25</v>
      </c>
      <c r="G72" s="17"/>
      <c r="H72" s="17"/>
      <c r="I72" s="40">
        <v>16351.708333333334</v>
      </c>
      <c r="J72" s="40"/>
      <c r="K72" s="17">
        <v>0</v>
      </c>
      <c r="L72" s="17">
        <v>0</v>
      </c>
      <c r="M72" s="17">
        <v>0</v>
      </c>
      <c r="N72" s="40">
        <v>0</v>
      </c>
      <c r="O72" s="53"/>
      <c r="P72" s="17"/>
      <c r="Q72" s="40">
        <v>0</v>
      </c>
      <c r="R72" s="40"/>
      <c r="S72" s="40">
        <v>0</v>
      </c>
      <c r="T72" s="41"/>
      <c r="U72" s="41"/>
      <c r="V72" s="41"/>
      <c r="W72" s="41"/>
      <c r="X72" s="41"/>
      <c r="Y72" s="41"/>
      <c r="Z72" s="41"/>
      <c r="AA72" s="54"/>
      <c r="AB72" s="43"/>
      <c r="AC72" s="44"/>
      <c r="AD72" s="17">
        <v>16351.708333333334</v>
      </c>
      <c r="AE72"/>
    </row>
    <row r="73" spans="1:31">
      <c r="A73" s="38"/>
      <c r="B73" s="45" t="s">
        <v>662</v>
      </c>
      <c r="C73" s="46">
        <v>0.15045517658062763</v>
      </c>
      <c r="D73" s="47">
        <v>0</v>
      </c>
      <c r="E73" s="47">
        <v>5.3969679709065375E-2</v>
      </c>
      <c r="F73" s="47">
        <v>3.1347962382445138E-2</v>
      </c>
      <c r="G73" s="47">
        <v>0</v>
      </c>
      <c r="H73" s="47">
        <v>0</v>
      </c>
      <c r="I73" s="46">
        <v>0.10041808153571367</v>
      </c>
      <c r="J73" s="46">
        <v>0</v>
      </c>
      <c r="K73" s="47">
        <v>0</v>
      </c>
      <c r="L73" s="47">
        <v>0</v>
      </c>
      <c r="M73" s="47">
        <v>0</v>
      </c>
      <c r="N73" s="46">
        <v>0</v>
      </c>
      <c r="O73" s="48">
        <v>0</v>
      </c>
      <c r="P73" s="47">
        <v>0</v>
      </c>
      <c r="Q73" s="46">
        <v>0</v>
      </c>
      <c r="R73" s="46">
        <v>0</v>
      </c>
      <c r="S73" s="46">
        <v>0</v>
      </c>
      <c r="T73" s="49">
        <v>0</v>
      </c>
      <c r="U73" s="49">
        <v>0</v>
      </c>
      <c r="V73" s="49">
        <v>0</v>
      </c>
      <c r="W73" s="49">
        <v>0</v>
      </c>
      <c r="X73" s="49">
        <v>0</v>
      </c>
      <c r="Y73" s="49">
        <v>0</v>
      </c>
      <c r="Z73" s="49">
        <v>0</v>
      </c>
      <c r="AA73" s="50">
        <v>0</v>
      </c>
      <c r="AB73" s="51">
        <v>0</v>
      </c>
      <c r="AC73" s="52">
        <v>0</v>
      </c>
      <c r="AD73" s="47">
        <v>0.10041808153571367</v>
      </c>
      <c r="AE73"/>
    </row>
    <row r="74" spans="1:31">
      <c r="A74" s="38"/>
      <c r="B74" s="39" t="s">
        <v>654</v>
      </c>
      <c r="C74" s="40">
        <v>40266.991666666669</v>
      </c>
      <c r="D74" s="17"/>
      <c r="E74" s="17">
        <v>52954.166666666664</v>
      </c>
      <c r="F74" s="17">
        <v>1733.5166666666667</v>
      </c>
      <c r="G74" s="17"/>
      <c r="H74" s="17"/>
      <c r="I74" s="40">
        <v>94954.674999999988</v>
      </c>
      <c r="J74" s="40"/>
      <c r="K74" s="17">
        <v>13026.133333333333</v>
      </c>
      <c r="L74" s="17">
        <v>13746.499999999998</v>
      </c>
      <c r="M74" s="17">
        <v>10771.7</v>
      </c>
      <c r="N74" s="40">
        <v>37544.333333333328</v>
      </c>
      <c r="O74" s="53"/>
      <c r="P74" s="17"/>
      <c r="Q74" s="40">
        <v>5040.7</v>
      </c>
      <c r="R74" s="40"/>
      <c r="S74" s="40">
        <v>5040.7</v>
      </c>
      <c r="T74" s="41"/>
      <c r="U74" s="41"/>
      <c r="V74" s="41"/>
      <c r="W74" s="41"/>
      <c r="X74" s="41"/>
      <c r="Y74" s="41"/>
      <c r="Z74" s="41"/>
      <c r="AA74" s="54"/>
      <c r="AB74" s="43"/>
      <c r="AC74" s="44"/>
      <c r="AD74" s="17">
        <v>137539.70833333334</v>
      </c>
      <c r="AE74"/>
    </row>
    <row r="75" spans="1:31">
      <c r="A75" s="38"/>
      <c r="B75" s="39" t="s">
        <v>656</v>
      </c>
      <c r="C75" s="40">
        <v>40585.375</v>
      </c>
      <c r="D75" s="17"/>
      <c r="E75" s="17">
        <v>51545.483333333337</v>
      </c>
      <c r="F75" s="17">
        <v>1762.0166666666667</v>
      </c>
      <c r="G75" s="17"/>
      <c r="H75" s="17"/>
      <c r="I75" s="40">
        <v>93892.875</v>
      </c>
      <c r="J75" s="40"/>
      <c r="K75" s="17">
        <v>11972.366666666667</v>
      </c>
      <c r="L75" s="17">
        <v>12706.333333333334</v>
      </c>
      <c r="M75" s="17">
        <v>9876.2999999999993</v>
      </c>
      <c r="N75" s="40">
        <v>34555</v>
      </c>
      <c r="O75" s="53"/>
      <c r="P75" s="17"/>
      <c r="Q75" s="40">
        <v>4928.6333333333332</v>
      </c>
      <c r="R75" s="40"/>
      <c r="S75" s="40">
        <v>4928.6333333333332</v>
      </c>
      <c r="T75" s="41"/>
      <c r="U75" s="41"/>
      <c r="V75" s="41"/>
      <c r="W75" s="41"/>
      <c r="X75" s="41"/>
      <c r="Y75" s="41"/>
      <c r="Z75" s="41"/>
      <c r="AA75" s="54"/>
      <c r="AB75" s="43"/>
      <c r="AC75" s="44"/>
      <c r="AD75" s="17">
        <v>133376.50833333333</v>
      </c>
      <c r="AE75"/>
    </row>
    <row r="76" spans="1:31">
      <c r="A76" s="55"/>
      <c r="B76" s="56" t="s">
        <v>664</v>
      </c>
      <c r="C76" s="46">
        <v>7.9068070435689298E-3</v>
      </c>
      <c r="D76" s="47">
        <v>0</v>
      </c>
      <c r="E76" s="47">
        <v>-2.660193563616323E-2</v>
      </c>
      <c r="F76" s="47">
        <v>1.644056878599379E-2</v>
      </c>
      <c r="G76" s="47">
        <v>0</v>
      </c>
      <c r="H76" s="47">
        <v>0</v>
      </c>
      <c r="I76" s="46">
        <v>-1.1182177180849889E-2</v>
      </c>
      <c r="J76" s="46">
        <v>0</v>
      </c>
      <c r="K76" s="47">
        <v>-8.0896351948902698E-2</v>
      </c>
      <c r="L76" s="47">
        <v>-7.5667745729215752E-2</v>
      </c>
      <c r="M76" s="47">
        <v>-8.3125226287401377E-2</v>
      </c>
      <c r="N76" s="46">
        <v>-7.962142533715702E-2</v>
      </c>
      <c r="O76" s="48">
        <v>0</v>
      </c>
      <c r="P76" s="47">
        <v>0</v>
      </c>
      <c r="Q76" s="46">
        <v>-2.2232361907407027E-2</v>
      </c>
      <c r="R76" s="46">
        <v>0</v>
      </c>
      <c r="S76" s="46">
        <v>-2.2232361907407027E-2</v>
      </c>
      <c r="T76" s="49">
        <v>0</v>
      </c>
      <c r="U76" s="49">
        <v>0</v>
      </c>
      <c r="V76" s="49">
        <v>0</v>
      </c>
      <c r="W76" s="49">
        <v>0</v>
      </c>
      <c r="X76" s="49">
        <v>0</v>
      </c>
      <c r="Y76" s="49">
        <v>0</v>
      </c>
      <c r="Z76" s="49">
        <v>0</v>
      </c>
      <c r="AA76" s="50">
        <v>0</v>
      </c>
      <c r="AB76" s="43">
        <v>0</v>
      </c>
      <c r="AC76" s="44">
        <v>0</v>
      </c>
      <c r="AD76" s="47">
        <v>-3.026907683932497E-2</v>
      </c>
      <c r="AE76"/>
    </row>
    <row r="77" spans="1:31">
      <c r="A77" s="36" t="s">
        <v>433</v>
      </c>
      <c r="B77" s="24" t="s">
        <v>638</v>
      </c>
      <c r="C77" s="18">
        <v>24845.433333333334</v>
      </c>
      <c r="D77" s="12">
        <v>26514.566666666666</v>
      </c>
      <c r="E77" s="12">
        <v>27991.866666666661</v>
      </c>
      <c r="F77" s="12">
        <v>19565.833333333332</v>
      </c>
      <c r="G77" s="12">
        <v>1386.5333333333333</v>
      </c>
      <c r="H77" s="12">
        <v>2683.3333333333335</v>
      </c>
      <c r="I77" s="18">
        <v>102987.56666666667</v>
      </c>
      <c r="J77" s="18"/>
      <c r="K77" s="12">
        <v>14350.5</v>
      </c>
      <c r="L77" s="12">
        <v>15767.833333333334</v>
      </c>
      <c r="M77" s="12">
        <v>3439.0333333333333</v>
      </c>
      <c r="N77" s="18">
        <v>33557.366666666669</v>
      </c>
      <c r="O77" s="18"/>
      <c r="P77" s="12"/>
      <c r="Q77" s="18">
        <v>7418.1666666666661</v>
      </c>
      <c r="R77" s="18">
        <v>760.76666666666665</v>
      </c>
      <c r="S77" s="18">
        <v>8178.9333333333325</v>
      </c>
      <c r="T77" s="20"/>
      <c r="U77" s="20"/>
      <c r="V77" s="20"/>
      <c r="W77" s="20"/>
      <c r="X77" s="20"/>
      <c r="Y77" s="20"/>
      <c r="Z77" s="20"/>
      <c r="AA77" s="37"/>
      <c r="AB77" s="22">
        <v>0</v>
      </c>
      <c r="AC77" s="23">
        <v>0</v>
      </c>
      <c r="AD77" s="17">
        <v>144723.86666666664</v>
      </c>
      <c r="AE77"/>
    </row>
    <row r="78" spans="1:31">
      <c r="A78" s="38"/>
      <c r="B78" s="39" t="s">
        <v>639</v>
      </c>
      <c r="C78" s="40">
        <v>26341.200000000001</v>
      </c>
      <c r="D78" s="17">
        <v>25413.466666666667</v>
      </c>
      <c r="E78" s="17">
        <v>26537.866666666665</v>
      </c>
      <c r="F78" s="17">
        <v>18946.400000000001</v>
      </c>
      <c r="G78" s="17">
        <v>1202.6666666666667</v>
      </c>
      <c r="H78" s="17">
        <v>2948.9</v>
      </c>
      <c r="I78" s="40">
        <v>101390.50000000001</v>
      </c>
      <c r="J78" s="40"/>
      <c r="K78" s="17">
        <v>13475.433333333334</v>
      </c>
      <c r="L78" s="17">
        <v>14649.033333333333</v>
      </c>
      <c r="M78" s="17">
        <v>2976.0666666666666</v>
      </c>
      <c r="N78" s="40">
        <v>31100.533333333333</v>
      </c>
      <c r="O78" s="40"/>
      <c r="P78" s="17"/>
      <c r="Q78" s="40">
        <v>6829.2666666666673</v>
      </c>
      <c r="R78" s="40">
        <v>684.5333333333333</v>
      </c>
      <c r="S78" s="40">
        <v>7513.8000000000011</v>
      </c>
      <c r="T78" s="41"/>
      <c r="U78" s="41"/>
      <c r="V78" s="41"/>
      <c r="W78" s="41"/>
      <c r="X78" s="41"/>
      <c r="Y78" s="41"/>
      <c r="Z78" s="41"/>
      <c r="AA78" s="42"/>
      <c r="AB78" s="43">
        <v>0</v>
      </c>
      <c r="AC78" s="44">
        <v>0</v>
      </c>
      <c r="AD78" s="17">
        <v>140004.83333333334</v>
      </c>
      <c r="AE78"/>
    </row>
    <row r="79" spans="1:31">
      <c r="A79" s="38"/>
      <c r="B79" s="45" t="s">
        <v>658</v>
      </c>
      <c r="C79" s="46">
        <v>6.0202881012338942E-2</v>
      </c>
      <c r="D79" s="47">
        <v>-4.1528115991586963E-2</v>
      </c>
      <c r="E79" s="47">
        <v>-5.1943659824996664E-2</v>
      </c>
      <c r="F79" s="47">
        <v>-3.1658929255930696E-2</v>
      </c>
      <c r="G79" s="47">
        <v>-0.13260890470237516</v>
      </c>
      <c r="H79" s="47">
        <v>9.8968944099378856E-2</v>
      </c>
      <c r="I79" s="46">
        <v>-1.550737354379656E-2</v>
      </c>
      <c r="J79" s="46">
        <v>0</v>
      </c>
      <c r="K79" s="47">
        <v>-6.0978130843292268E-2</v>
      </c>
      <c r="L79" s="47">
        <v>-7.0954580527867989E-2</v>
      </c>
      <c r="M79" s="47">
        <v>-0.13462116292368981</v>
      </c>
      <c r="N79" s="46">
        <v>-7.3212935858097794E-2</v>
      </c>
      <c r="O79" s="48">
        <v>0</v>
      </c>
      <c r="P79" s="47">
        <v>0</v>
      </c>
      <c r="Q79" s="46">
        <v>-7.938619155676363E-2</v>
      </c>
      <c r="R79" s="46">
        <v>-0.10020593261183895</v>
      </c>
      <c r="S79" s="46">
        <v>-8.1322747872582993E-2</v>
      </c>
      <c r="T79" s="49">
        <v>0</v>
      </c>
      <c r="U79" s="49">
        <v>0</v>
      </c>
      <c r="V79" s="49">
        <v>0</v>
      </c>
      <c r="W79" s="49">
        <v>0</v>
      </c>
      <c r="X79" s="49">
        <v>0</v>
      </c>
      <c r="Y79" s="49">
        <v>0</v>
      </c>
      <c r="Z79" s="49">
        <v>0</v>
      </c>
      <c r="AA79" s="50">
        <v>0</v>
      </c>
      <c r="AB79" s="51">
        <v>0</v>
      </c>
      <c r="AC79" s="52">
        <v>0</v>
      </c>
      <c r="AD79" s="47">
        <v>-3.2607153484935592E-2</v>
      </c>
      <c r="AE79"/>
    </row>
    <row r="80" spans="1:31">
      <c r="A80" s="38"/>
      <c r="B80" s="39" t="s">
        <v>646</v>
      </c>
      <c r="C80" s="40">
        <v>0</v>
      </c>
      <c r="D80" s="17">
        <v>0</v>
      </c>
      <c r="E80" s="17">
        <v>0</v>
      </c>
      <c r="F80" s="17">
        <v>0</v>
      </c>
      <c r="G80" s="17">
        <v>0</v>
      </c>
      <c r="H80" s="17">
        <v>0</v>
      </c>
      <c r="I80" s="40">
        <v>0</v>
      </c>
      <c r="J80" s="40"/>
      <c r="K80" s="17">
        <v>0</v>
      </c>
      <c r="L80" s="57">
        <v>0</v>
      </c>
      <c r="M80" s="17">
        <v>0</v>
      </c>
      <c r="N80" s="58">
        <v>0</v>
      </c>
      <c r="O80" s="53"/>
      <c r="P80" s="17"/>
      <c r="Q80" s="40">
        <v>0</v>
      </c>
      <c r="R80" s="40">
        <v>0</v>
      </c>
      <c r="S80" s="40">
        <v>0</v>
      </c>
      <c r="T80" s="41"/>
      <c r="U80" s="41"/>
      <c r="V80" s="41"/>
      <c r="W80" s="41"/>
      <c r="X80" s="41"/>
      <c r="Y80" s="41"/>
      <c r="Z80" s="41"/>
      <c r="AA80" s="54"/>
      <c r="AB80" s="43">
        <v>0</v>
      </c>
      <c r="AC80" s="44">
        <v>0</v>
      </c>
      <c r="AD80" s="17">
        <v>0</v>
      </c>
      <c r="AE80"/>
    </row>
    <row r="81" spans="1:31">
      <c r="A81" s="38"/>
      <c r="B81" s="39" t="s">
        <v>648</v>
      </c>
      <c r="C81" s="40">
        <v>0</v>
      </c>
      <c r="D81" s="17">
        <v>0</v>
      </c>
      <c r="E81" s="17">
        <v>0</v>
      </c>
      <c r="F81" s="17">
        <v>0</v>
      </c>
      <c r="G81" s="17">
        <v>0</v>
      </c>
      <c r="H81" s="17">
        <v>0</v>
      </c>
      <c r="I81" s="40">
        <v>0</v>
      </c>
      <c r="J81" s="40"/>
      <c r="K81" s="17">
        <v>0</v>
      </c>
      <c r="L81" s="17">
        <v>0</v>
      </c>
      <c r="M81" s="17">
        <v>0</v>
      </c>
      <c r="N81" s="40">
        <v>0</v>
      </c>
      <c r="O81" s="53"/>
      <c r="P81" s="17"/>
      <c r="Q81" s="40">
        <v>0</v>
      </c>
      <c r="R81" s="40">
        <v>0</v>
      </c>
      <c r="S81" s="40">
        <v>0</v>
      </c>
      <c r="T81" s="41"/>
      <c r="U81" s="41"/>
      <c r="V81" s="41"/>
      <c r="W81" s="41"/>
      <c r="X81" s="41"/>
      <c r="Y81" s="41"/>
      <c r="Z81" s="41"/>
      <c r="AA81" s="54"/>
      <c r="AB81" s="43">
        <v>0</v>
      </c>
      <c r="AC81" s="44">
        <v>0</v>
      </c>
      <c r="AD81" s="17">
        <v>0</v>
      </c>
      <c r="AE81"/>
    </row>
    <row r="82" spans="1:31">
      <c r="A82" s="38"/>
      <c r="B82" s="45" t="s">
        <v>660</v>
      </c>
      <c r="C82" s="46">
        <v>0</v>
      </c>
      <c r="D82" s="47">
        <v>0</v>
      </c>
      <c r="E82" s="47">
        <v>0</v>
      </c>
      <c r="F82" s="47">
        <v>0</v>
      </c>
      <c r="G82" s="47">
        <v>0</v>
      </c>
      <c r="H82" s="47">
        <v>0</v>
      </c>
      <c r="I82" s="46">
        <v>0</v>
      </c>
      <c r="J82" s="46">
        <v>0</v>
      </c>
      <c r="K82" s="47">
        <v>0</v>
      </c>
      <c r="L82" s="47">
        <v>0</v>
      </c>
      <c r="M82" s="47">
        <v>0</v>
      </c>
      <c r="N82" s="46">
        <v>0</v>
      </c>
      <c r="O82" s="48">
        <v>0</v>
      </c>
      <c r="P82" s="47">
        <v>0</v>
      </c>
      <c r="Q82" s="46">
        <v>0</v>
      </c>
      <c r="R82" s="46">
        <v>0</v>
      </c>
      <c r="S82" s="46">
        <v>0</v>
      </c>
      <c r="T82" s="49">
        <v>0</v>
      </c>
      <c r="U82" s="49">
        <v>0</v>
      </c>
      <c r="V82" s="49">
        <v>0</v>
      </c>
      <c r="W82" s="49">
        <v>0</v>
      </c>
      <c r="X82" s="49">
        <v>0</v>
      </c>
      <c r="Y82" s="49">
        <v>0</v>
      </c>
      <c r="Z82" s="49">
        <v>0</v>
      </c>
      <c r="AA82" s="50">
        <v>0</v>
      </c>
      <c r="AB82" s="51">
        <v>0</v>
      </c>
      <c r="AC82" s="52">
        <v>0</v>
      </c>
      <c r="AD82" s="47">
        <v>0</v>
      </c>
      <c r="AE82"/>
    </row>
    <row r="83" spans="1:31">
      <c r="A83" s="38"/>
      <c r="B83" s="39" t="s">
        <v>650</v>
      </c>
      <c r="C83" s="40">
        <v>6259.875</v>
      </c>
      <c r="D83" s="17">
        <v>3589.458333333333</v>
      </c>
      <c r="E83" s="17">
        <v>3520.75</v>
      </c>
      <c r="F83" s="17">
        <v>6997.9999999999991</v>
      </c>
      <c r="G83" s="17">
        <v>293.29166666666669</v>
      </c>
      <c r="H83" s="17">
        <v>0</v>
      </c>
      <c r="I83" s="40">
        <v>20661.375</v>
      </c>
      <c r="J83" s="40"/>
      <c r="K83" s="17">
        <v>0</v>
      </c>
      <c r="L83" s="17">
        <v>0</v>
      </c>
      <c r="M83" s="17">
        <v>0</v>
      </c>
      <c r="N83" s="40">
        <v>0</v>
      </c>
      <c r="O83" s="53"/>
      <c r="P83" s="17"/>
      <c r="Q83" s="40">
        <v>0</v>
      </c>
      <c r="R83" s="40">
        <v>0</v>
      </c>
      <c r="S83" s="40">
        <v>0</v>
      </c>
      <c r="T83" s="41"/>
      <c r="U83" s="41"/>
      <c r="V83" s="41"/>
      <c r="W83" s="41"/>
      <c r="X83" s="41"/>
      <c r="Y83" s="41"/>
      <c r="Z83" s="41"/>
      <c r="AA83" s="54"/>
      <c r="AB83" s="43">
        <v>884.16666666666663</v>
      </c>
      <c r="AC83" s="44">
        <v>884.16666666666663</v>
      </c>
      <c r="AD83" s="17">
        <v>21545.541666666668</v>
      </c>
      <c r="AE83"/>
    </row>
    <row r="84" spans="1:31">
      <c r="A84" s="38"/>
      <c r="B84" s="39" t="s">
        <v>652</v>
      </c>
      <c r="C84" s="40">
        <v>6748.854166666667</v>
      </c>
      <c r="D84" s="17">
        <v>3531.333333333333</v>
      </c>
      <c r="E84" s="17">
        <v>4128.041666666667</v>
      </c>
      <c r="F84" s="17">
        <v>6946.541666666667</v>
      </c>
      <c r="G84" s="17">
        <v>254.125</v>
      </c>
      <c r="H84" s="17">
        <v>0</v>
      </c>
      <c r="I84" s="40">
        <v>21608.895833333336</v>
      </c>
      <c r="J84" s="40"/>
      <c r="K84" s="17">
        <v>0</v>
      </c>
      <c r="L84" s="17">
        <v>0</v>
      </c>
      <c r="M84" s="17">
        <v>0</v>
      </c>
      <c r="N84" s="40">
        <v>0</v>
      </c>
      <c r="O84" s="53"/>
      <c r="P84" s="17"/>
      <c r="Q84" s="40">
        <v>0</v>
      </c>
      <c r="R84" s="40">
        <v>0</v>
      </c>
      <c r="S84" s="40">
        <v>0</v>
      </c>
      <c r="T84" s="41"/>
      <c r="U84" s="41"/>
      <c r="V84" s="41"/>
      <c r="W84" s="41"/>
      <c r="X84" s="41"/>
      <c r="Y84" s="41"/>
      <c r="Z84" s="41"/>
      <c r="AA84" s="54"/>
      <c r="AB84" s="43">
        <v>528.75</v>
      </c>
      <c r="AC84" s="44">
        <v>528.75</v>
      </c>
      <c r="AD84" s="17">
        <v>22137.645833333336</v>
      </c>
      <c r="AE84"/>
    </row>
    <row r="85" spans="1:31">
      <c r="A85" s="38"/>
      <c r="B85" s="45" t="s">
        <v>662</v>
      </c>
      <c r="C85" s="46">
        <v>7.8113247735245028E-2</v>
      </c>
      <c r="D85" s="47">
        <v>-1.6193251070844024E-2</v>
      </c>
      <c r="E85" s="47">
        <v>0.17248928968732996</v>
      </c>
      <c r="F85" s="47">
        <v>-7.3532914165950454E-3</v>
      </c>
      <c r="G85" s="47">
        <v>-0.13354169626367388</v>
      </c>
      <c r="H85" s="47">
        <v>0</v>
      </c>
      <c r="I85" s="46">
        <v>4.5859524515349817E-2</v>
      </c>
      <c r="J85" s="46">
        <v>0</v>
      </c>
      <c r="K85" s="47">
        <v>0</v>
      </c>
      <c r="L85" s="47">
        <v>0</v>
      </c>
      <c r="M85" s="47">
        <v>0</v>
      </c>
      <c r="N85" s="46">
        <v>0</v>
      </c>
      <c r="O85" s="48">
        <v>0</v>
      </c>
      <c r="P85" s="47">
        <v>0</v>
      </c>
      <c r="Q85" s="46">
        <v>0</v>
      </c>
      <c r="R85" s="46">
        <v>0</v>
      </c>
      <c r="S85" s="46">
        <v>0</v>
      </c>
      <c r="T85" s="49">
        <v>0</v>
      </c>
      <c r="U85" s="49">
        <v>0</v>
      </c>
      <c r="V85" s="49">
        <v>0</v>
      </c>
      <c r="W85" s="49">
        <v>0</v>
      </c>
      <c r="X85" s="49">
        <v>0</v>
      </c>
      <c r="Y85" s="49">
        <v>0</v>
      </c>
      <c r="Z85" s="49">
        <v>0</v>
      </c>
      <c r="AA85" s="50">
        <v>0</v>
      </c>
      <c r="AB85" s="51">
        <v>-0.40197926484448632</v>
      </c>
      <c r="AC85" s="52">
        <v>-0.40197926484448632</v>
      </c>
      <c r="AD85" s="47">
        <v>2.7481516864471242E-2</v>
      </c>
      <c r="AE85"/>
    </row>
    <row r="86" spans="1:31">
      <c r="A86" s="38"/>
      <c r="B86" s="39" t="s">
        <v>654</v>
      </c>
      <c r="C86" s="40">
        <v>31105.308333333334</v>
      </c>
      <c r="D86" s="17">
        <v>30104.025000000001</v>
      </c>
      <c r="E86" s="17">
        <v>31512.616666666665</v>
      </c>
      <c r="F86" s="17">
        <v>26563.833333333332</v>
      </c>
      <c r="G86" s="17">
        <v>1679.825</v>
      </c>
      <c r="H86" s="17">
        <v>2683.3333333333335</v>
      </c>
      <c r="I86" s="40">
        <v>123648.94166666665</v>
      </c>
      <c r="J86" s="40"/>
      <c r="K86" s="17">
        <v>14350.5</v>
      </c>
      <c r="L86" s="17">
        <v>15767.833333333334</v>
      </c>
      <c r="M86" s="17">
        <v>3439.0333333333333</v>
      </c>
      <c r="N86" s="40">
        <v>33557.366666666669</v>
      </c>
      <c r="O86" s="53"/>
      <c r="P86" s="17"/>
      <c r="Q86" s="40">
        <v>7418.1666666666661</v>
      </c>
      <c r="R86" s="40">
        <v>760.76666666666665</v>
      </c>
      <c r="S86" s="40">
        <v>8178.9333333333325</v>
      </c>
      <c r="T86" s="41"/>
      <c r="U86" s="41"/>
      <c r="V86" s="41"/>
      <c r="W86" s="41"/>
      <c r="X86" s="41"/>
      <c r="Y86" s="41"/>
      <c r="Z86" s="41"/>
      <c r="AA86" s="54"/>
      <c r="AB86" s="43">
        <v>884.16666666666663</v>
      </c>
      <c r="AC86" s="44">
        <v>884.16666666666663</v>
      </c>
      <c r="AD86" s="17">
        <v>166269.4083333333</v>
      </c>
      <c r="AE86"/>
    </row>
    <row r="87" spans="1:31">
      <c r="A87" s="38"/>
      <c r="B87" s="39" t="s">
        <v>656</v>
      </c>
      <c r="C87" s="40">
        <v>33090.054166666669</v>
      </c>
      <c r="D87" s="17">
        <v>28944.799999999999</v>
      </c>
      <c r="E87" s="17">
        <v>30665.908333333333</v>
      </c>
      <c r="F87" s="17">
        <v>25892.941666666669</v>
      </c>
      <c r="G87" s="17">
        <v>1456.7916666666667</v>
      </c>
      <c r="H87" s="17">
        <v>2948.9</v>
      </c>
      <c r="I87" s="40">
        <v>122999.39583333334</v>
      </c>
      <c r="J87" s="40"/>
      <c r="K87" s="17">
        <v>13475.433333333334</v>
      </c>
      <c r="L87" s="17">
        <v>14649.033333333333</v>
      </c>
      <c r="M87" s="17">
        <v>2976.0666666666666</v>
      </c>
      <c r="N87" s="40">
        <v>31100.533333333333</v>
      </c>
      <c r="O87" s="53"/>
      <c r="P87" s="17"/>
      <c r="Q87" s="40">
        <v>6829.2666666666673</v>
      </c>
      <c r="R87" s="40">
        <v>684.5333333333333</v>
      </c>
      <c r="S87" s="40">
        <v>7513.8000000000011</v>
      </c>
      <c r="T87" s="41"/>
      <c r="U87" s="41"/>
      <c r="V87" s="41"/>
      <c r="W87" s="41"/>
      <c r="X87" s="41"/>
      <c r="Y87" s="41"/>
      <c r="Z87" s="41"/>
      <c r="AA87" s="54"/>
      <c r="AB87" s="43">
        <v>528.75</v>
      </c>
      <c r="AC87" s="44">
        <v>528.75</v>
      </c>
      <c r="AD87" s="17">
        <v>162142.47916666666</v>
      </c>
      <c r="AE87"/>
    </row>
    <row r="88" spans="1:31">
      <c r="A88" s="55"/>
      <c r="B88" s="56" t="s">
        <v>664</v>
      </c>
      <c r="C88" s="46">
        <v>6.3807302987137535E-2</v>
      </c>
      <c r="D88" s="47">
        <v>-3.850730923854874E-2</v>
      </c>
      <c r="E88" s="47">
        <v>-2.6868867866150926E-2</v>
      </c>
      <c r="F88" s="47">
        <v>-2.5255830295577174E-2</v>
      </c>
      <c r="G88" s="47">
        <v>-0.13277176690032194</v>
      </c>
      <c r="H88" s="47">
        <v>9.8968944099378856E-2</v>
      </c>
      <c r="I88" s="46">
        <v>-5.2531451104883414E-3</v>
      </c>
      <c r="J88" s="46">
        <v>0</v>
      </c>
      <c r="K88" s="47">
        <v>-6.0978130843292268E-2</v>
      </c>
      <c r="L88" s="47">
        <v>-7.0954580527867989E-2</v>
      </c>
      <c r="M88" s="47">
        <v>-0.13462116292368981</v>
      </c>
      <c r="N88" s="46">
        <v>-7.3212935858097794E-2</v>
      </c>
      <c r="O88" s="48">
        <v>0</v>
      </c>
      <c r="P88" s="47">
        <v>0</v>
      </c>
      <c r="Q88" s="46">
        <v>-7.938619155676363E-2</v>
      </c>
      <c r="R88" s="46">
        <v>-0.10020593261183895</v>
      </c>
      <c r="S88" s="46">
        <v>-8.1322747872582993E-2</v>
      </c>
      <c r="T88" s="49">
        <v>0</v>
      </c>
      <c r="U88" s="49">
        <v>0</v>
      </c>
      <c r="V88" s="49">
        <v>0</v>
      </c>
      <c r="W88" s="49">
        <v>0</v>
      </c>
      <c r="X88" s="49">
        <v>0</v>
      </c>
      <c r="Y88" s="49">
        <v>0</v>
      </c>
      <c r="Z88" s="49">
        <v>0</v>
      </c>
      <c r="AA88" s="50">
        <v>0</v>
      </c>
      <c r="AB88" s="43">
        <v>-0.40197926484448632</v>
      </c>
      <c r="AC88" s="44">
        <v>-0.40197926484448632</v>
      </c>
      <c r="AD88" s="47">
        <v>-2.4820736466404331E-2</v>
      </c>
      <c r="AE88"/>
    </row>
    <row r="89" spans="1:31">
      <c r="A89" s="36" t="s">
        <v>461</v>
      </c>
      <c r="B89" s="24" t="s">
        <v>638</v>
      </c>
      <c r="C89" s="18">
        <v>29434.866666666665</v>
      </c>
      <c r="D89" s="12">
        <v>16543.783333333333</v>
      </c>
      <c r="E89" s="12">
        <v>19349.833333333336</v>
      </c>
      <c r="F89" s="12">
        <v>17962.566666666666</v>
      </c>
      <c r="G89" s="12">
        <v>1872.7</v>
      </c>
      <c r="H89" s="12">
        <v>1547.05</v>
      </c>
      <c r="I89" s="18">
        <v>86710.799999999988</v>
      </c>
      <c r="J89" s="18"/>
      <c r="K89" s="12">
        <v>58575.316666666666</v>
      </c>
      <c r="L89" s="12">
        <v>18163.383333333331</v>
      </c>
      <c r="M89" s="12">
        <v>5960.6416666666664</v>
      </c>
      <c r="N89" s="18">
        <v>82699.34166666666</v>
      </c>
      <c r="O89" s="18"/>
      <c r="P89" s="12"/>
      <c r="Q89" s="18"/>
      <c r="R89" s="18"/>
      <c r="S89" s="18"/>
      <c r="T89" s="20"/>
      <c r="U89" s="20"/>
      <c r="V89" s="20"/>
      <c r="W89" s="20"/>
      <c r="X89" s="20"/>
      <c r="Y89" s="20"/>
      <c r="Z89" s="20"/>
      <c r="AA89" s="37"/>
      <c r="AB89" s="22"/>
      <c r="AC89" s="23"/>
      <c r="AD89" s="17">
        <v>169410.14166666663</v>
      </c>
      <c r="AE89"/>
    </row>
    <row r="90" spans="1:31">
      <c r="A90" s="38"/>
      <c r="B90" s="39" t="s">
        <v>639</v>
      </c>
      <c r="C90" s="40">
        <v>29420.333333333332</v>
      </c>
      <c r="D90" s="17">
        <v>16229.466666666667</v>
      </c>
      <c r="E90" s="17">
        <v>18015.566666666666</v>
      </c>
      <c r="F90" s="17">
        <v>16639.900000000001</v>
      </c>
      <c r="G90" s="17">
        <v>1551.9</v>
      </c>
      <c r="H90" s="17">
        <v>1592.8333333333333</v>
      </c>
      <c r="I90" s="40">
        <v>83449.999999999985</v>
      </c>
      <c r="J90" s="40"/>
      <c r="K90" s="17">
        <v>52737.833333333343</v>
      </c>
      <c r="L90" s="17">
        <v>16908.533333333333</v>
      </c>
      <c r="M90" s="17">
        <v>5232.8666666666668</v>
      </c>
      <c r="N90" s="40">
        <v>74879.233333333337</v>
      </c>
      <c r="O90" s="40"/>
      <c r="P90" s="17"/>
      <c r="Q90" s="40"/>
      <c r="R90" s="40"/>
      <c r="S90" s="40"/>
      <c r="T90" s="41"/>
      <c r="U90" s="41"/>
      <c r="V90" s="41"/>
      <c r="W90" s="41"/>
      <c r="X90" s="41"/>
      <c r="Y90" s="41"/>
      <c r="Z90" s="41"/>
      <c r="AA90" s="42"/>
      <c r="AB90" s="43"/>
      <c r="AC90" s="44"/>
      <c r="AD90" s="17">
        <v>158329.23333333331</v>
      </c>
      <c r="AE90"/>
    </row>
    <row r="91" spans="1:31">
      <c r="A91" s="38"/>
      <c r="B91" s="45" t="s">
        <v>658</v>
      </c>
      <c r="C91" s="46">
        <v>-4.9374551269128165E-4</v>
      </c>
      <c r="D91" s="47">
        <v>-1.8999080218450579E-2</v>
      </c>
      <c r="E91" s="47">
        <v>-6.8954943625698928E-2</v>
      </c>
      <c r="F91" s="47">
        <v>-7.363461420695247E-2</v>
      </c>
      <c r="G91" s="47">
        <v>-0.17130346558445023</v>
      </c>
      <c r="H91" s="47">
        <v>2.9593958393932519E-2</v>
      </c>
      <c r="I91" s="46">
        <v>-3.760546552447927E-2</v>
      </c>
      <c r="J91" s="46">
        <v>0</v>
      </c>
      <c r="K91" s="47">
        <v>-9.9657734102447409E-2</v>
      </c>
      <c r="L91" s="47">
        <v>-6.9086798256198526E-2</v>
      </c>
      <c r="M91" s="47">
        <v>-0.12209675412462578</v>
      </c>
      <c r="N91" s="46">
        <v>-9.4560708413539252E-2</v>
      </c>
      <c r="O91" s="48">
        <v>0</v>
      </c>
      <c r="P91" s="47">
        <v>0</v>
      </c>
      <c r="Q91" s="46">
        <v>0</v>
      </c>
      <c r="R91" s="46">
        <v>0</v>
      </c>
      <c r="S91" s="46">
        <v>0</v>
      </c>
      <c r="T91" s="49">
        <v>0</v>
      </c>
      <c r="U91" s="49">
        <v>0</v>
      </c>
      <c r="V91" s="49">
        <v>0</v>
      </c>
      <c r="W91" s="49">
        <v>0</v>
      </c>
      <c r="X91" s="49">
        <v>0</v>
      </c>
      <c r="Y91" s="49">
        <v>0</v>
      </c>
      <c r="Z91" s="49">
        <v>0</v>
      </c>
      <c r="AA91" s="50">
        <v>0</v>
      </c>
      <c r="AB91" s="51">
        <v>0</v>
      </c>
      <c r="AC91" s="52">
        <v>0</v>
      </c>
      <c r="AD91" s="47">
        <v>-6.5408766112340311E-2</v>
      </c>
      <c r="AE91"/>
    </row>
    <row r="92" spans="1:31">
      <c r="A92" s="38"/>
      <c r="B92" s="39" t="s">
        <v>646</v>
      </c>
      <c r="C92" s="40">
        <v>0</v>
      </c>
      <c r="D92" s="17">
        <v>0</v>
      </c>
      <c r="E92" s="17">
        <v>0</v>
      </c>
      <c r="F92" s="17">
        <v>0</v>
      </c>
      <c r="G92" s="17">
        <v>0</v>
      </c>
      <c r="H92" s="17">
        <v>0</v>
      </c>
      <c r="I92" s="40">
        <v>0</v>
      </c>
      <c r="J92" s="40"/>
      <c r="K92" s="17">
        <v>0</v>
      </c>
      <c r="L92" s="17">
        <v>0</v>
      </c>
      <c r="M92" s="17">
        <v>0</v>
      </c>
      <c r="N92" s="40">
        <v>0</v>
      </c>
      <c r="O92" s="53"/>
      <c r="P92" s="17"/>
      <c r="Q92" s="40"/>
      <c r="R92" s="40"/>
      <c r="S92" s="40"/>
      <c r="T92" s="41"/>
      <c r="U92" s="41"/>
      <c r="V92" s="41"/>
      <c r="W92" s="41"/>
      <c r="X92" s="41"/>
      <c r="Y92" s="41"/>
      <c r="Z92" s="41"/>
      <c r="AA92" s="54"/>
      <c r="AB92" s="43"/>
      <c r="AC92" s="44"/>
      <c r="AD92" s="17">
        <v>0</v>
      </c>
      <c r="AE92"/>
    </row>
    <row r="93" spans="1:31">
      <c r="A93" s="38"/>
      <c r="B93" s="39" t="s">
        <v>648</v>
      </c>
      <c r="C93" s="40">
        <v>0</v>
      </c>
      <c r="D93" s="17">
        <v>0</v>
      </c>
      <c r="E93" s="17">
        <v>0</v>
      </c>
      <c r="F93" s="17">
        <v>0</v>
      </c>
      <c r="G93" s="17">
        <v>0</v>
      </c>
      <c r="H93" s="17">
        <v>0</v>
      </c>
      <c r="I93" s="40">
        <v>0</v>
      </c>
      <c r="J93" s="40"/>
      <c r="K93" s="17">
        <v>0</v>
      </c>
      <c r="L93" s="17">
        <v>0</v>
      </c>
      <c r="M93" s="17">
        <v>0</v>
      </c>
      <c r="N93" s="40">
        <v>0</v>
      </c>
      <c r="O93" s="53"/>
      <c r="P93" s="17"/>
      <c r="Q93" s="40"/>
      <c r="R93" s="40"/>
      <c r="S93" s="40"/>
      <c r="T93" s="41"/>
      <c r="U93" s="41"/>
      <c r="V93" s="41"/>
      <c r="W93" s="41"/>
      <c r="X93" s="41"/>
      <c r="Y93" s="41"/>
      <c r="Z93" s="41"/>
      <c r="AA93" s="54"/>
      <c r="AB93" s="43"/>
      <c r="AC93" s="44"/>
      <c r="AD93" s="17">
        <v>0</v>
      </c>
      <c r="AE93"/>
    </row>
    <row r="94" spans="1:31">
      <c r="A94" s="38"/>
      <c r="B94" s="45" t="s">
        <v>660</v>
      </c>
      <c r="C94" s="46">
        <v>0</v>
      </c>
      <c r="D94" s="47">
        <v>0</v>
      </c>
      <c r="E94" s="47">
        <v>0</v>
      </c>
      <c r="F94" s="47">
        <v>0</v>
      </c>
      <c r="G94" s="47">
        <v>0</v>
      </c>
      <c r="H94" s="47">
        <v>0</v>
      </c>
      <c r="I94" s="46">
        <v>0</v>
      </c>
      <c r="J94" s="46">
        <v>0</v>
      </c>
      <c r="K94" s="47">
        <v>0</v>
      </c>
      <c r="L94" s="47">
        <v>0</v>
      </c>
      <c r="M94" s="47">
        <v>0</v>
      </c>
      <c r="N94" s="46">
        <v>0</v>
      </c>
      <c r="O94" s="48">
        <v>0</v>
      </c>
      <c r="P94" s="47">
        <v>0</v>
      </c>
      <c r="Q94" s="46">
        <v>0</v>
      </c>
      <c r="R94" s="46">
        <v>0</v>
      </c>
      <c r="S94" s="46">
        <v>0</v>
      </c>
      <c r="T94" s="49">
        <v>0</v>
      </c>
      <c r="U94" s="49">
        <v>0</v>
      </c>
      <c r="V94" s="49">
        <v>0</v>
      </c>
      <c r="W94" s="49">
        <v>0</v>
      </c>
      <c r="X94" s="49">
        <v>0</v>
      </c>
      <c r="Y94" s="49">
        <v>0</v>
      </c>
      <c r="Z94" s="49">
        <v>0</v>
      </c>
      <c r="AA94" s="50">
        <v>0</v>
      </c>
      <c r="AB94" s="51">
        <v>0</v>
      </c>
      <c r="AC94" s="52">
        <v>0</v>
      </c>
      <c r="AD94" s="47">
        <v>0</v>
      </c>
      <c r="AE94"/>
    </row>
    <row r="95" spans="1:31">
      <c r="A95" s="38"/>
      <c r="B95" s="39" t="s">
        <v>650</v>
      </c>
      <c r="C95" s="40">
        <v>6250.458333333333</v>
      </c>
      <c r="D95" s="17">
        <v>2590.75</v>
      </c>
      <c r="E95" s="17">
        <v>3515.0625</v>
      </c>
      <c r="F95" s="17">
        <v>2530.6875</v>
      </c>
      <c r="G95" s="17">
        <v>157.33333333333334</v>
      </c>
      <c r="H95" s="17">
        <v>37.041666666666664</v>
      </c>
      <c r="I95" s="40">
        <v>15081.333333333332</v>
      </c>
      <c r="J95" s="40"/>
      <c r="K95" s="17">
        <v>0</v>
      </c>
      <c r="L95" s="17">
        <v>0</v>
      </c>
      <c r="M95" s="17">
        <v>0</v>
      </c>
      <c r="N95" s="40">
        <v>0</v>
      </c>
      <c r="O95" s="53"/>
      <c r="P95" s="17"/>
      <c r="Q95" s="40"/>
      <c r="R95" s="40"/>
      <c r="S95" s="40"/>
      <c r="T95" s="41"/>
      <c r="U95" s="41"/>
      <c r="V95" s="41"/>
      <c r="W95" s="41"/>
      <c r="X95" s="41"/>
      <c r="Y95" s="41"/>
      <c r="Z95" s="41"/>
      <c r="AA95" s="54"/>
      <c r="AB95" s="43"/>
      <c r="AC95" s="44"/>
      <c r="AD95" s="17">
        <v>15081.333333333332</v>
      </c>
      <c r="AE95"/>
    </row>
    <row r="96" spans="1:31">
      <c r="A96" s="38"/>
      <c r="B96" s="39" t="s">
        <v>652</v>
      </c>
      <c r="C96" s="40">
        <v>6507.041666666667</v>
      </c>
      <c r="D96" s="17">
        <v>2695.3333333333335</v>
      </c>
      <c r="E96" s="17">
        <v>3461.625</v>
      </c>
      <c r="F96" s="17">
        <v>2576.9583333333335</v>
      </c>
      <c r="G96" s="17">
        <v>130.66666666666666</v>
      </c>
      <c r="H96" s="17">
        <v>41.041666666666664</v>
      </c>
      <c r="I96" s="40">
        <v>15412.666666666666</v>
      </c>
      <c r="J96" s="40"/>
      <c r="K96" s="17">
        <v>0</v>
      </c>
      <c r="L96" s="17">
        <v>0</v>
      </c>
      <c r="M96" s="17">
        <v>0</v>
      </c>
      <c r="N96" s="40">
        <v>0</v>
      </c>
      <c r="O96" s="53"/>
      <c r="P96" s="17"/>
      <c r="Q96" s="40"/>
      <c r="R96" s="40"/>
      <c r="S96" s="40"/>
      <c r="T96" s="41"/>
      <c r="U96" s="41"/>
      <c r="V96" s="41"/>
      <c r="W96" s="41"/>
      <c r="X96" s="41"/>
      <c r="Y96" s="41"/>
      <c r="Z96" s="41"/>
      <c r="AA96" s="54"/>
      <c r="AB96" s="43"/>
      <c r="AC96" s="44"/>
      <c r="AD96" s="17">
        <v>15412.666666666666</v>
      </c>
      <c r="AE96"/>
    </row>
    <row r="97" spans="1:31">
      <c r="A97" s="38"/>
      <c r="B97" s="45" t="s">
        <v>662</v>
      </c>
      <c r="C97" s="46">
        <v>4.1050322976315168E-2</v>
      </c>
      <c r="D97" s="47">
        <v>4.036797581138029E-2</v>
      </c>
      <c r="E97" s="47">
        <v>-1.520243238918227E-2</v>
      </c>
      <c r="F97" s="47">
        <v>1.8283898479497563E-2</v>
      </c>
      <c r="G97" s="47">
        <v>-0.16949152542372892</v>
      </c>
      <c r="H97" s="47">
        <v>0.1079865016872891</v>
      </c>
      <c r="I97" s="46">
        <v>2.1969763946600697E-2</v>
      </c>
      <c r="J97" s="46">
        <v>0</v>
      </c>
      <c r="K97" s="47">
        <v>0</v>
      </c>
      <c r="L97" s="47">
        <v>0</v>
      </c>
      <c r="M97" s="47">
        <v>0</v>
      </c>
      <c r="N97" s="46">
        <v>0</v>
      </c>
      <c r="O97" s="48">
        <v>0</v>
      </c>
      <c r="P97" s="47">
        <v>0</v>
      </c>
      <c r="Q97" s="46">
        <v>0</v>
      </c>
      <c r="R97" s="46">
        <v>0</v>
      </c>
      <c r="S97" s="46">
        <v>0</v>
      </c>
      <c r="T97" s="49">
        <v>0</v>
      </c>
      <c r="U97" s="49">
        <v>0</v>
      </c>
      <c r="V97" s="49">
        <v>0</v>
      </c>
      <c r="W97" s="49">
        <v>0</v>
      </c>
      <c r="X97" s="49">
        <v>0</v>
      </c>
      <c r="Y97" s="49">
        <v>0</v>
      </c>
      <c r="Z97" s="49">
        <v>0</v>
      </c>
      <c r="AA97" s="50">
        <v>0</v>
      </c>
      <c r="AB97" s="51">
        <v>0</v>
      </c>
      <c r="AC97" s="52">
        <v>0</v>
      </c>
      <c r="AD97" s="47">
        <v>2.1969763946600697E-2</v>
      </c>
      <c r="AE97"/>
    </row>
    <row r="98" spans="1:31">
      <c r="A98" s="38"/>
      <c r="B98" s="39" t="s">
        <v>654</v>
      </c>
      <c r="C98" s="40">
        <v>35685.324999999997</v>
      </c>
      <c r="D98" s="17">
        <v>19134.533333333333</v>
      </c>
      <c r="E98" s="17">
        <v>22864.895833333332</v>
      </c>
      <c r="F98" s="17">
        <v>20493.254166666666</v>
      </c>
      <c r="G98" s="17">
        <v>2030.0333333333333</v>
      </c>
      <c r="H98" s="17">
        <v>1584.0916666666667</v>
      </c>
      <c r="I98" s="40">
        <v>101792.13333333333</v>
      </c>
      <c r="J98" s="40"/>
      <c r="K98" s="17">
        <v>58575.316666666666</v>
      </c>
      <c r="L98" s="17">
        <v>18163.383333333331</v>
      </c>
      <c r="M98" s="17">
        <v>5960.6416666666664</v>
      </c>
      <c r="N98" s="40">
        <v>82699.34166666666</v>
      </c>
      <c r="O98" s="53"/>
      <c r="P98" s="17"/>
      <c r="Q98" s="40"/>
      <c r="R98" s="40"/>
      <c r="S98" s="40"/>
      <c r="T98" s="41"/>
      <c r="U98" s="41"/>
      <c r="V98" s="41"/>
      <c r="W98" s="41"/>
      <c r="X98" s="41"/>
      <c r="Y98" s="41"/>
      <c r="Z98" s="41"/>
      <c r="AA98" s="54"/>
      <c r="AB98" s="43"/>
      <c r="AC98" s="44"/>
      <c r="AD98" s="17">
        <v>184491.47500000001</v>
      </c>
      <c r="AE98"/>
    </row>
    <row r="99" spans="1:31">
      <c r="A99" s="38"/>
      <c r="B99" s="39" t="s">
        <v>656</v>
      </c>
      <c r="C99" s="40">
        <v>35927.375</v>
      </c>
      <c r="D99" s="17">
        <v>18924.8</v>
      </c>
      <c r="E99" s="17">
        <v>21477.191666666666</v>
      </c>
      <c r="F99" s="17">
        <v>19216.85833333333</v>
      </c>
      <c r="G99" s="17">
        <v>1682.5666666666668</v>
      </c>
      <c r="H99" s="17">
        <v>1633.875</v>
      </c>
      <c r="I99" s="40">
        <v>98862.666666666672</v>
      </c>
      <c r="J99" s="40"/>
      <c r="K99" s="17">
        <v>52737.833333333343</v>
      </c>
      <c r="L99" s="17">
        <v>16908.533333333333</v>
      </c>
      <c r="M99" s="17">
        <v>5232.8666666666668</v>
      </c>
      <c r="N99" s="40">
        <v>74879.233333333337</v>
      </c>
      <c r="O99" s="53"/>
      <c r="P99" s="17"/>
      <c r="Q99" s="40"/>
      <c r="R99" s="40"/>
      <c r="S99" s="40"/>
      <c r="T99" s="41"/>
      <c r="U99" s="41"/>
      <c r="V99" s="41"/>
      <c r="W99" s="41"/>
      <c r="X99" s="41"/>
      <c r="Y99" s="41"/>
      <c r="Z99" s="41"/>
      <c r="AA99" s="54"/>
      <c r="AB99" s="43"/>
      <c r="AC99" s="44"/>
      <c r="AD99" s="17">
        <v>173741.9</v>
      </c>
      <c r="AE99"/>
    </row>
    <row r="100" spans="1:31">
      <c r="A100" s="55"/>
      <c r="B100" s="56" t="s">
        <v>664</v>
      </c>
      <c r="C100" s="46">
        <v>6.7829002538159011E-3</v>
      </c>
      <c r="D100" s="47">
        <v>-1.0960985025329434E-2</v>
      </c>
      <c r="E100" s="47">
        <v>-6.0691471187181947E-2</v>
      </c>
      <c r="F100" s="47">
        <v>-6.2283706772614932E-2</v>
      </c>
      <c r="G100" s="47">
        <v>-0.17116303508973571</v>
      </c>
      <c r="H100" s="47">
        <v>3.1427053358654519E-2</v>
      </c>
      <c r="I100" s="46">
        <v>-2.8778910223579895E-2</v>
      </c>
      <c r="J100" s="46">
        <v>0</v>
      </c>
      <c r="K100" s="47">
        <v>-9.9657734102447409E-2</v>
      </c>
      <c r="L100" s="47">
        <v>-6.9086798256198526E-2</v>
      </c>
      <c r="M100" s="47">
        <v>-0.12209675412462578</v>
      </c>
      <c r="N100" s="46">
        <v>-9.4560708413539252E-2</v>
      </c>
      <c r="O100" s="48">
        <v>0</v>
      </c>
      <c r="P100" s="47">
        <v>0</v>
      </c>
      <c r="Q100" s="46">
        <v>0</v>
      </c>
      <c r="R100" s="46">
        <v>0</v>
      </c>
      <c r="S100" s="46">
        <v>0</v>
      </c>
      <c r="T100" s="49">
        <v>0</v>
      </c>
      <c r="U100" s="49">
        <v>0</v>
      </c>
      <c r="V100" s="49">
        <v>0</v>
      </c>
      <c r="W100" s="49">
        <v>0</v>
      </c>
      <c r="X100" s="49">
        <v>0</v>
      </c>
      <c r="Y100" s="49">
        <v>0</v>
      </c>
      <c r="Z100" s="49">
        <v>0</v>
      </c>
      <c r="AA100" s="50">
        <v>0</v>
      </c>
      <c r="AB100" s="43">
        <v>0</v>
      </c>
      <c r="AC100" s="44">
        <v>0</v>
      </c>
      <c r="AD100" s="47">
        <v>-5.8265971368054094E-2</v>
      </c>
      <c r="AE100"/>
    </row>
    <row r="101" spans="1:31">
      <c r="A101" s="36" t="s">
        <v>230</v>
      </c>
      <c r="B101" s="24" t="s">
        <v>638</v>
      </c>
      <c r="C101" s="18">
        <v>46052.733333333337</v>
      </c>
      <c r="D101" s="12">
        <v>4409.6166666666668</v>
      </c>
      <c r="E101" s="12"/>
      <c r="F101" s="12">
        <v>8769.2000000000007</v>
      </c>
      <c r="G101" s="12"/>
      <c r="H101" s="12"/>
      <c r="I101" s="18">
        <v>59231.55</v>
      </c>
      <c r="J101" s="18"/>
      <c r="K101" s="12">
        <v>25751.166666666664</v>
      </c>
      <c r="L101" s="12">
        <v>29643.749999999996</v>
      </c>
      <c r="M101" s="12">
        <v>3462.0666666666666</v>
      </c>
      <c r="N101" s="18">
        <v>58856.983333333323</v>
      </c>
      <c r="O101" s="18"/>
      <c r="P101" s="12"/>
      <c r="Q101" s="18"/>
      <c r="R101" s="18"/>
      <c r="S101" s="18"/>
      <c r="T101" s="20"/>
      <c r="U101" s="20"/>
      <c r="V101" s="20"/>
      <c r="W101" s="20"/>
      <c r="X101" s="20"/>
      <c r="Y101" s="20"/>
      <c r="Z101" s="20"/>
      <c r="AA101" s="37"/>
      <c r="AB101" s="22"/>
      <c r="AC101" s="23"/>
      <c r="AD101" s="17">
        <v>118088.53333333334</v>
      </c>
      <c r="AE101"/>
    </row>
    <row r="102" spans="1:31">
      <c r="A102" s="38"/>
      <c r="B102" s="39" t="s">
        <v>639</v>
      </c>
      <c r="C102" s="40">
        <v>44270.833333333328</v>
      </c>
      <c r="D102" s="17">
        <v>4546.3500000000004</v>
      </c>
      <c r="E102" s="17"/>
      <c r="F102" s="17">
        <v>7764.0500000000011</v>
      </c>
      <c r="G102" s="17"/>
      <c r="H102" s="17"/>
      <c r="I102" s="40">
        <v>56581.23333333333</v>
      </c>
      <c r="J102" s="40"/>
      <c r="K102" s="17">
        <v>23957.566666666666</v>
      </c>
      <c r="L102" s="17">
        <v>28504</v>
      </c>
      <c r="M102" s="17">
        <v>3206.1</v>
      </c>
      <c r="N102" s="40">
        <v>55667.666666666664</v>
      </c>
      <c r="O102" s="40"/>
      <c r="P102" s="17"/>
      <c r="Q102" s="40"/>
      <c r="R102" s="40"/>
      <c r="S102" s="40"/>
      <c r="T102" s="41"/>
      <c r="U102" s="41"/>
      <c r="V102" s="41"/>
      <c r="W102" s="41"/>
      <c r="X102" s="41"/>
      <c r="Y102" s="41"/>
      <c r="Z102" s="41"/>
      <c r="AA102" s="42"/>
      <c r="AB102" s="43"/>
      <c r="AC102" s="44"/>
      <c r="AD102" s="17">
        <v>112248.9</v>
      </c>
      <c r="AE102"/>
    </row>
    <row r="103" spans="1:31">
      <c r="A103" s="38"/>
      <c r="B103" s="45" t="s">
        <v>658</v>
      </c>
      <c r="C103" s="46">
        <v>-3.8692600222064458E-2</v>
      </c>
      <c r="D103" s="47">
        <v>3.100798633290125E-2</v>
      </c>
      <c r="E103" s="47">
        <v>0</v>
      </c>
      <c r="F103" s="47">
        <v>-0.11462277060621261</v>
      </c>
      <c r="G103" s="47">
        <v>0</v>
      </c>
      <c r="H103" s="47">
        <v>0</v>
      </c>
      <c r="I103" s="46">
        <v>-4.474501623993779E-2</v>
      </c>
      <c r="J103" s="46">
        <v>0</v>
      </c>
      <c r="K103" s="47">
        <v>-6.9651213213640761E-2</v>
      </c>
      <c r="L103" s="47">
        <v>-3.844823951085799E-2</v>
      </c>
      <c r="M103" s="47">
        <v>-7.3934644046908402E-2</v>
      </c>
      <c r="N103" s="46">
        <v>-5.4187565961444945E-2</v>
      </c>
      <c r="O103" s="48">
        <v>0</v>
      </c>
      <c r="P103" s="47">
        <v>0</v>
      </c>
      <c r="Q103" s="46">
        <v>0</v>
      </c>
      <c r="R103" s="46">
        <v>0</v>
      </c>
      <c r="S103" s="46">
        <v>0</v>
      </c>
      <c r="T103" s="49">
        <v>0</v>
      </c>
      <c r="U103" s="49">
        <v>0</v>
      </c>
      <c r="V103" s="49">
        <v>0</v>
      </c>
      <c r="W103" s="49">
        <v>0</v>
      </c>
      <c r="X103" s="49">
        <v>0</v>
      </c>
      <c r="Y103" s="49">
        <v>0</v>
      </c>
      <c r="Z103" s="49">
        <v>0</v>
      </c>
      <c r="AA103" s="50">
        <v>0</v>
      </c>
      <c r="AB103" s="51">
        <v>0</v>
      </c>
      <c r="AC103" s="52">
        <v>0</v>
      </c>
      <c r="AD103" s="47">
        <v>-4.945131562308052E-2</v>
      </c>
      <c r="AE103"/>
    </row>
    <row r="104" spans="1:31">
      <c r="A104" s="38"/>
      <c r="B104" s="39" t="s">
        <v>646</v>
      </c>
      <c r="C104" s="40">
        <v>0</v>
      </c>
      <c r="D104" s="17">
        <v>0</v>
      </c>
      <c r="E104" s="17"/>
      <c r="F104" s="17">
        <v>0</v>
      </c>
      <c r="G104" s="17"/>
      <c r="H104" s="17"/>
      <c r="I104" s="40">
        <v>0</v>
      </c>
      <c r="J104" s="40"/>
      <c r="K104" s="17">
        <v>0</v>
      </c>
      <c r="L104" s="17">
        <v>0</v>
      </c>
      <c r="M104" s="17">
        <v>0</v>
      </c>
      <c r="N104" s="40">
        <v>0</v>
      </c>
      <c r="O104" s="53"/>
      <c r="P104" s="17"/>
      <c r="Q104" s="40"/>
      <c r="R104" s="40"/>
      <c r="S104" s="40"/>
      <c r="T104" s="41"/>
      <c r="U104" s="41"/>
      <c r="V104" s="41"/>
      <c r="W104" s="41"/>
      <c r="X104" s="41"/>
      <c r="Y104" s="41"/>
      <c r="Z104" s="41"/>
      <c r="AA104" s="54"/>
      <c r="AB104" s="43"/>
      <c r="AC104" s="44"/>
      <c r="AD104" s="17">
        <v>0</v>
      </c>
      <c r="AE104"/>
    </row>
    <row r="105" spans="1:31">
      <c r="A105" s="38"/>
      <c r="B105" s="39" t="s">
        <v>648</v>
      </c>
      <c r="C105" s="40">
        <v>0</v>
      </c>
      <c r="D105" s="17">
        <v>0</v>
      </c>
      <c r="E105" s="17"/>
      <c r="F105" s="17">
        <v>0</v>
      </c>
      <c r="G105" s="17"/>
      <c r="H105" s="17"/>
      <c r="I105" s="40">
        <v>0</v>
      </c>
      <c r="J105" s="40"/>
      <c r="K105" s="17">
        <v>0</v>
      </c>
      <c r="L105" s="17">
        <v>0</v>
      </c>
      <c r="M105" s="17">
        <v>0</v>
      </c>
      <c r="N105" s="40">
        <v>0</v>
      </c>
      <c r="O105" s="53"/>
      <c r="P105" s="17"/>
      <c r="Q105" s="40"/>
      <c r="R105" s="40"/>
      <c r="S105" s="40"/>
      <c r="T105" s="41"/>
      <c r="U105" s="41"/>
      <c r="V105" s="41"/>
      <c r="W105" s="41"/>
      <c r="X105" s="41"/>
      <c r="Y105" s="41"/>
      <c r="Z105" s="41"/>
      <c r="AA105" s="54"/>
      <c r="AB105" s="43"/>
      <c r="AC105" s="44"/>
      <c r="AD105" s="17">
        <v>0</v>
      </c>
      <c r="AE105"/>
    </row>
    <row r="106" spans="1:31">
      <c r="A106" s="38"/>
      <c r="B106" s="45" t="s">
        <v>660</v>
      </c>
      <c r="C106" s="46">
        <v>0</v>
      </c>
      <c r="D106" s="47">
        <v>0</v>
      </c>
      <c r="E106" s="47">
        <v>0</v>
      </c>
      <c r="F106" s="47">
        <v>0</v>
      </c>
      <c r="G106" s="47">
        <v>0</v>
      </c>
      <c r="H106" s="47">
        <v>0</v>
      </c>
      <c r="I106" s="46">
        <v>0</v>
      </c>
      <c r="J106" s="46">
        <v>0</v>
      </c>
      <c r="K106" s="47">
        <v>0</v>
      </c>
      <c r="L106" s="47">
        <v>0</v>
      </c>
      <c r="M106" s="47">
        <v>0</v>
      </c>
      <c r="N106" s="46">
        <v>0</v>
      </c>
      <c r="O106" s="48">
        <v>0</v>
      </c>
      <c r="P106" s="47">
        <v>0</v>
      </c>
      <c r="Q106" s="46">
        <v>0</v>
      </c>
      <c r="R106" s="46">
        <v>0</v>
      </c>
      <c r="S106" s="46">
        <v>0</v>
      </c>
      <c r="T106" s="49">
        <v>0</v>
      </c>
      <c r="U106" s="49">
        <v>0</v>
      </c>
      <c r="V106" s="49">
        <v>0</v>
      </c>
      <c r="W106" s="49">
        <v>0</v>
      </c>
      <c r="X106" s="49">
        <v>0</v>
      </c>
      <c r="Y106" s="49">
        <v>0</v>
      </c>
      <c r="Z106" s="49">
        <v>0</v>
      </c>
      <c r="AA106" s="50">
        <v>0</v>
      </c>
      <c r="AB106" s="51">
        <v>0</v>
      </c>
      <c r="AC106" s="52">
        <v>0</v>
      </c>
      <c r="AD106" s="47">
        <v>0</v>
      </c>
      <c r="AE106"/>
    </row>
    <row r="107" spans="1:31">
      <c r="A107" s="38"/>
      <c r="B107" s="39" t="s">
        <v>650</v>
      </c>
      <c r="C107" s="40">
        <v>7847.3333333333339</v>
      </c>
      <c r="D107" s="17">
        <v>1435.4583333333333</v>
      </c>
      <c r="E107" s="17"/>
      <c r="F107" s="17">
        <v>1465.7083333333333</v>
      </c>
      <c r="G107" s="17"/>
      <c r="H107" s="17"/>
      <c r="I107" s="40">
        <v>10748.500000000002</v>
      </c>
      <c r="J107" s="40"/>
      <c r="K107" s="17">
        <v>0</v>
      </c>
      <c r="L107" s="17">
        <v>0</v>
      </c>
      <c r="M107" s="17">
        <v>0</v>
      </c>
      <c r="N107" s="40">
        <v>0</v>
      </c>
      <c r="O107" s="53"/>
      <c r="P107" s="17"/>
      <c r="Q107" s="40"/>
      <c r="R107" s="40"/>
      <c r="S107" s="40"/>
      <c r="T107" s="41"/>
      <c r="U107" s="41"/>
      <c r="V107" s="41"/>
      <c r="W107" s="41"/>
      <c r="X107" s="41"/>
      <c r="Y107" s="41"/>
      <c r="Z107" s="41"/>
      <c r="AA107" s="54"/>
      <c r="AB107" s="43"/>
      <c r="AC107" s="44"/>
      <c r="AD107" s="17">
        <v>10748.500000000002</v>
      </c>
      <c r="AE107"/>
    </row>
    <row r="108" spans="1:31">
      <c r="A108" s="38"/>
      <c r="B108" s="39" t="s">
        <v>652</v>
      </c>
      <c r="C108" s="40">
        <v>8852.0833333333321</v>
      </c>
      <c r="D108" s="17">
        <v>1607.4583333333333</v>
      </c>
      <c r="E108" s="17"/>
      <c r="F108" s="17">
        <v>1561.0833333333335</v>
      </c>
      <c r="G108" s="17"/>
      <c r="H108" s="17"/>
      <c r="I108" s="40">
        <v>12020.625</v>
      </c>
      <c r="J108" s="40"/>
      <c r="K108" s="17">
        <v>0</v>
      </c>
      <c r="L108" s="17">
        <v>0</v>
      </c>
      <c r="M108" s="17">
        <v>0</v>
      </c>
      <c r="N108" s="40">
        <v>0</v>
      </c>
      <c r="O108" s="53"/>
      <c r="P108" s="17"/>
      <c r="Q108" s="40"/>
      <c r="R108" s="40"/>
      <c r="S108" s="40"/>
      <c r="T108" s="41"/>
      <c r="U108" s="41"/>
      <c r="V108" s="41"/>
      <c r="W108" s="41"/>
      <c r="X108" s="41"/>
      <c r="Y108" s="41"/>
      <c r="Z108" s="41"/>
      <c r="AA108" s="54"/>
      <c r="AB108" s="43"/>
      <c r="AC108" s="44"/>
      <c r="AD108" s="17">
        <v>12020.625</v>
      </c>
      <c r="AE108"/>
    </row>
    <row r="109" spans="1:31">
      <c r="A109" s="38"/>
      <c r="B109" s="45" t="s">
        <v>662</v>
      </c>
      <c r="C109" s="46">
        <v>0.12803712513805091</v>
      </c>
      <c r="D109" s="47">
        <v>0.11982235639023542</v>
      </c>
      <c r="E109" s="47">
        <v>0</v>
      </c>
      <c r="F109" s="47">
        <v>6.5070927026182043E-2</v>
      </c>
      <c r="G109" s="47">
        <v>0</v>
      </c>
      <c r="H109" s="47">
        <v>0</v>
      </c>
      <c r="I109" s="46">
        <v>0.11835372377541033</v>
      </c>
      <c r="J109" s="46">
        <v>0</v>
      </c>
      <c r="K109" s="47">
        <v>0</v>
      </c>
      <c r="L109" s="47">
        <v>0</v>
      </c>
      <c r="M109" s="47">
        <v>0</v>
      </c>
      <c r="N109" s="46">
        <v>0</v>
      </c>
      <c r="O109" s="48">
        <v>0</v>
      </c>
      <c r="P109" s="47">
        <v>0</v>
      </c>
      <c r="Q109" s="46">
        <v>0</v>
      </c>
      <c r="R109" s="46">
        <v>0</v>
      </c>
      <c r="S109" s="46">
        <v>0</v>
      </c>
      <c r="T109" s="49">
        <v>0</v>
      </c>
      <c r="U109" s="49">
        <v>0</v>
      </c>
      <c r="V109" s="49">
        <v>0</v>
      </c>
      <c r="W109" s="49">
        <v>0</v>
      </c>
      <c r="X109" s="49">
        <v>0</v>
      </c>
      <c r="Y109" s="49">
        <v>0</v>
      </c>
      <c r="Z109" s="49">
        <v>0</v>
      </c>
      <c r="AA109" s="50">
        <v>0</v>
      </c>
      <c r="AB109" s="51">
        <v>0</v>
      </c>
      <c r="AC109" s="52">
        <v>0</v>
      </c>
      <c r="AD109" s="47">
        <v>0.11835372377541033</v>
      </c>
      <c r="AE109"/>
    </row>
    <row r="110" spans="1:31">
      <c r="A110" s="38"/>
      <c r="B110" s="39" t="s">
        <v>654</v>
      </c>
      <c r="C110" s="40">
        <v>53900.066666666673</v>
      </c>
      <c r="D110" s="17">
        <v>5845.0749999999998</v>
      </c>
      <c r="E110" s="17"/>
      <c r="F110" s="17">
        <v>10234.908333333335</v>
      </c>
      <c r="G110" s="17"/>
      <c r="H110" s="17"/>
      <c r="I110" s="40">
        <v>69980.05</v>
      </c>
      <c r="J110" s="40"/>
      <c r="K110" s="17">
        <v>25751.166666666664</v>
      </c>
      <c r="L110" s="17">
        <v>29643.749999999996</v>
      </c>
      <c r="M110" s="17">
        <v>3462.0666666666666</v>
      </c>
      <c r="N110" s="40">
        <v>58856.983333333323</v>
      </c>
      <c r="O110" s="53"/>
      <c r="P110" s="17"/>
      <c r="Q110" s="40"/>
      <c r="R110" s="40"/>
      <c r="S110" s="40"/>
      <c r="T110" s="41"/>
      <c r="U110" s="41"/>
      <c r="V110" s="41"/>
      <c r="W110" s="41"/>
      <c r="X110" s="41"/>
      <c r="Y110" s="41"/>
      <c r="Z110" s="41"/>
      <c r="AA110" s="54"/>
      <c r="AB110" s="43"/>
      <c r="AC110" s="44"/>
      <c r="AD110" s="17">
        <v>128837.03333333334</v>
      </c>
      <c r="AE110"/>
    </row>
    <row r="111" spans="1:31">
      <c r="A111" s="38"/>
      <c r="B111" s="39" t="s">
        <v>656</v>
      </c>
      <c r="C111" s="40">
        <v>53122.916666666672</v>
      </c>
      <c r="D111" s="17">
        <v>6153.8083333333334</v>
      </c>
      <c r="E111" s="17"/>
      <c r="F111" s="17">
        <v>9325.1333333333332</v>
      </c>
      <c r="G111" s="17"/>
      <c r="H111" s="17"/>
      <c r="I111" s="40">
        <v>68601.858333333337</v>
      </c>
      <c r="J111" s="40"/>
      <c r="K111" s="17">
        <v>23957.566666666666</v>
      </c>
      <c r="L111" s="17">
        <v>28504</v>
      </c>
      <c r="M111" s="17">
        <v>3206.1</v>
      </c>
      <c r="N111" s="40">
        <v>55667.666666666664</v>
      </c>
      <c r="O111" s="53"/>
      <c r="P111" s="17"/>
      <c r="Q111" s="40"/>
      <c r="R111" s="40"/>
      <c r="S111" s="40"/>
      <c r="T111" s="41"/>
      <c r="U111" s="41"/>
      <c r="V111" s="41"/>
      <c r="W111" s="41"/>
      <c r="X111" s="41"/>
      <c r="Y111" s="41"/>
      <c r="Z111" s="41"/>
      <c r="AA111" s="54"/>
      <c r="AB111" s="43"/>
      <c r="AC111" s="44"/>
      <c r="AD111" s="17">
        <v>124269.52500000001</v>
      </c>
      <c r="AE111"/>
    </row>
    <row r="112" spans="1:31">
      <c r="A112" s="55"/>
      <c r="B112" s="56" t="s">
        <v>664</v>
      </c>
      <c r="C112" s="46">
        <v>-1.4418349513482384E-2</v>
      </c>
      <c r="D112" s="47">
        <v>5.2819396386416528E-2</v>
      </c>
      <c r="E112" s="47">
        <v>0</v>
      </c>
      <c r="F112" s="47">
        <v>-8.8889413600024225E-2</v>
      </c>
      <c r="G112" s="47">
        <v>0</v>
      </c>
      <c r="H112" s="47">
        <v>0</v>
      </c>
      <c r="I112" s="46">
        <v>-1.9694065189531179E-2</v>
      </c>
      <c r="J112" s="46">
        <v>0</v>
      </c>
      <c r="K112" s="47">
        <v>-6.9651213213640761E-2</v>
      </c>
      <c r="L112" s="47">
        <v>-3.844823951085799E-2</v>
      </c>
      <c r="M112" s="47">
        <v>-7.3934644046908402E-2</v>
      </c>
      <c r="N112" s="46">
        <v>-5.4187565961444945E-2</v>
      </c>
      <c r="O112" s="48">
        <v>0</v>
      </c>
      <c r="P112" s="47">
        <v>0</v>
      </c>
      <c r="Q112" s="46">
        <v>0</v>
      </c>
      <c r="R112" s="46">
        <v>0</v>
      </c>
      <c r="S112" s="46">
        <v>0</v>
      </c>
      <c r="T112" s="49">
        <v>0</v>
      </c>
      <c r="U112" s="49">
        <v>0</v>
      </c>
      <c r="V112" s="49">
        <v>0</v>
      </c>
      <c r="W112" s="49">
        <v>0</v>
      </c>
      <c r="X112" s="49">
        <v>0</v>
      </c>
      <c r="Y112" s="49">
        <v>0</v>
      </c>
      <c r="Z112" s="49">
        <v>0</v>
      </c>
      <c r="AA112" s="50">
        <v>0</v>
      </c>
      <c r="AB112" s="43">
        <v>0</v>
      </c>
      <c r="AC112" s="44">
        <v>0</v>
      </c>
      <c r="AD112" s="47">
        <v>-3.5451827903519223E-2</v>
      </c>
      <c r="AE112"/>
    </row>
    <row r="113" spans="1:31">
      <c r="A113" s="36" t="s">
        <v>239</v>
      </c>
      <c r="B113" s="24" t="s">
        <v>638</v>
      </c>
      <c r="C113" s="18">
        <v>81820.166666666657</v>
      </c>
      <c r="D113" s="12">
        <v>31733.100000000002</v>
      </c>
      <c r="E113" s="12">
        <v>47158.23333333333</v>
      </c>
      <c r="F113" s="12">
        <v>5002.4333333333334</v>
      </c>
      <c r="G113" s="12">
        <v>10261.200000000001</v>
      </c>
      <c r="H113" s="12">
        <v>4893.6666666666661</v>
      </c>
      <c r="I113" s="18">
        <v>180868.8</v>
      </c>
      <c r="J113" s="18"/>
      <c r="K113" s="12">
        <v>69690.416666666672</v>
      </c>
      <c r="L113" s="12">
        <v>54635.726666666669</v>
      </c>
      <c r="M113" s="12">
        <v>26095.95</v>
      </c>
      <c r="N113" s="18">
        <v>150422.09333333335</v>
      </c>
      <c r="O113" s="18"/>
      <c r="P113" s="12"/>
      <c r="Q113" s="18"/>
      <c r="R113" s="18"/>
      <c r="S113" s="18"/>
      <c r="T113" s="20"/>
      <c r="U113" s="20"/>
      <c r="V113" s="20"/>
      <c r="W113" s="20"/>
      <c r="X113" s="20"/>
      <c r="Y113" s="20"/>
      <c r="Z113" s="20"/>
      <c r="AA113" s="37"/>
      <c r="AB113" s="22">
        <v>890.6</v>
      </c>
      <c r="AC113" s="23">
        <v>890.6</v>
      </c>
      <c r="AD113" s="17">
        <v>332181.49333333335</v>
      </c>
      <c r="AE113"/>
    </row>
    <row r="114" spans="1:31">
      <c r="A114" s="38"/>
      <c r="B114" s="39" t="s">
        <v>639</v>
      </c>
      <c r="C114" s="40">
        <v>80171.45</v>
      </c>
      <c r="D114" s="17">
        <v>31482.7</v>
      </c>
      <c r="E114" s="17">
        <v>46234.716666666667</v>
      </c>
      <c r="F114" s="17">
        <v>4814.1333333333332</v>
      </c>
      <c r="G114" s="17">
        <v>10157.016666666666</v>
      </c>
      <c r="H114" s="17">
        <v>4843.6666666666661</v>
      </c>
      <c r="I114" s="40">
        <v>177703.68333333332</v>
      </c>
      <c r="J114" s="40"/>
      <c r="K114" s="17">
        <v>65466.216666666667</v>
      </c>
      <c r="L114" s="17">
        <v>53462.063333333339</v>
      </c>
      <c r="M114" s="17">
        <v>24821.01666666667</v>
      </c>
      <c r="N114" s="40">
        <v>143749.29666666666</v>
      </c>
      <c r="O114" s="40"/>
      <c r="P114" s="17"/>
      <c r="Q114" s="40"/>
      <c r="R114" s="40"/>
      <c r="S114" s="40"/>
      <c r="T114" s="41"/>
      <c r="U114" s="41"/>
      <c r="V114" s="41"/>
      <c r="W114" s="41"/>
      <c r="X114" s="41"/>
      <c r="Y114" s="41"/>
      <c r="Z114" s="41"/>
      <c r="AA114" s="42"/>
      <c r="AB114" s="43">
        <v>888.2</v>
      </c>
      <c r="AC114" s="44">
        <v>888.2</v>
      </c>
      <c r="AD114" s="17">
        <v>322341.18</v>
      </c>
      <c r="AE114"/>
    </row>
    <row r="115" spans="1:31">
      <c r="A115" s="38"/>
      <c r="B115" s="45" t="s">
        <v>658</v>
      </c>
      <c r="C115" s="46">
        <v>-2.0150492645456115E-2</v>
      </c>
      <c r="D115" s="47">
        <v>-7.8908143232146073E-3</v>
      </c>
      <c r="E115" s="47">
        <v>-1.9583360134356097E-2</v>
      </c>
      <c r="F115" s="47">
        <v>-3.7641681048556405E-2</v>
      </c>
      <c r="G115" s="47">
        <v>-1.0153133486661824E-2</v>
      </c>
      <c r="H115" s="47">
        <v>-1.0217287650704994E-2</v>
      </c>
      <c r="I115" s="46">
        <v>-1.7499517145392426E-2</v>
      </c>
      <c r="J115" s="46">
        <v>0</v>
      </c>
      <c r="K115" s="47">
        <v>-6.0613785970093988E-2</v>
      </c>
      <c r="L115" s="47">
        <v>-2.1481609286426565E-2</v>
      </c>
      <c r="M115" s="47">
        <v>-4.8855601475835543E-2</v>
      </c>
      <c r="N115" s="46">
        <v>-4.4360482684413775E-2</v>
      </c>
      <c r="O115" s="48">
        <v>0</v>
      </c>
      <c r="P115" s="47">
        <v>0</v>
      </c>
      <c r="Q115" s="46">
        <v>0</v>
      </c>
      <c r="R115" s="46">
        <v>0</v>
      </c>
      <c r="S115" s="46">
        <v>0</v>
      </c>
      <c r="T115" s="49">
        <v>0</v>
      </c>
      <c r="U115" s="49">
        <v>0</v>
      </c>
      <c r="V115" s="49">
        <v>0</v>
      </c>
      <c r="W115" s="49">
        <v>0</v>
      </c>
      <c r="X115" s="49">
        <v>0</v>
      </c>
      <c r="Y115" s="49">
        <v>0</v>
      </c>
      <c r="Z115" s="49">
        <v>0</v>
      </c>
      <c r="AA115" s="50">
        <v>0</v>
      </c>
      <c r="AB115" s="51">
        <v>-2.6948124859644926E-3</v>
      </c>
      <c r="AC115" s="52">
        <v>-2.6948124859644926E-3</v>
      </c>
      <c r="AD115" s="47">
        <v>-2.9623303919158961E-2</v>
      </c>
      <c r="AE115"/>
    </row>
    <row r="116" spans="1:31">
      <c r="A116" s="38"/>
      <c r="B116" s="39" t="s">
        <v>646</v>
      </c>
      <c r="C116" s="40">
        <v>0</v>
      </c>
      <c r="D116" s="17">
        <v>0</v>
      </c>
      <c r="E116" s="17">
        <v>0</v>
      </c>
      <c r="F116" s="17">
        <v>0</v>
      </c>
      <c r="G116" s="17">
        <v>0</v>
      </c>
      <c r="H116" s="17">
        <v>0</v>
      </c>
      <c r="I116" s="40">
        <v>0</v>
      </c>
      <c r="J116" s="40"/>
      <c r="K116" s="17">
        <v>8401.4155555555553</v>
      </c>
      <c r="L116" s="17">
        <v>9513.4866666666694</v>
      </c>
      <c r="M116" s="17">
        <v>5173.3033333333351</v>
      </c>
      <c r="N116" s="40">
        <v>23088.205555555563</v>
      </c>
      <c r="O116" s="53"/>
      <c r="P116" s="17"/>
      <c r="Q116" s="40"/>
      <c r="R116" s="40"/>
      <c r="S116" s="40"/>
      <c r="T116" s="41"/>
      <c r="U116" s="41"/>
      <c r="V116" s="41"/>
      <c r="W116" s="41"/>
      <c r="X116" s="41"/>
      <c r="Y116" s="41"/>
      <c r="Z116" s="41"/>
      <c r="AA116" s="54"/>
      <c r="AB116" s="43">
        <v>0</v>
      </c>
      <c r="AC116" s="44">
        <v>0</v>
      </c>
      <c r="AD116" s="17">
        <v>23088.205555555563</v>
      </c>
      <c r="AE116"/>
    </row>
    <row r="117" spans="1:31">
      <c r="A117" s="38"/>
      <c r="B117" s="39" t="s">
        <v>648</v>
      </c>
      <c r="C117" s="40">
        <v>0</v>
      </c>
      <c r="D117" s="17">
        <v>0</v>
      </c>
      <c r="E117" s="17">
        <v>0</v>
      </c>
      <c r="F117" s="17">
        <v>0</v>
      </c>
      <c r="G117" s="17">
        <v>0</v>
      </c>
      <c r="H117" s="17">
        <v>0</v>
      </c>
      <c r="I117" s="40">
        <v>0</v>
      </c>
      <c r="J117" s="40"/>
      <c r="K117" s="17">
        <v>9943.8011111111118</v>
      </c>
      <c r="L117" s="17">
        <v>10997.371111111112</v>
      </c>
      <c r="M117" s="17">
        <v>6141.8811111111108</v>
      </c>
      <c r="N117" s="40">
        <v>27083.053333333333</v>
      </c>
      <c r="O117" s="53"/>
      <c r="P117" s="17"/>
      <c r="Q117" s="40"/>
      <c r="R117" s="40"/>
      <c r="S117" s="40"/>
      <c r="T117" s="41"/>
      <c r="U117" s="41"/>
      <c r="V117" s="41"/>
      <c r="W117" s="41"/>
      <c r="X117" s="41"/>
      <c r="Y117" s="41"/>
      <c r="Z117" s="41"/>
      <c r="AA117" s="54"/>
      <c r="AB117" s="43">
        <v>0</v>
      </c>
      <c r="AC117" s="44">
        <v>0</v>
      </c>
      <c r="AD117" s="17">
        <v>27083.053333333333</v>
      </c>
      <c r="AE117"/>
    </row>
    <row r="118" spans="1:31">
      <c r="A118" s="38"/>
      <c r="B118" s="45" t="s">
        <v>660</v>
      </c>
      <c r="C118" s="46">
        <v>0</v>
      </c>
      <c r="D118" s="47">
        <v>0</v>
      </c>
      <c r="E118" s="47">
        <v>0</v>
      </c>
      <c r="F118" s="47">
        <v>0</v>
      </c>
      <c r="G118" s="47">
        <v>0</v>
      </c>
      <c r="H118" s="47">
        <v>0</v>
      </c>
      <c r="I118" s="46">
        <v>0</v>
      </c>
      <c r="J118" s="46">
        <v>0</v>
      </c>
      <c r="K118" s="47">
        <v>0.18358639033580862</v>
      </c>
      <c r="L118" s="47">
        <v>0.15597693006115967</v>
      </c>
      <c r="M118" s="47">
        <v>0.18722617162943125</v>
      </c>
      <c r="N118" s="46">
        <v>0.17302547693302842</v>
      </c>
      <c r="O118" s="48">
        <v>0</v>
      </c>
      <c r="P118" s="47">
        <v>0</v>
      </c>
      <c r="Q118" s="46">
        <v>0</v>
      </c>
      <c r="R118" s="46">
        <v>0</v>
      </c>
      <c r="S118" s="46">
        <v>0</v>
      </c>
      <c r="T118" s="49">
        <v>0</v>
      </c>
      <c r="U118" s="49">
        <v>0</v>
      </c>
      <c r="V118" s="49">
        <v>0</v>
      </c>
      <c r="W118" s="49">
        <v>0</v>
      </c>
      <c r="X118" s="49">
        <v>0</v>
      </c>
      <c r="Y118" s="49">
        <v>0</v>
      </c>
      <c r="Z118" s="49">
        <v>0</v>
      </c>
      <c r="AA118" s="50">
        <v>0</v>
      </c>
      <c r="AB118" s="51">
        <v>0</v>
      </c>
      <c r="AC118" s="52">
        <v>0</v>
      </c>
      <c r="AD118" s="47">
        <v>0.17302547693302842</v>
      </c>
      <c r="AE118"/>
    </row>
    <row r="119" spans="1:31">
      <c r="A119" s="38"/>
      <c r="B119" s="39" t="s">
        <v>650</v>
      </c>
      <c r="C119" s="40">
        <v>21377.697916666668</v>
      </c>
      <c r="D119" s="17">
        <v>4814.208333333333</v>
      </c>
      <c r="E119" s="17">
        <v>6800.708333333333</v>
      </c>
      <c r="F119" s="17">
        <v>732.70833333333337</v>
      </c>
      <c r="G119" s="17">
        <v>1693.3333333333333</v>
      </c>
      <c r="H119" s="17">
        <v>69.125</v>
      </c>
      <c r="I119" s="40">
        <v>35487.781250000007</v>
      </c>
      <c r="J119" s="40"/>
      <c r="K119" s="17">
        <v>0</v>
      </c>
      <c r="L119" s="17">
        <v>0</v>
      </c>
      <c r="M119" s="17">
        <v>0</v>
      </c>
      <c r="N119" s="40">
        <v>0</v>
      </c>
      <c r="O119" s="53"/>
      <c r="P119" s="17"/>
      <c r="Q119" s="40"/>
      <c r="R119" s="40"/>
      <c r="S119" s="40"/>
      <c r="T119" s="41"/>
      <c r="U119" s="41"/>
      <c r="V119" s="41"/>
      <c r="W119" s="41"/>
      <c r="X119" s="41"/>
      <c r="Y119" s="41"/>
      <c r="Z119" s="41"/>
      <c r="AA119" s="54"/>
      <c r="AB119" s="43">
        <v>153</v>
      </c>
      <c r="AC119" s="44">
        <v>153</v>
      </c>
      <c r="AD119" s="17">
        <v>35640.781250000007</v>
      </c>
      <c r="AE119"/>
    </row>
    <row r="120" spans="1:31">
      <c r="A120" s="38"/>
      <c r="B120" s="39" t="s">
        <v>652</v>
      </c>
      <c r="C120" s="40">
        <v>22743.9375</v>
      </c>
      <c r="D120" s="17">
        <v>4920.958333333333</v>
      </c>
      <c r="E120" s="17">
        <v>7396.6041666666661</v>
      </c>
      <c r="F120" s="17">
        <v>802.45833333333337</v>
      </c>
      <c r="G120" s="17">
        <v>2028.375</v>
      </c>
      <c r="H120" s="17">
        <v>69.041666666666671</v>
      </c>
      <c r="I120" s="40">
        <v>37961.375</v>
      </c>
      <c r="J120" s="40"/>
      <c r="K120" s="17">
        <v>0</v>
      </c>
      <c r="L120" s="17">
        <v>0</v>
      </c>
      <c r="M120" s="17">
        <v>0</v>
      </c>
      <c r="N120" s="40">
        <v>0</v>
      </c>
      <c r="O120" s="53"/>
      <c r="P120" s="17"/>
      <c r="Q120" s="40"/>
      <c r="R120" s="40"/>
      <c r="S120" s="40"/>
      <c r="T120" s="41"/>
      <c r="U120" s="41"/>
      <c r="V120" s="41"/>
      <c r="W120" s="41"/>
      <c r="X120" s="41"/>
      <c r="Y120" s="41"/>
      <c r="Z120" s="41"/>
      <c r="AA120" s="54"/>
      <c r="AB120" s="43">
        <v>167.5</v>
      </c>
      <c r="AC120" s="44">
        <v>167.5</v>
      </c>
      <c r="AD120" s="17">
        <v>38128.875</v>
      </c>
      <c r="AE120"/>
    </row>
    <row r="121" spans="1:31">
      <c r="A121" s="38"/>
      <c r="B121" s="45" t="s">
        <v>662</v>
      </c>
      <c r="C121" s="46">
        <v>6.3909574766147878E-2</v>
      </c>
      <c r="D121" s="47">
        <v>2.2173946910620475E-2</v>
      </c>
      <c r="E121" s="47">
        <v>8.7622612840574168E-2</v>
      </c>
      <c r="F121" s="47">
        <v>9.5194768268410571E-2</v>
      </c>
      <c r="G121" s="47">
        <v>0.19785925196850399</v>
      </c>
      <c r="H121" s="47">
        <v>-1.2055455093429091E-3</v>
      </c>
      <c r="I121" s="46">
        <v>6.9702688161153839E-2</v>
      </c>
      <c r="J121" s="46">
        <v>0</v>
      </c>
      <c r="K121" s="47">
        <v>0</v>
      </c>
      <c r="L121" s="47">
        <v>0</v>
      </c>
      <c r="M121" s="47">
        <v>0</v>
      </c>
      <c r="N121" s="46">
        <v>0</v>
      </c>
      <c r="O121" s="48">
        <v>0</v>
      </c>
      <c r="P121" s="47">
        <v>0</v>
      </c>
      <c r="Q121" s="46">
        <v>0</v>
      </c>
      <c r="R121" s="46">
        <v>0</v>
      </c>
      <c r="S121" s="46">
        <v>0</v>
      </c>
      <c r="T121" s="49">
        <v>0</v>
      </c>
      <c r="U121" s="49">
        <v>0</v>
      </c>
      <c r="V121" s="49">
        <v>0</v>
      </c>
      <c r="W121" s="49">
        <v>0</v>
      </c>
      <c r="X121" s="49">
        <v>0</v>
      </c>
      <c r="Y121" s="49">
        <v>0</v>
      </c>
      <c r="Z121" s="49">
        <v>0</v>
      </c>
      <c r="AA121" s="50">
        <v>0</v>
      </c>
      <c r="AB121" s="51">
        <v>9.4771241830065356E-2</v>
      </c>
      <c r="AC121" s="52">
        <v>9.4771241830065356E-2</v>
      </c>
      <c r="AD121" s="47">
        <v>6.9810303330541959E-2</v>
      </c>
      <c r="AE121"/>
    </row>
    <row r="122" spans="1:31">
      <c r="A122" s="38"/>
      <c r="B122" s="39" t="s">
        <v>654</v>
      </c>
      <c r="C122" s="40">
        <v>103197.86458333331</v>
      </c>
      <c r="D122" s="17">
        <v>36547.308333333334</v>
      </c>
      <c r="E122" s="17">
        <v>53958.941666666666</v>
      </c>
      <c r="F122" s="17">
        <v>5735.1416666666664</v>
      </c>
      <c r="G122" s="17">
        <v>11954.533333333333</v>
      </c>
      <c r="H122" s="17">
        <v>4962.7916666666661</v>
      </c>
      <c r="I122" s="40">
        <v>216356.58124999996</v>
      </c>
      <c r="J122" s="40"/>
      <c r="K122" s="17">
        <v>78091.83222222222</v>
      </c>
      <c r="L122" s="17">
        <v>64149.213333333326</v>
      </c>
      <c r="M122" s="17">
        <v>31269.253333333338</v>
      </c>
      <c r="N122" s="40">
        <v>173510.29888888888</v>
      </c>
      <c r="O122" s="53"/>
      <c r="P122" s="17"/>
      <c r="Q122" s="40"/>
      <c r="R122" s="40"/>
      <c r="S122" s="40"/>
      <c r="T122" s="41"/>
      <c r="U122" s="41"/>
      <c r="V122" s="41"/>
      <c r="W122" s="41"/>
      <c r="X122" s="41"/>
      <c r="Y122" s="41"/>
      <c r="Z122" s="41"/>
      <c r="AA122" s="54"/>
      <c r="AB122" s="43">
        <v>1043.5999999999999</v>
      </c>
      <c r="AC122" s="44">
        <v>1043.5999999999999</v>
      </c>
      <c r="AD122" s="17">
        <v>390910.48013888882</v>
      </c>
      <c r="AE122"/>
    </row>
    <row r="123" spans="1:31">
      <c r="A123" s="38"/>
      <c r="B123" s="39" t="s">
        <v>656</v>
      </c>
      <c r="C123" s="40">
        <v>102915.3875</v>
      </c>
      <c r="D123" s="17">
        <v>36403.658333333333</v>
      </c>
      <c r="E123" s="17">
        <v>53631.320833333331</v>
      </c>
      <c r="F123" s="17">
        <v>5616.5916666666662</v>
      </c>
      <c r="G123" s="17">
        <v>12185.391666666666</v>
      </c>
      <c r="H123" s="17">
        <v>4912.708333333333</v>
      </c>
      <c r="I123" s="40">
        <v>215665.05833333335</v>
      </c>
      <c r="J123" s="40"/>
      <c r="K123" s="17">
        <v>75410.017777777786</v>
      </c>
      <c r="L123" s="17">
        <v>64459.434444444429</v>
      </c>
      <c r="M123" s="17">
        <v>30962.897777777769</v>
      </c>
      <c r="N123" s="40">
        <v>170832.35</v>
      </c>
      <c r="O123" s="53"/>
      <c r="P123" s="17"/>
      <c r="Q123" s="40"/>
      <c r="R123" s="40"/>
      <c r="S123" s="40"/>
      <c r="T123" s="41"/>
      <c r="U123" s="41"/>
      <c r="V123" s="41"/>
      <c r="W123" s="41"/>
      <c r="X123" s="41"/>
      <c r="Y123" s="41"/>
      <c r="Z123" s="41"/>
      <c r="AA123" s="54"/>
      <c r="AB123" s="43">
        <v>1055.7</v>
      </c>
      <c r="AC123" s="44">
        <v>1055.7</v>
      </c>
      <c r="AD123" s="17">
        <v>387553.10833333334</v>
      </c>
      <c r="AE123"/>
    </row>
    <row r="124" spans="1:31">
      <c r="A124" s="55"/>
      <c r="B124" s="56" t="s">
        <v>664</v>
      </c>
      <c r="C124" s="46">
        <v>-2.7372376790336952E-3</v>
      </c>
      <c r="D124" s="47">
        <v>-3.9305220151872045E-3</v>
      </c>
      <c r="E124" s="47">
        <v>-6.0716689989441224E-3</v>
      </c>
      <c r="F124" s="47">
        <v>-2.0670805865010633E-2</v>
      </c>
      <c r="G124" s="47">
        <v>1.9311363053346589E-2</v>
      </c>
      <c r="H124" s="47">
        <v>-1.0091766227005909E-2</v>
      </c>
      <c r="I124" s="46">
        <v>-3.1962185419614525E-3</v>
      </c>
      <c r="J124" s="46">
        <v>0</v>
      </c>
      <c r="K124" s="47">
        <v>-3.4341804618092726E-2</v>
      </c>
      <c r="L124" s="47">
        <v>4.8359300915995045E-3</v>
      </c>
      <c r="M124" s="47">
        <v>-9.7973415703211074E-3</v>
      </c>
      <c r="N124" s="46">
        <v>-1.5433947760090426E-2</v>
      </c>
      <c r="O124" s="48">
        <v>0</v>
      </c>
      <c r="P124" s="47">
        <v>0</v>
      </c>
      <c r="Q124" s="46">
        <v>0</v>
      </c>
      <c r="R124" s="46">
        <v>0</v>
      </c>
      <c r="S124" s="46">
        <v>0</v>
      </c>
      <c r="T124" s="49">
        <v>0</v>
      </c>
      <c r="U124" s="49">
        <v>0</v>
      </c>
      <c r="V124" s="49">
        <v>0</v>
      </c>
      <c r="W124" s="49">
        <v>0</v>
      </c>
      <c r="X124" s="49">
        <v>0</v>
      </c>
      <c r="Y124" s="49">
        <v>0</v>
      </c>
      <c r="Z124" s="49">
        <v>0</v>
      </c>
      <c r="AA124" s="50">
        <v>0</v>
      </c>
      <c r="AB124" s="43">
        <v>1.1594480643925008E-2</v>
      </c>
      <c r="AC124" s="44">
        <v>1.1594480643925008E-2</v>
      </c>
      <c r="AD124" s="47">
        <v>-8.5885950265709044E-3</v>
      </c>
      <c r="AE124"/>
    </row>
    <row r="125" spans="1:31">
      <c r="A125" s="36" t="s">
        <v>867</v>
      </c>
      <c r="B125" s="24" t="s">
        <v>638</v>
      </c>
      <c r="C125" s="18"/>
      <c r="D125" s="12"/>
      <c r="E125" s="12"/>
      <c r="F125" s="12"/>
      <c r="G125" s="12"/>
      <c r="H125" s="12"/>
      <c r="I125" s="18"/>
      <c r="J125" s="18"/>
      <c r="K125" s="12"/>
      <c r="L125" s="12"/>
      <c r="M125" s="12"/>
      <c r="N125" s="18"/>
      <c r="O125" s="18"/>
      <c r="P125" s="12"/>
      <c r="Q125" s="18">
        <v>0</v>
      </c>
      <c r="R125" s="18">
        <v>0</v>
      </c>
      <c r="S125" s="18">
        <v>0</v>
      </c>
      <c r="T125" s="20"/>
      <c r="U125" s="20"/>
      <c r="V125" s="20"/>
      <c r="W125" s="20"/>
      <c r="X125" s="20"/>
      <c r="Y125" s="20"/>
      <c r="Z125" s="20">
        <v>0</v>
      </c>
      <c r="AA125" s="37">
        <v>0</v>
      </c>
      <c r="AB125" s="22"/>
      <c r="AC125" s="23"/>
      <c r="AD125" s="17">
        <v>0</v>
      </c>
      <c r="AE125"/>
    </row>
    <row r="126" spans="1:31">
      <c r="A126" s="38"/>
      <c r="B126" s="39" t="s">
        <v>639</v>
      </c>
      <c r="C126" s="40"/>
      <c r="D126" s="17"/>
      <c r="E126" s="17"/>
      <c r="F126" s="17"/>
      <c r="G126" s="17"/>
      <c r="H126" s="17"/>
      <c r="I126" s="40"/>
      <c r="J126" s="40"/>
      <c r="K126" s="17"/>
      <c r="L126" s="17"/>
      <c r="M126" s="17"/>
      <c r="N126" s="40"/>
      <c r="O126" s="40"/>
      <c r="P126" s="17"/>
      <c r="Q126" s="40">
        <v>0</v>
      </c>
      <c r="R126" s="40">
        <v>0</v>
      </c>
      <c r="S126" s="40">
        <v>0</v>
      </c>
      <c r="T126" s="41"/>
      <c r="U126" s="41"/>
      <c r="V126" s="41"/>
      <c r="W126" s="41"/>
      <c r="X126" s="41"/>
      <c r="Y126" s="41"/>
      <c r="Z126" s="41">
        <v>0</v>
      </c>
      <c r="AA126" s="42">
        <v>0</v>
      </c>
      <c r="AB126" s="43"/>
      <c r="AC126" s="44"/>
      <c r="AD126" s="17">
        <v>0</v>
      </c>
      <c r="AE126"/>
    </row>
    <row r="127" spans="1:31">
      <c r="A127" s="38"/>
      <c r="B127" s="45" t="s">
        <v>658</v>
      </c>
      <c r="C127" s="46">
        <v>0</v>
      </c>
      <c r="D127" s="47">
        <v>0</v>
      </c>
      <c r="E127" s="47">
        <v>0</v>
      </c>
      <c r="F127" s="47">
        <v>0</v>
      </c>
      <c r="G127" s="47">
        <v>0</v>
      </c>
      <c r="H127" s="47">
        <v>0</v>
      </c>
      <c r="I127" s="46">
        <v>0</v>
      </c>
      <c r="J127" s="46">
        <v>0</v>
      </c>
      <c r="K127" s="47">
        <v>0</v>
      </c>
      <c r="L127" s="47">
        <v>0</v>
      </c>
      <c r="M127" s="47">
        <v>0</v>
      </c>
      <c r="N127" s="46">
        <v>0</v>
      </c>
      <c r="O127" s="48">
        <v>0</v>
      </c>
      <c r="P127" s="47">
        <v>0</v>
      </c>
      <c r="Q127" s="46">
        <v>0</v>
      </c>
      <c r="R127" s="46">
        <v>0</v>
      </c>
      <c r="S127" s="46">
        <v>0</v>
      </c>
      <c r="T127" s="49">
        <v>0</v>
      </c>
      <c r="U127" s="49">
        <v>0</v>
      </c>
      <c r="V127" s="49">
        <v>0</v>
      </c>
      <c r="W127" s="49">
        <v>0</v>
      </c>
      <c r="X127" s="49">
        <v>0</v>
      </c>
      <c r="Y127" s="49">
        <v>0</v>
      </c>
      <c r="Z127" s="49">
        <v>0</v>
      </c>
      <c r="AA127" s="50">
        <v>0</v>
      </c>
      <c r="AB127" s="51">
        <v>0</v>
      </c>
      <c r="AC127" s="52">
        <v>0</v>
      </c>
      <c r="AD127" s="47">
        <v>0</v>
      </c>
      <c r="AE127"/>
    </row>
    <row r="128" spans="1:31">
      <c r="A128" s="38"/>
      <c r="B128" s="39" t="s">
        <v>646</v>
      </c>
      <c r="C128" s="40"/>
      <c r="D128" s="17"/>
      <c r="E128" s="17"/>
      <c r="F128" s="17"/>
      <c r="G128" s="17"/>
      <c r="H128" s="17"/>
      <c r="I128" s="40"/>
      <c r="J128" s="40"/>
      <c r="K128" s="17"/>
      <c r="L128" s="17"/>
      <c r="M128" s="17"/>
      <c r="N128" s="40"/>
      <c r="O128" s="53"/>
      <c r="P128" s="17"/>
      <c r="Q128" s="40">
        <v>4216.6121111111115</v>
      </c>
      <c r="R128" s="40">
        <v>18113.878999999997</v>
      </c>
      <c r="S128" s="40">
        <v>22330.491111111107</v>
      </c>
      <c r="T128" s="41"/>
      <c r="U128" s="41"/>
      <c r="V128" s="41"/>
      <c r="W128" s="41"/>
      <c r="X128" s="41"/>
      <c r="Y128" s="41"/>
      <c r="Z128" s="41">
        <v>0</v>
      </c>
      <c r="AA128" s="54">
        <v>0</v>
      </c>
      <c r="AB128" s="43"/>
      <c r="AC128" s="44"/>
      <c r="AD128" s="17">
        <v>22330.491111111107</v>
      </c>
      <c r="AE128"/>
    </row>
    <row r="129" spans="1:31">
      <c r="A129" s="38"/>
      <c r="B129" s="39" t="s">
        <v>648</v>
      </c>
      <c r="C129" s="40"/>
      <c r="D129" s="17"/>
      <c r="E129" s="17"/>
      <c r="F129" s="17"/>
      <c r="G129" s="17"/>
      <c r="H129" s="17"/>
      <c r="I129" s="40"/>
      <c r="J129" s="40"/>
      <c r="K129" s="17"/>
      <c r="L129" s="17"/>
      <c r="M129" s="17"/>
      <c r="N129" s="40"/>
      <c r="O129" s="53"/>
      <c r="P129" s="17"/>
      <c r="Q129" s="40">
        <v>1771.4966666666664</v>
      </c>
      <c r="R129" s="40">
        <v>8550.753333333334</v>
      </c>
      <c r="S129" s="40">
        <v>10322.25</v>
      </c>
      <c r="T129" s="41"/>
      <c r="U129" s="41"/>
      <c r="V129" s="41"/>
      <c r="W129" s="41"/>
      <c r="X129" s="41"/>
      <c r="Y129" s="41"/>
      <c r="Z129" s="41">
        <v>0</v>
      </c>
      <c r="AA129" s="54">
        <v>0</v>
      </c>
      <c r="AB129" s="43"/>
      <c r="AC129" s="44"/>
      <c r="AD129" s="17">
        <v>10322.25</v>
      </c>
      <c r="AE129"/>
    </row>
    <row r="130" spans="1:31">
      <c r="A130" s="38"/>
      <c r="B130" s="45" t="s">
        <v>660</v>
      </c>
      <c r="C130" s="46">
        <v>0</v>
      </c>
      <c r="D130" s="47">
        <v>0</v>
      </c>
      <c r="E130" s="47">
        <v>0</v>
      </c>
      <c r="F130" s="47">
        <v>0</v>
      </c>
      <c r="G130" s="47">
        <v>0</v>
      </c>
      <c r="H130" s="47">
        <v>0</v>
      </c>
      <c r="I130" s="46">
        <v>0</v>
      </c>
      <c r="J130" s="46">
        <v>0</v>
      </c>
      <c r="K130" s="47">
        <v>0</v>
      </c>
      <c r="L130" s="47">
        <v>0</v>
      </c>
      <c r="M130" s="47">
        <v>0</v>
      </c>
      <c r="N130" s="46">
        <v>0</v>
      </c>
      <c r="O130" s="48">
        <v>0</v>
      </c>
      <c r="P130" s="47">
        <v>0</v>
      </c>
      <c r="Q130" s="46">
        <v>-0.5798767778523829</v>
      </c>
      <c r="R130" s="46">
        <v>-0.52794465871537866</v>
      </c>
      <c r="S130" s="46">
        <v>-0.53775087396694565</v>
      </c>
      <c r="T130" s="49">
        <v>0</v>
      </c>
      <c r="U130" s="49">
        <v>0</v>
      </c>
      <c r="V130" s="49">
        <v>0</v>
      </c>
      <c r="W130" s="49">
        <v>0</v>
      </c>
      <c r="X130" s="49">
        <v>0</v>
      </c>
      <c r="Y130" s="49">
        <v>0</v>
      </c>
      <c r="Z130" s="49">
        <v>0</v>
      </c>
      <c r="AA130" s="50">
        <v>0</v>
      </c>
      <c r="AB130" s="51">
        <v>0</v>
      </c>
      <c r="AC130" s="52">
        <v>0</v>
      </c>
      <c r="AD130" s="47">
        <v>-0.53775087396694565</v>
      </c>
      <c r="AE130"/>
    </row>
    <row r="131" spans="1:31">
      <c r="A131" s="38"/>
      <c r="B131" s="39" t="s">
        <v>650</v>
      </c>
      <c r="C131" s="40"/>
      <c r="D131" s="17"/>
      <c r="E131" s="17"/>
      <c r="F131" s="17"/>
      <c r="G131" s="17"/>
      <c r="H131" s="17"/>
      <c r="I131" s="40"/>
      <c r="J131" s="40"/>
      <c r="K131" s="17"/>
      <c r="L131" s="17"/>
      <c r="M131" s="17"/>
      <c r="N131" s="40"/>
      <c r="O131" s="53"/>
      <c r="P131" s="17"/>
      <c r="Q131" s="40">
        <v>0</v>
      </c>
      <c r="R131" s="40">
        <v>0</v>
      </c>
      <c r="S131" s="40">
        <v>0</v>
      </c>
      <c r="T131" s="41"/>
      <c r="U131" s="41"/>
      <c r="V131" s="41"/>
      <c r="W131" s="41"/>
      <c r="X131" s="41"/>
      <c r="Y131" s="41"/>
      <c r="Z131" s="41">
        <v>0</v>
      </c>
      <c r="AA131" s="54">
        <v>0</v>
      </c>
      <c r="AB131" s="43"/>
      <c r="AC131" s="44"/>
      <c r="AD131" s="17">
        <v>0</v>
      </c>
      <c r="AE131"/>
    </row>
    <row r="132" spans="1:31">
      <c r="A132" s="38"/>
      <c r="B132" s="39" t="s">
        <v>652</v>
      </c>
      <c r="C132" s="40"/>
      <c r="D132" s="17"/>
      <c r="E132" s="17"/>
      <c r="F132" s="17"/>
      <c r="G132" s="17"/>
      <c r="H132" s="17"/>
      <c r="I132" s="40"/>
      <c r="J132" s="40"/>
      <c r="K132" s="17"/>
      <c r="L132" s="17"/>
      <c r="M132" s="17"/>
      <c r="N132" s="40"/>
      <c r="O132" s="53"/>
      <c r="P132" s="17"/>
      <c r="Q132" s="40">
        <v>0</v>
      </c>
      <c r="R132" s="40">
        <v>0</v>
      </c>
      <c r="S132" s="40">
        <v>0</v>
      </c>
      <c r="T132" s="41"/>
      <c r="U132" s="41"/>
      <c r="V132" s="41"/>
      <c r="W132" s="41"/>
      <c r="X132" s="41"/>
      <c r="Y132" s="41"/>
      <c r="Z132" s="41">
        <v>0</v>
      </c>
      <c r="AA132" s="54">
        <v>0</v>
      </c>
      <c r="AB132" s="43"/>
      <c r="AC132" s="44"/>
      <c r="AD132" s="17">
        <v>0</v>
      </c>
      <c r="AE132"/>
    </row>
    <row r="133" spans="1:31">
      <c r="A133" s="38"/>
      <c r="B133" s="45" t="s">
        <v>662</v>
      </c>
      <c r="C133" s="46">
        <v>0</v>
      </c>
      <c r="D133" s="47">
        <v>0</v>
      </c>
      <c r="E133" s="47">
        <v>0</v>
      </c>
      <c r="F133" s="47">
        <v>0</v>
      </c>
      <c r="G133" s="47">
        <v>0</v>
      </c>
      <c r="H133" s="47">
        <v>0</v>
      </c>
      <c r="I133" s="46">
        <v>0</v>
      </c>
      <c r="J133" s="46">
        <v>0</v>
      </c>
      <c r="K133" s="47">
        <v>0</v>
      </c>
      <c r="L133" s="47">
        <v>0</v>
      </c>
      <c r="M133" s="47">
        <v>0</v>
      </c>
      <c r="N133" s="46">
        <v>0</v>
      </c>
      <c r="O133" s="48">
        <v>0</v>
      </c>
      <c r="P133" s="47">
        <v>0</v>
      </c>
      <c r="Q133" s="46">
        <v>0</v>
      </c>
      <c r="R133" s="46">
        <v>0</v>
      </c>
      <c r="S133" s="46">
        <v>0</v>
      </c>
      <c r="T133" s="49">
        <v>0</v>
      </c>
      <c r="U133" s="49">
        <v>0</v>
      </c>
      <c r="V133" s="49">
        <v>0</v>
      </c>
      <c r="W133" s="49">
        <v>0</v>
      </c>
      <c r="X133" s="49">
        <v>0</v>
      </c>
      <c r="Y133" s="49">
        <v>0</v>
      </c>
      <c r="Z133" s="49">
        <v>0</v>
      </c>
      <c r="AA133" s="50">
        <v>0</v>
      </c>
      <c r="AB133" s="51">
        <v>0</v>
      </c>
      <c r="AC133" s="52">
        <v>0</v>
      </c>
      <c r="AD133" s="47">
        <v>0</v>
      </c>
      <c r="AE133"/>
    </row>
    <row r="134" spans="1:31">
      <c r="A134" s="38"/>
      <c r="B134" s="39" t="s">
        <v>654</v>
      </c>
      <c r="C134" s="40"/>
      <c r="D134" s="17"/>
      <c r="E134" s="17"/>
      <c r="F134" s="17"/>
      <c r="G134" s="17"/>
      <c r="H134" s="17"/>
      <c r="I134" s="40"/>
      <c r="J134" s="40"/>
      <c r="K134" s="17"/>
      <c r="L134" s="17"/>
      <c r="M134" s="17"/>
      <c r="N134" s="40"/>
      <c r="O134" s="53"/>
      <c r="P134" s="17"/>
      <c r="Q134" s="40">
        <v>4216.6121111111115</v>
      </c>
      <c r="R134" s="40">
        <v>18113.878999999997</v>
      </c>
      <c r="S134" s="40">
        <v>22330.491111111107</v>
      </c>
      <c r="T134" s="41"/>
      <c r="U134" s="41"/>
      <c r="V134" s="41"/>
      <c r="W134" s="41"/>
      <c r="X134" s="41"/>
      <c r="Y134" s="41"/>
      <c r="Z134" s="41">
        <v>0</v>
      </c>
      <c r="AA134" s="54">
        <v>0</v>
      </c>
      <c r="AB134" s="43"/>
      <c r="AC134" s="44"/>
      <c r="AD134" s="17">
        <v>22330.491111111107</v>
      </c>
      <c r="AE134"/>
    </row>
    <row r="135" spans="1:31">
      <c r="A135" s="38"/>
      <c r="B135" s="39" t="s">
        <v>656</v>
      </c>
      <c r="C135" s="40"/>
      <c r="D135" s="17"/>
      <c r="E135" s="17"/>
      <c r="F135" s="17"/>
      <c r="G135" s="17"/>
      <c r="H135" s="17"/>
      <c r="I135" s="40"/>
      <c r="J135" s="40"/>
      <c r="K135" s="17"/>
      <c r="L135" s="17"/>
      <c r="M135" s="17"/>
      <c r="N135" s="40"/>
      <c r="O135" s="53"/>
      <c r="P135" s="17"/>
      <c r="Q135" s="40">
        <v>1771.4966666666664</v>
      </c>
      <c r="R135" s="40">
        <v>8550.753333333334</v>
      </c>
      <c r="S135" s="40">
        <v>10322.25</v>
      </c>
      <c r="T135" s="41"/>
      <c r="U135" s="41"/>
      <c r="V135" s="41"/>
      <c r="W135" s="41"/>
      <c r="X135" s="41"/>
      <c r="Y135" s="41"/>
      <c r="Z135" s="41">
        <v>0</v>
      </c>
      <c r="AA135" s="54">
        <v>0</v>
      </c>
      <c r="AB135" s="43"/>
      <c r="AC135" s="44"/>
      <c r="AD135" s="17">
        <v>10322.25</v>
      </c>
      <c r="AE135"/>
    </row>
    <row r="136" spans="1:31">
      <c r="A136" s="55"/>
      <c r="B136" s="56" t="s">
        <v>664</v>
      </c>
      <c r="C136" s="46">
        <v>0</v>
      </c>
      <c r="D136" s="47">
        <v>0</v>
      </c>
      <c r="E136" s="47">
        <v>0</v>
      </c>
      <c r="F136" s="47">
        <v>0</v>
      </c>
      <c r="G136" s="47">
        <v>0</v>
      </c>
      <c r="H136" s="47">
        <v>0</v>
      </c>
      <c r="I136" s="46">
        <v>0</v>
      </c>
      <c r="J136" s="46">
        <v>0</v>
      </c>
      <c r="K136" s="47">
        <v>0</v>
      </c>
      <c r="L136" s="47">
        <v>0</v>
      </c>
      <c r="M136" s="47">
        <v>0</v>
      </c>
      <c r="N136" s="46">
        <v>0</v>
      </c>
      <c r="O136" s="48">
        <v>0</v>
      </c>
      <c r="P136" s="47">
        <v>0</v>
      </c>
      <c r="Q136" s="46">
        <v>-0.5798767778523829</v>
      </c>
      <c r="R136" s="46">
        <v>-0.52794465871537866</v>
      </c>
      <c r="S136" s="46">
        <v>-0.53775087396694565</v>
      </c>
      <c r="T136" s="49">
        <v>0</v>
      </c>
      <c r="U136" s="49">
        <v>0</v>
      </c>
      <c r="V136" s="49">
        <v>0</v>
      </c>
      <c r="W136" s="49">
        <v>0</v>
      </c>
      <c r="X136" s="49">
        <v>0</v>
      </c>
      <c r="Y136" s="49">
        <v>0</v>
      </c>
      <c r="Z136" s="49">
        <v>0</v>
      </c>
      <c r="AA136" s="50">
        <v>0</v>
      </c>
      <c r="AB136" s="43">
        <v>0</v>
      </c>
      <c r="AC136" s="44">
        <v>0</v>
      </c>
      <c r="AD136" s="47">
        <v>-0.53775087396694565</v>
      </c>
      <c r="AE136"/>
    </row>
    <row r="137" spans="1:31">
      <c r="A137" s="36" t="s">
        <v>489</v>
      </c>
      <c r="B137" s="24" t="s">
        <v>638</v>
      </c>
      <c r="C137" s="18">
        <v>48886.433333333334</v>
      </c>
      <c r="D137" s="12"/>
      <c r="E137" s="12">
        <v>17030.05</v>
      </c>
      <c r="F137" s="12">
        <v>9458.6333333333332</v>
      </c>
      <c r="G137" s="12">
        <v>7863.9</v>
      </c>
      <c r="H137" s="12">
        <v>10073.299999999999</v>
      </c>
      <c r="I137" s="18">
        <v>93312.316666666666</v>
      </c>
      <c r="J137" s="18"/>
      <c r="K137" s="12">
        <v>27210.300000000003</v>
      </c>
      <c r="L137" s="12">
        <v>19132.266666666666</v>
      </c>
      <c r="M137" s="12">
        <v>9627.6666666666661</v>
      </c>
      <c r="N137" s="18">
        <v>55970.23333333333</v>
      </c>
      <c r="O137" s="18"/>
      <c r="P137" s="12"/>
      <c r="Q137" s="18"/>
      <c r="R137" s="18"/>
      <c r="S137" s="18"/>
      <c r="T137" s="20"/>
      <c r="U137" s="20"/>
      <c r="V137" s="20"/>
      <c r="W137" s="20"/>
      <c r="X137" s="20"/>
      <c r="Y137" s="20"/>
      <c r="Z137" s="20"/>
      <c r="AA137" s="37"/>
      <c r="AB137" s="22"/>
      <c r="AC137" s="23"/>
      <c r="AD137" s="17">
        <v>149282.54999999999</v>
      </c>
      <c r="AE137"/>
    </row>
    <row r="138" spans="1:31">
      <c r="A138" s="38"/>
      <c r="B138" s="39" t="s">
        <v>639</v>
      </c>
      <c r="C138" s="40">
        <v>48986.833333333328</v>
      </c>
      <c r="D138" s="17"/>
      <c r="E138" s="17">
        <v>16634.633333333335</v>
      </c>
      <c r="F138" s="17">
        <v>9433.0666666666675</v>
      </c>
      <c r="G138" s="17">
        <v>7479.2999999999993</v>
      </c>
      <c r="H138" s="17">
        <v>9744.2166666666672</v>
      </c>
      <c r="I138" s="40">
        <v>92278.049999999988</v>
      </c>
      <c r="J138" s="40"/>
      <c r="K138" s="17">
        <v>25749.433333333334</v>
      </c>
      <c r="L138" s="17">
        <v>18390.966666666667</v>
      </c>
      <c r="M138" s="17">
        <v>9343.9333333333325</v>
      </c>
      <c r="N138" s="40">
        <v>53484.333333333336</v>
      </c>
      <c r="O138" s="40"/>
      <c r="P138" s="17"/>
      <c r="Q138" s="40"/>
      <c r="R138" s="40"/>
      <c r="S138" s="40"/>
      <c r="T138" s="41"/>
      <c r="U138" s="41"/>
      <c r="V138" s="41"/>
      <c r="W138" s="41"/>
      <c r="X138" s="41"/>
      <c r="Y138" s="41"/>
      <c r="Z138" s="41"/>
      <c r="AA138" s="42"/>
      <c r="AB138" s="43"/>
      <c r="AC138" s="44"/>
      <c r="AD138" s="17">
        <v>145762.3833333333</v>
      </c>
      <c r="AE138"/>
    </row>
    <row r="139" spans="1:31">
      <c r="A139" s="38"/>
      <c r="B139" s="45" t="s">
        <v>658</v>
      </c>
      <c r="C139" s="46">
        <v>2.0537395173710945E-3</v>
      </c>
      <c r="D139" s="47">
        <v>0</v>
      </c>
      <c r="E139" s="47">
        <v>-2.3218761346365059E-2</v>
      </c>
      <c r="F139" s="47">
        <v>-2.7029979665842171E-3</v>
      </c>
      <c r="G139" s="47">
        <v>-4.8907030862549168E-2</v>
      </c>
      <c r="H139" s="47">
        <v>-3.2668870512476758E-2</v>
      </c>
      <c r="I139" s="46">
        <v>-1.1083924433698487E-2</v>
      </c>
      <c r="J139" s="46">
        <v>0</v>
      </c>
      <c r="K139" s="47">
        <v>-5.3688002949863416E-2</v>
      </c>
      <c r="L139" s="47">
        <v>-3.8746062498257704E-2</v>
      </c>
      <c r="M139" s="47">
        <v>-2.9470622857736412E-2</v>
      </c>
      <c r="N139" s="46">
        <v>-4.4414679945947735E-2</v>
      </c>
      <c r="O139" s="48">
        <v>0</v>
      </c>
      <c r="P139" s="47">
        <v>0</v>
      </c>
      <c r="Q139" s="46">
        <v>0</v>
      </c>
      <c r="R139" s="46">
        <v>0</v>
      </c>
      <c r="S139" s="46">
        <v>0</v>
      </c>
      <c r="T139" s="49">
        <v>0</v>
      </c>
      <c r="U139" s="49">
        <v>0</v>
      </c>
      <c r="V139" s="49">
        <v>0</v>
      </c>
      <c r="W139" s="49">
        <v>0</v>
      </c>
      <c r="X139" s="49">
        <v>0</v>
      </c>
      <c r="Y139" s="49">
        <v>0</v>
      </c>
      <c r="Z139" s="49">
        <v>0</v>
      </c>
      <c r="AA139" s="50">
        <v>0</v>
      </c>
      <c r="AB139" s="51">
        <v>0</v>
      </c>
      <c r="AC139" s="52">
        <v>0</v>
      </c>
      <c r="AD139" s="47">
        <v>-2.3580563613541473E-2</v>
      </c>
      <c r="AE139"/>
    </row>
    <row r="140" spans="1:31">
      <c r="A140" s="38"/>
      <c r="B140" s="39" t="s">
        <v>646</v>
      </c>
      <c r="C140" s="40">
        <v>0</v>
      </c>
      <c r="D140" s="17"/>
      <c r="E140" s="17">
        <v>0</v>
      </c>
      <c r="F140" s="17">
        <v>0</v>
      </c>
      <c r="G140" s="17">
        <v>0</v>
      </c>
      <c r="H140" s="17">
        <v>0</v>
      </c>
      <c r="I140" s="40">
        <v>0</v>
      </c>
      <c r="J140" s="40"/>
      <c r="K140" s="17">
        <v>0</v>
      </c>
      <c r="L140" s="17">
        <v>0</v>
      </c>
      <c r="M140" s="17">
        <v>0</v>
      </c>
      <c r="N140" s="40">
        <v>0</v>
      </c>
      <c r="O140" s="53"/>
      <c r="P140" s="17"/>
      <c r="Q140" s="40"/>
      <c r="R140" s="40"/>
      <c r="S140" s="40"/>
      <c r="T140" s="41"/>
      <c r="U140" s="41"/>
      <c r="V140" s="41"/>
      <c r="W140" s="41"/>
      <c r="X140" s="41"/>
      <c r="Y140" s="41"/>
      <c r="Z140" s="41"/>
      <c r="AA140" s="54"/>
      <c r="AB140" s="43"/>
      <c r="AC140" s="44"/>
      <c r="AD140" s="17">
        <v>0</v>
      </c>
      <c r="AE140"/>
    </row>
    <row r="141" spans="1:31">
      <c r="A141" s="38"/>
      <c r="B141" s="39" t="s">
        <v>648</v>
      </c>
      <c r="C141" s="40">
        <v>0</v>
      </c>
      <c r="D141" s="17"/>
      <c r="E141" s="17">
        <v>0</v>
      </c>
      <c r="F141" s="17">
        <v>0</v>
      </c>
      <c r="G141" s="17">
        <v>0</v>
      </c>
      <c r="H141" s="17">
        <v>0</v>
      </c>
      <c r="I141" s="40">
        <v>0</v>
      </c>
      <c r="J141" s="40"/>
      <c r="K141" s="17">
        <v>0</v>
      </c>
      <c r="L141" s="17">
        <v>0</v>
      </c>
      <c r="M141" s="17">
        <v>0</v>
      </c>
      <c r="N141" s="40">
        <v>0</v>
      </c>
      <c r="O141" s="53"/>
      <c r="P141" s="17"/>
      <c r="Q141" s="40"/>
      <c r="R141" s="40"/>
      <c r="S141" s="40"/>
      <c r="T141" s="41"/>
      <c r="U141" s="41"/>
      <c r="V141" s="41"/>
      <c r="W141" s="41"/>
      <c r="X141" s="41"/>
      <c r="Y141" s="41"/>
      <c r="Z141" s="41"/>
      <c r="AA141" s="54"/>
      <c r="AB141" s="43"/>
      <c r="AC141" s="44"/>
      <c r="AD141" s="17">
        <v>0</v>
      </c>
      <c r="AE141"/>
    </row>
    <row r="142" spans="1:31">
      <c r="A142" s="38"/>
      <c r="B142" s="45" t="s">
        <v>660</v>
      </c>
      <c r="C142" s="46">
        <v>0</v>
      </c>
      <c r="D142" s="47">
        <v>0</v>
      </c>
      <c r="E142" s="47">
        <v>0</v>
      </c>
      <c r="F142" s="47">
        <v>0</v>
      </c>
      <c r="G142" s="47">
        <v>0</v>
      </c>
      <c r="H142" s="47">
        <v>0</v>
      </c>
      <c r="I142" s="46">
        <v>0</v>
      </c>
      <c r="J142" s="46">
        <v>0</v>
      </c>
      <c r="K142" s="47">
        <v>0</v>
      </c>
      <c r="L142" s="47">
        <v>0</v>
      </c>
      <c r="M142" s="47">
        <v>0</v>
      </c>
      <c r="N142" s="46">
        <v>0</v>
      </c>
      <c r="O142" s="48">
        <v>0</v>
      </c>
      <c r="P142" s="47">
        <v>0</v>
      </c>
      <c r="Q142" s="46">
        <v>0</v>
      </c>
      <c r="R142" s="46">
        <v>0</v>
      </c>
      <c r="S142" s="46">
        <v>0</v>
      </c>
      <c r="T142" s="49">
        <v>0</v>
      </c>
      <c r="U142" s="49">
        <v>0</v>
      </c>
      <c r="V142" s="49">
        <v>0</v>
      </c>
      <c r="W142" s="49">
        <v>0</v>
      </c>
      <c r="X142" s="49">
        <v>0</v>
      </c>
      <c r="Y142" s="49">
        <v>0</v>
      </c>
      <c r="Z142" s="49">
        <v>0</v>
      </c>
      <c r="AA142" s="50">
        <v>0</v>
      </c>
      <c r="AB142" s="51">
        <v>0</v>
      </c>
      <c r="AC142" s="52">
        <v>0</v>
      </c>
      <c r="AD142" s="47">
        <v>0</v>
      </c>
      <c r="AE142"/>
    </row>
    <row r="143" spans="1:31">
      <c r="A143" s="38"/>
      <c r="B143" s="39" t="s">
        <v>650</v>
      </c>
      <c r="C143" s="40">
        <v>11754.125</v>
      </c>
      <c r="D143" s="17"/>
      <c r="E143" s="17">
        <v>2101.25</v>
      </c>
      <c r="F143" s="17">
        <v>516.29166666666663</v>
      </c>
      <c r="G143" s="17">
        <v>1019.4166666666667</v>
      </c>
      <c r="H143" s="17">
        <v>387.75</v>
      </c>
      <c r="I143" s="40">
        <v>15778.833333333332</v>
      </c>
      <c r="J143" s="40"/>
      <c r="K143" s="17">
        <v>0</v>
      </c>
      <c r="L143" s="17">
        <v>0</v>
      </c>
      <c r="M143" s="17">
        <v>0</v>
      </c>
      <c r="N143" s="40">
        <v>0</v>
      </c>
      <c r="O143" s="53"/>
      <c r="P143" s="17"/>
      <c r="Q143" s="40"/>
      <c r="R143" s="40"/>
      <c r="S143" s="40"/>
      <c r="T143" s="41"/>
      <c r="U143" s="41"/>
      <c r="V143" s="41"/>
      <c r="W143" s="41"/>
      <c r="X143" s="41"/>
      <c r="Y143" s="41"/>
      <c r="Z143" s="41"/>
      <c r="AA143" s="54"/>
      <c r="AB143" s="43"/>
      <c r="AC143" s="44"/>
      <c r="AD143" s="17">
        <v>15778.833333333332</v>
      </c>
      <c r="AE143"/>
    </row>
    <row r="144" spans="1:31">
      <c r="A144" s="38"/>
      <c r="B144" s="39" t="s">
        <v>652</v>
      </c>
      <c r="C144" s="40">
        <v>12092.708333333332</v>
      </c>
      <c r="D144" s="17"/>
      <c r="E144" s="17">
        <v>2234.5</v>
      </c>
      <c r="F144" s="17">
        <v>513.375</v>
      </c>
      <c r="G144" s="17">
        <v>1169.4166666666665</v>
      </c>
      <c r="H144" s="17">
        <v>432.04166666666663</v>
      </c>
      <c r="I144" s="40">
        <v>16442.041666666664</v>
      </c>
      <c r="J144" s="40"/>
      <c r="K144" s="17">
        <v>0</v>
      </c>
      <c r="L144" s="17">
        <v>0</v>
      </c>
      <c r="M144" s="17">
        <v>0</v>
      </c>
      <c r="N144" s="40">
        <v>0</v>
      </c>
      <c r="O144" s="53"/>
      <c r="P144" s="17"/>
      <c r="Q144" s="40"/>
      <c r="R144" s="40"/>
      <c r="S144" s="40"/>
      <c r="T144" s="41"/>
      <c r="U144" s="41"/>
      <c r="V144" s="41"/>
      <c r="W144" s="41"/>
      <c r="X144" s="41"/>
      <c r="Y144" s="41"/>
      <c r="Z144" s="41"/>
      <c r="AA144" s="54"/>
      <c r="AB144" s="43"/>
      <c r="AC144" s="44"/>
      <c r="AD144" s="17">
        <v>16442.041666666664</v>
      </c>
      <c r="AE144"/>
    </row>
    <row r="145" spans="1:31">
      <c r="A145" s="38"/>
      <c r="B145" s="45" t="s">
        <v>662</v>
      </c>
      <c r="C145" s="46">
        <v>2.8805490271145841E-2</v>
      </c>
      <c r="D145" s="47">
        <v>0</v>
      </c>
      <c r="E145" s="47">
        <v>6.3414634146341464E-2</v>
      </c>
      <c r="F145" s="47">
        <v>-5.6492615608101926E-3</v>
      </c>
      <c r="G145" s="47">
        <v>0.14714297392299494</v>
      </c>
      <c r="H145" s="47">
        <v>0.11422738018482689</v>
      </c>
      <c r="I145" s="46">
        <v>4.2031519018093787E-2</v>
      </c>
      <c r="J145" s="46">
        <v>0</v>
      </c>
      <c r="K145" s="47">
        <v>0</v>
      </c>
      <c r="L145" s="47">
        <v>0</v>
      </c>
      <c r="M145" s="47">
        <v>0</v>
      </c>
      <c r="N145" s="46">
        <v>0</v>
      </c>
      <c r="O145" s="48">
        <v>0</v>
      </c>
      <c r="P145" s="47">
        <v>0</v>
      </c>
      <c r="Q145" s="46">
        <v>0</v>
      </c>
      <c r="R145" s="46">
        <v>0</v>
      </c>
      <c r="S145" s="46">
        <v>0</v>
      </c>
      <c r="T145" s="49">
        <v>0</v>
      </c>
      <c r="U145" s="49">
        <v>0</v>
      </c>
      <c r="V145" s="49">
        <v>0</v>
      </c>
      <c r="W145" s="49">
        <v>0</v>
      </c>
      <c r="X145" s="49">
        <v>0</v>
      </c>
      <c r="Y145" s="49">
        <v>0</v>
      </c>
      <c r="Z145" s="49">
        <v>0</v>
      </c>
      <c r="AA145" s="50">
        <v>0</v>
      </c>
      <c r="AB145" s="51">
        <v>0</v>
      </c>
      <c r="AC145" s="52">
        <v>0</v>
      </c>
      <c r="AD145" s="47">
        <v>4.2031519018093787E-2</v>
      </c>
      <c r="AE145"/>
    </row>
    <row r="146" spans="1:31">
      <c r="A146" s="38"/>
      <c r="B146" s="39" t="s">
        <v>654</v>
      </c>
      <c r="C146" s="40">
        <v>60640.558333333334</v>
      </c>
      <c r="D146" s="17"/>
      <c r="E146" s="17">
        <v>19131.3</v>
      </c>
      <c r="F146" s="17">
        <v>9974.9249999999993</v>
      </c>
      <c r="G146" s="17">
        <v>8883.3166666666657</v>
      </c>
      <c r="H146" s="17">
        <v>10461.049999999999</v>
      </c>
      <c r="I146" s="40">
        <v>109091.15000000001</v>
      </c>
      <c r="J146" s="40"/>
      <c r="K146" s="17">
        <v>27210.300000000003</v>
      </c>
      <c r="L146" s="17">
        <v>19132.266666666666</v>
      </c>
      <c r="M146" s="17">
        <v>9627.6666666666661</v>
      </c>
      <c r="N146" s="40">
        <v>55970.23333333333</v>
      </c>
      <c r="O146" s="53"/>
      <c r="P146" s="17"/>
      <c r="Q146" s="40"/>
      <c r="R146" s="40"/>
      <c r="S146" s="40"/>
      <c r="T146" s="41"/>
      <c r="U146" s="41"/>
      <c r="V146" s="41"/>
      <c r="W146" s="41"/>
      <c r="X146" s="41"/>
      <c r="Y146" s="41"/>
      <c r="Z146" s="41"/>
      <c r="AA146" s="54"/>
      <c r="AB146" s="43"/>
      <c r="AC146" s="44"/>
      <c r="AD146" s="17">
        <v>165061.38333333333</v>
      </c>
      <c r="AE146"/>
    </row>
    <row r="147" spans="1:31">
      <c r="A147" s="38"/>
      <c r="B147" s="39" t="s">
        <v>656</v>
      </c>
      <c r="C147" s="40">
        <v>61079.541666666672</v>
      </c>
      <c r="D147" s="17"/>
      <c r="E147" s="17">
        <v>18869.133333333331</v>
      </c>
      <c r="F147" s="17">
        <v>9946.4416666666675</v>
      </c>
      <c r="G147" s="17">
        <v>8648.7166666666672</v>
      </c>
      <c r="H147" s="17">
        <v>10176.258333333333</v>
      </c>
      <c r="I147" s="40">
        <v>108720.09166666667</v>
      </c>
      <c r="J147" s="40"/>
      <c r="K147" s="17">
        <v>25749.433333333334</v>
      </c>
      <c r="L147" s="17">
        <v>18390.966666666667</v>
      </c>
      <c r="M147" s="17">
        <v>9343.9333333333325</v>
      </c>
      <c r="N147" s="40">
        <v>53484.333333333336</v>
      </c>
      <c r="O147" s="53"/>
      <c r="P147" s="17"/>
      <c r="Q147" s="40"/>
      <c r="R147" s="40"/>
      <c r="S147" s="40"/>
      <c r="T147" s="41"/>
      <c r="U147" s="41"/>
      <c r="V147" s="41"/>
      <c r="W147" s="41"/>
      <c r="X147" s="41"/>
      <c r="Y147" s="41"/>
      <c r="Z147" s="41"/>
      <c r="AA147" s="54"/>
      <c r="AB147" s="43"/>
      <c r="AC147" s="44"/>
      <c r="AD147" s="17">
        <v>162204.42500000002</v>
      </c>
      <c r="AE147"/>
    </row>
    <row r="148" spans="1:31">
      <c r="A148" s="55"/>
      <c r="B148" s="56" t="s">
        <v>664</v>
      </c>
      <c r="C148" s="46">
        <v>7.2391044112803584E-3</v>
      </c>
      <c r="D148" s="47">
        <v>0</v>
      </c>
      <c r="E148" s="47">
        <v>-1.3703546892614087E-2</v>
      </c>
      <c r="F148" s="47">
        <v>-2.8554934832424063E-3</v>
      </c>
      <c r="G148" s="47">
        <v>-2.6409055176463584E-2</v>
      </c>
      <c r="H148" s="47">
        <v>-2.7224003963910514E-2</v>
      </c>
      <c r="I148" s="46">
        <v>-3.4013605442176952E-3</v>
      </c>
      <c r="J148" s="46">
        <v>0</v>
      </c>
      <c r="K148" s="47">
        <v>-5.3688002949863416E-2</v>
      </c>
      <c r="L148" s="47">
        <v>-3.8746062498257704E-2</v>
      </c>
      <c r="M148" s="47">
        <v>-2.9470622857736412E-2</v>
      </c>
      <c r="N148" s="46">
        <v>-4.4414679945947735E-2</v>
      </c>
      <c r="O148" s="48">
        <v>0</v>
      </c>
      <c r="P148" s="47">
        <v>0</v>
      </c>
      <c r="Q148" s="46">
        <v>0</v>
      </c>
      <c r="R148" s="46">
        <v>0</v>
      </c>
      <c r="S148" s="46">
        <v>0</v>
      </c>
      <c r="T148" s="49">
        <v>0</v>
      </c>
      <c r="U148" s="49">
        <v>0</v>
      </c>
      <c r="V148" s="49">
        <v>0</v>
      </c>
      <c r="W148" s="49">
        <v>0</v>
      </c>
      <c r="X148" s="49">
        <v>0</v>
      </c>
      <c r="Y148" s="49">
        <v>0</v>
      </c>
      <c r="Z148" s="49">
        <v>0</v>
      </c>
      <c r="AA148" s="50">
        <v>0</v>
      </c>
      <c r="AB148" s="43">
        <v>0</v>
      </c>
      <c r="AC148" s="44">
        <v>0</v>
      </c>
      <c r="AD148" s="47">
        <v>-1.7308459893152762E-2</v>
      </c>
      <c r="AE148"/>
    </row>
    <row r="149" spans="1:31">
      <c r="A149" s="36" t="s">
        <v>359</v>
      </c>
      <c r="B149" s="24" t="s">
        <v>638</v>
      </c>
      <c r="C149" s="18">
        <v>36821.983333333337</v>
      </c>
      <c r="D149" s="12">
        <v>32332.133333333331</v>
      </c>
      <c r="E149" s="12">
        <v>25724.833333333336</v>
      </c>
      <c r="F149" s="12">
        <v>5384.3</v>
      </c>
      <c r="G149" s="12"/>
      <c r="H149" s="12"/>
      <c r="I149" s="18">
        <v>100263.25000000001</v>
      </c>
      <c r="J149" s="18"/>
      <c r="K149" s="12">
        <v>28409.85</v>
      </c>
      <c r="L149" s="12">
        <v>25486.266666666663</v>
      </c>
      <c r="M149" s="12">
        <v>1717.9666666666667</v>
      </c>
      <c r="N149" s="18">
        <v>55614.083333333328</v>
      </c>
      <c r="O149" s="18"/>
      <c r="P149" s="12"/>
      <c r="Q149" s="18"/>
      <c r="R149" s="18">
        <v>0</v>
      </c>
      <c r="S149" s="18">
        <v>0</v>
      </c>
      <c r="T149" s="20"/>
      <c r="U149" s="20"/>
      <c r="V149" s="20"/>
      <c r="W149" s="20"/>
      <c r="X149" s="20"/>
      <c r="Y149" s="20"/>
      <c r="Z149" s="20"/>
      <c r="AA149" s="37"/>
      <c r="AB149" s="22"/>
      <c r="AC149" s="23"/>
      <c r="AD149" s="17">
        <v>155877.33333333334</v>
      </c>
      <c r="AE149"/>
    </row>
    <row r="150" spans="1:31">
      <c r="A150" s="38"/>
      <c r="B150" s="39" t="s">
        <v>639</v>
      </c>
      <c r="C150" s="40">
        <v>36886.433333333334</v>
      </c>
      <c r="D150" s="17">
        <v>30884.1</v>
      </c>
      <c r="E150" s="17">
        <v>24336.666666666664</v>
      </c>
      <c r="F150" s="17">
        <v>5028.9666666666662</v>
      </c>
      <c r="G150" s="17"/>
      <c r="H150" s="17"/>
      <c r="I150" s="40">
        <v>97136.166666666642</v>
      </c>
      <c r="J150" s="40"/>
      <c r="K150" s="17">
        <v>24708.066666666669</v>
      </c>
      <c r="L150" s="17">
        <v>22793.766666666666</v>
      </c>
      <c r="M150" s="17">
        <v>1727.2</v>
      </c>
      <c r="N150" s="40">
        <v>49229.033333333333</v>
      </c>
      <c r="O150" s="40"/>
      <c r="P150" s="17"/>
      <c r="Q150" s="40"/>
      <c r="R150" s="40">
        <v>0</v>
      </c>
      <c r="S150" s="40">
        <v>0</v>
      </c>
      <c r="T150" s="41"/>
      <c r="U150" s="41"/>
      <c r="V150" s="41"/>
      <c r="W150" s="41"/>
      <c r="X150" s="41"/>
      <c r="Y150" s="41"/>
      <c r="Z150" s="41"/>
      <c r="AA150" s="42"/>
      <c r="AB150" s="43"/>
      <c r="AC150" s="44"/>
      <c r="AD150" s="17">
        <v>146365.19999999998</v>
      </c>
      <c r="AE150"/>
    </row>
    <row r="151" spans="1:31">
      <c r="A151" s="38"/>
      <c r="B151" s="45" t="s">
        <v>658</v>
      </c>
      <c r="C151" s="46">
        <v>1.7503131055315348E-3</v>
      </c>
      <c r="D151" s="47">
        <v>-4.478619825065671E-2</v>
      </c>
      <c r="E151" s="47">
        <v>-5.3962124795107376E-2</v>
      </c>
      <c r="F151" s="47">
        <v>-6.5994341573339887E-2</v>
      </c>
      <c r="G151" s="47">
        <v>0</v>
      </c>
      <c r="H151" s="47">
        <v>0</v>
      </c>
      <c r="I151" s="46">
        <v>-3.1188729004229941E-2</v>
      </c>
      <c r="J151" s="46">
        <v>0</v>
      </c>
      <c r="K151" s="47">
        <v>-0.13029929173625801</v>
      </c>
      <c r="L151" s="47">
        <v>-0.10564513175723383</v>
      </c>
      <c r="M151" s="47">
        <v>5.3745707134403159E-3</v>
      </c>
      <c r="N151" s="46">
        <v>-0.11480994772007697</v>
      </c>
      <c r="O151" s="48">
        <v>0</v>
      </c>
      <c r="P151" s="47">
        <v>0</v>
      </c>
      <c r="Q151" s="46">
        <v>0</v>
      </c>
      <c r="R151" s="46">
        <v>0</v>
      </c>
      <c r="S151" s="46">
        <v>0</v>
      </c>
      <c r="T151" s="49">
        <v>0</v>
      </c>
      <c r="U151" s="49">
        <v>0</v>
      </c>
      <c r="V151" s="49">
        <v>0</v>
      </c>
      <c r="W151" s="49">
        <v>0</v>
      </c>
      <c r="X151" s="49">
        <v>0</v>
      </c>
      <c r="Y151" s="49">
        <v>0</v>
      </c>
      <c r="Z151" s="49">
        <v>0</v>
      </c>
      <c r="AA151" s="50">
        <v>0</v>
      </c>
      <c r="AB151" s="51">
        <v>0</v>
      </c>
      <c r="AC151" s="52">
        <v>0</v>
      </c>
      <c r="AD151" s="47">
        <v>-6.1023197728128448E-2</v>
      </c>
      <c r="AE151"/>
    </row>
    <row r="152" spans="1:31">
      <c r="A152" s="38"/>
      <c r="B152" s="39" t="s">
        <v>646</v>
      </c>
      <c r="C152" s="40">
        <v>0</v>
      </c>
      <c r="D152" s="17">
        <v>0</v>
      </c>
      <c r="E152" s="17">
        <v>0</v>
      </c>
      <c r="F152" s="17">
        <v>0</v>
      </c>
      <c r="G152" s="17"/>
      <c r="H152" s="17"/>
      <c r="I152" s="40">
        <v>0</v>
      </c>
      <c r="J152" s="40"/>
      <c r="K152" s="17">
        <v>0</v>
      </c>
      <c r="L152" s="17">
        <v>0</v>
      </c>
      <c r="M152" s="17">
        <v>0</v>
      </c>
      <c r="N152" s="40">
        <v>0</v>
      </c>
      <c r="O152" s="53"/>
      <c r="P152" s="17"/>
      <c r="Q152" s="40"/>
      <c r="R152" s="40">
        <v>12630.868888888888</v>
      </c>
      <c r="S152" s="40">
        <v>12630.868888888888</v>
      </c>
      <c r="T152" s="41"/>
      <c r="U152" s="41"/>
      <c r="V152" s="41"/>
      <c r="W152" s="41"/>
      <c r="X152" s="41"/>
      <c r="Y152" s="41"/>
      <c r="Z152" s="41"/>
      <c r="AA152" s="54"/>
      <c r="AB152" s="43"/>
      <c r="AC152" s="44"/>
      <c r="AD152" s="17">
        <v>12630.868888888888</v>
      </c>
      <c r="AE152"/>
    </row>
    <row r="153" spans="1:31">
      <c r="A153" s="38"/>
      <c r="B153" s="39" t="s">
        <v>648</v>
      </c>
      <c r="C153" s="40">
        <v>0</v>
      </c>
      <c r="D153" s="17">
        <v>0</v>
      </c>
      <c r="E153" s="17">
        <v>0</v>
      </c>
      <c r="F153" s="17">
        <v>0</v>
      </c>
      <c r="G153" s="17"/>
      <c r="H153" s="17"/>
      <c r="I153" s="40">
        <v>0</v>
      </c>
      <c r="J153" s="40"/>
      <c r="K153" s="17">
        <v>0</v>
      </c>
      <c r="L153" s="17">
        <v>0</v>
      </c>
      <c r="M153" s="17">
        <v>0</v>
      </c>
      <c r="N153" s="40">
        <v>0</v>
      </c>
      <c r="O153" s="53"/>
      <c r="P153" s="17"/>
      <c r="Q153" s="40"/>
      <c r="R153" s="40">
        <v>12756.232222222221</v>
      </c>
      <c r="S153" s="40">
        <v>12756.232222222221</v>
      </c>
      <c r="T153" s="41"/>
      <c r="U153" s="41"/>
      <c r="V153" s="41"/>
      <c r="W153" s="41"/>
      <c r="X153" s="41"/>
      <c r="Y153" s="41"/>
      <c r="Z153" s="41"/>
      <c r="AA153" s="54"/>
      <c r="AB153" s="43"/>
      <c r="AC153" s="44"/>
      <c r="AD153" s="17">
        <v>12756.232222222221</v>
      </c>
      <c r="AE153"/>
    </row>
    <row r="154" spans="1:31">
      <c r="A154" s="38"/>
      <c r="B154" s="45" t="s">
        <v>660</v>
      </c>
      <c r="C154" s="46">
        <v>0</v>
      </c>
      <c r="D154" s="47">
        <v>0</v>
      </c>
      <c r="E154" s="47">
        <v>0</v>
      </c>
      <c r="F154" s="47">
        <v>0</v>
      </c>
      <c r="G154" s="47">
        <v>0</v>
      </c>
      <c r="H154" s="47">
        <v>0</v>
      </c>
      <c r="I154" s="46">
        <v>0</v>
      </c>
      <c r="J154" s="46">
        <v>0</v>
      </c>
      <c r="K154" s="47">
        <v>0</v>
      </c>
      <c r="L154" s="47">
        <v>0</v>
      </c>
      <c r="M154" s="47">
        <v>0</v>
      </c>
      <c r="N154" s="46">
        <v>0</v>
      </c>
      <c r="O154" s="48">
        <v>0</v>
      </c>
      <c r="P154" s="47">
        <v>0</v>
      </c>
      <c r="Q154" s="46">
        <v>0</v>
      </c>
      <c r="R154" s="46">
        <v>9.9251551446007235E-3</v>
      </c>
      <c r="S154" s="46">
        <v>9.9251551446007235E-3</v>
      </c>
      <c r="T154" s="49">
        <v>0</v>
      </c>
      <c r="U154" s="49">
        <v>0</v>
      </c>
      <c r="V154" s="49">
        <v>0</v>
      </c>
      <c r="W154" s="49">
        <v>0</v>
      </c>
      <c r="X154" s="49">
        <v>0</v>
      </c>
      <c r="Y154" s="49">
        <v>0</v>
      </c>
      <c r="Z154" s="49">
        <v>0</v>
      </c>
      <c r="AA154" s="50">
        <v>0</v>
      </c>
      <c r="AB154" s="51">
        <v>0</v>
      </c>
      <c r="AC154" s="52">
        <v>0</v>
      </c>
      <c r="AD154" s="47">
        <v>9.9251551446007235E-3</v>
      </c>
      <c r="AE154"/>
    </row>
    <row r="155" spans="1:31">
      <c r="A155" s="38"/>
      <c r="B155" s="39" t="s">
        <v>650</v>
      </c>
      <c r="C155" s="40">
        <v>8035.125</v>
      </c>
      <c r="D155" s="17">
        <v>4908.9583333333339</v>
      </c>
      <c r="E155" s="17">
        <v>2896.4166666666665</v>
      </c>
      <c r="F155" s="17">
        <v>491.79166666666669</v>
      </c>
      <c r="G155" s="17"/>
      <c r="H155" s="17"/>
      <c r="I155" s="40">
        <v>16332.291666666666</v>
      </c>
      <c r="J155" s="40"/>
      <c r="K155" s="17">
        <v>0</v>
      </c>
      <c r="L155" s="17">
        <v>0</v>
      </c>
      <c r="M155" s="17">
        <v>0</v>
      </c>
      <c r="N155" s="40">
        <v>0</v>
      </c>
      <c r="O155" s="53"/>
      <c r="P155" s="17"/>
      <c r="Q155" s="40"/>
      <c r="R155" s="40">
        <v>0</v>
      </c>
      <c r="S155" s="40">
        <v>0</v>
      </c>
      <c r="T155" s="41"/>
      <c r="U155" s="41"/>
      <c r="V155" s="41"/>
      <c r="W155" s="41"/>
      <c r="X155" s="41"/>
      <c r="Y155" s="41"/>
      <c r="Z155" s="41"/>
      <c r="AA155" s="54"/>
      <c r="AB155" s="43"/>
      <c r="AC155" s="44"/>
      <c r="AD155" s="17">
        <v>16332.291666666666</v>
      </c>
      <c r="AE155"/>
    </row>
    <row r="156" spans="1:31">
      <c r="A156" s="38"/>
      <c r="B156" s="39" t="s">
        <v>652</v>
      </c>
      <c r="C156" s="40">
        <v>8589.7083333333339</v>
      </c>
      <c r="D156" s="17">
        <v>5322.5</v>
      </c>
      <c r="E156" s="17">
        <v>3065.6666666666665</v>
      </c>
      <c r="F156" s="17">
        <v>524.04166666666663</v>
      </c>
      <c r="G156" s="17"/>
      <c r="H156" s="17"/>
      <c r="I156" s="40">
        <v>17501.916666666668</v>
      </c>
      <c r="J156" s="40"/>
      <c r="K156" s="17">
        <v>0</v>
      </c>
      <c r="L156" s="17">
        <v>0</v>
      </c>
      <c r="M156" s="17">
        <v>0</v>
      </c>
      <c r="N156" s="40">
        <v>0</v>
      </c>
      <c r="O156" s="53"/>
      <c r="P156" s="17"/>
      <c r="Q156" s="40"/>
      <c r="R156" s="40">
        <v>0</v>
      </c>
      <c r="S156" s="40">
        <v>0</v>
      </c>
      <c r="T156" s="41"/>
      <c r="U156" s="41"/>
      <c r="V156" s="41"/>
      <c r="W156" s="41"/>
      <c r="X156" s="41"/>
      <c r="Y156" s="41"/>
      <c r="Z156" s="41"/>
      <c r="AA156" s="54"/>
      <c r="AB156" s="43"/>
      <c r="AC156" s="44"/>
      <c r="AD156" s="17">
        <v>17501.916666666668</v>
      </c>
      <c r="AE156"/>
    </row>
    <row r="157" spans="1:31">
      <c r="A157" s="38"/>
      <c r="B157" s="45" t="s">
        <v>662</v>
      </c>
      <c r="C157" s="46">
        <v>6.9019876272408201E-2</v>
      </c>
      <c r="D157" s="47">
        <v>8.4242244196409494E-2</v>
      </c>
      <c r="E157" s="47">
        <v>5.8434272232931496E-2</v>
      </c>
      <c r="F157" s="47">
        <v>6.5576548335168905E-2</v>
      </c>
      <c r="G157" s="47">
        <v>0</v>
      </c>
      <c r="H157" s="47">
        <v>0</v>
      </c>
      <c r="I157" s="46">
        <v>7.1614261113591537E-2</v>
      </c>
      <c r="J157" s="46">
        <v>0</v>
      </c>
      <c r="K157" s="47">
        <v>0</v>
      </c>
      <c r="L157" s="47">
        <v>0</v>
      </c>
      <c r="M157" s="47">
        <v>0</v>
      </c>
      <c r="N157" s="46">
        <v>0</v>
      </c>
      <c r="O157" s="48">
        <v>0</v>
      </c>
      <c r="P157" s="47">
        <v>0</v>
      </c>
      <c r="Q157" s="46">
        <v>0</v>
      </c>
      <c r="R157" s="46">
        <v>0</v>
      </c>
      <c r="S157" s="46">
        <v>0</v>
      </c>
      <c r="T157" s="49">
        <v>0</v>
      </c>
      <c r="U157" s="49">
        <v>0</v>
      </c>
      <c r="V157" s="49">
        <v>0</v>
      </c>
      <c r="W157" s="49">
        <v>0</v>
      </c>
      <c r="X157" s="49">
        <v>0</v>
      </c>
      <c r="Y157" s="49">
        <v>0</v>
      </c>
      <c r="Z157" s="49">
        <v>0</v>
      </c>
      <c r="AA157" s="50">
        <v>0</v>
      </c>
      <c r="AB157" s="51">
        <v>0</v>
      </c>
      <c r="AC157" s="52">
        <v>0</v>
      </c>
      <c r="AD157" s="47">
        <v>7.1614261113591537E-2</v>
      </c>
      <c r="AE157"/>
    </row>
    <row r="158" spans="1:31">
      <c r="A158" s="38"/>
      <c r="B158" s="39" t="s">
        <v>654</v>
      </c>
      <c r="C158" s="40">
        <v>44857.108333333337</v>
      </c>
      <c r="D158" s="17">
        <v>37241.091666666667</v>
      </c>
      <c r="E158" s="17">
        <v>28621.25</v>
      </c>
      <c r="F158" s="17">
        <v>5876.0916666666672</v>
      </c>
      <c r="G158" s="17"/>
      <c r="H158" s="17"/>
      <c r="I158" s="40">
        <v>116595.54166666669</v>
      </c>
      <c r="J158" s="40"/>
      <c r="K158" s="17">
        <v>28409.85</v>
      </c>
      <c r="L158" s="17">
        <v>25486.266666666663</v>
      </c>
      <c r="M158" s="17">
        <v>1717.9666666666667</v>
      </c>
      <c r="N158" s="40">
        <v>55614.083333333328</v>
      </c>
      <c r="O158" s="53"/>
      <c r="P158" s="17"/>
      <c r="Q158" s="40"/>
      <c r="R158" s="40">
        <v>12630.868888888888</v>
      </c>
      <c r="S158" s="40">
        <v>12630.868888888888</v>
      </c>
      <c r="T158" s="41"/>
      <c r="U158" s="41"/>
      <c r="V158" s="41"/>
      <c r="W158" s="41"/>
      <c r="X158" s="41"/>
      <c r="Y158" s="41"/>
      <c r="Z158" s="41"/>
      <c r="AA158" s="54"/>
      <c r="AB158" s="43"/>
      <c r="AC158" s="44"/>
      <c r="AD158" s="17">
        <v>184840.49388888892</v>
      </c>
      <c r="AE158"/>
    </row>
    <row r="159" spans="1:31">
      <c r="A159" s="38"/>
      <c r="B159" s="39" t="s">
        <v>656</v>
      </c>
      <c r="C159" s="40">
        <v>45476.141666666663</v>
      </c>
      <c r="D159" s="17">
        <v>36206.6</v>
      </c>
      <c r="E159" s="17">
        <v>27402.333333333336</v>
      </c>
      <c r="F159" s="17">
        <v>5553.0083333333332</v>
      </c>
      <c r="G159" s="17"/>
      <c r="H159" s="17"/>
      <c r="I159" s="40">
        <v>114638.08333333334</v>
      </c>
      <c r="J159" s="40"/>
      <c r="K159" s="17">
        <v>24708.066666666669</v>
      </c>
      <c r="L159" s="17">
        <v>22793.766666666666</v>
      </c>
      <c r="M159" s="17">
        <v>1727.2</v>
      </c>
      <c r="N159" s="40">
        <v>49229.033333333333</v>
      </c>
      <c r="O159" s="53"/>
      <c r="P159" s="17"/>
      <c r="Q159" s="40"/>
      <c r="R159" s="40">
        <v>12756.232222222221</v>
      </c>
      <c r="S159" s="40">
        <v>12756.232222222221</v>
      </c>
      <c r="T159" s="41"/>
      <c r="U159" s="41"/>
      <c r="V159" s="41"/>
      <c r="W159" s="41"/>
      <c r="X159" s="41"/>
      <c r="Y159" s="41"/>
      <c r="Z159" s="41"/>
      <c r="AA159" s="54"/>
      <c r="AB159" s="43"/>
      <c r="AC159" s="44"/>
      <c r="AD159" s="17">
        <v>176623.34888888893</v>
      </c>
      <c r="AE159"/>
    </row>
    <row r="160" spans="1:31">
      <c r="A160" s="55"/>
      <c r="B160" s="56" t="s">
        <v>664</v>
      </c>
      <c r="C160" s="46">
        <v>1.3800116778221337E-2</v>
      </c>
      <c r="D160" s="47">
        <v>-2.7778231527853133E-2</v>
      </c>
      <c r="E160" s="47">
        <v>-4.2587820820777021E-2</v>
      </c>
      <c r="F160" s="47">
        <v>-5.4982691159515137E-2</v>
      </c>
      <c r="G160" s="47">
        <v>0</v>
      </c>
      <c r="H160" s="47">
        <v>0</v>
      </c>
      <c r="I160" s="46">
        <v>-1.6788449243878283E-2</v>
      </c>
      <c r="J160" s="46">
        <v>0</v>
      </c>
      <c r="K160" s="47">
        <v>-0.13029929173625801</v>
      </c>
      <c r="L160" s="47">
        <v>-0.10564513175723383</v>
      </c>
      <c r="M160" s="47">
        <v>5.3745707134403159E-3</v>
      </c>
      <c r="N160" s="46">
        <v>-0.11480994772007697</v>
      </c>
      <c r="O160" s="48">
        <v>0</v>
      </c>
      <c r="P160" s="47">
        <v>0</v>
      </c>
      <c r="Q160" s="46">
        <v>0</v>
      </c>
      <c r="R160" s="46">
        <v>9.9251551446007235E-3</v>
      </c>
      <c r="S160" s="46">
        <v>9.9251551446007235E-3</v>
      </c>
      <c r="T160" s="49">
        <v>0</v>
      </c>
      <c r="U160" s="49">
        <v>0</v>
      </c>
      <c r="V160" s="49">
        <v>0</v>
      </c>
      <c r="W160" s="49">
        <v>0</v>
      </c>
      <c r="X160" s="49">
        <v>0</v>
      </c>
      <c r="Y160" s="49">
        <v>0</v>
      </c>
      <c r="Z160" s="49">
        <v>0</v>
      </c>
      <c r="AA160" s="50">
        <v>0</v>
      </c>
      <c r="AB160" s="43">
        <v>0</v>
      </c>
      <c r="AC160" s="44">
        <v>0</v>
      </c>
      <c r="AD160" s="47">
        <v>-4.4455329171212338E-2</v>
      </c>
      <c r="AE160"/>
    </row>
    <row r="161" spans="1:37">
      <c r="A161" s="36" t="s">
        <v>521</v>
      </c>
      <c r="B161" s="24" t="s">
        <v>638</v>
      </c>
      <c r="C161" s="18">
        <v>246060.76666666663</v>
      </c>
      <c r="D161" s="12">
        <v>54374.600000000006</v>
      </c>
      <c r="E161" s="12">
        <v>137657.20000000001</v>
      </c>
      <c r="F161" s="12">
        <v>20899.633333333335</v>
      </c>
      <c r="G161" s="12">
        <v>2163.2333333333331</v>
      </c>
      <c r="H161" s="12"/>
      <c r="I161" s="18">
        <v>461155.43333333335</v>
      </c>
      <c r="J161" s="18">
        <v>24860.433333333334</v>
      </c>
      <c r="K161" s="12">
        <v>329810.33333333337</v>
      </c>
      <c r="L161" s="12">
        <v>78977.400000000009</v>
      </c>
      <c r="M161" s="12">
        <v>13300.966666666669</v>
      </c>
      <c r="N161" s="18">
        <v>446949.13333333342</v>
      </c>
      <c r="O161" s="18">
        <v>69892.53333333334</v>
      </c>
      <c r="P161" s="12">
        <v>69892.53333333334</v>
      </c>
      <c r="Q161" s="18"/>
      <c r="R161" s="18"/>
      <c r="S161" s="18"/>
      <c r="T161" s="20">
        <v>61257.2</v>
      </c>
      <c r="U161" s="20">
        <v>61257.2</v>
      </c>
      <c r="V161" s="20">
        <v>5187.3</v>
      </c>
      <c r="W161" s="20">
        <v>5187.3</v>
      </c>
      <c r="X161" s="20">
        <v>3448.0333333333333</v>
      </c>
      <c r="Y161" s="20">
        <v>3448.0333333333333</v>
      </c>
      <c r="Z161" s="20"/>
      <c r="AA161" s="37"/>
      <c r="AB161" s="22"/>
      <c r="AC161" s="23"/>
      <c r="AD161" s="17">
        <v>1047889.6333333334</v>
      </c>
      <c r="AE161"/>
    </row>
    <row r="162" spans="1:37">
      <c r="A162" s="38"/>
      <c r="B162" s="39" t="s">
        <v>639</v>
      </c>
      <c r="C162" s="40">
        <v>243108.19999999995</v>
      </c>
      <c r="D162" s="17">
        <v>51937.166666666672</v>
      </c>
      <c r="E162" s="17">
        <v>132150.56666666665</v>
      </c>
      <c r="F162" s="17">
        <v>20728.599999999999</v>
      </c>
      <c r="G162" s="17">
        <v>2101.2333333333336</v>
      </c>
      <c r="H162" s="17"/>
      <c r="I162" s="40">
        <v>450025.7666666666</v>
      </c>
      <c r="J162" s="40">
        <v>22565.266666666666</v>
      </c>
      <c r="K162" s="17">
        <v>269371.73333333328</v>
      </c>
      <c r="L162" s="17">
        <v>71129.833333333328</v>
      </c>
      <c r="M162" s="17">
        <v>13193.199999999997</v>
      </c>
      <c r="N162" s="40">
        <v>376260.03333333327</v>
      </c>
      <c r="O162" s="40">
        <v>43091.666666666664</v>
      </c>
      <c r="P162" s="17">
        <v>43091.666666666664</v>
      </c>
      <c r="Q162" s="40"/>
      <c r="R162" s="40"/>
      <c r="S162" s="40"/>
      <c r="T162" s="41">
        <v>0</v>
      </c>
      <c r="U162" s="41">
        <v>0</v>
      </c>
      <c r="V162" s="41">
        <v>0</v>
      </c>
      <c r="W162" s="41">
        <v>0</v>
      </c>
      <c r="X162" s="41">
        <v>0</v>
      </c>
      <c r="Y162" s="41">
        <v>0</v>
      </c>
      <c r="Z162" s="41"/>
      <c r="AA162" s="42"/>
      <c r="AB162" s="43"/>
      <c r="AC162" s="44"/>
      <c r="AD162" s="17">
        <v>869377.46666666656</v>
      </c>
      <c r="AE162"/>
    </row>
    <row r="163" spans="1:37">
      <c r="A163" s="38"/>
      <c r="B163" s="45" t="s">
        <v>658</v>
      </c>
      <c r="C163" s="46">
        <v>-1.1999339458559277E-2</v>
      </c>
      <c r="D163" s="47">
        <v>-4.4826689912814695E-2</v>
      </c>
      <c r="E163" s="47">
        <v>-4.0002508647083913E-2</v>
      </c>
      <c r="F163" s="47">
        <v>-8.1835566493193568E-3</v>
      </c>
      <c r="G163" s="47">
        <v>-2.8660800961523437E-2</v>
      </c>
      <c r="H163" s="47">
        <v>0</v>
      </c>
      <c r="I163" s="46">
        <v>-2.4134306704832298E-2</v>
      </c>
      <c r="J163" s="46">
        <v>-9.2322070009506443E-2</v>
      </c>
      <c r="K163" s="47">
        <v>-0.18325259669446406</v>
      </c>
      <c r="L163" s="47">
        <v>-9.9364712774371908E-2</v>
      </c>
      <c r="M163" s="47">
        <v>-8.1021680128515877E-3</v>
      </c>
      <c r="N163" s="46">
        <v>-0.15815916113944048</v>
      </c>
      <c r="O163" s="48">
        <v>-0.38345822348214603</v>
      </c>
      <c r="P163" s="47">
        <v>-0.38345822348214603</v>
      </c>
      <c r="Q163" s="46">
        <v>0</v>
      </c>
      <c r="R163" s="46">
        <v>0</v>
      </c>
      <c r="S163" s="46">
        <v>0</v>
      </c>
      <c r="T163" s="49">
        <v>-1</v>
      </c>
      <c r="U163" s="49">
        <v>-1</v>
      </c>
      <c r="V163" s="49">
        <v>-1</v>
      </c>
      <c r="W163" s="49">
        <v>-1</v>
      </c>
      <c r="X163" s="49">
        <v>-1</v>
      </c>
      <c r="Y163" s="49">
        <v>-1</v>
      </c>
      <c r="Z163" s="49">
        <v>0</v>
      </c>
      <c r="AA163" s="50">
        <v>0</v>
      </c>
      <c r="AB163" s="51">
        <v>0</v>
      </c>
      <c r="AC163" s="52">
        <v>0</v>
      </c>
      <c r="AD163" s="47">
        <v>-0.1703539771634347</v>
      </c>
      <c r="AE163"/>
    </row>
    <row r="164" spans="1:37">
      <c r="A164" s="38"/>
      <c r="B164" s="39" t="s">
        <v>646</v>
      </c>
      <c r="C164" s="40">
        <v>0</v>
      </c>
      <c r="D164" s="17">
        <v>0</v>
      </c>
      <c r="E164" s="17">
        <v>0</v>
      </c>
      <c r="F164" s="17">
        <v>0</v>
      </c>
      <c r="G164" s="17">
        <v>0</v>
      </c>
      <c r="H164" s="17"/>
      <c r="I164" s="40">
        <v>0</v>
      </c>
      <c r="J164" s="40">
        <v>304.15000000000003</v>
      </c>
      <c r="K164" s="17">
        <v>7218.4255555555565</v>
      </c>
      <c r="L164" s="17">
        <v>2452.4933333333329</v>
      </c>
      <c r="M164" s="17">
        <v>419.53555555555556</v>
      </c>
      <c r="N164" s="40">
        <v>10394.604444444445</v>
      </c>
      <c r="O164" s="53">
        <v>1720.6677777777779</v>
      </c>
      <c r="P164" s="17">
        <v>1720.6677777777779</v>
      </c>
      <c r="Q164" s="40"/>
      <c r="R164" s="40"/>
      <c r="S164" s="40"/>
      <c r="T164" s="41">
        <v>1236.9911111111112</v>
      </c>
      <c r="U164" s="41">
        <v>1236.9911111111112</v>
      </c>
      <c r="V164" s="41">
        <v>466.16555555555556</v>
      </c>
      <c r="W164" s="41">
        <v>466.16555555555556</v>
      </c>
      <c r="X164" s="41">
        <v>17.511111111111113</v>
      </c>
      <c r="Y164" s="41">
        <v>17.511111111111113</v>
      </c>
      <c r="Z164" s="41"/>
      <c r="AA164" s="54"/>
      <c r="AB164" s="43"/>
      <c r="AC164" s="44"/>
      <c r="AD164" s="17">
        <v>13835.94</v>
      </c>
      <c r="AE164"/>
    </row>
    <row r="165" spans="1:37">
      <c r="A165" s="38"/>
      <c r="B165" s="39" t="s">
        <v>648</v>
      </c>
      <c r="C165" s="40">
        <v>0</v>
      </c>
      <c r="D165" s="17">
        <v>0</v>
      </c>
      <c r="E165" s="17">
        <v>0</v>
      </c>
      <c r="F165" s="17">
        <v>0</v>
      </c>
      <c r="G165" s="17">
        <v>0</v>
      </c>
      <c r="H165" s="17"/>
      <c r="I165" s="40">
        <v>0</v>
      </c>
      <c r="J165" s="40">
        <v>336.24111111111108</v>
      </c>
      <c r="K165" s="17">
        <v>6352.1822222222218</v>
      </c>
      <c r="L165" s="17">
        <v>2851.5855555555549</v>
      </c>
      <c r="M165" s="17">
        <v>405.23333333333341</v>
      </c>
      <c r="N165" s="40">
        <v>9945.2422222222212</v>
      </c>
      <c r="O165" s="53">
        <v>1071.1588888888889</v>
      </c>
      <c r="P165" s="17">
        <v>1071.1588888888889</v>
      </c>
      <c r="Q165" s="40"/>
      <c r="R165" s="40"/>
      <c r="S165" s="40"/>
      <c r="T165" s="41">
        <v>0</v>
      </c>
      <c r="U165" s="41">
        <v>0</v>
      </c>
      <c r="V165" s="41">
        <v>0</v>
      </c>
      <c r="W165" s="41">
        <v>0</v>
      </c>
      <c r="X165" s="41">
        <v>0</v>
      </c>
      <c r="Y165" s="41">
        <v>0</v>
      </c>
      <c r="Z165" s="41"/>
      <c r="AA165" s="54"/>
      <c r="AB165" s="43"/>
      <c r="AC165" s="44"/>
      <c r="AD165" s="17">
        <v>11016.40111111111</v>
      </c>
      <c r="AE165"/>
    </row>
    <row r="166" spans="1:37">
      <c r="A166" s="38"/>
      <c r="B166" s="45" t="s">
        <v>660</v>
      </c>
      <c r="C166" s="46">
        <v>0</v>
      </c>
      <c r="D166" s="47">
        <v>0</v>
      </c>
      <c r="E166" s="47">
        <v>0</v>
      </c>
      <c r="F166" s="47">
        <v>0</v>
      </c>
      <c r="G166" s="47">
        <v>0</v>
      </c>
      <c r="H166" s="47">
        <v>0</v>
      </c>
      <c r="I166" s="46">
        <v>0</v>
      </c>
      <c r="J166" s="46">
        <v>0.10551080424498124</v>
      </c>
      <c r="K166" s="47">
        <v>-0.12000447004217465</v>
      </c>
      <c r="L166" s="47">
        <v>0.16272917720016453</v>
      </c>
      <c r="M166" s="47">
        <v>-3.4090608132802784E-2</v>
      </c>
      <c r="N166" s="46">
        <v>-4.3230334027996219E-2</v>
      </c>
      <c r="O166" s="48">
        <v>-0.37747489508272308</v>
      </c>
      <c r="P166" s="47">
        <v>-0.37747489508272308</v>
      </c>
      <c r="Q166" s="46">
        <v>0</v>
      </c>
      <c r="R166" s="46">
        <v>0</v>
      </c>
      <c r="S166" s="46">
        <v>0</v>
      </c>
      <c r="T166" s="49">
        <v>-1</v>
      </c>
      <c r="U166" s="49">
        <v>-1</v>
      </c>
      <c r="V166" s="49">
        <v>-1</v>
      </c>
      <c r="W166" s="49">
        <v>-1</v>
      </c>
      <c r="X166" s="49">
        <v>-1</v>
      </c>
      <c r="Y166" s="49">
        <v>-1</v>
      </c>
      <c r="Z166" s="49">
        <v>0</v>
      </c>
      <c r="AA166" s="50">
        <v>0</v>
      </c>
      <c r="AB166" s="51">
        <v>0</v>
      </c>
      <c r="AC166" s="52">
        <v>0</v>
      </c>
      <c r="AD166" s="47">
        <v>-0.20378368863184518</v>
      </c>
      <c r="AE166"/>
    </row>
    <row r="167" spans="1:37">
      <c r="A167" s="38"/>
      <c r="B167" s="39" t="s">
        <v>650</v>
      </c>
      <c r="C167" s="40">
        <v>54740.666666666664</v>
      </c>
      <c r="D167" s="17">
        <v>9980.9583333333339</v>
      </c>
      <c r="E167" s="17">
        <v>30185.416666666668</v>
      </c>
      <c r="F167" s="17">
        <v>3558.8333333333335</v>
      </c>
      <c r="G167" s="17">
        <v>185.875</v>
      </c>
      <c r="H167" s="17"/>
      <c r="I167" s="40">
        <v>98651.75</v>
      </c>
      <c r="J167" s="40">
        <v>0</v>
      </c>
      <c r="K167" s="17">
        <v>0</v>
      </c>
      <c r="L167" s="17">
        <v>0</v>
      </c>
      <c r="M167" s="17">
        <v>0</v>
      </c>
      <c r="N167" s="40">
        <v>0</v>
      </c>
      <c r="O167" s="53">
        <v>0</v>
      </c>
      <c r="P167" s="17">
        <v>0</v>
      </c>
      <c r="Q167" s="40"/>
      <c r="R167" s="40"/>
      <c r="S167" s="40"/>
      <c r="T167" s="41">
        <v>0</v>
      </c>
      <c r="U167" s="41">
        <v>0</v>
      </c>
      <c r="V167" s="41">
        <v>0</v>
      </c>
      <c r="W167" s="41">
        <v>0</v>
      </c>
      <c r="X167" s="41">
        <v>0</v>
      </c>
      <c r="Y167" s="41">
        <v>0</v>
      </c>
      <c r="Z167" s="41"/>
      <c r="AA167" s="54"/>
      <c r="AB167" s="43"/>
      <c r="AC167" s="44"/>
      <c r="AD167" s="17">
        <v>98651.75</v>
      </c>
      <c r="AE167"/>
    </row>
    <row r="168" spans="1:37">
      <c r="A168" s="38"/>
      <c r="B168" s="39" t="s">
        <v>652</v>
      </c>
      <c r="C168" s="40">
        <v>56129.833333333328</v>
      </c>
      <c r="D168" s="17">
        <v>10595.541666666666</v>
      </c>
      <c r="E168" s="17">
        <v>33029</v>
      </c>
      <c r="F168" s="17">
        <v>3298.208333333333</v>
      </c>
      <c r="G168" s="17">
        <v>205.25</v>
      </c>
      <c r="H168" s="17"/>
      <c r="I168" s="40">
        <v>103257.83333333333</v>
      </c>
      <c r="J168" s="40">
        <v>0</v>
      </c>
      <c r="K168" s="17">
        <v>0</v>
      </c>
      <c r="L168" s="17">
        <v>0</v>
      </c>
      <c r="M168" s="17">
        <v>0</v>
      </c>
      <c r="N168" s="40">
        <v>0</v>
      </c>
      <c r="O168" s="53">
        <v>0</v>
      </c>
      <c r="P168" s="17">
        <v>0</v>
      </c>
      <c r="Q168" s="40"/>
      <c r="R168" s="40"/>
      <c r="S168" s="40"/>
      <c r="T168" s="41">
        <v>0</v>
      </c>
      <c r="U168" s="41">
        <v>0</v>
      </c>
      <c r="V168" s="41">
        <v>0</v>
      </c>
      <c r="W168" s="41">
        <v>0</v>
      </c>
      <c r="X168" s="41">
        <v>0</v>
      </c>
      <c r="Y168" s="41">
        <v>0</v>
      </c>
      <c r="Z168" s="41"/>
      <c r="AA168" s="54"/>
      <c r="AB168" s="43"/>
      <c r="AC168" s="44"/>
      <c r="AD168" s="17">
        <v>103257.83333333333</v>
      </c>
      <c r="AE168"/>
    </row>
    <row r="169" spans="1:37">
      <c r="A169" s="38"/>
      <c r="B169" s="45" t="s">
        <v>662</v>
      </c>
      <c r="C169" s="46">
        <v>2.5377233257419789E-2</v>
      </c>
      <c r="D169" s="47">
        <v>6.1575583506927649E-2</v>
      </c>
      <c r="E169" s="47">
        <v>9.4203878804610355E-2</v>
      </c>
      <c r="F169" s="47">
        <v>-7.3233269329836675E-2</v>
      </c>
      <c r="G169" s="47">
        <v>0.10423671822461332</v>
      </c>
      <c r="H169" s="47">
        <v>0</v>
      </c>
      <c r="I169" s="46">
        <v>4.6690335785562122E-2</v>
      </c>
      <c r="J169" s="46">
        <v>0</v>
      </c>
      <c r="K169" s="47">
        <v>0</v>
      </c>
      <c r="L169" s="47">
        <v>0</v>
      </c>
      <c r="M169" s="47">
        <v>0</v>
      </c>
      <c r="N169" s="46">
        <v>0</v>
      </c>
      <c r="O169" s="48">
        <v>0</v>
      </c>
      <c r="P169" s="47">
        <v>0</v>
      </c>
      <c r="Q169" s="46">
        <v>0</v>
      </c>
      <c r="R169" s="46">
        <v>0</v>
      </c>
      <c r="S169" s="46">
        <v>0</v>
      </c>
      <c r="T169" s="49">
        <v>0</v>
      </c>
      <c r="U169" s="49">
        <v>0</v>
      </c>
      <c r="V169" s="49">
        <v>0</v>
      </c>
      <c r="W169" s="49">
        <v>0</v>
      </c>
      <c r="X169" s="49">
        <v>0</v>
      </c>
      <c r="Y169" s="49">
        <v>0</v>
      </c>
      <c r="Z169" s="49">
        <v>0</v>
      </c>
      <c r="AA169" s="50">
        <v>0</v>
      </c>
      <c r="AB169" s="51">
        <v>0</v>
      </c>
      <c r="AC169" s="52">
        <v>0</v>
      </c>
      <c r="AD169" s="47">
        <v>4.6690335785562122E-2</v>
      </c>
      <c r="AE169"/>
      <c r="AI169" s="1" t="s">
        <v>781</v>
      </c>
      <c r="AJ169" s="1">
        <v>11</v>
      </c>
      <c r="AK169" s="1" t="s">
        <v>682</v>
      </c>
    </row>
    <row r="170" spans="1:37">
      <c r="A170" s="38"/>
      <c r="B170" s="39" t="s">
        <v>654</v>
      </c>
      <c r="C170" s="40">
        <v>300801.43333333335</v>
      </c>
      <c r="D170" s="17">
        <v>64355.558333333334</v>
      </c>
      <c r="E170" s="17">
        <v>167842.6166666667</v>
      </c>
      <c r="F170" s="17">
        <v>24458.466666666667</v>
      </c>
      <c r="G170" s="17">
        <v>2349.1083333333331</v>
      </c>
      <c r="H170" s="17"/>
      <c r="I170" s="40">
        <v>559807.18333333335</v>
      </c>
      <c r="J170" s="40">
        <v>25164.583333333332</v>
      </c>
      <c r="K170" s="17">
        <v>337028.75888888899</v>
      </c>
      <c r="L170" s="17">
        <v>81429.893333333341</v>
      </c>
      <c r="M170" s="17">
        <v>13720.502222222223</v>
      </c>
      <c r="N170" s="40">
        <v>457343.73777777789</v>
      </c>
      <c r="O170" s="53">
        <v>71613.201111111121</v>
      </c>
      <c r="P170" s="17">
        <v>71613.201111111121</v>
      </c>
      <c r="Q170" s="40"/>
      <c r="R170" s="40"/>
      <c r="S170" s="40"/>
      <c r="T170" s="41">
        <v>62494.191111111111</v>
      </c>
      <c r="U170" s="41">
        <v>62494.191111111111</v>
      </c>
      <c r="V170" s="41">
        <v>5653.4655555555555</v>
      </c>
      <c r="W170" s="41">
        <v>5653.4655555555555</v>
      </c>
      <c r="X170" s="41">
        <v>3465.5444444444443</v>
      </c>
      <c r="Y170" s="41">
        <v>3465.5444444444443</v>
      </c>
      <c r="Z170" s="41"/>
      <c r="AA170" s="54"/>
      <c r="AB170" s="43"/>
      <c r="AC170" s="44"/>
      <c r="AD170" s="17">
        <v>1160377.3233333335</v>
      </c>
      <c r="AE170"/>
      <c r="AI170" s="1">
        <f>+GETPIVOTDATA("Sum of Old Grand Total FTE",$A$2,"State","TX","Category","10","Category2","Two-Year")-GETPIVOTDATA("Sum of Old Grand Total FTE",$A$2,"State","TX","Category","10b","Category2","10b")</f>
        <v>10254.957777777779</v>
      </c>
      <c r="AJ170" s="1">
        <f>+GETPIVOTDATA("Sum of Old Grand Total FTE",$A$2,"State","TX","Category","11","Category2","11")</f>
        <v>71613.201111111121</v>
      </c>
      <c r="AK170" s="1">
        <f>SUM(AF170:AJ170)</f>
        <v>81868.158888888895</v>
      </c>
    </row>
    <row r="171" spans="1:37">
      <c r="A171" s="38"/>
      <c r="B171" s="39" t="s">
        <v>656</v>
      </c>
      <c r="C171" s="40">
        <v>299238.03333333333</v>
      </c>
      <c r="D171" s="17">
        <v>62532.708333333328</v>
      </c>
      <c r="E171" s="17">
        <v>165179.56666666665</v>
      </c>
      <c r="F171" s="17">
        <v>24026.808333333334</v>
      </c>
      <c r="G171" s="17">
        <v>2306.4833333333336</v>
      </c>
      <c r="H171" s="17"/>
      <c r="I171" s="40">
        <v>553283.6</v>
      </c>
      <c r="J171" s="40">
        <v>22901.507777777777</v>
      </c>
      <c r="K171" s="17">
        <v>275723.91555555555</v>
      </c>
      <c r="L171" s="17">
        <v>73981.418888888889</v>
      </c>
      <c r="M171" s="17">
        <v>13598.433333333332</v>
      </c>
      <c r="N171" s="40">
        <v>386205.27555555559</v>
      </c>
      <c r="O171" s="53">
        <v>44162.825555555552</v>
      </c>
      <c r="P171" s="17">
        <v>44162.825555555552</v>
      </c>
      <c r="Q171" s="40"/>
      <c r="R171" s="40"/>
      <c r="S171" s="40"/>
      <c r="T171" s="41">
        <v>0</v>
      </c>
      <c r="U171" s="41">
        <v>0</v>
      </c>
      <c r="V171" s="41">
        <v>0</v>
      </c>
      <c r="W171" s="41">
        <v>0</v>
      </c>
      <c r="X171" s="41">
        <v>0</v>
      </c>
      <c r="Y171" s="41">
        <v>0</v>
      </c>
      <c r="Z171" s="41"/>
      <c r="AA171" s="54"/>
      <c r="AB171" s="43"/>
      <c r="AC171" s="44"/>
      <c r="AD171" s="17">
        <v>983651.70111111098</v>
      </c>
      <c r="AE171"/>
      <c r="AI171" s="1">
        <f>+GETPIVOTDATA("Sum of NEW Grand Total FTE",$A$2,"State","TX","Category","10","Category2","Two-Year")-GETPIVOTDATA("Sum of NEW Grand Total FTE",$A$2,"State","TX","Category","10b","Category2","10b")</f>
        <v>13598.433333333332</v>
      </c>
      <c r="AJ171" s="1">
        <f>+GETPIVOTDATA("Sum of NEW Grand Total FTE",$A$2,"State","TX","Category","11","Category2","11")</f>
        <v>44162.825555555552</v>
      </c>
      <c r="AK171" s="1">
        <f>SUM(AF171:AJ171)</f>
        <v>57761.258888888886</v>
      </c>
    </row>
    <row r="172" spans="1:37">
      <c r="A172" s="55"/>
      <c r="B172" s="56" t="s">
        <v>664</v>
      </c>
      <c r="C172" s="46">
        <v>-5.1974486380440225E-3</v>
      </c>
      <c r="D172" s="47">
        <v>-2.8324670738748763E-2</v>
      </c>
      <c r="E172" s="47">
        <v>-1.5866351781733897E-2</v>
      </c>
      <c r="F172" s="47">
        <v>-1.7648626106297187E-2</v>
      </c>
      <c r="G172" s="47">
        <v>-1.8145182746644811E-2</v>
      </c>
      <c r="H172" s="47">
        <v>0</v>
      </c>
      <c r="I172" s="46">
        <v>-1.1653268353022751E-2</v>
      </c>
      <c r="J172" s="46">
        <v>-8.993097662610039E-2</v>
      </c>
      <c r="K172" s="47">
        <v>-0.18189795890250512</v>
      </c>
      <c r="L172" s="47">
        <v>-9.1471008244529001E-2</v>
      </c>
      <c r="M172" s="47">
        <v>-8.896823666642727E-3</v>
      </c>
      <c r="N172" s="46">
        <v>-0.15554703463937741</v>
      </c>
      <c r="O172" s="48">
        <v>-0.38331446059735647</v>
      </c>
      <c r="P172" s="47">
        <v>-0.38331446059735647</v>
      </c>
      <c r="Q172" s="46">
        <v>0</v>
      </c>
      <c r="R172" s="46">
        <v>0</v>
      </c>
      <c r="S172" s="46">
        <v>0</v>
      </c>
      <c r="T172" s="49">
        <v>-1</v>
      </c>
      <c r="U172" s="49">
        <v>-1</v>
      </c>
      <c r="V172" s="49">
        <v>-1</v>
      </c>
      <c r="W172" s="49">
        <v>-1</v>
      </c>
      <c r="X172" s="49">
        <v>-1</v>
      </c>
      <c r="Y172" s="49">
        <v>-1</v>
      </c>
      <c r="Z172" s="49">
        <v>0</v>
      </c>
      <c r="AA172" s="50">
        <v>0</v>
      </c>
      <c r="AB172" s="43">
        <v>0</v>
      </c>
      <c r="AC172" s="44">
        <v>0</v>
      </c>
      <c r="AD172" s="47">
        <v>-0.15230013433436901</v>
      </c>
      <c r="AE172"/>
    </row>
    <row r="173" spans="1:37">
      <c r="A173" s="36" t="s">
        <v>619</v>
      </c>
      <c r="B173" s="24" t="s">
        <v>638</v>
      </c>
      <c r="C173" s="18">
        <v>110592.53333333334</v>
      </c>
      <c r="D173" s="12">
        <v>6086.6766666666663</v>
      </c>
      <c r="E173" s="12">
        <v>30750.799999999999</v>
      </c>
      <c r="F173" s="12">
        <v>4560.0666666666666</v>
      </c>
      <c r="G173" s="12">
        <v>12135.466666666667</v>
      </c>
      <c r="H173" s="12">
        <v>1527.3666666666666</v>
      </c>
      <c r="I173" s="18">
        <v>165652.91000000003</v>
      </c>
      <c r="J173" s="18"/>
      <c r="K173" s="12">
        <v>53313.833333333336</v>
      </c>
      <c r="L173" s="12">
        <v>25917.966666666667</v>
      </c>
      <c r="M173" s="12">
        <v>15795.666666666668</v>
      </c>
      <c r="N173" s="18">
        <v>95027.466666666674</v>
      </c>
      <c r="O173" s="18">
        <v>93799.2</v>
      </c>
      <c r="P173" s="12">
        <v>93799.2</v>
      </c>
      <c r="Q173" s="18"/>
      <c r="R173" s="18"/>
      <c r="S173" s="18"/>
      <c r="T173" s="20">
        <v>57725.333333333336</v>
      </c>
      <c r="U173" s="20">
        <v>57725.333333333336</v>
      </c>
      <c r="V173" s="20">
        <v>23497.866666666665</v>
      </c>
      <c r="W173" s="20">
        <v>23497.866666666665</v>
      </c>
      <c r="X173" s="20">
        <v>13804.266666666666</v>
      </c>
      <c r="Y173" s="20">
        <v>13804.266666666666</v>
      </c>
      <c r="Z173" s="20"/>
      <c r="AA173" s="37"/>
      <c r="AB173" s="22"/>
      <c r="AC173" s="23"/>
      <c r="AD173" s="17">
        <v>449507.04333333333</v>
      </c>
      <c r="AE173"/>
    </row>
    <row r="174" spans="1:37">
      <c r="A174" s="38"/>
      <c r="B174" s="39" t="s">
        <v>639</v>
      </c>
      <c r="C174" s="40">
        <v>109856.13333333332</v>
      </c>
      <c r="D174" s="17">
        <v>6202.8166666666666</v>
      </c>
      <c r="E174" s="17">
        <v>29982.066666666669</v>
      </c>
      <c r="F174" s="17">
        <v>4445.2333333333336</v>
      </c>
      <c r="G174" s="17">
        <v>11268.733333333334</v>
      </c>
      <c r="H174" s="17">
        <v>1552.5</v>
      </c>
      <c r="I174" s="40">
        <v>163307.48333333334</v>
      </c>
      <c r="J174" s="40"/>
      <c r="K174" s="17">
        <v>51690.666666666664</v>
      </c>
      <c r="L174" s="17">
        <v>24733.466666666667</v>
      </c>
      <c r="M174" s="17">
        <v>15071.65</v>
      </c>
      <c r="N174" s="40">
        <v>91495.783333333326</v>
      </c>
      <c r="O174" s="40">
        <v>90410.916666666672</v>
      </c>
      <c r="P174" s="17">
        <v>90410.916666666672</v>
      </c>
      <c r="Q174" s="40"/>
      <c r="R174" s="40"/>
      <c r="S174" s="40"/>
      <c r="T174" s="41">
        <v>55638.466666666667</v>
      </c>
      <c r="U174" s="41">
        <v>55638.466666666667</v>
      </c>
      <c r="V174" s="41">
        <v>22662.633333333335</v>
      </c>
      <c r="W174" s="41">
        <v>22662.633333333335</v>
      </c>
      <c r="X174" s="41">
        <v>13194.683333333334</v>
      </c>
      <c r="Y174" s="41">
        <v>13194.683333333334</v>
      </c>
      <c r="Z174" s="41"/>
      <c r="AA174" s="42"/>
      <c r="AB174" s="43"/>
      <c r="AC174" s="44"/>
      <c r="AD174" s="17">
        <v>436709.96666666673</v>
      </c>
      <c r="AE174"/>
    </row>
    <row r="175" spans="1:37">
      <c r="A175" s="38"/>
      <c r="B175" s="45" t="s">
        <v>658</v>
      </c>
      <c r="C175" s="46">
        <v>-6.658677379063776E-3</v>
      </c>
      <c r="D175" s="47">
        <v>1.9081020129758878E-2</v>
      </c>
      <c r="E175" s="47">
        <v>-2.4998807619097063E-2</v>
      </c>
      <c r="F175" s="47">
        <v>-2.5182380374555863E-2</v>
      </c>
      <c r="G175" s="47">
        <v>-7.1421508306231882E-2</v>
      </c>
      <c r="H175" s="47">
        <v>1.6455337072521403E-2</v>
      </c>
      <c r="I175" s="46">
        <v>-1.4158680741960548E-2</v>
      </c>
      <c r="J175" s="46">
        <v>0</v>
      </c>
      <c r="K175" s="47">
        <v>-3.044550663836474E-2</v>
      </c>
      <c r="L175" s="47">
        <v>-4.5701887622357204E-2</v>
      </c>
      <c r="M175" s="47">
        <v>-4.5836410829974562E-2</v>
      </c>
      <c r="N175" s="46">
        <v>-3.7164868823890924E-2</v>
      </c>
      <c r="O175" s="48">
        <v>-3.6122731679303507E-2</v>
      </c>
      <c r="P175" s="47">
        <v>-3.6122731679303507E-2</v>
      </c>
      <c r="Q175" s="46">
        <v>0</v>
      </c>
      <c r="R175" s="46">
        <v>0</v>
      </c>
      <c r="S175" s="46">
        <v>0</v>
      </c>
      <c r="T175" s="49">
        <v>-3.6151660738208559E-2</v>
      </c>
      <c r="U175" s="49">
        <v>-3.6151660738208559E-2</v>
      </c>
      <c r="V175" s="49">
        <v>-3.5545070758196344E-2</v>
      </c>
      <c r="W175" s="49">
        <v>-3.5545070758196344E-2</v>
      </c>
      <c r="X175" s="49">
        <v>-4.4159052273693072E-2</v>
      </c>
      <c r="Y175" s="49">
        <v>-4.4159052273693072E-2</v>
      </c>
      <c r="Z175" s="49">
        <v>0</v>
      </c>
      <c r="AA175" s="50">
        <v>0</v>
      </c>
      <c r="AB175" s="51">
        <v>0</v>
      </c>
      <c r="AC175" s="52">
        <v>0</v>
      </c>
      <c r="AD175" s="47">
        <v>-2.846913492560562E-2</v>
      </c>
      <c r="AE175"/>
    </row>
    <row r="176" spans="1:37">
      <c r="A176" s="38"/>
      <c r="B176" s="39" t="s">
        <v>646</v>
      </c>
      <c r="C176" s="40">
        <v>0</v>
      </c>
      <c r="D176" s="17">
        <v>0</v>
      </c>
      <c r="E176" s="17">
        <v>0</v>
      </c>
      <c r="F176" s="17">
        <v>0</v>
      </c>
      <c r="G176" s="17">
        <v>0</v>
      </c>
      <c r="H176" s="17">
        <v>0</v>
      </c>
      <c r="I176" s="40">
        <v>0</v>
      </c>
      <c r="J176" s="40"/>
      <c r="K176" s="17">
        <v>0</v>
      </c>
      <c r="L176" s="17">
        <v>0</v>
      </c>
      <c r="M176" s="17">
        <v>0</v>
      </c>
      <c r="N176" s="40">
        <v>0</v>
      </c>
      <c r="O176" s="53">
        <v>0</v>
      </c>
      <c r="P176" s="17">
        <v>0</v>
      </c>
      <c r="Q176" s="40"/>
      <c r="R176" s="40"/>
      <c r="S176" s="40"/>
      <c r="T176" s="41">
        <v>0</v>
      </c>
      <c r="U176" s="41">
        <v>0</v>
      </c>
      <c r="V176" s="41">
        <v>0</v>
      </c>
      <c r="W176" s="41">
        <v>0</v>
      </c>
      <c r="X176" s="41">
        <v>0</v>
      </c>
      <c r="Y176" s="41">
        <v>0</v>
      </c>
      <c r="Z176" s="41"/>
      <c r="AA176" s="54"/>
      <c r="AB176" s="43"/>
      <c r="AC176" s="44"/>
      <c r="AD176" s="17">
        <v>0</v>
      </c>
      <c r="AE176"/>
    </row>
    <row r="177" spans="1:37">
      <c r="A177" s="38"/>
      <c r="B177" s="39" t="s">
        <v>648</v>
      </c>
      <c r="C177" s="40">
        <v>0</v>
      </c>
      <c r="D177" s="17">
        <v>0</v>
      </c>
      <c r="E177" s="17">
        <v>0</v>
      </c>
      <c r="F177" s="17">
        <v>0</v>
      </c>
      <c r="G177" s="17">
        <v>0</v>
      </c>
      <c r="H177" s="17">
        <v>0</v>
      </c>
      <c r="I177" s="40">
        <v>0</v>
      </c>
      <c r="J177" s="40"/>
      <c r="K177" s="17">
        <v>0</v>
      </c>
      <c r="L177" s="17">
        <v>0</v>
      </c>
      <c r="M177" s="17">
        <v>0</v>
      </c>
      <c r="N177" s="40">
        <v>0</v>
      </c>
      <c r="O177" s="53">
        <v>0</v>
      </c>
      <c r="P177" s="17">
        <v>0</v>
      </c>
      <c r="Q177" s="40"/>
      <c r="R177" s="40"/>
      <c r="S177" s="40"/>
      <c r="T177" s="41">
        <v>0</v>
      </c>
      <c r="U177" s="41">
        <v>0</v>
      </c>
      <c r="V177" s="41">
        <v>0</v>
      </c>
      <c r="W177" s="41">
        <v>0</v>
      </c>
      <c r="X177" s="41">
        <v>0</v>
      </c>
      <c r="Y177" s="41">
        <v>0</v>
      </c>
      <c r="Z177" s="41"/>
      <c r="AA177" s="54"/>
      <c r="AB177" s="43"/>
      <c r="AC177" s="44"/>
      <c r="AD177" s="17">
        <v>0</v>
      </c>
      <c r="AE177"/>
    </row>
    <row r="178" spans="1:37">
      <c r="A178" s="38"/>
      <c r="B178" s="45" t="s">
        <v>660</v>
      </c>
      <c r="C178" s="46">
        <v>0</v>
      </c>
      <c r="D178" s="47">
        <v>0</v>
      </c>
      <c r="E178" s="47">
        <v>0</v>
      </c>
      <c r="F178" s="47">
        <v>0</v>
      </c>
      <c r="G178" s="47">
        <v>0</v>
      </c>
      <c r="H178" s="47">
        <v>0</v>
      </c>
      <c r="I178" s="46">
        <v>0</v>
      </c>
      <c r="J178" s="46">
        <v>0</v>
      </c>
      <c r="K178" s="47">
        <v>0</v>
      </c>
      <c r="L178" s="47">
        <v>0</v>
      </c>
      <c r="M178" s="47">
        <v>0</v>
      </c>
      <c r="N178" s="46">
        <v>0</v>
      </c>
      <c r="O178" s="48">
        <v>0</v>
      </c>
      <c r="P178" s="47">
        <v>0</v>
      </c>
      <c r="Q178" s="46">
        <v>0</v>
      </c>
      <c r="R178" s="46">
        <v>0</v>
      </c>
      <c r="S178" s="46">
        <v>0</v>
      </c>
      <c r="T178" s="49">
        <v>0</v>
      </c>
      <c r="U178" s="49">
        <v>0</v>
      </c>
      <c r="V178" s="49">
        <v>0</v>
      </c>
      <c r="W178" s="49">
        <v>0</v>
      </c>
      <c r="X178" s="49">
        <v>0</v>
      </c>
      <c r="Y178" s="49">
        <v>0</v>
      </c>
      <c r="Z178" s="49">
        <v>0</v>
      </c>
      <c r="AA178" s="50">
        <v>0</v>
      </c>
      <c r="AB178" s="51">
        <v>0</v>
      </c>
      <c r="AC178" s="52">
        <v>0</v>
      </c>
      <c r="AD178" s="47">
        <v>0</v>
      </c>
      <c r="AE178"/>
    </row>
    <row r="179" spans="1:37">
      <c r="A179" s="38"/>
      <c r="B179" s="39" t="s">
        <v>650</v>
      </c>
      <c r="C179" s="40">
        <v>30006.958333333336</v>
      </c>
      <c r="D179" s="17">
        <v>2588.8958333333335</v>
      </c>
      <c r="E179" s="17">
        <v>3428.8749999999995</v>
      </c>
      <c r="F179" s="17">
        <v>353.04166666666669</v>
      </c>
      <c r="G179" s="17">
        <v>937.48333333333335</v>
      </c>
      <c r="H179" s="17">
        <v>0</v>
      </c>
      <c r="I179" s="40">
        <v>37315.254166666658</v>
      </c>
      <c r="J179" s="40"/>
      <c r="K179" s="17">
        <v>0</v>
      </c>
      <c r="L179" s="17">
        <v>0</v>
      </c>
      <c r="M179" s="17">
        <v>0</v>
      </c>
      <c r="N179" s="40">
        <v>0</v>
      </c>
      <c r="O179" s="53">
        <v>0</v>
      </c>
      <c r="P179" s="17">
        <v>0</v>
      </c>
      <c r="Q179" s="40"/>
      <c r="R179" s="40"/>
      <c r="S179" s="40"/>
      <c r="T179" s="41">
        <v>0</v>
      </c>
      <c r="U179" s="41">
        <v>0</v>
      </c>
      <c r="V179" s="41">
        <v>0</v>
      </c>
      <c r="W179" s="41">
        <v>0</v>
      </c>
      <c r="X179" s="41">
        <v>0</v>
      </c>
      <c r="Y179" s="41">
        <v>0</v>
      </c>
      <c r="Z179" s="41"/>
      <c r="AA179" s="54"/>
      <c r="AB179" s="43"/>
      <c r="AC179" s="44"/>
      <c r="AD179" s="17">
        <v>37315.254166666658</v>
      </c>
      <c r="AE179"/>
    </row>
    <row r="180" spans="1:37">
      <c r="A180" s="38"/>
      <c r="B180" s="39" t="s">
        <v>652</v>
      </c>
      <c r="C180" s="40">
        <v>31344.729166666664</v>
      </c>
      <c r="D180" s="17">
        <v>2806.625</v>
      </c>
      <c r="E180" s="17">
        <v>3375.0499999999997</v>
      </c>
      <c r="F180" s="17">
        <v>340.54166666666669</v>
      </c>
      <c r="G180" s="17">
        <v>1197.825</v>
      </c>
      <c r="H180" s="17">
        <v>0</v>
      </c>
      <c r="I180" s="40">
        <v>39064.770833333328</v>
      </c>
      <c r="J180" s="40"/>
      <c r="K180" s="17">
        <v>0</v>
      </c>
      <c r="L180" s="17">
        <v>0</v>
      </c>
      <c r="M180" s="17">
        <v>0</v>
      </c>
      <c r="N180" s="40">
        <v>0</v>
      </c>
      <c r="O180" s="53">
        <v>0</v>
      </c>
      <c r="P180" s="17">
        <v>0</v>
      </c>
      <c r="Q180" s="40"/>
      <c r="R180" s="40"/>
      <c r="S180" s="40"/>
      <c r="T180" s="41">
        <v>0</v>
      </c>
      <c r="U180" s="41">
        <v>0</v>
      </c>
      <c r="V180" s="41">
        <v>0</v>
      </c>
      <c r="W180" s="41">
        <v>0</v>
      </c>
      <c r="X180" s="41">
        <v>0</v>
      </c>
      <c r="Y180" s="41">
        <v>0</v>
      </c>
      <c r="Z180" s="41"/>
      <c r="AA180" s="54"/>
      <c r="AB180" s="43"/>
      <c r="AC180" s="44"/>
      <c r="AD180" s="17">
        <v>39064.770833333328</v>
      </c>
      <c r="AE180"/>
    </row>
    <row r="181" spans="1:37">
      <c r="A181" s="38"/>
      <c r="B181" s="45" t="s">
        <v>662</v>
      </c>
      <c r="C181" s="46">
        <v>4.4582020559120153E-2</v>
      </c>
      <c r="D181" s="47">
        <v>8.410116925652017E-2</v>
      </c>
      <c r="E181" s="47">
        <v>-1.5697568444460595E-2</v>
      </c>
      <c r="F181" s="47">
        <v>-3.5406585624926233E-2</v>
      </c>
      <c r="G181" s="47">
        <v>0.2777027147149283</v>
      </c>
      <c r="H181" s="47">
        <v>0</v>
      </c>
      <c r="I181" s="46">
        <v>4.6884758143480719E-2</v>
      </c>
      <c r="J181" s="46">
        <v>0</v>
      </c>
      <c r="K181" s="47">
        <v>0</v>
      </c>
      <c r="L181" s="47">
        <v>0</v>
      </c>
      <c r="M181" s="47">
        <v>0</v>
      </c>
      <c r="N181" s="46">
        <v>0</v>
      </c>
      <c r="O181" s="48">
        <v>0</v>
      </c>
      <c r="P181" s="47">
        <v>0</v>
      </c>
      <c r="Q181" s="46">
        <v>0</v>
      </c>
      <c r="R181" s="46">
        <v>0</v>
      </c>
      <c r="S181" s="46">
        <v>0</v>
      </c>
      <c r="T181" s="49">
        <v>0</v>
      </c>
      <c r="U181" s="49">
        <v>0</v>
      </c>
      <c r="V181" s="49">
        <v>0</v>
      </c>
      <c r="W181" s="49">
        <v>0</v>
      </c>
      <c r="X181" s="49">
        <v>0</v>
      </c>
      <c r="Y181" s="49">
        <v>0</v>
      </c>
      <c r="Z181" s="49">
        <v>0</v>
      </c>
      <c r="AA181" s="50">
        <v>0</v>
      </c>
      <c r="AB181" s="51">
        <v>0</v>
      </c>
      <c r="AC181" s="52">
        <v>0</v>
      </c>
      <c r="AD181" s="47">
        <v>4.6884758143480719E-2</v>
      </c>
      <c r="AE181"/>
      <c r="AF181" s="59"/>
      <c r="AG181" s="60"/>
      <c r="AI181" s="1" t="s">
        <v>616</v>
      </c>
      <c r="AJ181" s="1">
        <v>11</v>
      </c>
      <c r="AK181" s="1" t="s">
        <v>682</v>
      </c>
    </row>
    <row r="182" spans="1:37">
      <c r="A182" s="38"/>
      <c r="B182" s="39" t="s">
        <v>654</v>
      </c>
      <c r="C182" s="40">
        <v>140599.49166666667</v>
      </c>
      <c r="D182" s="17">
        <v>8675.5725000000002</v>
      </c>
      <c r="E182" s="17">
        <v>34179.675000000003</v>
      </c>
      <c r="F182" s="17">
        <v>4913.1083333333336</v>
      </c>
      <c r="G182" s="17">
        <v>13072.95</v>
      </c>
      <c r="H182" s="17">
        <v>1527.3666666666666</v>
      </c>
      <c r="I182" s="40">
        <v>202968.16416666671</v>
      </c>
      <c r="J182" s="40"/>
      <c r="K182" s="17">
        <v>53313.833333333336</v>
      </c>
      <c r="L182" s="17">
        <v>25917.966666666667</v>
      </c>
      <c r="M182" s="17">
        <v>15795.666666666668</v>
      </c>
      <c r="N182" s="40">
        <v>95027.466666666674</v>
      </c>
      <c r="O182" s="53">
        <v>93799.2</v>
      </c>
      <c r="P182" s="17">
        <v>93799.2</v>
      </c>
      <c r="Q182" s="40"/>
      <c r="R182" s="40"/>
      <c r="S182" s="40"/>
      <c r="T182" s="41">
        <v>57725.333333333336</v>
      </c>
      <c r="U182" s="41">
        <v>57725.333333333336</v>
      </c>
      <c r="V182" s="41">
        <v>23497.866666666665</v>
      </c>
      <c r="W182" s="41">
        <v>23497.866666666665</v>
      </c>
      <c r="X182" s="41">
        <v>13804.266666666666</v>
      </c>
      <c r="Y182" s="41">
        <v>13804.266666666666</v>
      </c>
      <c r="Z182" s="41"/>
      <c r="AA182" s="54"/>
      <c r="AB182" s="43"/>
      <c r="AC182" s="44"/>
      <c r="AD182" s="17">
        <v>486822.29750000004</v>
      </c>
      <c r="AE182"/>
      <c r="AF182" s="61"/>
      <c r="AI182" s="1">
        <f>+GETPIVOTDATA("Sum of Old Grand Total FTE",$A$2,"State","VA","Category","10b","Category2","10b")</f>
        <v>13804.266666666666</v>
      </c>
      <c r="AJ182" s="1">
        <f>+GETPIVOTDATA("Sum of Old Grand Total FTE",$A$2,"State","VA","Category","11","Category2","11")</f>
        <v>93799.2</v>
      </c>
      <c r="AK182" s="1">
        <f>+AJ182+AI182</f>
        <v>107603.46666666666</v>
      </c>
    </row>
    <row r="183" spans="1:37">
      <c r="A183" s="38"/>
      <c r="B183" s="39" t="s">
        <v>656</v>
      </c>
      <c r="C183" s="40">
        <v>141200.86249999999</v>
      </c>
      <c r="D183" s="17">
        <v>9009.4416666666657</v>
      </c>
      <c r="E183" s="17">
        <v>33357.116666666669</v>
      </c>
      <c r="F183" s="17">
        <v>4785.7750000000005</v>
      </c>
      <c r="G183" s="17">
        <v>12466.558333333334</v>
      </c>
      <c r="H183" s="17">
        <v>1552.5</v>
      </c>
      <c r="I183" s="40">
        <v>202372.25416666665</v>
      </c>
      <c r="J183" s="40"/>
      <c r="K183" s="17">
        <v>51690.666666666664</v>
      </c>
      <c r="L183" s="17">
        <v>24733.466666666667</v>
      </c>
      <c r="M183" s="17">
        <v>15071.65</v>
      </c>
      <c r="N183" s="40">
        <v>91495.783333333326</v>
      </c>
      <c r="O183" s="53">
        <v>90410.916666666672</v>
      </c>
      <c r="P183" s="17">
        <v>90410.916666666672</v>
      </c>
      <c r="Q183" s="40"/>
      <c r="R183" s="40"/>
      <c r="S183" s="40"/>
      <c r="T183" s="41">
        <v>55638.466666666667</v>
      </c>
      <c r="U183" s="41">
        <v>55638.466666666667</v>
      </c>
      <c r="V183" s="41">
        <v>22662.633333333335</v>
      </c>
      <c r="W183" s="41">
        <v>22662.633333333335</v>
      </c>
      <c r="X183" s="41">
        <v>13194.683333333334</v>
      </c>
      <c r="Y183" s="41">
        <v>13194.683333333334</v>
      </c>
      <c r="Z183" s="41"/>
      <c r="AA183" s="54"/>
      <c r="AB183" s="43"/>
      <c r="AC183" s="44"/>
      <c r="AD183" s="17">
        <v>475774.73750000005</v>
      </c>
      <c r="AE183"/>
      <c r="AF183" s="61"/>
      <c r="AI183" s="1">
        <f>+GETPIVOTDATA("Sum of NEW Grand Total FTE",$A$2,"State","VA","Category","10b","Category2","10b")</f>
        <v>13194.683333333334</v>
      </c>
      <c r="AJ183" s="1">
        <f>+GETPIVOTDATA("Sum of NEW Grand Total FTE",$A$2,"State","VA","Category","11","Category2","11")</f>
        <v>90410.916666666672</v>
      </c>
      <c r="AK183" s="1">
        <f>+AJ183+AI183</f>
        <v>103605.6</v>
      </c>
    </row>
    <row r="184" spans="1:37">
      <c r="A184" s="55"/>
      <c r="B184" s="56" t="s">
        <v>664</v>
      </c>
      <c r="C184" s="46">
        <v>4.2771906655185493E-3</v>
      </c>
      <c r="D184" s="47">
        <v>3.848381955965044E-2</v>
      </c>
      <c r="E184" s="47">
        <v>-2.4065715467842634E-2</v>
      </c>
      <c r="F184" s="47">
        <v>-2.5917062009284623E-2</v>
      </c>
      <c r="G184" s="47">
        <v>-4.6385220372346443E-2</v>
      </c>
      <c r="H184" s="47">
        <v>1.6455337072521403E-2</v>
      </c>
      <c r="I184" s="46">
        <v>-2.9359776812617464E-3</v>
      </c>
      <c r="J184" s="46">
        <v>0</v>
      </c>
      <c r="K184" s="47">
        <v>-3.044550663836474E-2</v>
      </c>
      <c r="L184" s="47">
        <v>-4.5701887622357204E-2</v>
      </c>
      <c r="M184" s="47">
        <v>-4.5836410829974562E-2</v>
      </c>
      <c r="N184" s="46">
        <v>-3.7164868823890924E-2</v>
      </c>
      <c r="O184" s="48">
        <v>-3.6122731679303507E-2</v>
      </c>
      <c r="P184" s="47">
        <v>-3.6122731679303507E-2</v>
      </c>
      <c r="Q184" s="46">
        <v>0</v>
      </c>
      <c r="R184" s="46">
        <v>0</v>
      </c>
      <c r="S184" s="46">
        <v>0</v>
      </c>
      <c r="T184" s="49">
        <v>-3.6151660738208559E-2</v>
      </c>
      <c r="U184" s="49">
        <v>-3.6151660738208559E-2</v>
      </c>
      <c r="V184" s="49">
        <v>-3.5545070758196344E-2</v>
      </c>
      <c r="W184" s="49">
        <v>-3.5545070758196344E-2</v>
      </c>
      <c r="X184" s="49">
        <v>-4.4159052273693072E-2</v>
      </c>
      <c r="Y184" s="49">
        <v>-4.4159052273693072E-2</v>
      </c>
      <c r="Z184" s="49">
        <v>0</v>
      </c>
      <c r="AA184" s="50">
        <v>0</v>
      </c>
      <c r="AB184" s="43">
        <v>0</v>
      </c>
      <c r="AC184" s="44">
        <v>0</v>
      </c>
      <c r="AD184" s="47">
        <v>-2.2693208706201107E-2</v>
      </c>
      <c r="AE184"/>
      <c r="AF184" s="62"/>
      <c r="AG184" s="59"/>
    </row>
    <row r="185" spans="1:37">
      <c r="A185" s="36" t="s">
        <v>410</v>
      </c>
      <c r="B185" s="24" t="s">
        <v>638</v>
      </c>
      <c r="C185" s="18">
        <v>19871.566666666666</v>
      </c>
      <c r="D185" s="12"/>
      <c r="E185" s="12">
        <v>7865.2</v>
      </c>
      <c r="F185" s="12">
        <v>4165.5333333333328</v>
      </c>
      <c r="G185" s="12">
        <v>7112.3333333333339</v>
      </c>
      <c r="H185" s="12">
        <v>3596.1</v>
      </c>
      <c r="I185" s="18">
        <v>42610.73333333333</v>
      </c>
      <c r="J185" s="18">
        <v>2858.0333333333333</v>
      </c>
      <c r="K185" s="12"/>
      <c r="L185" s="12">
        <v>1695.0799999999997</v>
      </c>
      <c r="M185" s="12">
        <v>6645</v>
      </c>
      <c r="N185" s="18">
        <v>11198.113333333333</v>
      </c>
      <c r="O185" s="18"/>
      <c r="P185" s="12"/>
      <c r="Q185" s="18"/>
      <c r="R185" s="18"/>
      <c r="S185" s="18"/>
      <c r="T185" s="20"/>
      <c r="U185" s="20"/>
      <c r="V185" s="20"/>
      <c r="W185" s="20"/>
      <c r="X185" s="20"/>
      <c r="Y185" s="20"/>
      <c r="Z185" s="20"/>
      <c r="AA185" s="37"/>
      <c r="AB185" s="22"/>
      <c r="AC185" s="23"/>
      <c r="AD185" s="17">
        <v>53808.846666666665</v>
      </c>
      <c r="AE185"/>
    </row>
    <row r="186" spans="1:37">
      <c r="A186" s="38"/>
      <c r="B186" s="39" t="s">
        <v>639</v>
      </c>
      <c r="C186" s="40">
        <v>18731.5</v>
      </c>
      <c r="D186" s="17"/>
      <c r="E186" s="17">
        <v>7312.8</v>
      </c>
      <c r="F186" s="17">
        <v>3725.6333333333332</v>
      </c>
      <c r="G186" s="17">
        <v>6528.4166666666661</v>
      </c>
      <c r="H186" s="17">
        <v>3452.5</v>
      </c>
      <c r="I186" s="40">
        <v>39750.85</v>
      </c>
      <c r="J186" s="40">
        <v>2644.9666666666667</v>
      </c>
      <c r="K186" s="17"/>
      <c r="L186" s="17">
        <v>1327</v>
      </c>
      <c r="M186" s="17">
        <v>6021.5999999999995</v>
      </c>
      <c r="N186" s="40">
        <v>9993.5666666666657</v>
      </c>
      <c r="O186" s="40"/>
      <c r="P186" s="17"/>
      <c r="Q186" s="40"/>
      <c r="R186" s="40"/>
      <c r="S186" s="40"/>
      <c r="T186" s="41"/>
      <c r="U186" s="41"/>
      <c r="V186" s="41"/>
      <c r="W186" s="41"/>
      <c r="X186" s="41"/>
      <c r="Y186" s="41"/>
      <c r="Z186" s="41"/>
      <c r="AA186" s="42"/>
      <c r="AB186" s="43"/>
      <c r="AC186" s="44"/>
      <c r="AD186" s="17">
        <v>49744.416666666664</v>
      </c>
      <c r="AE186"/>
    </row>
    <row r="187" spans="1:37">
      <c r="A187" s="38"/>
      <c r="B187" s="45" t="s">
        <v>658</v>
      </c>
      <c r="C187" s="46">
        <v>-5.7371755624032281E-2</v>
      </c>
      <c r="D187" s="47">
        <v>0</v>
      </c>
      <c r="E187" s="47">
        <v>-7.0233433351980831E-2</v>
      </c>
      <c r="F187" s="47">
        <v>-0.10560472448505986</v>
      </c>
      <c r="G187" s="47">
        <v>-8.2099170455078196E-2</v>
      </c>
      <c r="H187" s="47">
        <v>-3.9932148716665249E-2</v>
      </c>
      <c r="I187" s="46">
        <v>-6.7116501163243802E-2</v>
      </c>
      <c r="J187" s="46">
        <v>-7.4550098552617752E-2</v>
      </c>
      <c r="K187" s="47">
        <v>0</v>
      </c>
      <c r="L187" s="47">
        <v>-0.21714609339972141</v>
      </c>
      <c r="M187" s="47">
        <v>-9.3814898419864637E-2</v>
      </c>
      <c r="N187" s="46">
        <v>-0.10756692942918349</v>
      </c>
      <c r="O187" s="48">
        <v>0</v>
      </c>
      <c r="P187" s="47">
        <v>0</v>
      </c>
      <c r="Q187" s="46">
        <v>0</v>
      </c>
      <c r="R187" s="46">
        <v>0</v>
      </c>
      <c r="S187" s="46">
        <v>0</v>
      </c>
      <c r="T187" s="49">
        <v>0</v>
      </c>
      <c r="U187" s="49">
        <v>0</v>
      </c>
      <c r="V187" s="49">
        <v>0</v>
      </c>
      <c r="W187" s="49">
        <v>0</v>
      </c>
      <c r="X187" s="49">
        <v>0</v>
      </c>
      <c r="Y187" s="49">
        <v>0</v>
      </c>
      <c r="Z187" s="49">
        <v>0</v>
      </c>
      <c r="AA187" s="50">
        <v>0</v>
      </c>
      <c r="AB187" s="51">
        <v>0</v>
      </c>
      <c r="AC187" s="52">
        <v>0</v>
      </c>
      <c r="AD187" s="47">
        <v>-7.5534605400078836E-2</v>
      </c>
      <c r="AE187"/>
    </row>
    <row r="188" spans="1:37">
      <c r="A188" s="38"/>
      <c r="B188" s="39" t="s">
        <v>646</v>
      </c>
      <c r="C188" s="40">
        <v>0</v>
      </c>
      <c r="D188" s="17"/>
      <c r="E188" s="17">
        <v>0</v>
      </c>
      <c r="F188" s="17">
        <v>0</v>
      </c>
      <c r="G188" s="17">
        <v>0</v>
      </c>
      <c r="H188" s="17">
        <v>0</v>
      </c>
      <c r="I188" s="40">
        <v>0</v>
      </c>
      <c r="J188" s="40">
        <v>0</v>
      </c>
      <c r="K188" s="17"/>
      <c r="L188" s="17">
        <v>0</v>
      </c>
      <c r="M188" s="17">
        <v>0</v>
      </c>
      <c r="N188" s="40">
        <v>0</v>
      </c>
      <c r="O188" s="53"/>
      <c r="P188" s="17"/>
      <c r="Q188" s="40"/>
      <c r="R188" s="40"/>
      <c r="S188" s="40"/>
      <c r="T188" s="41"/>
      <c r="U188" s="41"/>
      <c r="V188" s="41"/>
      <c r="W188" s="41"/>
      <c r="X188" s="41"/>
      <c r="Y188" s="41"/>
      <c r="Z188" s="41"/>
      <c r="AA188" s="54"/>
      <c r="AB188" s="43"/>
      <c r="AC188" s="44"/>
      <c r="AD188" s="17">
        <v>0</v>
      </c>
      <c r="AE188"/>
    </row>
    <row r="189" spans="1:37">
      <c r="A189" s="38"/>
      <c r="B189" s="39" t="s">
        <v>648</v>
      </c>
      <c r="C189" s="40">
        <v>0</v>
      </c>
      <c r="D189" s="17"/>
      <c r="E189" s="17">
        <v>0</v>
      </c>
      <c r="F189" s="17">
        <v>0</v>
      </c>
      <c r="G189" s="17">
        <v>0</v>
      </c>
      <c r="H189" s="17">
        <v>0</v>
      </c>
      <c r="I189" s="40">
        <v>0</v>
      </c>
      <c r="J189" s="40">
        <v>0</v>
      </c>
      <c r="K189" s="17"/>
      <c r="L189" s="17">
        <v>0</v>
      </c>
      <c r="M189" s="17">
        <v>0</v>
      </c>
      <c r="N189" s="40">
        <v>0</v>
      </c>
      <c r="O189" s="53"/>
      <c r="P189" s="17"/>
      <c r="Q189" s="40"/>
      <c r="R189" s="40"/>
      <c r="S189" s="40"/>
      <c r="T189" s="41"/>
      <c r="U189" s="41"/>
      <c r="V189" s="41"/>
      <c r="W189" s="41"/>
      <c r="X189" s="41"/>
      <c r="Y189" s="41"/>
      <c r="Z189" s="41"/>
      <c r="AA189" s="54"/>
      <c r="AB189" s="43"/>
      <c r="AC189" s="44"/>
      <c r="AD189" s="17">
        <v>0</v>
      </c>
      <c r="AE189"/>
    </row>
    <row r="190" spans="1:37">
      <c r="A190" s="38"/>
      <c r="B190" s="45" t="s">
        <v>660</v>
      </c>
      <c r="C190" s="46">
        <v>0</v>
      </c>
      <c r="D190" s="47">
        <v>0</v>
      </c>
      <c r="E190" s="47">
        <v>0</v>
      </c>
      <c r="F190" s="47">
        <v>0</v>
      </c>
      <c r="G190" s="47">
        <v>0</v>
      </c>
      <c r="H190" s="47">
        <v>0</v>
      </c>
      <c r="I190" s="46">
        <v>0</v>
      </c>
      <c r="J190" s="46">
        <v>0</v>
      </c>
      <c r="K190" s="47">
        <v>0</v>
      </c>
      <c r="L190" s="47">
        <v>0</v>
      </c>
      <c r="M190" s="47">
        <v>0</v>
      </c>
      <c r="N190" s="46">
        <v>0</v>
      </c>
      <c r="O190" s="48">
        <v>0</v>
      </c>
      <c r="P190" s="47">
        <v>0</v>
      </c>
      <c r="Q190" s="46">
        <v>0</v>
      </c>
      <c r="R190" s="46">
        <v>0</v>
      </c>
      <c r="S190" s="46">
        <v>0</v>
      </c>
      <c r="T190" s="49">
        <v>0</v>
      </c>
      <c r="U190" s="49">
        <v>0</v>
      </c>
      <c r="V190" s="49">
        <v>0</v>
      </c>
      <c r="W190" s="49">
        <v>0</v>
      </c>
      <c r="X190" s="49">
        <v>0</v>
      </c>
      <c r="Y190" s="49">
        <v>0</v>
      </c>
      <c r="Z190" s="49">
        <v>0</v>
      </c>
      <c r="AA190" s="50">
        <v>0</v>
      </c>
      <c r="AB190" s="51">
        <v>0</v>
      </c>
      <c r="AC190" s="52">
        <v>0</v>
      </c>
      <c r="AD190" s="47">
        <v>0</v>
      </c>
      <c r="AE190"/>
    </row>
    <row r="191" spans="1:37">
      <c r="A191" s="38"/>
      <c r="B191" s="39" t="s">
        <v>650</v>
      </c>
      <c r="C191" s="40">
        <v>3798.2083333333335</v>
      </c>
      <c r="D191" s="17"/>
      <c r="E191" s="17">
        <v>2650.9166666666665</v>
      </c>
      <c r="F191" s="17">
        <v>405.375</v>
      </c>
      <c r="G191" s="17">
        <v>918.45833333333337</v>
      </c>
      <c r="H191" s="17">
        <v>0</v>
      </c>
      <c r="I191" s="40">
        <v>7772.958333333333</v>
      </c>
      <c r="J191" s="40">
        <v>0</v>
      </c>
      <c r="K191" s="17"/>
      <c r="L191" s="17">
        <v>0</v>
      </c>
      <c r="M191" s="17">
        <v>0</v>
      </c>
      <c r="N191" s="40">
        <v>0</v>
      </c>
      <c r="O191" s="53"/>
      <c r="P191" s="17"/>
      <c r="Q191" s="40"/>
      <c r="R191" s="40"/>
      <c r="S191" s="40"/>
      <c r="T191" s="41"/>
      <c r="U191" s="41"/>
      <c r="V191" s="41"/>
      <c r="W191" s="41"/>
      <c r="X191" s="41"/>
      <c r="Y191" s="41"/>
      <c r="Z191" s="41"/>
      <c r="AA191" s="54"/>
      <c r="AB191" s="43"/>
      <c r="AC191" s="44"/>
      <c r="AD191" s="17">
        <v>7772.958333333333</v>
      </c>
      <c r="AE191"/>
    </row>
    <row r="192" spans="1:37">
      <c r="A192" s="38"/>
      <c r="B192" s="39" t="s">
        <v>652</v>
      </c>
      <c r="C192" s="40">
        <v>3852.7083333333335</v>
      </c>
      <c r="D192" s="17"/>
      <c r="E192" s="17">
        <v>2621.1666666666665</v>
      </c>
      <c r="F192" s="17">
        <v>460.375</v>
      </c>
      <c r="G192" s="17">
        <v>1211.4583333333335</v>
      </c>
      <c r="H192" s="17">
        <v>0</v>
      </c>
      <c r="I192" s="40">
        <v>8145.7083333333339</v>
      </c>
      <c r="J192" s="40">
        <v>0</v>
      </c>
      <c r="K192" s="17"/>
      <c r="L192" s="17">
        <v>0</v>
      </c>
      <c r="M192" s="17">
        <v>0</v>
      </c>
      <c r="N192" s="40">
        <v>0</v>
      </c>
      <c r="O192" s="53"/>
      <c r="P192" s="17"/>
      <c r="Q192" s="40"/>
      <c r="R192" s="40"/>
      <c r="S192" s="40"/>
      <c r="T192" s="41"/>
      <c r="U192" s="41"/>
      <c r="V192" s="41"/>
      <c r="W192" s="41"/>
      <c r="X192" s="41"/>
      <c r="Y192" s="41"/>
      <c r="Z192" s="41"/>
      <c r="AA192" s="54"/>
      <c r="AB192" s="43"/>
      <c r="AC192" s="44"/>
      <c r="AD192" s="17">
        <v>8145.7083333333339</v>
      </c>
      <c r="AE192"/>
    </row>
    <row r="193" spans="1:33">
      <c r="A193" s="38"/>
      <c r="B193" s="45" t="s">
        <v>662</v>
      </c>
      <c r="C193" s="46">
        <v>1.4348870629792555E-2</v>
      </c>
      <c r="D193" s="47">
        <v>0</v>
      </c>
      <c r="E193" s="47">
        <v>-1.122253308603942E-2</v>
      </c>
      <c r="F193" s="47">
        <v>0.1356768424298489</v>
      </c>
      <c r="G193" s="47">
        <v>0.31901283854284818</v>
      </c>
      <c r="H193" s="47">
        <v>0</v>
      </c>
      <c r="I193" s="46">
        <v>4.7954714796490085E-2</v>
      </c>
      <c r="J193" s="46">
        <v>0</v>
      </c>
      <c r="K193" s="47">
        <v>0</v>
      </c>
      <c r="L193" s="47">
        <v>0</v>
      </c>
      <c r="M193" s="47">
        <v>0</v>
      </c>
      <c r="N193" s="46">
        <v>0</v>
      </c>
      <c r="O193" s="48">
        <v>0</v>
      </c>
      <c r="P193" s="47">
        <v>0</v>
      </c>
      <c r="Q193" s="46">
        <v>0</v>
      </c>
      <c r="R193" s="46">
        <v>0</v>
      </c>
      <c r="S193" s="46">
        <v>0</v>
      </c>
      <c r="T193" s="49">
        <v>0</v>
      </c>
      <c r="U193" s="49">
        <v>0</v>
      </c>
      <c r="V193" s="49">
        <v>0</v>
      </c>
      <c r="W193" s="49">
        <v>0</v>
      </c>
      <c r="X193" s="49">
        <v>0</v>
      </c>
      <c r="Y193" s="49">
        <v>0</v>
      </c>
      <c r="Z193" s="49">
        <v>0</v>
      </c>
      <c r="AA193" s="50">
        <v>0</v>
      </c>
      <c r="AB193" s="51">
        <v>0</v>
      </c>
      <c r="AC193" s="52">
        <v>0</v>
      </c>
      <c r="AD193" s="47">
        <v>4.7954714796490085E-2</v>
      </c>
      <c r="AE193"/>
      <c r="AF193" s="59"/>
      <c r="AG193" s="60"/>
    </row>
    <row r="194" spans="1:33">
      <c r="A194" s="38"/>
      <c r="B194" s="39" t="s">
        <v>654</v>
      </c>
      <c r="C194" s="40">
        <v>23669.774999999998</v>
      </c>
      <c r="D194" s="17"/>
      <c r="E194" s="17">
        <v>10516.116666666667</v>
      </c>
      <c r="F194" s="17">
        <v>4570.9083333333328</v>
      </c>
      <c r="G194" s="17">
        <v>8030.791666666667</v>
      </c>
      <c r="H194" s="17">
        <v>3596.1</v>
      </c>
      <c r="I194" s="40">
        <v>50383.691666666658</v>
      </c>
      <c r="J194" s="40">
        <v>2858.0333333333333</v>
      </c>
      <c r="K194" s="17"/>
      <c r="L194" s="17">
        <v>1695.0799999999997</v>
      </c>
      <c r="M194" s="17">
        <v>6645</v>
      </c>
      <c r="N194" s="40">
        <v>11198.113333333333</v>
      </c>
      <c r="O194" s="53"/>
      <c r="P194" s="17"/>
      <c r="Q194" s="40"/>
      <c r="R194" s="40"/>
      <c r="S194" s="40"/>
      <c r="T194" s="41"/>
      <c r="U194" s="41"/>
      <c r="V194" s="41"/>
      <c r="W194" s="41"/>
      <c r="X194" s="41"/>
      <c r="Y194" s="41"/>
      <c r="Z194" s="41"/>
      <c r="AA194" s="54"/>
      <c r="AB194" s="43"/>
      <c r="AC194" s="44"/>
      <c r="AD194" s="17">
        <v>61581.804999999993</v>
      </c>
      <c r="AE194"/>
      <c r="AF194" s="61"/>
    </row>
    <row r="195" spans="1:33">
      <c r="A195" s="38"/>
      <c r="B195" s="39" t="s">
        <v>656</v>
      </c>
      <c r="C195" s="40">
        <v>22584.208333333332</v>
      </c>
      <c r="D195" s="17"/>
      <c r="E195" s="17">
        <v>9933.9666666666672</v>
      </c>
      <c r="F195" s="17">
        <v>4186.0083333333332</v>
      </c>
      <c r="G195" s="17">
        <v>7739.875</v>
      </c>
      <c r="H195" s="17">
        <v>3452.5</v>
      </c>
      <c r="I195" s="40">
        <v>47896.558333333334</v>
      </c>
      <c r="J195" s="40">
        <v>2644.9666666666667</v>
      </c>
      <c r="K195" s="17"/>
      <c r="L195" s="17">
        <v>1327</v>
      </c>
      <c r="M195" s="17">
        <v>6021.5999999999995</v>
      </c>
      <c r="N195" s="40">
        <v>9993.5666666666657</v>
      </c>
      <c r="O195" s="53"/>
      <c r="P195" s="17"/>
      <c r="Q195" s="40"/>
      <c r="R195" s="40"/>
      <c r="S195" s="40"/>
      <c r="T195" s="41"/>
      <c r="U195" s="41"/>
      <c r="V195" s="41"/>
      <c r="W195" s="41"/>
      <c r="X195" s="41"/>
      <c r="Y195" s="41"/>
      <c r="Z195" s="41"/>
      <c r="AA195" s="54"/>
      <c r="AB195" s="43"/>
      <c r="AC195" s="44"/>
      <c r="AD195" s="17">
        <v>57890.125</v>
      </c>
      <c r="AE195"/>
      <c r="AF195" s="61"/>
    </row>
    <row r="196" spans="1:33">
      <c r="A196" s="55"/>
      <c r="B196" s="56" t="s">
        <v>664</v>
      </c>
      <c r="C196" s="46">
        <v>-4.5862990529764891E-2</v>
      </c>
      <c r="D196" s="47">
        <v>0</v>
      </c>
      <c r="E196" s="47">
        <v>-5.5357887179519658E-2</v>
      </c>
      <c r="F196" s="47">
        <v>-8.4206457870335691E-2</v>
      </c>
      <c r="G196" s="47">
        <v>-3.6225154224106208E-2</v>
      </c>
      <c r="H196" s="47">
        <v>-3.9932148716665249E-2</v>
      </c>
      <c r="I196" s="46">
        <v>-4.9363856657982576E-2</v>
      </c>
      <c r="J196" s="46">
        <v>-7.4550098552617752E-2</v>
      </c>
      <c r="K196" s="47">
        <v>0</v>
      </c>
      <c r="L196" s="47">
        <v>-0.21714609339972141</v>
      </c>
      <c r="M196" s="47">
        <v>-9.3814898419864637E-2</v>
      </c>
      <c r="N196" s="46">
        <v>-0.10756692942918349</v>
      </c>
      <c r="O196" s="48">
        <v>0</v>
      </c>
      <c r="P196" s="47">
        <v>0</v>
      </c>
      <c r="Q196" s="46">
        <v>0</v>
      </c>
      <c r="R196" s="46">
        <v>0</v>
      </c>
      <c r="S196" s="46">
        <v>0</v>
      </c>
      <c r="T196" s="49">
        <v>0</v>
      </c>
      <c r="U196" s="49">
        <v>0</v>
      </c>
      <c r="V196" s="49">
        <v>0</v>
      </c>
      <c r="W196" s="49">
        <v>0</v>
      </c>
      <c r="X196" s="49">
        <v>0</v>
      </c>
      <c r="Y196" s="49">
        <v>0</v>
      </c>
      <c r="Z196" s="49">
        <v>0</v>
      </c>
      <c r="AA196" s="50">
        <v>0</v>
      </c>
      <c r="AB196" s="43">
        <v>0</v>
      </c>
      <c r="AC196" s="44">
        <v>0</v>
      </c>
      <c r="AD196" s="47">
        <v>-5.994757704812323E-2</v>
      </c>
      <c r="AE196"/>
      <c r="AF196" s="62"/>
      <c r="AG196" s="59"/>
    </row>
    <row r="197" spans="1:33">
      <c r="A197" s="36" t="s">
        <v>643</v>
      </c>
      <c r="B197" s="24"/>
      <c r="C197" s="18">
        <v>852160.1</v>
      </c>
      <c r="D197" s="12">
        <v>208639.77566666668</v>
      </c>
      <c r="E197" s="12">
        <v>490040.91666666663</v>
      </c>
      <c r="F197" s="12">
        <v>155997.70000000001</v>
      </c>
      <c r="G197" s="12">
        <v>58978.866666666669</v>
      </c>
      <c r="H197" s="12">
        <v>53755.116666666661</v>
      </c>
      <c r="I197" s="18">
        <v>1819572.4756666669</v>
      </c>
      <c r="J197" s="18">
        <v>308196.33333333337</v>
      </c>
      <c r="K197" s="12">
        <v>668611.45000000007</v>
      </c>
      <c r="L197" s="12">
        <v>314394.3066666667</v>
      </c>
      <c r="M197" s="12">
        <v>126402.925</v>
      </c>
      <c r="N197" s="18">
        <v>1417605.0150000001</v>
      </c>
      <c r="O197" s="18">
        <v>163691.73333333334</v>
      </c>
      <c r="P197" s="12">
        <v>163691.73333333334</v>
      </c>
      <c r="Q197" s="18">
        <v>79029.083333333343</v>
      </c>
      <c r="R197" s="18">
        <v>2000.0333333333333</v>
      </c>
      <c r="S197" s="18">
        <v>81029.116666666683</v>
      </c>
      <c r="T197" s="18">
        <v>118982.53333333333</v>
      </c>
      <c r="U197" s="18">
        <v>118982.53333333333</v>
      </c>
      <c r="V197" s="18">
        <v>28685.166666666664</v>
      </c>
      <c r="W197" s="18">
        <v>28685.166666666664</v>
      </c>
      <c r="X197" s="18">
        <v>17252.3</v>
      </c>
      <c r="Y197" s="18">
        <v>17252.3</v>
      </c>
      <c r="Z197" s="18">
        <v>0</v>
      </c>
      <c r="AA197" s="63">
        <v>0</v>
      </c>
      <c r="AB197" s="22">
        <v>1314.2</v>
      </c>
      <c r="AC197" s="23">
        <v>1314.2</v>
      </c>
      <c r="AD197" s="17">
        <v>3648132.5406666668</v>
      </c>
      <c r="AE197"/>
    </row>
    <row r="198" spans="1:33">
      <c r="A198" s="38" t="s">
        <v>644</v>
      </c>
      <c r="B198" s="39"/>
      <c r="C198" s="40">
        <v>840084</v>
      </c>
      <c r="D198" s="17">
        <v>201892.23333333337</v>
      </c>
      <c r="E198" s="17">
        <v>472153.88333333336</v>
      </c>
      <c r="F198" s="17">
        <v>148027.4</v>
      </c>
      <c r="G198" s="17">
        <v>55671.666666666664</v>
      </c>
      <c r="H198" s="17">
        <v>51325.316666666673</v>
      </c>
      <c r="I198" s="40">
        <v>1769154.5</v>
      </c>
      <c r="J198" s="40">
        <v>280608.3666666667</v>
      </c>
      <c r="K198" s="17">
        <v>585480.58333333326</v>
      </c>
      <c r="L198" s="17">
        <v>293824.03000000003</v>
      </c>
      <c r="M198" s="17">
        <v>119507.33333333333</v>
      </c>
      <c r="N198" s="40">
        <v>1279420.3133333332</v>
      </c>
      <c r="O198" s="40">
        <v>133502.58333333334</v>
      </c>
      <c r="P198" s="17">
        <v>133502.58333333334</v>
      </c>
      <c r="Q198" s="40">
        <v>73466.283333333355</v>
      </c>
      <c r="R198" s="40">
        <v>1957.8</v>
      </c>
      <c r="S198" s="40">
        <v>75424.083333333358</v>
      </c>
      <c r="T198" s="40">
        <v>55638.466666666667</v>
      </c>
      <c r="U198" s="40">
        <v>55638.466666666667</v>
      </c>
      <c r="V198" s="40">
        <v>22662.633333333335</v>
      </c>
      <c r="W198" s="40">
        <v>22662.633333333335</v>
      </c>
      <c r="X198" s="40">
        <v>13194.683333333334</v>
      </c>
      <c r="Y198" s="40">
        <v>13194.683333333334</v>
      </c>
      <c r="Z198" s="40">
        <v>0</v>
      </c>
      <c r="AA198" s="64">
        <v>0</v>
      </c>
      <c r="AB198" s="22">
        <v>1253.3666666666668</v>
      </c>
      <c r="AC198" s="23">
        <v>1253.3666666666668</v>
      </c>
      <c r="AD198" s="17">
        <v>3350250.6299999994</v>
      </c>
      <c r="AE198"/>
    </row>
    <row r="199" spans="1:33">
      <c r="A199" s="38" t="s">
        <v>659</v>
      </c>
      <c r="B199" s="45"/>
      <c r="C199" s="46">
        <v>-1.4171163376459125E-2</v>
      </c>
      <c r="D199" s="47">
        <v>-3.2340632613186503E-2</v>
      </c>
      <c r="E199" s="47">
        <v>-3.6501101693718625E-2</v>
      </c>
      <c r="F199" s="47">
        <v>-5.1092419952345383E-2</v>
      </c>
      <c r="G199" s="47">
        <v>-5.6074322666988904E-2</v>
      </c>
      <c r="H199" s="47">
        <v>-4.5201278513951969E-2</v>
      </c>
      <c r="I199" s="46">
        <v>-2.7708693300712944E-2</v>
      </c>
      <c r="J199" s="46">
        <v>-8.9514259849511529E-2</v>
      </c>
      <c r="K199" s="47">
        <v>-0.12433359713876678</v>
      </c>
      <c r="L199" s="47">
        <v>-6.5428273446681687E-2</v>
      </c>
      <c r="M199" s="47">
        <v>-5.4552469151063356E-2</v>
      </c>
      <c r="N199" s="46">
        <v>-9.7477576761158841E-2</v>
      </c>
      <c r="O199" s="48">
        <v>-0.18442684542000895</v>
      </c>
      <c r="P199" s="47">
        <v>-0.18442684542000895</v>
      </c>
      <c r="Q199" s="46">
        <v>-7.0389276521617958E-2</v>
      </c>
      <c r="R199" s="46">
        <v>-2.1116314728087872E-2</v>
      </c>
      <c r="S199" s="46">
        <v>-6.9173077085253401E-2</v>
      </c>
      <c r="T199" s="46">
        <v>-0.53238122346249139</v>
      </c>
      <c r="U199" s="46">
        <v>-0.53238122346249139</v>
      </c>
      <c r="V199" s="46">
        <v>-0.20995287924653264</v>
      </c>
      <c r="W199" s="46">
        <v>-0.20995287924653264</v>
      </c>
      <c r="X199" s="46">
        <v>-0.23519279554996522</v>
      </c>
      <c r="Y199" s="46">
        <v>-0.23519279554996522</v>
      </c>
      <c r="Z199" s="46">
        <v>0</v>
      </c>
      <c r="AA199" s="65">
        <v>0</v>
      </c>
      <c r="AB199" s="66">
        <v>-4.6289250748237143E-2</v>
      </c>
      <c r="AC199" s="67">
        <v>-4.6289250748237143E-2</v>
      </c>
      <c r="AD199" s="47">
        <v>-8.1653258851234672E-2</v>
      </c>
      <c r="AE199"/>
    </row>
    <row r="200" spans="1:33">
      <c r="A200" s="38" t="s">
        <v>647</v>
      </c>
      <c r="B200" s="39"/>
      <c r="C200" s="40">
        <v>23.822222222222223</v>
      </c>
      <c r="D200" s="17">
        <v>0</v>
      </c>
      <c r="E200" s="17">
        <v>0</v>
      </c>
      <c r="F200" s="17">
        <v>0</v>
      </c>
      <c r="G200" s="17">
        <v>0</v>
      </c>
      <c r="H200" s="17">
        <v>0</v>
      </c>
      <c r="I200" s="40">
        <v>23.822222222222223</v>
      </c>
      <c r="J200" s="40">
        <v>12981.579999999998</v>
      </c>
      <c r="K200" s="17">
        <v>17902.342222222222</v>
      </c>
      <c r="L200" s="17">
        <v>11965.980000000003</v>
      </c>
      <c r="M200" s="17">
        <v>5750.9966666666678</v>
      </c>
      <c r="N200" s="40">
        <v>48600.8988888889</v>
      </c>
      <c r="O200" s="53">
        <v>1720.6677777777779</v>
      </c>
      <c r="P200" s="17">
        <v>1720.6677777777779</v>
      </c>
      <c r="Q200" s="40">
        <v>4216.6121111111115</v>
      </c>
      <c r="R200" s="40">
        <v>30744.747888888887</v>
      </c>
      <c r="S200" s="40">
        <v>34961.359999999993</v>
      </c>
      <c r="T200" s="40">
        <v>1236.9911111111112</v>
      </c>
      <c r="U200" s="40">
        <v>1236.9911111111112</v>
      </c>
      <c r="V200" s="40">
        <v>466.16555555555556</v>
      </c>
      <c r="W200" s="40">
        <v>466.16555555555556</v>
      </c>
      <c r="X200" s="40">
        <v>17.511111111111113</v>
      </c>
      <c r="Y200" s="40">
        <v>17.511111111111113</v>
      </c>
      <c r="Z200" s="40">
        <v>0</v>
      </c>
      <c r="AA200" s="39">
        <v>0</v>
      </c>
      <c r="AB200" s="22">
        <v>0</v>
      </c>
      <c r="AC200" s="23">
        <v>0</v>
      </c>
      <c r="AD200" s="17">
        <v>87027.416666666672</v>
      </c>
      <c r="AE200"/>
    </row>
    <row r="201" spans="1:33">
      <c r="A201" s="38" t="s">
        <v>649</v>
      </c>
      <c r="B201" s="39"/>
      <c r="C201" s="40">
        <v>23.238888888888887</v>
      </c>
      <c r="D201" s="17">
        <v>0</v>
      </c>
      <c r="E201" s="17">
        <v>0</v>
      </c>
      <c r="F201" s="17">
        <v>0</v>
      </c>
      <c r="G201" s="17">
        <v>0</v>
      </c>
      <c r="H201" s="17">
        <v>0</v>
      </c>
      <c r="I201" s="40">
        <v>23.238888888888887</v>
      </c>
      <c r="J201" s="40">
        <v>12100.834444444445</v>
      </c>
      <c r="K201" s="17">
        <v>18261.147777777776</v>
      </c>
      <c r="L201" s="17">
        <v>13848.956666666667</v>
      </c>
      <c r="M201" s="17">
        <v>6728.0777777777776</v>
      </c>
      <c r="N201" s="40">
        <v>50939.01666666667</v>
      </c>
      <c r="O201" s="53">
        <v>1071.1588888888889</v>
      </c>
      <c r="P201" s="17">
        <v>1071.1588888888889</v>
      </c>
      <c r="Q201" s="40">
        <v>1771.4966666666664</v>
      </c>
      <c r="R201" s="40">
        <v>21306.985555555555</v>
      </c>
      <c r="S201" s="40">
        <v>23078.482222222221</v>
      </c>
      <c r="T201" s="40">
        <v>0</v>
      </c>
      <c r="U201" s="40">
        <v>0</v>
      </c>
      <c r="V201" s="40">
        <v>0</v>
      </c>
      <c r="W201" s="40">
        <v>0</v>
      </c>
      <c r="X201" s="40">
        <v>0</v>
      </c>
      <c r="Y201" s="40">
        <v>0</v>
      </c>
      <c r="Z201" s="40">
        <v>0</v>
      </c>
      <c r="AA201" s="39">
        <v>0</v>
      </c>
      <c r="AB201" s="22">
        <v>0</v>
      </c>
      <c r="AC201" s="23">
        <v>0</v>
      </c>
      <c r="AD201" s="17">
        <v>75111.896666666667</v>
      </c>
      <c r="AE201"/>
    </row>
    <row r="202" spans="1:33">
      <c r="A202" s="38" t="s">
        <v>661</v>
      </c>
      <c r="B202" s="45"/>
      <c r="C202" s="46">
        <v>-2.4486940298507561E-2</v>
      </c>
      <c r="D202" s="47">
        <v>0</v>
      </c>
      <c r="E202" s="47">
        <v>0</v>
      </c>
      <c r="F202" s="47">
        <v>0</v>
      </c>
      <c r="G202" s="47">
        <v>0</v>
      </c>
      <c r="H202" s="47">
        <v>0</v>
      </c>
      <c r="I202" s="46">
        <v>-2.4486940298507561E-2</v>
      </c>
      <c r="J202" s="46">
        <v>-6.7845790385727453E-2</v>
      </c>
      <c r="K202" s="47">
        <v>2.0042380550080882E-2</v>
      </c>
      <c r="L202" s="47">
        <v>0.15736084020420082</v>
      </c>
      <c r="M202" s="47">
        <v>0.16989770082364425</v>
      </c>
      <c r="N202" s="46">
        <v>4.8108529497019888E-2</v>
      </c>
      <c r="O202" s="48">
        <v>-0.37747489508272308</v>
      </c>
      <c r="P202" s="47">
        <v>-0.37747489508272308</v>
      </c>
      <c r="Q202" s="46">
        <v>-0.5798767778523829</v>
      </c>
      <c r="R202" s="46">
        <v>-0.30697153111943759</v>
      </c>
      <c r="S202" s="46">
        <v>-0.33988602782551308</v>
      </c>
      <c r="T202" s="46">
        <v>-1</v>
      </c>
      <c r="U202" s="46">
        <v>-1</v>
      </c>
      <c r="V202" s="46">
        <v>-1</v>
      </c>
      <c r="W202" s="46">
        <v>-1</v>
      </c>
      <c r="X202" s="46">
        <v>-1</v>
      </c>
      <c r="Y202" s="46">
        <v>-1</v>
      </c>
      <c r="Z202" s="46">
        <v>0</v>
      </c>
      <c r="AA202" s="65">
        <v>0</v>
      </c>
      <c r="AB202" s="68">
        <v>0</v>
      </c>
      <c r="AC202" s="69">
        <v>0</v>
      </c>
      <c r="AD202" s="47">
        <v>-0.13691685283086066</v>
      </c>
      <c r="AE202"/>
    </row>
    <row r="203" spans="1:33">
      <c r="A203" s="38" t="s">
        <v>651</v>
      </c>
      <c r="B203" s="39"/>
      <c r="C203" s="40">
        <v>196454.73541666669</v>
      </c>
      <c r="D203" s="17">
        <v>50289.708333333336</v>
      </c>
      <c r="E203" s="17">
        <v>84969.937500000015</v>
      </c>
      <c r="F203" s="17">
        <v>27992.3125</v>
      </c>
      <c r="G203" s="17">
        <v>6280.3583333333336</v>
      </c>
      <c r="H203" s="17">
        <v>619.20833333333337</v>
      </c>
      <c r="I203" s="40">
        <v>366606.26041666663</v>
      </c>
      <c r="J203" s="40">
        <v>0</v>
      </c>
      <c r="K203" s="17">
        <v>0</v>
      </c>
      <c r="L203" s="17">
        <v>0</v>
      </c>
      <c r="M203" s="17">
        <v>0</v>
      </c>
      <c r="N203" s="40">
        <v>0</v>
      </c>
      <c r="O203" s="53">
        <v>0</v>
      </c>
      <c r="P203" s="17">
        <v>0</v>
      </c>
      <c r="Q203" s="40">
        <v>0</v>
      </c>
      <c r="R203" s="40">
        <v>0</v>
      </c>
      <c r="S203" s="40">
        <v>0</v>
      </c>
      <c r="T203" s="40">
        <v>0</v>
      </c>
      <c r="U203" s="40">
        <v>0</v>
      </c>
      <c r="V203" s="40">
        <v>0</v>
      </c>
      <c r="W203" s="40">
        <v>0</v>
      </c>
      <c r="X203" s="40">
        <v>0</v>
      </c>
      <c r="Y203" s="40">
        <v>0</v>
      </c>
      <c r="Z203" s="40">
        <v>0</v>
      </c>
      <c r="AA203" s="39">
        <v>0</v>
      </c>
      <c r="AB203" s="22">
        <v>1037.1666666666665</v>
      </c>
      <c r="AC203" s="23">
        <v>1037.1666666666665</v>
      </c>
      <c r="AD203" s="17">
        <v>367643.42708333331</v>
      </c>
      <c r="AE203"/>
    </row>
    <row r="204" spans="1:33">
      <c r="A204" s="38" t="s">
        <v>653</v>
      </c>
      <c r="B204" s="39"/>
      <c r="C204" s="40">
        <v>206200.67541666667</v>
      </c>
      <c r="D204" s="17">
        <v>53625.958333333328</v>
      </c>
      <c r="E204" s="17">
        <v>90872.112500000003</v>
      </c>
      <c r="F204" s="17">
        <v>28662.791666666664</v>
      </c>
      <c r="G204" s="17">
        <v>7382.2833333333328</v>
      </c>
      <c r="H204" s="17">
        <v>694.875</v>
      </c>
      <c r="I204" s="40">
        <v>387438.69624999992</v>
      </c>
      <c r="J204" s="40">
        <v>0</v>
      </c>
      <c r="K204" s="17">
        <v>0</v>
      </c>
      <c r="L204" s="17">
        <v>0</v>
      </c>
      <c r="M204" s="17">
        <v>0</v>
      </c>
      <c r="N204" s="40">
        <v>0</v>
      </c>
      <c r="O204" s="53">
        <v>0</v>
      </c>
      <c r="P204" s="17">
        <v>0</v>
      </c>
      <c r="Q204" s="40">
        <v>0</v>
      </c>
      <c r="R204" s="40">
        <v>0</v>
      </c>
      <c r="S204" s="40">
        <v>0</v>
      </c>
      <c r="T204" s="40">
        <v>0</v>
      </c>
      <c r="U204" s="40">
        <v>0</v>
      </c>
      <c r="V204" s="40">
        <v>0</v>
      </c>
      <c r="W204" s="40">
        <v>0</v>
      </c>
      <c r="X204" s="40">
        <v>0</v>
      </c>
      <c r="Y204" s="40">
        <v>0</v>
      </c>
      <c r="Z204" s="40">
        <v>0</v>
      </c>
      <c r="AA204" s="39">
        <v>0</v>
      </c>
      <c r="AB204" s="22">
        <v>696.25</v>
      </c>
      <c r="AC204" s="23">
        <v>696.25</v>
      </c>
      <c r="AD204" s="17">
        <v>388134.94624999992</v>
      </c>
      <c r="AE204"/>
    </row>
    <row r="205" spans="1:33">
      <c r="A205" s="38" t="s">
        <v>663</v>
      </c>
      <c r="B205" s="45"/>
      <c r="C205" s="46">
        <v>4.9609086690272544E-2</v>
      </c>
      <c r="D205" s="47">
        <v>6.63406114405449E-2</v>
      </c>
      <c r="E205" s="47">
        <v>6.9461919987877749E-2</v>
      </c>
      <c r="F205" s="47">
        <v>2.3952260702529364E-2</v>
      </c>
      <c r="G205" s="47">
        <v>0.17545575292280313</v>
      </c>
      <c r="H205" s="47">
        <v>0.12219904447883716</v>
      </c>
      <c r="I205" s="46">
        <v>5.6825095702556123E-2</v>
      </c>
      <c r="J205" s="46">
        <v>0</v>
      </c>
      <c r="K205" s="47">
        <v>0</v>
      </c>
      <c r="L205" s="47">
        <v>0</v>
      </c>
      <c r="M205" s="47">
        <v>0</v>
      </c>
      <c r="N205" s="46">
        <v>0</v>
      </c>
      <c r="O205" s="48">
        <v>0</v>
      </c>
      <c r="P205" s="47">
        <v>0</v>
      </c>
      <c r="Q205" s="46">
        <v>0</v>
      </c>
      <c r="R205" s="46">
        <v>0</v>
      </c>
      <c r="S205" s="46">
        <v>0</v>
      </c>
      <c r="T205" s="46">
        <v>0</v>
      </c>
      <c r="U205" s="46">
        <v>0</v>
      </c>
      <c r="V205" s="46">
        <v>0</v>
      </c>
      <c r="W205" s="46">
        <v>0</v>
      </c>
      <c r="X205" s="46">
        <v>0</v>
      </c>
      <c r="Y205" s="46">
        <v>0</v>
      </c>
      <c r="Z205" s="46">
        <v>0</v>
      </c>
      <c r="AA205" s="65">
        <v>0</v>
      </c>
      <c r="AB205" s="68">
        <v>-0.32869998393058003</v>
      </c>
      <c r="AC205" s="69">
        <v>-0.32869998393058003</v>
      </c>
      <c r="AD205" s="47">
        <v>5.5737482726766707E-2</v>
      </c>
      <c r="AE205"/>
      <c r="AF205" s="59"/>
      <c r="AG205" s="60"/>
    </row>
    <row r="206" spans="1:33">
      <c r="A206" s="38" t="s">
        <v>655</v>
      </c>
      <c r="B206" s="39"/>
      <c r="C206" s="40">
        <v>1048638.6576388888</v>
      </c>
      <c r="D206" s="17">
        <v>258929.484</v>
      </c>
      <c r="E206" s="17">
        <v>575010.85416666674</v>
      </c>
      <c r="F206" s="17">
        <v>183990.01250000001</v>
      </c>
      <c r="G206" s="17">
        <v>65259.224999999999</v>
      </c>
      <c r="H206" s="17">
        <v>54374.32499999999</v>
      </c>
      <c r="I206" s="40">
        <v>2186202.558305556</v>
      </c>
      <c r="J206" s="40">
        <v>321177.91333333327</v>
      </c>
      <c r="K206" s="17">
        <v>686513.79222222231</v>
      </c>
      <c r="L206" s="17">
        <v>326360.28666666668</v>
      </c>
      <c r="M206" s="17">
        <v>132153.92166666669</v>
      </c>
      <c r="N206" s="40">
        <v>1466205.9138888889</v>
      </c>
      <c r="O206" s="53">
        <v>165412.4011111111</v>
      </c>
      <c r="P206" s="17">
        <v>165412.4011111111</v>
      </c>
      <c r="Q206" s="40">
        <v>83245.695444444456</v>
      </c>
      <c r="R206" s="40">
        <v>32744.78122222222</v>
      </c>
      <c r="S206" s="40">
        <v>115990.47666666668</v>
      </c>
      <c r="T206" s="40">
        <v>120219.52444444445</v>
      </c>
      <c r="U206" s="40">
        <v>120219.52444444445</v>
      </c>
      <c r="V206" s="40">
        <v>29151.33222222222</v>
      </c>
      <c r="W206" s="40">
        <v>29151.33222222222</v>
      </c>
      <c r="X206" s="40">
        <v>17269.81111111111</v>
      </c>
      <c r="Y206" s="40">
        <v>17269.81111111111</v>
      </c>
      <c r="Z206" s="40">
        <v>0</v>
      </c>
      <c r="AA206" s="39">
        <v>0</v>
      </c>
      <c r="AB206" s="22">
        <v>2351.3666666666668</v>
      </c>
      <c r="AC206" s="23">
        <v>2351.3666666666668</v>
      </c>
      <c r="AD206" s="17">
        <v>4102803.3844166668</v>
      </c>
      <c r="AE206"/>
      <c r="AF206" s="61"/>
    </row>
    <row r="207" spans="1:33">
      <c r="A207" s="38" t="s">
        <v>657</v>
      </c>
      <c r="B207" s="39"/>
      <c r="C207" s="40">
        <v>1046307.9143055555</v>
      </c>
      <c r="D207" s="17">
        <v>255518.19166666665</v>
      </c>
      <c r="E207" s="17">
        <v>563025.99583333323</v>
      </c>
      <c r="F207" s="17">
        <v>176690.19166666665</v>
      </c>
      <c r="G207" s="17">
        <v>63053.95</v>
      </c>
      <c r="H207" s="17">
        <v>52020.191666666673</v>
      </c>
      <c r="I207" s="40">
        <v>2156616.4351388882</v>
      </c>
      <c r="J207" s="40">
        <v>292709.20111111115</v>
      </c>
      <c r="K207" s="17">
        <v>603741.73111111112</v>
      </c>
      <c r="L207" s="17">
        <v>307672.98666666669</v>
      </c>
      <c r="M207" s="17">
        <v>126235.4111111111</v>
      </c>
      <c r="N207" s="40">
        <v>1330359.3299999998</v>
      </c>
      <c r="O207" s="53">
        <v>134573.74222222221</v>
      </c>
      <c r="P207" s="17">
        <v>134573.74222222221</v>
      </c>
      <c r="Q207" s="40">
        <v>75237.780000000028</v>
      </c>
      <c r="R207" s="40">
        <v>23264.785555555554</v>
      </c>
      <c r="S207" s="40">
        <v>98502.565555555571</v>
      </c>
      <c r="T207" s="40">
        <v>55638.466666666667</v>
      </c>
      <c r="U207" s="40">
        <v>55638.466666666667</v>
      </c>
      <c r="V207" s="40">
        <v>22662.633333333335</v>
      </c>
      <c r="W207" s="40">
        <v>22662.633333333335</v>
      </c>
      <c r="X207" s="40">
        <v>13194.683333333334</v>
      </c>
      <c r="Y207" s="40">
        <v>13194.683333333334</v>
      </c>
      <c r="Z207" s="40">
        <v>0</v>
      </c>
      <c r="AA207" s="39">
        <v>0</v>
      </c>
      <c r="AB207" s="22">
        <v>1949.6166666666668</v>
      </c>
      <c r="AC207" s="23">
        <v>1949.6166666666668</v>
      </c>
      <c r="AD207" s="17">
        <v>3813497.4729166664</v>
      </c>
      <c r="AE207"/>
      <c r="AF207" s="61"/>
    </row>
    <row r="208" spans="1:33">
      <c r="A208" s="55" t="s">
        <v>665</v>
      </c>
      <c r="B208" s="56"/>
      <c r="C208" s="46">
        <v>-2.2226372414890579E-3</v>
      </c>
      <c r="D208" s="47">
        <v>-1.3174599820132062E-2</v>
      </c>
      <c r="E208" s="47">
        <v>-2.0842838437723596E-2</v>
      </c>
      <c r="F208" s="47">
        <v>-3.9675092871322738E-2</v>
      </c>
      <c r="G208" s="47">
        <v>-3.379254044160053E-2</v>
      </c>
      <c r="H208" s="47">
        <v>-4.329494358474012E-2</v>
      </c>
      <c r="I208" s="46">
        <v>-1.3533111583950361E-2</v>
      </c>
      <c r="J208" s="46">
        <v>-8.863844940880522E-2</v>
      </c>
      <c r="K208" s="47">
        <v>-0.12056867909846455</v>
      </c>
      <c r="L208" s="47">
        <v>-5.7259724186621098E-2</v>
      </c>
      <c r="M208" s="47">
        <v>-4.4784978613680096E-2</v>
      </c>
      <c r="N208" s="46">
        <v>-9.2651777354093703E-2</v>
      </c>
      <c r="O208" s="48">
        <v>-0.18643498723033405</v>
      </c>
      <c r="P208" s="47">
        <v>-0.18643498723033405</v>
      </c>
      <c r="Q208" s="46">
        <v>-9.6196150463883856E-2</v>
      </c>
      <c r="R208" s="46">
        <v>-0.28951165079805319</v>
      </c>
      <c r="S208" s="46">
        <v>-0.15077023229560349</v>
      </c>
      <c r="T208" s="46">
        <v>-0.53719275696870539</v>
      </c>
      <c r="U208" s="46">
        <v>-0.53719275696870539</v>
      </c>
      <c r="V208" s="46">
        <v>-0.22258670167885206</v>
      </c>
      <c r="W208" s="46">
        <v>-0.22258670167885206</v>
      </c>
      <c r="X208" s="46">
        <v>-0.23596828891521032</v>
      </c>
      <c r="Y208" s="46">
        <v>-0.23596828891521032</v>
      </c>
      <c r="Z208" s="46">
        <v>0</v>
      </c>
      <c r="AA208" s="65">
        <v>0</v>
      </c>
      <c r="AB208" s="70">
        <v>-0.17085808253356202</v>
      </c>
      <c r="AC208" s="71">
        <v>-0.17085808253356202</v>
      </c>
      <c r="AD208" s="47">
        <v>-7.051420319063964E-2</v>
      </c>
      <c r="AE208"/>
      <c r="AF208" s="62"/>
      <c r="AG208" s="59"/>
    </row>
    <row r="209" spans="3:27">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indexed="12"/>
  </sheetPr>
  <dimension ref="A1:BD644"/>
  <sheetViews>
    <sheetView zoomScale="72" zoomScaleNormal="72" workbookViewId="0">
      <pane xSplit="5" ySplit="7" topLeftCell="AM617" activePane="bottomRight" state="frozenSplit"/>
      <selection activeCell="A2" sqref="A2 A2"/>
      <selection pane="topRight" activeCell="A2" sqref="A2"/>
      <selection pane="bottomLeft" activeCell="A2" sqref="A2"/>
      <selection pane="bottomRight" activeCell="A332" sqref="A332:XFD332"/>
    </sheetView>
  </sheetViews>
  <sheetFormatPr defaultColWidth="13.5" defaultRowHeight="12.75"/>
  <cols>
    <col min="1" max="1" width="9.5" style="347" customWidth="1"/>
    <col min="2" max="2" width="72.1640625" style="347" customWidth="1"/>
    <col min="3" max="3" width="34.1640625" style="347" customWidth="1"/>
    <col min="4" max="4" width="16.6640625" style="2" customWidth="1"/>
    <col min="5" max="5" width="16.6640625" style="380" customWidth="1"/>
    <col min="6" max="6" width="15.83203125" style="343" customWidth="1"/>
    <col min="7" max="7" width="13.1640625" style="344" customWidth="1"/>
    <col min="8" max="8" width="16.1640625" style="345" customWidth="1"/>
    <col min="9" max="9" width="18.5" style="346" customWidth="1"/>
    <col min="10" max="10" width="18.83203125" style="345" customWidth="1"/>
    <col min="11" max="11" width="18.5" style="346" customWidth="1"/>
    <col min="12" max="12" width="18.5" style="345" customWidth="1"/>
    <col min="13" max="13" width="18.1640625" style="346" customWidth="1"/>
    <col min="14" max="14" width="18.83203125" style="345" customWidth="1"/>
    <col min="15" max="15" width="18.83203125" style="346" customWidth="1"/>
    <col min="16" max="16" width="17.33203125" style="345" customWidth="1"/>
    <col min="17" max="17" width="16.1640625" style="345" customWidth="1"/>
    <col min="18" max="18" width="19.6640625" style="346" customWidth="1"/>
    <col min="19" max="19" width="13.33203125" style="346" customWidth="1"/>
    <col min="20" max="20" width="17" style="346" customWidth="1"/>
    <col min="21" max="21" width="16.6640625" style="346" customWidth="1"/>
    <col min="22" max="22" width="20" style="345" customWidth="1"/>
    <col min="23" max="23" width="18.1640625" style="345" customWidth="1"/>
    <col min="24" max="24" width="19.1640625" style="345" customWidth="1"/>
    <col min="25" max="25" width="18.1640625" style="346" customWidth="1"/>
    <col min="26" max="26" width="17" style="345" customWidth="1"/>
    <col min="27" max="27" width="17.6640625" style="346" customWidth="1"/>
    <col min="28" max="28" width="20" style="345" customWidth="1"/>
    <col min="29" max="29" width="18.5" style="346" customWidth="1"/>
    <col min="30" max="30" width="22.6640625" style="345" customWidth="1"/>
    <col min="31" max="31" width="27.1640625" style="346" customWidth="1"/>
    <col min="32" max="32" width="18.83203125" style="345" customWidth="1"/>
    <col min="33" max="33" width="18" style="345" customWidth="1"/>
    <col min="34" max="34" width="19.5" style="346" customWidth="1"/>
    <col min="35" max="35" width="16.1640625" style="346" customWidth="1"/>
    <col min="36" max="36" width="18.5" style="346" customWidth="1"/>
    <col min="37" max="37" width="18" style="346" customWidth="1"/>
    <col min="38" max="39" width="18.83203125" style="345" customWidth="1"/>
    <col min="40" max="40" width="16.1640625" style="345" customWidth="1"/>
    <col min="41" max="41" width="16.1640625" style="346" customWidth="1"/>
    <col min="42" max="42" width="16.1640625" style="345" customWidth="1"/>
    <col min="43" max="43" width="16.1640625" style="346" customWidth="1"/>
    <col min="44" max="44" width="16.1640625" style="345" customWidth="1"/>
    <col min="45" max="45" width="16.1640625" style="346" customWidth="1"/>
    <col min="46" max="46" width="16.1640625" style="345" customWidth="1"/>
    <col min="47" max="47" width="16.1640625" style="346" customWidth="1"/>
    <col min="48" max="48" width="18.5" style="345" customWidth="1"/>
    <col min="49" max="49" width="16.1640625" style="345" customWidth="1"/>
    <col min="50" max="50" width="18.5" style="346" customWidth="1"/>
    <col min="51" max="53" width="16.1640625" style="347" customWidth="1"/>
    <col min="54" max="16384" width="13.5" style="347"/>
  </cols>
  <sheetData>
    <row r="1" spans="1:56" hidden="1">
      <c r="A1" s="348"/>
      <c r="B1" s="348"/>
      <c r="C1" s="348"/>
      <c r="D1" s="349"/>
      <c r="E1" s="350"/>
      <c r="F1" s="351"/>
      <c r="G1" s="352"/>
      <c r="H1" s="353"/>
      <c r="I1" s="354"/>
      <c r="J1" s="353"/>
      <c r="K1" s="354"/>
      <c r="L1" s="353"/>
      <c r="M1" s="354"/>
      <c r="N1" s="353"/>
      <c r="O1" s="354"/>
      <c r="P1" s="355">
        <f>SUM(H1,J1,L1,N1)</f>
        <v>0</v>
      </c>
      <c r="Q1" s="356">
        <f>+P1/30</f>
        <v>0</v>
      </c>
      <c r="R1" s="357">
        <f>SUM(I1,K1,M1,O1)</f>
        <v>0</v>
      </c>
      <c r="S1" s="358">
        <f>+R1/30</f>
        <v>0</v>
      </c>
      <c r="T1" s="353"/>
      <c r="U1" s="354"/>
      <c r="V1" s="355">
        <f>IF(ISBLANK(T1),0,P1)</f>
        <v>0</v>
      </c>
      <c r="W1" s="359">
        <f>IF(ISBLANK(U1),0,R1)</f>
        <v>0</v>
      </c>
      <c r="X1" s="360"/>
      <c r="Y1" s="354"/>
      <c r="Z1" s="353"/>
      <c r="AA1" s="354"/>
      <c r="AB1" s="353"/>
      <c r="AC1" s="354"/>
      <c r="AD1" s="353"/>
      <c r="AE1" s="354"/>
      <c r="AF1" s="355">
        <f>SUM(X1,Z1,AB1,AD1)</f>
        <v>0</v>
      </c>
      <c r="AG1" s="356">
        <f>+AF1/900</f>
        <v>0</v>
      </c>
      <c r="AH1" s="357">
        <f>SUM(Y1,AA1,AC1,AE1)</f>
        <v>0</v>
      </c>
      <c r="AI1" s="357">
        <f>+AH1/900</f>
        <v>0</v>
      </c>
      <c r="AJ1" s="353"/>
      <c r="AK1" s="354"/>
      <c r="AL1" s="355">
        <f>IF(ISBLANK(AJ1),0,AF1)</f>
        <v>0</v>
      </c>
      <c r="AM1" s="358">
        <f>IF(ISBLANK(AK1),0,AH1)</f>
        <v>0</v>
      </c>
      <c r="AN1" s="353"/>
      <c r="AO1" s="353"/>
      <c r="AP1" s="353"/>
      <c r="AQ1" s="353"/>
      <c r="AR1" s="353"/>
      <c r="AS1" s="353"/>
      <c r="AT1" s="353"/>
      <c r="AU1" s="353"/>
      <c r="AV1" s="355">
        <f>SUM(AN1,AP1,AR1,AT1)</f>
        <v>0</v>
      </c>
      <c r="AW1" s="361">
        <f>+AV1/24</f>
        <v>0</v>
      </c>
      <c r="AX1" s="357">
        <f>SUM(AO1,AQ1,AS1,AU1)</f>
        <v>0</v>
      </c>
      <c r="AY1" s="362">
        <f>+AX1/24</f>
        <v>0</v>
      </c>
      <c r="AZ1" s="363">
        <f>SUM(Q1,AG1,AW1)</f>
        <v>0</v>
      </c>
      <c r="BA1" s="357">
        <f>SUM(S1,AI1,AY1)</f>
        <v>0</v>
      </c>
    </row>
    <row r="2" spans="1:56" s="365" customFormat="1" ht="18.75" customHeight="1" thickBot="1">
      <c r="A2" s="364" t="s">
        <v>0</v>
      </c>
      <c r="B2" s="364"/>
      <c r="C2" s="364"/>
      <c r="D2" s="364"/>
      <c r="E2" s="364"/>
    </row>
    <row r="3" spans="1:56" s="380" customFormat="1" ht="23.25" customHeight="1" thickTop="1">
      <c r="A3" s="366" t="s">
        <v>795</v>
      </c>
      <c r="B3" s="367"/>
      <c r="C3" s="367"/>
      <c r="D3" s="367"/>
      <c r="E3" s="367"/>
      <c r="F3" s="368"/>
      <c r="G3" s="369"/>
      <c r="H3" s="370" t="s">
        <v>1</v>
      </c>
      <c r="I3" s="371"/>
      <c r="J3" s="372"/>
      <c r="K3" s="373"/>
      <c r="L3" s="372"/>
      <c r="M3" s="373"/>
      <c r="N3" s="372"/>
      <c r="O3" s="373"/>
      <c r="P3" s="371" t="s">
        <v>2</v>
      </c>
      <c r="Q3" s="371"/>
      <c r="R3" s="371"/>
      <c r="S3" s="371"/>
      <c r="T3" s="374"/>
      <c r="U3" s="375"/>
      <c r="V3" s="371" t="s">
        <v>2</v>
      </c>
      <c r="W3" s="376"/>
      <c r="X3" s="377" t="s">
        <v>3</v>
      </c>
      <c r="Y3" s="371"/>
      <c r="Z3" s="372"/>
      <c r="AA3" s="373"/>
      <c r="AB3" s="372"/>
      <c r="AC3" s="373"/>
      <c r="AD3" s="372"/>
      <c r="AE3" s="373"/>
      <c r="AF3" s="371" t="s">
        <v>2</v>
      </c>
      <c r="AG3" s="371"/>
      <c r="AH3" s="371"/>
      <c r="AI3" s="371"/>
      <c r="AJ3" s="374"/>
      <c r="AK3" s="375"/>
      <c r="AL3" s="371" t="s">
        <v>2</v>
      </c>
      <c r="AM3" s="376"/>
      <c r="AN3" s="377" t="s">
        <v>4</v>
      </c>
      <c r="AO3" s="371"/>
      <c r="AP3" s="372"/>
      <c r="AQ3" s="373"/>
      <c r="AR3" s="372"/>
      <c r="AS3" s="373"/>
      <c r="AT3" s="372"/>
      <c r="AU3" s="373"/>
      <c r="AV3" s="378" t="s">
        <v>2</v>
      </c>
      <c r="AW3" s="371"/>
      <c r="AX3" s="379"/>
      <c r="AY3" s="371"/>
      <c r="AZ3" s="655" t="s">
        <v>5</v>
      </c>
      <c r="BA3" s="656"/>
    </row>
    <row r="4" spans="1:56" s="380" customFormat="1" ht="82.5" customHeight="1" thickBot="1">
      <c r="A4" s="381" t="s">
        <v>6</v>
      </c>
      <c r="B4" s="382"/>
      <c r="C4" s="382"/>
      <c r="D4" s="382"/>
      <c r="E4" s="382"/>
      <c r="F4" s="383" t="s">
        <v>7</v>
      </c>
      <c r="G4" s="384"/>
      <c r="H4" s="383" t="s">
        <v>8</v>
      </c>
      <c r="I4" s="384"/>
      <c r="J4" s="383" t="s">
        <v>9</v>
      </c>
      <c r="K4" s="384"/>
      <c r="L4" s="383" t="s">
        <v>10</v>
      </c>
      <c r="M4" s="384"/>
      <c r="N4" s="383" t="s">
        <v>11</v>
      </c>
      <c r="O4" s="384"/>
      <c r="P4" s="385" t="s">
        <v>12</v>
      </c>
      <c r="Q4" s="385" t="s">
        <v>13</v>
      </c>
      <c r="R4" s="386" t="s">
        <v>12</v>
      </c>
      <c r="S4" s="387" t="s">
        <v>13</v>
      </c>
      <c r="T4" s="383" t="s">
        <v>14</v>
      </c>
      <c r="U4" s="388"/>
      <c r="V4" s="383" t="s">
        <v>15</v>
      </c>
      <c r="W4" s="388"/>
      <c r="X4" s="383" t="s">
        <v>8</v>
      </c>
      <c r="Y4" s="384"/>
      <c r="Z4" s="383" t="s">
        <v>9</v>
      </c>
      <c r="AA4" s="384"/>
      <c r="AB4" s="383" t="s">
        <v>10</v>
      </c>
      <c r="AC4" s="384"/>
      <c r="AD4" s="383" t="s">
        <v>11</v>
      </c>
      <c r="AE4" s="384"/>
      <c r="AF4" s="385" t="s">
        <v>12</v>
      </c>
      <c r="AG4" s="385" t="s">
        <v>13</v>
      </c>
      <c r="AH4" s="386" t="s">
        <v>12</v>
      </c>
      <c r="AI4" s="387" t="s">
        <v>13</v>
      </c>
      <c r="AJ4" s="383" t="s">
        <v>14</v>
      </c>
      <c r="AK4" s="388"/>
      <c r="AL4" s="383" t="s">
        <v>15</v>
      </c>
      <c r="AM4" s="388"/>
      <c r="AN4" s="383" t="s">
        <v>8</v>
      </c>
      <c r="AO4" s="384"/>
      <c r="AP4" s="383" t="s">
        <v>9</v>
      </c>
      <c r="AQ4" s="384"/>
      <c r="AR4" s="383" t="s">
        <v>10</v>
      </c>
      <c r="AS4" s="384"/>
      <c r="AT4" s="383" t="s">
        <v>11</v>
      </c>
      <c r="AU4" s="384"/>
      <c r="AV4" s="385" t="s">
        <v>12</v>
      </c>
      <c r="AW4" s="385" t="s">
        <v>13</v>
      </c>
      <c r="AX4" s="386" t="s">
        <v>12</v>
      </c>
      <c r="AY4" s="386" t="s">
        <v>13</v>
      </c>
      <c r="AZ4" s="389" t="s">
        <v>16</v>
      </c>
      <c r="BA4" s="390"/>
    </row>
    <row r="5" spans="1:56" s="2" customFormat="1" ht="25.5" customHeight="1" thickTop="1" thickBot="1">
      <c r="A5" s="508" t="s">
        <v>17</v>
      </c>
      <c r="B5" s="509" t="s">
        <v>18</v>
      </c>
      <c r="C5" s="509" t="s">
        <v>19</v>
      </c>
      <c r="D5" s="508" t="s">
        <v>20</v>
      </c>
      <c r="E5" s="510" t="s">
        <v>21</v>
      </c>
      <c r="F5" s="511">
        <v>2020</v>
      </c>
      <c r="G5" s="512">
        <v>2021</v>
      </c>
      <c r="H5" s="511">
        <v>2020</v>
      </c>
      <c r="I5" s="512">
        <v>2021</v>
      </c>
      <c r="J5" s="511">
        <v>2020</v>
      </c>
      <c r="K5" s="512">
        <v>2021</v>
      </c>
      <c r="L5" s="511">
        <v>2020</v>
      </c>
      <c r="M5" s="512">
        <v>2021</v>
      </c>
      <c r="N5" s="511">
        <v>2020</v>
      </c>
      <c r="O5" s="512">
        <v>2021</v>
      </c>
      <c r="P5" s="513">
        <v>2020</v>
      </c>
      <c r="Q5" s="514">
        <v>2020</v>
      </c>
      <c r="R5" s="515">
        <v>2021</v>
      </c>
      <c r="S5" s="516">
        <v>2021</v>
      </c>
      <c r="T5" s="511">
        <v>2020</v>
      </c>
      <c r="U5" s="512">
        <v>2021</v>
      </c>
      <c r="V5" s="513">
        <v>2020</v>
      </c>
      <c r="W5" s="517">
        <v>2021</v>
      </c>
      <c r="X5" s="511">
        <v>2020</v>
      </c>
      <c r="Y5" s="512">
        <v>2021</v>
      </c>
      <c r="Z5" s="511">
        <v>2020</v>
      </c>
      <c r="AA5" s="512">
        <v>2021</v>
      </c>
      <c r="AB5" s="511">
        <v>2020</v>
      </c>
      <c r="AC5" s="512">
        <v>2021</v>
      </c>
      <c r="AD5" s="511">
        <v>2020</v>
      </c>
      <c r="AE5" s="512">
        <v>2021</v>
      </c>
      <c r="AF5" s="513">
        <v>2020</v>
      </c>
      <c r="AG5" s="514">
        <v>2020</v>
      </c>
      <c r="AH5" s="515">
        <v>2021</v>
      </c>
      <c r="AI5" s="515">
        <v>2021</v>
      </c>
      <c r="AJ5" s="511">
        <v>2020</v>
      </c>
      <c r="AK5" s="512">
        <v>2021</v>
      </c>
      <c r="AL5" s="514">
        <v>2020</v>
      </c>
      <c r="AM5" s="516">
        <v>2021</v>
      </c>
      <c r="AN5" s="511">
        <v>2020</v>
      </c>
      <c r="AO5" s="512">
        <v>2021</v>
      </c>
      <c r="AP5" s="511">
        <v>2020</v>
      </c>
      <c r="AQ5" s="512">
        <v>2021</v>
      </c>
      <c r="AR5" s="511">
        <v>2020</v>
      </c>
      <c r="AS5" s="512">
        <v>2021</v>
      </c>
      <c r="AT5" s="511">
        <v>2020</v>
      </c>
      <c r="AU5" s="512">
        <v>2021</v>
      </c>
      <c r="AV5" s="513">
        <v>2020</v>
      </c>
      <c r="AW5" s="513">
        <v>2020</v>
      </c>
      <c r="AX5" s="515">
        <v>2021</v>
      </c>
      <c r="AY5" s="518">
        <v>2021</v>
      </c>
      <c r="AZ5" s="519">
        <v>2020</v>
      </c>
      <c r="BA5" s="515">
        <v>2021</v>
      </c>
    </row>
    <row r="6" spans="1:56" s="397" customFormat="1" ht="35.1" hidden="1" customHeight="1" thickTop="1">
      <c r="A6" s="391" t="s">
        <v>17</v>
      </c>
      <c r="B6" s="391" t="s">
        <v>18</v>
      </c>
      <c r="C6" s="391" t="s">
        <v>22</v>
      </c>
      <c r="D6" s="392" t="s">
        <v>23</v>
      </c>
      <c r="E6" s="393" t="s">
        <v>21</v>
      </c>
      <c r="F6" s="394" t="s">
        <v>24</v>
      </c>
      <c r="G6" s="394" t="s">
        <v>25</v>
      </c>
      <c r="H6" s="394" t="s">
        <v>26</v>
      </c>
      <c r="I6" s="394" t="s">
        <v>27</v>
      </c>
      <c r="J6" s="394" t="s">
        <v>28</v>
      </c>
      <c r="K6" s="394" t="s">
        <v>29</v>
      </c>
      <c r="L6" s="394" t="s">
        <v>30</v>
      </c>
      <c r="M6" s="394" t="s">
        <v>31</v>
      </c>
      <c r="N6" s="394" t="s">
        <v>32</v>
      </c>
      <c r="O6" s="394" t="s">
        <v>33</v>
      </c>
      <c r="P6" s="394" t="s">
        <v>34</v>
      </c>
      <c r="Q6" s="394" t="s">
        <v>35</v>
      </c>
      <c r="R6" s="394" t="s">
        <v>36</v>
      </c>
      <c r="S6" s="394" t="s">
        <v>37</v>
      </c>
      <c r="T6" s="394" t="s">
        <v>38</v>
      </c>
      <c r="U6" s="394" t="s">
        <v>39</v>
      </c>
      <c r="V6" s="394" t="s">
        <v>40</v>
      </c>
      <c r="W6" s="394" t="s">
        <v>41</v>
      </c>
      <c r="X6" s="394" t="s">
        <v>42</v>
      </c>
      <c r="Y6" s="394" t="s">
        <v>43</v>
      </c>
      <c r="Z6" s="394" t="s">
        <v>44</v>
      </c>
      <c r="AA6" s="394" t="s">
        <v>45</v>
      </c>
      <c r="AB6" s="394" t="s">
        <v>46</v>
      </c>
      <c r="AC6" s="394" t="s">
        <v>47</v>
      </c>
      <c r="AD6" s="394" t="s">
        <v>48</v>
      </c>
      <c r="AE6" s="394" t="s">
        <v>49</v>
      </c>
      <c r="AF6" s="391" t="s">
        <v>50</v>
      </c>
      <c r="AG6" s="391" t="s">
        <v>51</v>
      </c>
      <c r="AH6" s="394" t="s">
        <v>52</v>
      </c>
      <c r="AI6" s="394" t="s">
        <v>53</v>
      </c>
      <c r="AJ6" s="394" t="s">
        <v>54</v>
      </c>
      <c r="AK6" s="394" t="s">
        <v>55</v>
      </c>
      <c r="AL6" s="394" t="s">
        <v>56</v>
      </c>
      <c r="AM6" s="394" t="s">
        <v>57</v>
      </c>
      <c r="AN6" s="394" t="s">
        <v>58</v>
      </c>
      <c r="AO6" s="394" t="s">
        <v>59</v>
      </c>
      <c r="AP6" s="394" t="s">
        <v>60</v>
      </c>
      <c r="AQ6" s="395" t="s">
        <v>61</v>
      </c>
      <c r="AR6" s="394" t="s">
        <v>62</v>
      </c>
      <c r="AS6" s="395" t="s">
        <v>63</v>
      </c>
      <c r="AT6" s="394" t="s">
        <v>64</v>
      </c>
      <c r="AU6" s="395" t="s">
        <v>65</v>
      </c>
      <c r="AV6" s="394" t="s">
        <v>66</v>
      </c>
      <c r="AW6" s="394" t="s">
        <v>67</v>
      </c>
      <c r="AX6" s="394" t="s">
        <v>68</v>
      </c>
      <c r="AY6" s="394" t="s">
        <v>69</v>
      </c>
      <c r="AZ6" s="396" t="s">
        <v>70</v>
      </c>
      <c r="BA6" s="393" t="s">
        <v>71</v>
      </c>
    </row>
    <row r="7" spans="1:56" s="365" customFormat="1" ht="13.5" customHeight="1" thickTop="1">
      <c r="A7" s="401" t="s">
        <v>72</v>
      </c>
      <c r="B7" s="400" t="s">
        <v>73</v>
      </c>
      <c r="C7" s="398"/>
      <c r="D7" s="616">
        <v>100858</v>
      </c>
      <c r="E7" s="401">
        <v>1</v>
      </c>
      <c r="F7" s="638"/>
      <c r="G7" s="639"/>
      <c r="H7" s="638"/>
      <c r="I7" s="639"/>
      <c r="J7" s="638">
        <v>325844</v>
      </c>
      <c r="K7" s="639">
        <v>318769</v>
      </c>
      <c r="L7" s="638">
        <v>65889</v>
      </c>
      <c r="M7" s="639">
        <v>60588</v>
      </c>
      <c r="N7" s="638">
        <v>347470</v>
      </c>
      <c r="O7" s="639">
        <v>349218</v>
      </c>
      <c r="P7" s="640">
        <f t="shared" ref="P7" si="0">SUM(H7,J7,L7,N7)</f>
        <v>739203</v>
      </c>
      <c r="Q7" s="640">
        <f t="shared" ref="Q7" si="1">+P7/30</f>
        <v>24640.1</v>
      </c>
      <c r="R7" s="641">
        <f t="shared" ref="R7" si="2">SUM(I7,K7,M7,O7)</f>
        <v>728575</v>
      </c>
      <c r="S7" s="641">
        <f t="shared" ref="S7" si="3">+R7/30</f>
        <v>24285.833333333332</v>
      </c>
      <c r="T7" s="638">
        <v>2390</v>
      </c>
      <c r="U7" s="639">
        <v>3628</v>
      </c>
      <c r="V7" s="640">
        <f t="shared" ref="V7" si="4">IF(ISBLANK(T7),0,P7)</f>
        <v>739203</v>
      </c>
      <c r="W7" s="641">
        <f t="shared" ref="W7" si="5">IF(ISBLANK(U7),0,R7)</f>
        <v>728575</v>
      </c>
      <c r="X7" s="638"/>
      <c r="Y7" s="639"/>
      <c r="Z7" s="638"/>
      <c r="AA7" s="639"/>
      <c r="AB7" s="638"/>
      <c r="AC7" s="639"/>
      <c r="AD7" s="638"/>
      <c r="AE7" s="639"/>
      <c r="AF7" s="640">
        <f t="shared" ref="AF7" si="6">SUM(X7,Z7,AB7,AD7)</f>
        <v>0</v>
      </c>
      <c r="AG7" s="640">
        <f t="shared" ref="AG7" si="7">+AF7/900</f>
        <v>0</v>
      </c>
      <c r="AH7" s="641">
        <f t="shared" ref="AH7" si="8">SUM(Y7,AA7,AC7,AE7)</f>
        <v>0</v>
      </c>
      <c r="AI7" s="641">
        <f t="shared" ref="AI7" si="9">+AH7/900</f>
        <v>0</v>
      </c>
      <c r="AJ7" s="638"/>
      <c r="AK7" s="639"/>
      <c r="AL7" s="640">
        <f t="shared" ref="AL7" si="10">IF(ISBLANK(AJ7),0,AF7)</f>
        <v>0</v>
      </c>
      <c r="AM7" s="641">
        <f t="shared" ref="AM7" si="11">IF(ISBLANK(AK7),0,AH7)</f>
        <v>0</v>
      </c>
      <c r="AN7" s="638"/>
      <c r="AO7" s="639"/>
      <c r="AP7" s="638">
        <v>41647</v>
      </c>
      <c r="AQ7" s="639">
        <v>54153</v>
      </c>
      <c r="AR7" s="638">
        <v>23689</v>
      </c>
      <c r="AS7" s="639">
        <v>26489</v>
      </c>
      <c r="AT7" s="638">
        <v>48026</v>
      </c>
      <c r="AU7" s="639">
        <v>60174</v>
      </c>
      <c r="AV7" s="640">
        <f t="shared" ref="AV7" si="12">SUM(AN7,AP7,AR7,AT7)</f>
        <v>113362</v>
      </c>
      <c r="AW7" s="640">
        <f t="shared" ref="AW7" si="13">+AV7/24</f>
        <v>4723.416666666667</v>
      </c>
      <c r="AX7" s="641">
        <f t="shared" ref="AX7" si="14">SUM(AO7,AQ7,AS7,AU7)</f>
        <v>140816</v>
      </c>
      <c r="AY7" s="641">
        <f t="shared" ref="AY7" si="15">+AX7/24</f>
        <v>5867.333333333333</v>
      </c>
      <c r="AZ7" s="640">
        <f t="shared" ref="AZ7" si="16">SUM(Q7,AG7,AW7)</f>
        <v>29363.516666666666</v>
      </c>
      <c r="BA7" s="641">
        <f t="shared" ref="BA7" si="17">SUM(S7,AI7,AY7)</f>
        <v>30153.166666666664</v>
      </c>
      <c r="BB7" s="606"/>
      <c r="BC7" s="606"/>
      <c r="BD7"/>
    </row>
    <row r="8" spans="1:56" s="1" customFormat="1">
      <c r="A8" s="401" t="s">
        <v>72</v>
      </c>
      <c r="B8" s="400" t="s">
        <v>75</v>
      </c>
      <c r="C8" s="398"/>
      <c r="D8" s="616">
        <v>100751</v>
      </c>
      <c r="E8" s="493">
        <v>1</v>
      </c>
      <c r="F8" s="638"/>
      <c r="G8" s="639"/>
      <c r="H8" s="638"/>
      <c r="I8" s="639"/>
      <c r="J8" s="638">
        <v>403673</v>
      </c>
      <c r="K8" s="639">
        <v>381177</v>
      </c>
      <c r="L8" s="638">
        <v>64637</v>
      </c>
      <c r="M8" s="639">
        <v>50387</v>
      </c>
      <c r="N8" s="638">
        <v>420300</v>
      </c>
      <c r="O8" s="639">
        <v>420568</v>
      </c>
      <c r="P8" s="640">
        <f t="shared" ref="P8:P71" si="18">SUM(H8,J8,L8,N8)</f>
        <v>888610</v>
      </c>
      <c r="Q8" s="640">
        <f t="shared" ref="Q8:Q71" si="19">+P8/30</f>
        <v>29620.333333333332</v>
      </c>
      <c r="R8" s="641">
        <f t="shared" ref="R8:R71" si="20">SUM(I8,K8,M8,O8)</f>
        <v>852132</v>
      </c>
      <c r="S8" s="641">
        <f t="shared" ref="S8:S71" si="21">+R8/30</f>
        <v>28404.400000000001</v>
      </c>
      <c r="T8" s="638">
        <v>10710</v>
      </c>
      <c r="U8" s="639">
        <v>9851</v>
      </c>
      <c r="V8" s="640">
        <f t="shared" ref="V8:V71" si="22">IF(ISBLANK(T8),0,P8)</f>
        <v>888610</v>
      </c>
      <c r="W8" s="641">
        <f t="shared" ref="W8:W71" si="23">IF(ISBLANK(U8),0,R8)</f>
        <v>852132</v>
      </c>
      <c r="X8" s="638"/>
      <c r="Y8" s="639"/>
      <c r="Z8" s="638"/>
      <c r="AA8" s="639"/>
      <c r="AB8" s="638"/>
      <c r="AC8" s="639"/>
      <c r="AD8" s="638"/>
      <c r="AE8" s="639"/>
      <c r="AF8" s="640">
        <f t="shared" ref="AF8:AF71" si="24">SUM(X8,Z8,AB8,AD8)</f>
        <v>0</v>
      </c>
      <c r="AG8" s="640">
        <f t="shared" ref="AG8:AG71" si="25">+AF8/900</f>
        <v>0</v>
      </c>
      <c r="AH8" s="641">
        <f t="shared" ref="AH8:AH71" si="26">SUM(Y8,AA8,AC8,AE8)</f>
        <v>0</v>
      </c>
      <c r="AI8" s="641">
        <f t="shared" ref="AI8:AI71" si="27">+AH8/900</f>
        <v>0</v>
      </c>
      <c r="AJ8" s="638"/>
      <c r="AK8" s="639"/>
      <c r="AL8" s="640">
        <f t="shared" ref="AL8:AL71" si="28">IF(ISBLANK(AJ8),0,AF8)</f>
        <v>0</v>
      </c>
      <c r="AM8" s="641">
        <f t="shared" ref="AM8:AM71" si="29">IF(ISBLANK(AK8),0,AH8)</f>
        <v>0</v>
      </c>
      <c r="AN8" s="638"/>
      <c r="AO8" s="639"/>
      <c r="AP8" s="638">
        <v>43912</v>
      </c>
      <c r="AQ8" s="639">
        <v>51340</v>
      </c>
      <c r="AR8" s="638">
        <v>10634</v>
      </c>
      <c r="AS8" s="639">
        <v>12750</v>
      </c>
      <c r="AT8" s="638">
        <v>49937</v>
      </c>
      <c r="AU8" s="639">
        <v>50606</v>
      </c>
      <c r="AV8" s="640">
        <f t="shared" ref="AV8:AV71" si="30">SUM(AN8,AP8,AR8,AT8)</f>
        <v>104483</v>
      </c>
      <c r="AW8" s="640">
        <f t="shared" ref="AW8:AW71" si="31">+AV8/24</f>
        <v>4353.458333333333</v>
      </c>
      <c r="AX8" s="641">
        <f t="shared" ref="AX8:AX71" si="32">SUM(AO8,AQ8,AS8,AU8)</f>
        <v>114696</v>
      </c>
      <c r="AY8" s="641">
        <f t="shared" ref="AY8:AY71" si="33">+AX8/24</f>
        <v>4779</v>
      </c>
      <c r="AZ8" s="640">
        <f t="shared" ref="AZ8:AZ71" si="34">SUM(Q8,AG8,AW8)</f>
        <v>33973.791666666664</v>
      </c>
      <c r="BA8" s="641">
        <f t="shared" ref="BA8:BA71" si="35">SUM(S8,AI8,AY8)</f>
        <v>33183.4</v>
      </c>
    </row>
    <row r="9" spans="1:56" s="1" customFormat="1">
      <c r="A9" s="401" t="s">
        <v>72</v>
      </c>
      <c r="B9" s="400" t="s">
        <v>76</v>
      </c>
      <c r="C9" s="405"/>
      <c r="D9" s="616">
        <v>100663</v>
      </c>
      <c r="E9" s="493">
        <v>1</v>
      </c>
      <c r="F9" s="638"/>
      <c r="G9" s="639"/>
      <c r="H9" s="638"/>
      <c r="I9" s="639"/>
      <c r="J9" s="638">
        <v>135897</v>
      </c>
      <c r="K9" s="639">
        <v>134867</v>
      </c>
      <c r="L9" s="638">
        <v>35410</v>
      </c>
      <c r="M9" s="639">
        <v>32044</v>
      </c>
      <c r="N9" s="638">
        <v>150286</v>
      </c>
      <c r="O9" s="639">
        <v>146823</v>
      </c>
      <c r="P9" s="640">
        <f t="shared" si="18"/>
        <v>321593</v>
      </c>
      <c r="Q9" s="640">
        <f t="shared" si="19"/>
        <v>10719.766666666666</v>
      </c>
      <c r="R9" s="641">
        <f t="shared" si="20"/>
        <v>313734</v>
      </c>
      <c r="S9" s="641">
        <f t="shared" si="21"/>
        <v>10457.799999999999</v>
      </c>
      <c r="T9" s="638">
        <v>860</v>
      </c>
      <c r="U9" s="639">
        <v>455</v>
      </c>
      <c r="V9" s="640">
        <f t="shared" si="22"/>
        <v>321593</v>
      </c>
      <c r="W9" s="641">
        <f t="shared" si="23"/>
        <v>313734</v>
      </c>
      <c r="X9" s="638"/>
      <c r="Y9" s="639"/>
      <c r="Z9" s="638">
        <v>9060</v>
      </c>
      <c r="AA9" s="639">
        <v>8991</v>
      </c>
      <c r="AB9" s="638">
        <v>2361</v>
      </c>
      <c r="AC9" s="639">
        <v>2136</v>
      </c>
      <c r="AD9" s="638">
        <v>10019</v>
      </c>
      <c r="AE9" s="639">
        <v>9788</v>
      </c>
      <c r="AF9" s="640">
        <f t="shared" si="24"/>
        <v>21440</v>
      </c>
      <c r="AG9" s="640">
        <f t="shared" si="25"/>
        <v>23.822222222222223</v>
      </c>
      <c r="AH9" s="641">
        <f t="shared" si="26"/>
        <v>20915</v>
      </c>
      <c r="AI9" s="641">
        <f t="shared" si="27"/>
        <v>23.238888888888887</v>
      </c>
      <c r="AJ9" s="638">
        <v>57</v>
      </c>
      <c r="AK9" s="639">
        <v>30</v>
      </c>
      <c r="AL9" s="640">
        <f t="shared" si="28"/>
        <v>21440</v>
      </c>
      <c r="AM9" s="641">
        <f t="shared" si="29"/>
        <v>20915</v>
      </c>
      <c r="AN9" s="638"/>
      <c r="AO9" s="639"/>
      <c r="AP9" s="638">
        <v>20306</v>
      </c>
      <c r="AQ9" s="639">
        <v>22617</v>
      </c>
      <c r="AR9" s="638">
        <v>13336</v>
      </c>
      <c r="AS9" s="639">
        <v>14604</v>
      </c>
      <c r="AT9" s="638">
        <v>22282</v>
      </c>
      <c r="AU9" s="639">
        <v>23450</v>
      </c>
      <c r="AV9" s="640">
        <f t="shared" si="30"/>
        <v>55924</v>
      </c>
      <c r="AW9" s="640">
        <f t="shared" si="31"/>
        <v>2330.1666666666665</v>
      </c>
      <c r="AX9" s="641">
        <f t="shared" si="32"/>
        <v>60671</v>
      </c>
      <c r="AY9" s="641">
        <f t="shared" si="33"/>
        <v>2527.9583333333335</v>
      </c>
      <c r="AZ9" s="640">
        <f t="shared" si="34"/>
        <v>13073.755555555555</v>
      </c>
      <c r="BA9" s="641">
        <f t="shared" si="35"/>
        <v>13008.997222222222</v>
      </c>
    </row>
    <row r="10" spans="1:56" s="1" customFormat="1">
      <c r="A10" s="401" t="s">
        <v>72</v>
      </c>
      <c r="B10" s="400" t="s">
        <v>77</v>
      </c>
      <c r="C10" s="398"/>
      <c r="D10" s="616">
        <v>100706</v>
      </c>
      <c r="E10" s="493">
        <v>2</v>
      </c>
      <c r="F10" s="638"/>
      <c r="G10" s="639"/>
      <c r="H10" s="638"/>
      <c r="I10" s="639"/>
      <c r="J10" s="638">
        <v>97398</v>
      </c>
      <c r="K10" s="639">
        <v>97087</v>
      </c>
      <c r="L10" s="638">
        <v>15771</v>
      </c>
      <c r="M10" s="639">
        <v>15809</v>
      </c>
      <c r="N10" s="638">
        <v>107385</v>
      </c>
      <c r="O10" s="639">
        <v>99129</v>
      </c>
      <c r="P10" s="640">
        <f t="shared" si="18"/>
        <v>220554</v>
      </c>
      <c r="Q10" s="640">
        <f t="shared" si="19"/>
        <v>7351.8</v>
      </c>
      <c r="R10" s="641">
        <f t="shared" si="20"/>
        <v>212025</v>
      </c>
      <c r="S10" s="641">
        <f t="shared" si="21"/>
        <v>7067.5</v>
      </c>
      <c r="T10" s="638">
        <v>1580</v>
      </c>
      <c r="U10" s="639">
        <v>1615</v>
      </c>
      <c r="V10" s="640">
        <f t="shared" si="22"/>
        <v>220554</v>
      </c>
      <c r="W10" s="641">
        <f t="shared" si="23"/>
        <v>212025</v>
      </c>
      <c r="X10" s="638"/>
      <c r="Y10" s="639"/>
      <c r="Z10" s="638"/>
      <c r="AA10" s="639"/>
      <c r="AB10" s="638"/>
      <c r="AC10" s="639"/>
      <c r="AD10" s="638"/>
      <c r="AE10" s="639"/>
      <c r="AF10" s="640">
        <f t="shared" si="24"/>
        <v>0</v>
      </c>
      <c r="AG10" s="640">
        <f t="shared" si="25"/>
        <v>0</v>
      </c>
      <c r="AH10" s="641">
        <f t="shared" si="26"/>
        <v>0</v>
      </c>
      <c r="AI10" s="641">
        <f t="shared" si="27"/>
        <v>0</v>
      </c>
      <c r="AJ10" s="638"/>
      <c r="AK10" s="639"/>
      <c r="AL10" s="640">
        <f t="shared" si="28"/>
        <v>0</v>
      </c>
      <c r="AM10" s="641">
        <f t="shared" si="29"/>
        <v>0</v>
      </c>
      <c r="AN10" s="638"/>
      <c r="AO10" s="639"/>
      <c r="AP10" s="638">
        <v>11634</v>
      </c>
      <c r="AQ10" s="639">
        <v>12387</v>
      </c>
      <c r="AR10" s="638">
        <v>5767</v>
      </c>
      <c r="AS10" s="639">
        <v>5943</v>
      </c>
      <c r="AT10" s="638">
        <v>12755</v>
      </c>
      <c r="AU10" s="639">
        <v>13463</v>
      </c>
      <c r="AV10" s="640">
        <f t="shared" si="30"/>
        <v>30156</v>
      </c>
      <c r="AW10" s="640">
        <f t="shared" si="31"/>
        <v>1256.5</v>
      </c>
      <c r="AX10" s="641">
        <f t="shared" si="32"/>
        <v>31793</v>
      </c>
      <c r="AY10" s="641">
        <f t="shared" si="33"/>
        <v>1324.7083333333333</v>
      </c>
      <c r="AZ10" s="640">
        <f t="shared" si="34"/>
        <v>8608.2999999999993</v>
      </c>
      <c r="BA10" s="641">
        <f t="shared" si="35"/>
        <v>8392.2083333333339</v>
      </c>
    </row>
    <row r="11" spans="1:56" s="1" customFormat="1">
      <c r="A11" s="401" t="s">
        <v>72</v>
      </c>
      <c r="B11" s="400" t="s">
        <v>81</v>
      </c>
      <c r="C11" s="405"/>
      <c r="D11" s="616">
        <v>102094</v>
      </c>
      <c r="E11" s="493">
        <v>2</v>
      </c>
      <c r="F11" s="638"/>
      <c r="G11" s="639"/>
      <c r="H11" s="638"/>
      <c r="I11" s="639"/>
      <c r="J11" s="638">
        <v>102831</v>
      </c>
      <c r="K11" s="639">
        <v>96119</v>
      </c>
      <c r="L11" s="638">
        <v>20267</v>
      </c>
      <c r="M11" s="639">
        <v>17207</v>
      </c>
      <c r="N11" s="638">
        <v>108083</v>
      </c>
      <c r="O11" s="639">
        <v>103621</v>
      </c>
      <c r="P11" s="640">
        <f t="shared" si="18"/>
        <v>231181</v>
      </c>
      <c r="Q11" s="640">
        <f t="shared" si="19"/>
        <v>7706.0333333333338</v>
      </c>
      <c r="R11" s="641">
        <f t="shared" si="20"/>
        <v>216947</v>
      </c>
      <c r="S11" s="641">
        <f t="shared" si="21"/>
        <v>7231.5666666666666</v>
      </c>
      <c r="T11" s="638">
        <v>192</v>
      </c>
      <c r="U11" s="639">
        <v>895</v>
      </c>
      <c r="V11" s="640">
        <f t="shared" si="22"/>
        <v>231181</v>
      </c>
      <c r="W11" s="641">
        <f t="shared" si="23"/>
        <v>216947</v>
      </c>
      <c r="X11" s="638"/>
      <c r="Y11" s="639"/>
      <c r="Z11" s="638"/>
      <c r="AA11" s="639"/>
      <c r="AB11" s="638"/>
      <c r="AC11" s="639"/>
      <c r="AD11" s="638"/>
      <c r="AE11" s="639"/>
      <c r="AF11" s="640">
        <f t="shared" si="24"/>
        <v>0</v>
      </c>
      <c r="AG11" s="640">
        <f t="shared" si="25"/>
        <v>0</v>
      </c>
      <c r="AH11" s="641">
        <f t="shared" si="26"/>
        <v>0</v>
      </c>
      <c r="AI11" s="641">
        <f t="shared" si="27"/>
        <v>0</v>
      </c>
      <c r="AJ11" s="638"/>
      <c r="AK11" s="639"/>
      <c r="AL11" s="640">
        <f t="shared" si="28"/>
        <v>0</v>
      </c>
      <c r="AM11" s="641">
        <f t="shared" si="29"/>
        <v>0</v>
      </c>
      <c r="AN11" s="638"/>
      <c r="AO11" s="639"/>
      <c r="AP11" s="638">
        <v>7132</v>
      </c>
      <c r="AQ11" s="639">
        <v>8063</v>
      </c>
      <c r="AR11" s="638">
        <v>4594</v>
      </c>
      <c r="AS11" s="639">
        <v>4576</v>
      </c>
      <c r="AT11" s="638">
        <v>8238</v>
      </c>
      <c r="AU11" s="639">
        <v>8296</v>
      </c>
      <c r="AV11" s="640">
        <f t="shared" si="30"/>
        <v>19964</v>
      </c>
      <c r="AW11" s="640">
        <f t="shared" si="31"/>
        <v>831.83333333333337</v>
      </c>
      <c r="AX11" s="641">
        <f t="shared" si="32"/>
        <v>20935</v>
      </c>
      <c r="AY11" s="641">
        <f t="shared" si="33"/>
        <v>872.29166666666663</v>
      </c>
      <c r="AZ11" s="640">
        <f t="shared" si="34"/>
        <v>8537.8666666666668</v>
      </c>
      <c r="BA11" s="641">
        <f t="shared" si="35"/>
        <v>8103.8583333333336</v>
      </c>
    </row>
    <row r="12" spans="1:56" s="1" customFormat="1">
      <c r="A12" s="401" t="s">
        <v>72</v>
      </c>
      <c r="B12" s="400" t="s">
        <v>78</v>
      </c>
      <c r="C12" s="398"/>
      <c r="D12" s="616">
        <v>100654</v>
      </c>
      <c r="E12" s="493">
        <v>3</v>
      </c>
      <c r="F12" s="638"/>
      <c r="G12" s="639"/>
      <c r="H12" s="638"/>
      <c r="I12" s="639"/>
      <c r="J12" s="638">
        <v>70410</v>
      </c>
      <c r="K12" s="639">
        <v>57075</v>
      </c>
      <c r="L12" s="638">
        <v>9207</v>
      </c>
      <c r="M12" s="639">
        <v>11413</v>
      </c>
      <c r="N12" s="638">
        <v>70545</v>
      </c>
      <c r="O12" s="639">
        <v>64828</v>
      </c>
      <c r="P12" s="640">
        <f t="shared" si="18"/>
        <v>150162</v>
      </c>
      <c r="Q12" s="640">
        <f t="shared" si="19"/>
        <v>5005.3999999999996</v>
      </c>
      <c r="R12" s="641">
        <f t="shared" si="20"/>
        <v>133316</v>
      </c>
      <c r="S12" s="641">
        <f t="shared" si="21"/>
        <v>4443.8666666666668</v>
      </c>
      <c r="T12" s="638">
        <v>0</v>
      </c>
      <c r="U12" s="639">
        <v>0</v>
      </c>
      <c r="V12" s="640">
        <f t="shared" si="22"/>
        <v>150162</v>
      </c>
      <c r="W12" s="641">
        <f t="shared" si="23"/>
        <v>133316</v>
      </c>
      <c r="X12" s="638"/>
      <c r="Y12" s="639"/>
      <c r="Z12" s="638"/>
      <c r="AA12" s="639"/>
      <c r="AB12" s="638"/>
      <c r="AC12" s="639"/>
      <c r="AD12" s="638"/>
      <c r="AE12" s="639"/>
      <c r="AF12" s="640">
        <f t="shared" si="24"/>
        <v>0</v>
      </c>
      <c r="AG12" s="640">
        <f t="shared" si="25"/>
        <v>0</v>
      </c>
      <c r="AH12" s="641">
        <f t="shared" si="26"/>
        <v>0</v>
      </c>
      <c r="AI12" s="641">
        <f t="shared" si="27"/>
        <v>0</v>
      </c>
      <c r="AJ12" s="638"/>
      <c r="AK12" s="639"/>
      <c r="AL12" s="640">
        <f t="shared" si="28"/>
        <v>0</v>
      </c>
      <c r="AM12" s="641">
        <f t="shared" si="29"/>
        <v>0</v>
      </c>
      <c r="AN12" s="638"/>
      <c r="AO12" s="639"/>
      <c r="AP12" s="638">
        <v>7355</v>
      </c>
      <c r="AQ12" s="639">
        <v>6829</v>
      </c>
      <c r="AR12" s="638">
        <v>3298</v>
      </c>
      <c r="AS12" s="639">
        <v>3094</v>
      </c>
      <c r="AT12" s="638">
        <v>7273</v>
      </c>
      <c r="AU12" s="639">
        <v>6476</v>
      </c>
      <c r="AV12" s="640">
        <f t="shared" si="30"/>
        <v>17926</v>
      </c>
      <c r="AW12" s="640">
        <f t="shared" si="31"/>
        <v>746.91666666666663</v>
      </c>
      <c r="AX12" s="641">
        <f t="shared" si="32"/>
        <v>16399</v>
      </c>
      <c r="AY12" s="641">
        <f t="shared" si="33"/>
        <v>683.29166666666663</v>
      </c>
      <c r="AZ12" s="640">
        <f t="shared" si="34"/>
        <v>5752.3166666666666</v>
      </c>
      <c r="BA12" s="641">
        <f t="shared" si="35"/>
        <v>5127.1583333333338</v>
      </c>
    </row>
    <row r="13" spans="1:56" s="1" customFormat="1">
      <c r="A13" s="401" t="s">
        <v>72</v>
      </c>
      <c r="B13" s="400" t="s">
        <v>79</v>
      </c>
      <c r="C13" s="398"/>
      <c r="D13" s="616">
        <v>101480</v>
      </c>
      <c r="E13" s="493">
        <v>3</v>
      </c>
      <c r="F13" s="638"/>
      <c r="G13" s="639"/>
      <c r="H13" s="638"/>
      <c r="I13" s="639"/>
      <c r="J13" s="638">
        <v>86049</v>
      </c>
      <c r="K13" s="639">
        <v>85253</v>
      </c>
      <c r="L13" s="638">
        <v>23153</v>
      </c>
      <c r="M13" s="639">
        <v>22046</v>
      </c>
      <c r="N13" s="638">
        <v>96075</v>
      </c>
      <c r="O13" s="639">
        <v>98426</v>
      </c>
      <c r="P13" s="640">
        <f t="shared" si="18"/>
        <v>205277</v>
      </c>
      <c r="Q13" s="640">
        <f t="shared" si="19"/>
        <v>6842.5666666666666</v>
      </c>
      <c r="R13" s="641">
        <f t="shared" si="20"/>
        <v>205725</v>
      </c>
      <c r="S13" s="641">
        <f t="shared" si="21"/>
        <v>6857.5</v>
      </c>
      <c r="T13" s="638">
        <v>5773</v>
      </c>
      <c r="U13" s="639">
        <v>6163</v>
      </c>
      <c r="V13" s="640">
        <f t="shared" si="22"/>
        <v>205277</v>
      </c>
      <c r="W13" s="641">
        <f t="shared" si="23"/>
        <v>205725</v>
      </c>
      <c r="X13" s="638"/>
      <c r="Y13" s="639"/>
      <c r="Z13" s="638"/>
      <c r="AA13" s="639"/>
      <c r="AB13" s="638"/>
      <c r="AC13" s="639"/>
      <c r="AD13" s="638"/>
      <c r="AE13" s="639"/>
      <c r="AF13" s="640">
        <f t="shared" si="24"/>
        <v>0</v>
      </c>
      <c r="AG13" s="640">
        <f t="shared" si="25"/>
        <v>0</v>
      </c>
      <c r="AH13" s="641">
        <f t="shared" si="26"/>
        <v>0</v>
      </c>
      <c r="AI13" s="641">
        <f t="shared" si="27"/>
        <v>0</v>
      </c>
      <c r="AJ13" s="638"/>
      <c r="AK13" s="639"/>
      <c r="AL13" s="640">
        <f t="shared" si="28"/>
        <v>0</v>
      </c>
      <c r="AM13" s="641">
        <f t="shared" si="29"/>
        <v>0</v>
      </c>
      <c r="AN13" s="638"/>
      <c r="AO13" s="639"/>
      <c r="AP13" s="638">
        <v>8101</v>
      </c>
      <c r="AQ13" s="639">
        <v>9613</v>
      </c>
      <c r="AR13" s="638">
        <v>6573</v>
      </c>
      <c r="AS13" s="639">
        <v>6326</v>
      </c>
      <c r="AT13" s="638">
        <v>10195</v>
      </c>
      <c r="AU13" s="639">
        <v>9957</v>
      </c>
      <c r="AV13" s="640">
        <f t="shared" si="30"/>
        <v>24869</v>
      </c>
      <c r="AW13" s="640">
        <f t="shared" si="31"/>
        <v>1036.2083333333333</v>
      </c>
      <c r="AX13" s="641">
        <f t="shared" si="32"/>
        <v>25896</v>
      </c>
      <c r="AY13" s="641">
        <f t="shared" si="33"/>
        <v>1079</v>
      </c>
      <c r="AZ13" s="640">
        <f t="shared" si="34"/>
        <v>7878.7749999999996</v>
      </c>
      <c r="BA13" s="641">
        <f t="shared" si="35"/>
        <v>7936.5</v>
      </c>
    </row>
    <row r="14" spans="1:56" s="1" customFormat="1">
      <c r="A14" s="401" t="s">
        <v>72</v>
      </c>
      <c r="B14" s="400" t="s">
        <v>80</v>
      </c>
      <c r="C14" s="398"/>
      <c r="D14" s="616">
        <v>102368</v>
      </c>
      <c r="E14" s="493">
        <v>3</v>
      </c>
      <c r="F14" s="638"/>
      <c r="G14" s="639"/>
      <c r="H14" s="638"/>
      <c r="I14" s="639"/>
      <c r="J14" s="638">
        <v>137450</v>
      </c>
      <c r="K14" s="639">
        <v>126458</v>
      </c>
      <c r="L14" s="638">
        <v>34074</v>
      </c>
      <c r="M14" s="639">
        <v>28925</v>
      </c>
      <c r="N14" s="638">
        <v>142473</v>
      </c>
      <c r="O14" s="639">
        <v>128674</v>
      </c>
      <c r="P14" s="640">
        <f t="shared" si="18"/>
        <v>313997</v>
      </c>
      <c r="Q14" s="640">
        <f t="shared" si="19"/>
        <v>10466.566666666668</v>
      </c>
      <c r="R14" s="641">
        <f t="shared" si="20"/>
        <v>284057</v>
      </c>
      <c r="S14" s="641">
        <f t="shared" si="21"/>
        <v>9468.5666666666675</v>
      </c>
      <c r="T14" s="638">
        <v>3165</v>
      </c>
      <c r="U14" s="639">
        <v>2913</v>
      </c>
      <c r="V14" s="640">
        <f t="shared" si="22"/>
        <v>313997</v>
      </c>
      <c r="W14" s="641">
        <f t="shared" si="23"/>
        <v>284057</v>
      </c>
      <c r="X14" s="638"/>
      <c r="Y14" s="639"/>
      <c r="Z14" s="638"/>
      <c r="AA14" s="639"/>
      <c r="AB14" s="638"/>
      <c r="AC14" s="639"/>
      <c r="AD14" s="638"/>
      <c r="AE14" s="639"/>
      <c r="AF14" s="640">
        <f t="shared" si="24"/>
        <v>0</v>
      </c>
      <c r="AG14" s="640">
        <f t="shared" si="25"/>
        <v>0</v>
      </c>
      <c r="AH14" s="641">
        <f t="shared" si="26"/>
        <v>0</v>
      </c>
      <c r="AI14" s="641">
        <f t="shared" si="27"/>
        <v>0</v>
      </c>
      <c r="AJ14" s="638"/>
      <c r="AK14" s="639"/>
      <c r="AL14" s="640">
        <f t="shared" si="28"/>
        <v>0</v>
      </c>
      <c r="AM14" s="641">
        <f t="shared" si="29"/>
        <v>0</v>
      </c>
      <c r="AN14" s="638"/>
      <c r="AO14" s="639"/>
      <c r="AP14" s="638">
        <v>21018</v>
      </c>
      <c r="AQ14" s="639">
        <v>23108</v>
      </c>
      <c r="AR14" s="638">
        <v>9620</v>
      </c>
      <c r="AS14" s="639">
        <v>9413</v>
      </c>
      <c r="AT14" s="638">
        <v>22767</v>
      </c>
      <c r="AU14" s="639">
        <v>21595</v>
      </c>
      <c r="AV14" s="640">
        <f t="shared" si="30"/>
        <v>53405</v>
      </c>
      <c r="AW14" s="640">
        <f t="shared" si="31"/>
        <v>2225.2083333333335</v>
      </c>
      <c r="AX14" s="641">
        <f t="shared" si="32"/>
        <v>54116</v>
      </c>
      <c r="AY14" s="641">
        <f t="shared" si="33"/>
        <v>2254.8333333333335</v>
      </c>
      <c r="AZ14" s="640">
        <f t="shared" si="34"/>
        <v>12691.775000000001</v>
      </c>
      <c r="BA14" s="641">
        <f t="shared" si="35"/>
        <v>11723.400000000001</v>
      </c>
    </row>
    <row r="15" spans="1:56" s="1" customFormat="1">
      <c r="A15" s="401" t="s">
        <v>72</v>
      </c>
      <c r="B15" s="400" t="s">
        <v>84</v>
      </c>
      <c r="C15" s="405"/>
      <c r="D15" s="616">
        <v>101879</v>
      </c>
      <c r="E15" s="493">
        <v>3</v>
      </c>
      <c r="F15" s="638"/>
      <c r="G15" s="639"/>
      <c r="H15" s="638"/>
      <c r="I15" s="639"/>
      <c r="J15" s="638">
        <v>71063</v>
      </c>
      <c r="K15" s="639">
        <v>67781</v>
      </c>
      <c r="L15" s="638">
        <v>15048</v>
      </c>
      <c r="M15" s="639">
        <v>13661</v>
      </c>
      <c r="N15" s="638">
        <v>74693</v>
      </c>
      <c r="O15" s="639">
        <v>73050</v>
      </c>
      <c r="P15" s="640">
        <f t="shared" si="18"/>
        <v>160804</v>
      </c>
      <c r="Q15" s="640">
        <f t="shared" si="19"/>
        <v>5360.1333333333332</v>
      </c>
      <c r="R15" s="641">
        <f t="shared" si="20"/>
        <v>154492</v>
      </c>
      <c r="S15" s="641">
        <f t="shared" si="21"/>
        <v>5149.7333333333336</v>
      </c>
      <c r="T15" s="638">
        <v>3173</v>
      </c>
      <c r="U15" s="639">
        <v>4482</v>
      </c>
      <c r="V15" s="640">
        <f t="shared" si="22"/>
        <v>160804</v>
      </c>
      <c r="W15" s="641">
        <f t="shared" si="23"/>
        <v>154492</v>
      </c>
      <c r="X15" s="638"/>
      <c r="Y15" s="639"/>
      <c r="Z15" s="638"/>
      <c r="AA15" s="639"/>
      <c r="AB15" s="638"/>
      <c r="AC15" s="639"/>
      <c r="AD15" s="638"/>
      <c r="AE15" s="639"/>
      <c r="AF15" s="640">
        <f t="shared" si="24"/>
        <v>0</v>
      </c>
      <c r="AG15" s="640">
        <f t="shared" si="25"/>
        <v>0</v>
      </c>
      <c r="AH15" s="641">
        <f t="shared" si="26"/>
        <v>0</v>
      </c>
      <c r="AI15" s="641">
        <f t="shared" si="27"/>
        <v>0</v>
      </c>
      <c r="AJ15" s="638"/>
      <c r="AK15" s="639"/>
      <c r="AL15" s="640">
        <f t="shared" si="28"/>
        <v>0</v>
      </c>
      <c r="AM15" s="641">
        <f t="shared" si="29"/>
        <v>0</v>
      </c>
      <c r="AN15" s="638"/>
      <c r="AO15" s="639"/>
      <c r="AP15" s="638">
        <v>9996</v>
      </c>
      <c r="AQ15" s="639">
        <v>14940</v>
      </c>
      <c r="AR15" s="638">
        <v>6260</v>
      </c>
      <c r="AS15" s="639">
        <v>7921</v>
      </c>
      <c r="AT15" s="638">
        <v>14088</v>
      </c>
      <c r="AU15" s="639">
        <v>16506</v>
      </c>
      <c r="AV15" s="640">
        <f t="shared" si="30"/>
        <v>30344</v>
      </c>
      <c r="AW15" s="640">
        <f t="shared" si="31"/>
        <v>1264.3333333333333</v>
      </c>
      <c r="AX15" s="641">
        <f t="shared" si="32"/>
        <v>39367</v>
      </c>
      <c r="AY15" s="641">
        <f t="shared" si="33"/>
        <v>1640.2916666666667</v>
      </c>
      <c r="AZ15" s="640">
        <f t="shared" si="34"/>
        <v>6624.4666666666662</v>
      </c>
      <c r="BA15" s="641">
        <f t="shared" si="35"/>
        <v>6790.0250000000005</v>
      </c>
    </row>
    <row r="16" spans="1:56" s="1" customFormat="1">
      <c r="A16" s="401" t="s">
        <v>72</v>
      </c>
      <c r="B16" s="400" t="s">
        <v>82</v>
      </c>
      <c r="C16" s="398"/>
      <c r="D16" s="616">
        <v>100724</v>
      </c>
      <c r="E16" s="493">
        <v>4</v>
      </c>
      <c r="F16" s="638"/>
      <c r="G16" s="639"/>
      <c r="H16" s="638"/>
      <c r="I16" s="639"/>
      <c r="J16" s="638">
        <v>48938</v>
      </c>
      <c r="K16" s="639">
        <v>45491</v>
      </c>
      <c r="L16" s="638">
        <v>6893</v>
      </c>
      <c r="M16" s="639">
        <v>6824</v>
      </c>
      <c r="N16" s="638">
        <v>53655</v>
      </c>
      <c r="O16" s="639">
        <v>40042</v>
      </c>
      <c r="P16" s="640">
        <f t="shared" si="18"/>
        <v>109486</v>
      </c>
      <c r="Q16" s="640">
        <f t="shared" si="19"/>
        <v>3649.5333333333333</v>
      </c>
      <c r="R16" s="641">
        <f t="shared" si="20"/>
        <v>92357</v>
      </c>
      <c r="S16" s="641">
        <f t="shared" si="21"/>
        <v>3078.5666666666666</v>
      </c>
      <c r="T16" s="638">
        <v>42</v>
      </c>
      <c r="U16" s="639">
        <v>51</v>
      </c>
      <c r="V16" s="640">
        <f t="shared" si="22"/>
        <v>109486</v>
      </c>
      <c r="W16" s="641">
        <f t="shared" si="23"/>
        <v>92357</v>
      </c>
      <c r="X16" s="638"/>
      <c r="Y16" s="639"/>
      <c r="Z16" s="638"/>
      <c r="AA16" s="639"/>
      <c r="AB16" s="638"/>
      <c r="AC16" s="639"/>
      <c r="AD16" s="638"/>
      <c r="AE16" s="639"/>
      <c r="AF16" s="640">
        <f t="shared" si="24"/>
        <v>0</v>
      </c>
      <c r="AG16" s="640">
        <f t="shared" si="25"/>
        <v>0</v>
      </c>
      <c r="AH16" s="641">
        <f t="shared" si="26"/>
        <v>0</v>
      </c>
      <c r="AI16" s="641">
        <f t="shared" si="27"/>
        <v>0</v>
      </c>
      <c r="AJ16" s="638"/>
      <c r="AK16" s="639"/>
      <c r="AL16" s="640">
        <f t="shared" si="28"/>
        <v>0</v>
      </c>
      <c r="AM16" s="641">
        <f t="shared" si="29"/>
        <v>0</v>
      </c>
      <c r="AN16" s="638"/>
      <c r="AO16" s="639"/>
      <c r="AP16" s="638">
        <v>4687</v>
      </c>
      <c r="AQ16" s="639">
        <v>5099</v>
      </c>
      <c r="AR16" s="638">
        <v>1923</v>
      </c>
      <c r="AS16" s="639">
        <v>2089</v>
      </c>
      <c r="AT16" s="638">
        <v>5474</v>
      </c>
      <c r="AU16" s="639">
        <v>6153</v>
      </c>
      <c r="AV16" s="640">
        <f t="shared" si="30"/>
        <v>12084</v>
      </c>
      <c r="AW16" s="640">
        <f t="shared" si="31"/>
        <v>503.5</v>
      </c>
      <c r="AX16" s="641">
        <f t="shared" si="32"/>
        <v>13341</v>
      </c>
      <c r="AY16" s="641">
        <f t="shared" si="33"/>
        <v>555.875</v>
      </c>
      <c r="AZ16" s="640">
        <f t="shared" si="34"/>
        <v>4153.0333333333328</v>
      </c>
      <c r="BA16" s="641">
        <f t="shared" si="35"/>
        <v>3634.4416666666666</v>
      </c>
    </row>
    <row r="17" spans="1:53" s="1" customFormat="1">
      <c r="A17" s="401" t="s">
        <v>72</v>
      </c>
      <c r="B17" s="400" t="s">
        <v>83</v>
      </c>
      <c r="C17" s="461"/>
      <c r="D17" s="616">
        <v>100830</v>
      </c>
      <c r="E17" s="471">
        <v>3</v>
      </c>
      <c r="F17" s="638"/>
      <c r="G17" s="639"/>
      <c r="H17" s="638"/>
      <c r="I17" s="639"/>
      <c r="J17" s="638">
        <v>48898</v>
      </c>
      <c r="K17" s="639">
        <v>44576</v>
      </c>
      <c r="L17" s="638">
        <v>13471</v>
      </c>
      <c r="M17" s="639">
        <v>11470</v>
      </c>
      <c r="N17" s="638">
        <v>52421</v>
      </c>
      <c r="O17" s="639">
        <v>47722</v>
      </c>
      <c r="P17" s="640">
        <f t="shared" si="18"/>
        <v>114790</v>
      </c>
      <c r="Q17" s="640">
        <f t="shared" si="19"/>
        <v>3826.3333333333335</v>
      </c>
      <c r="R17" s="641">
        <f t="shared" si="20"/>
        <v>103768</v>
      </c>
      <c r="S17" s="641">
        <f t="shared" si="21"/>
        <v>3458.9333333333334</v>
      </c>
      <c r="T17" s="638">
        <v>481</v>
      </c>
      <c r="U17" s="639">
        <v>656</v>
      </c>
      <c r="V17" s="640">
        <f t="shared" si="22"/>
        <v>114790</v>
      </c>
      <c r="W17" s="641">
        <f t="shared" si="23"/>
        <v>103768</v>
      </c>
      <c r="X17" s="638"/>
      <c r="Y17" s="639"/>
      <c r="Z17" s="638"/>
      <c r="AA17" s="639"/>
      <c r="AB17" s="638"/>
      <c r="AC17" s="639"/>
      <c r="AD17" s="638"/>
      <c r="AE17" s="639"/>
      <c r="AF17" s="640">
        <f t="shared" si="24"/>
        <v>0</v>
      </c>
      <c r="AG17" s="640">
        <f t="shared" si="25"/>
        <v>0</v>
      </c>
      <c r="AH17" s="641">
        <f t="shared" si="26"/>
        <v>0</v>
      </c>
      <c r="AI17" s="641">
        <f t="shared" si="27"/>
        <v>0</v>
      </c>
      <c r="AJ17" s="638"/>
      <c r="AK17" s="639"/>
      <c r="AL17" s="640">
        <f t="shared" si="28"/>
        <v>0</v>
      </c>
      <c r="AM17" s="641">
        <f t="shared" si="29"/>
        <v>0</v>
      </c>
      <c r="AN17" s="638"/>
      <c r="AO17" s="639"/>
      <c r="AP17" s="638">
        <v>4719</v>
      </c>
      <c r="AQ17" s="639">
        <v>5646</v>
      </c>
      <c r="AR17" s="638">
        <v>2983</v>
      </c>
      <c r="AS17" s="639">
        <v>3070</v>
      </c>
      <c r="AT17" s="638">
        <v>5994</v>
      </c>
      <c r="AU17" s="639">
        <v>6954</v>
      </c>
      <c r="AV17" s="640">
        <f t="shared" si="30"/>
        <v>13696</v>
      </c>
      <c r="AW17" s="640">
        <f t="shared" si="31"/>
        <v>570.66666666666663</v>
      </c>
      <c r="AX17" s="641">
        <f t="shared" si="32"/>
        <v>15670</v>
      </c>
      <c r="AY17" s="641">
        <f t="shared" si="33"/>
        <v>652.91666666666663</v>
      </c>
      <c r="AZ17" s="640">
        <f t="shared" si="34"/>
        <v>4397</v>
      </c>
      <c r="BA17" s="641">
        <f t="shared" si="35"/>
        <v>4111.8500000000004</v>
      </c>
    </row>
    <row r="18" spans="1:53" s="1" customFormat="1">
      <c r="A18" s="401" t="s">
        <v>72</v>
      </c>
      <c r="B18" s="400" t="s">
        <v>85</v>
      </c>
      <c r="C18" s="398"/>
      <c r="D18" s="616">
        <v>101709</v>
      </c>
      <c r="E18" s="493">
        <v>5</v>
      </c>
      <c r="F18" s="638"/>
      <c r="G18" s="639"/>
      <c r="H18" s="638"/>
      <c r="I18" s="639"/>
      <c r="J18" s="638">
        <v>27689</v>
      </c>
      <c r="K18" s="639">
        <v>27358</v>
      </c>
      <c r="L18" s="638">
        <v>4145</v>
      </c>
      <c r="M18" s="639">
        <v>4032</v>
      </c>
      <c r="N18" s="638">
        <v>30424</v>
      </c>
      <c r="O18" s="639">
        <v>29795</v>
      </c>
      <c r="P18" s="640">
        <f t="shared" si="18"/>
        <v>62258</v>
      </c>
      <c r="Q18" s="640">
        <f t="shared" si="19"/>
        <v>2075.2666666666669</v>
      </c>
      <c r="R18" s="641">
        <f t="shared" si="20"/>
        <v>61185</v>
      </c>
      <c r="S18" s="641">
        <f t="shared" si="21"/>
        <v>2039.5</v>
      </c>
      <c r="T18" s="638">
        <v>227</v>
      </c>
      <c r="U18" s="639">
        <v>170</v>
      </c>
      <c r="V18" s="640">
        <f t="shared" si="22"/>
        <v>62258</v>
      </c>
      <c r="W18" s="641">
        <f t="shared" si="23"/>
        <v>61185</v>
      </c>
      <c r="X18" s="638"/>
      <c r="Y18" s="639"/>
      <c r="Z18" s="638"/>
      <c r="AA18" s="639"/>
      <c r="AB18" s="638"/>
      <c r="AC18" s="639"/>
      <c r="AD18" s="638"/>
      <c r="AE18" s="639"/>
      <c r="AF18" s="640">
        <f t="shared" si="24"/>
        <v>0</v>
      </c>
      <c r="AG18" s="640">
        <f t="shared" si="25"/>
        <v>0</v>
      </c>
      <c r="AH18" s="641">
        <f t="shared" si="26"/>
        <v>0</v>
      </c>
      <c r="AI18" s="641">
        <f t="shared" si="27"/>
        <v>0</v>
      </c>
      <c r="AJ18" s="638"/>
      <c r="AK18" s="639"/>
      <c r="AL18" s="640">
        <f t="shared" si="28"/>
        <v>0</v>
      </c>
      <c r="AM18" s="641">
        <f t="shared" si="29"/>
        <v>0</v>
      </c>
      <c r="AN18" s="638"/>
      <c r="AO18" s="639"/>
      <c r="AP18" s="638">
        <v>2230</v>
      </c>
      <c r="AQ18" s="639">
        <v>2795</v>
      </c>
      <c r="AR18" s="638">
        <v>1704</v>
      </c>
      <c r="AS18" s="639">
        <v>1910</v>
      </c>
      <c r="AT18" s="638">
        <v>2725</v>
      </c>
      <c r="AU18" s="639">
        <v>2938</v>
      </c>
      <c r="AV18" s="640">
        <f t="shared" si="30"/>
        <v>6659</v>
      </c>
      <c r="AW18" s="640">
        <f t="shared" si="31"/>
        <v>277.45833333333331</v>
      </c>
      <c r="AX18" s="641">
        <f t="shared" si="32"/>
        <v>7643</v>
      </c>
      <c r="AY18" s="641">
        <f t="shared" si="33"/>
        <v>318.45833333333331</v>
      </c>
      <c r="AZ18" s="640">
        <f t="shared" si="34"/>
        <v>2352.7250000000004</v>
      </c>
      <c r="BA18" s="641">
        <f t="shared" si="35"/>
        <v>2357.9583333333335</v>
      </c>
    </row>
    <row r="19" spans="1:53" s="1" customFormat="1">
      <c r="A19" s="401" t="s">
        <v>72</v>
      </c>
      <c r="B19" s="400" t="s">
        <v>86</v>
      </c>
      <c r="C19" s="461"/>
      <c r="D19" s="616">
        <v>101587</v>
      </c>
      <c r="E19" s="471">
        <v>4</v>
      </c>
      <c r="F19" s="638"/>
      <c r="G19" s="639"/>
      <c r="H19" s="638"/>
      <c r="I19" s="639"/>
      <c r="J19" s="638">
        <v>27483</v>
      </c>
      <c r="K19" s="639">
        <v>26633</v>
      </c>
      <c r="L19" s="638">
        <v>7822</v>
      </c>
      <c r="M19" s="639">
        <v>8770</v>
      </c>
      <c r="N19" s="638">
        <v>28659</v>
      </c>
      <c r="O19" s="639">
        <v>28282</v>
      </c>
      <c r="P19" s="640">
        <f t="shared" si="18"/>
        <v>63964</v>
      </c>
      <c r="Q19" s="640">
        <f t="shared" si="19"/>
        <v>2132.1333333333332</v>
      </c>
      <c r="R19" s="641">
        <f t="shared" si="20"/>
        <v>63685</v>
      </c>
      <c r="S19" s="641">
        <f t="shared" si="21"/>
        <v>2122.8333333333335</v>
      </c>
      <c r="T19" s="638">
        <v>210</v>
      </c>
      <c r="U19" s="639">
        <v>349</v>
      </c>
      <c r="V19" s="640">
        <f t="shared" si="22"/>
        <v>63964</v>
      </c>
      <c r="W19" s="641">
        <f t="shared" si="23"/>
        <v>63685</v>
      </c>
      <c r="X19" s="638"/>
      <c r="Y19" s="639"/>
      <c r="Z19" s="638"/>
      <c r="AA19" s="639"/>
      <c r="AB19" s="638"/>
      <c r="AC19" s="639"/>
      <c r="AD19" s="638"/>
      <c r="AE19" s="639"/>
      <c r="AF19" s="640">
        <f t="shared" si="24"/>
        <v>0</v>
      </c>
      <c r="AG19" s="640">
        <f t="shared" si="25"/>
        <v>0</v>
      </c>
      <c r="AH19" s="641">
        <f t="shared" si="26"/>
        <v>0</v>
      </c>
      <c r="AI19" s="641">
        <f t="shared" si="27"/>
        <v>0</v>
      </c>
      <c r="AJ19" s="638"/>
      <c r="AK19" s="639"/>
      <c r="AL19" s="640">
        <f t="shared" si="28"/>
        <v>0</v>
      </c>
      <c r="AM19" s="641">
        <f t="shared" si="29"/>
        <v>0</v>
      </c>
      <c r="AN19" s="638"/>
      <c r="AO19" s="639"/>
      <c r="AP19" s="638">
        <v>22255</v>
      </c>
      <c r="AQ19" s="639">
        <v>23250</v>
      </c>
      <c r="AR19" s="638">
        <v>23271</v>
      </c>
      <c r="AS19" s="639">
        <v>22532</v>
      </c>
      <c r="AT19" s="638">
        <v>22603</v>
      </c>
      <c r="AU19" s="639">
        <v>21378</v>
      </c>
      <c r="AV19" s="640">
        <f t="shared" si="30"/>
        <v>68129</v>
      </c>
      <c r="AW19" s="640">
        <f t="shared" si="31"/>
        <v>2838.7083333333335</v>
      </c>
      <c r="AX19" s="641">
        <f t="shared" si="32"/>
        <v>67160</v>
      </c>
      <c r="AY19" s="641">
        <f t="shared" si="33"/>
        <v>2798.3333333333335</v>
      </c>
      <c r="AZ19" s="640">
        <f t="shared" si="34"/>
        <v>4970.8416666666672</v>
      </c>
      <c r="BA19" s="641">
        <f t="shared" si="35"/>
        <v>4921.166666666667</v>
      </c>
    </row>
    <row r="20" spans="1:53" s="1" customFormat="1">
      <c r="A20" s="401" t="s">
        <v>72</v>
      </c>
      <c r="B20" s="571" t="s">
        <v>87</v>
      </c>
      <c r="C20" s="572" t="s">
        <v>887</v>
      </c>
      <c r="D20" s="617">
        <v>100812</v>
      </c>
      <c r="E20" s="573">
        <v>5</v>
      </c>
      <c r="F20" s="638"/>
      <c r="G20" s="639"/>
      <c r="H20" s="638"/>
      <c r="I20" s="639"/>
      <c r="J20" s="638">
        <v>25274</v>
      </c>
      <c r="K20" s="639">
        <v>24495</v>
      </c>
      <c r="L20" s="638">
        <v>13215</v>
      </c>
      <c r="M20" s="639">
        <v>12227</v>
      </c>
      <c r="N20" s="638">
        <v>26560</v>
      </c>
      <c r="O20" s="639">
        <v>24894</v>
      </c>
      <c r="P20" s="640">
        <f t="shared" si="18"/>
        <v>65049</v>
      </c>
      <c r="Q20" s="640">
        <f t="shared" si="19"/>
        <v>2168.3000000000002</v>
      </c>
      <c r="R20" s="641">
        <f t="shared" si="20"/>
        <v>61616</v>
      </c>
      <c r="S20" s="641">
        <f t="shared" si="21"/>
        <v>2053.8666666666668</v>
      </c>
      <c r="T20" s="638">
        <v>0</v>
      </c>
      <c r="U20" s="639">
        <v>0</v>
      </c>
      <c r="V20" s="640">
        <f t="shared" si="22"/>
        <v>65049</v>
      </c>
      <c r="W20" s="641">
        <f t="shared" si="23"/>
        <v>61616</v>
      </c>
      <c r="X20" s="638"/>
      <c r="Y20" s="639"/>
      <c r="Z20" s="638"/>
      <c r="AA20" s="639"/>
      <c r="AB20" s="638"/>
      <c r="AC20" s="639"/>
      <c r="AD20" s="638"/>
      <c r="AE20" s="639"/>
      <c r="AF20" s="640">
        <f t="shared" si="24"/>
        <v>0</v>
      </c>
      <c r="AG20" s="640">
        <f t="shared" si="25"/>
        <v>0</v>
      </c>
      <c r="AH20" s="641">
        <f t="shared" si="26"/>
        <v>0</v>
      </c>
      <c r="AI20" s="641">
        <f t="shared" si="27"/>
        <v>0</v>
      </c>
      <c r="AJ20" s="638"/>
      <c r="AK20" s="639"/>
      <c r="AL20" s="640">
        <f t="shared" si="28"/>
        <v>0</v>
      </c>
      <c r="AM20" s="641">
        <f t="shared" si="29"/>
        <v>0</v>
      </c>
      <c r="AN20" s="638"/>
      <c r="AO20" s="639"/>
      <c r="AP20" s="638">
        <v>1095</v>
      </c>
      <c r="AQ20" s="639">
        <v>1284</v>
      </c>
      <c r="AR20" s="638">
        <v>693</v>
      </c>
      <c r="AS20" s="639">
        <v>978</v>
      </c>
      <c r="AT20" s="638">
        <v>1194</v>
      </c>
      <c r="AU20" s="639">
        <v>1467</v>
      </c>
      <c r="AV20" s="640">
        <f t="shared" si="30"/>
        <v>2982</v>
      </c>
      <c r="AW20" s="640">
        <f t="shared" si="31"/>
        <v>124.25</v>
      </c>
      <c r="AX20" s="641">
        <f t="shared" si="32"/>
        <v>3729</v>
      </c>
      <c r="AY20" s="641">
        <f t="shared" si="33"/>
        <v>155.375</v>
      </c>
      <c r="AZ20" s="640">
        <f t="shared" si="34"/>
        <v>2292.5500000000002</v>
      </c>
      <c r="BA20" s="641">
        <f t="shared" si="35"/>
        <v>2209.2416666666668</v>
      </c>
    </row>
    <row r="21" spans="1:53" s="1" customFormat="1">
      <c r="A21" s="401" t="s">
        <v>72</v>
      </c>
      <c r="B21" s="400" t="s">
        <v>88</v>
      </c>
      <c r="C21" s="398"/>
      <c r="D21" s="616">
        <v>101505</v>
      </c>
      <c r="E21" s="493">
        <v>8</v>
      </c>
      <c r="F21" s="638"/>
      <c r="G21" s="639"/>
      <c r="H21" s="638"/>
      <c r="I21" s="639"/>
      <c r="J21" s="638">
        <v>61389</v>
      </c>
      <c r="K21" s="639">
        <v>61097</v>
      </c>
      <c r="L21" s="638">
        <v>31490</v>
      </c>
      <c r="M21" s="639">
        <v>31205</v>
      </c>
      <c r="N21" s="638">
        <v>68416</v>
      </c>
      <c r="O21" s="639">
        <v>66323</v>
      </c>
      <c r="P21" s="640">
        <f t="shared" si="18"/>
        <v>161295</v>
      </c>
      <c r="Q21" s="640">
        <f t="shared" si="19"/>
        <v>5376.5</v>
      </c>
      <c r="R21" s="641">
        <f t="shared" si="20"/>
        <v>158625</v>
      </c>
      <c r="S21" s="641">
        <f t="shared" si="21"/>
        <v>5287.5</v>
      </c>
      <c r="T21" s="638">
        <v>15806</v>
      </c>
      <c r="U21" s="639">
        <v>16863</v>
      </c>
      <c r="V21" s="640">
        <f t="shared" si="22"/>
        <v>161295</v>
      </c>
      <c r="W21" s="641">
        <f t="shared" si="23"/>
        <v>158625</v>
      </c>
      <c r="X21" s="638"/>
      <c r="Y21" s="639"/>
      <c r="Z21" s="638"/>
      <c r="AA21" s="639"/>
      <c r="AB21" s="638"/>
      <c r="AC21" s="639"/>
      <c r="AD21" s="638"/>
      <c r="AE21" s="639"/>
      <c r="AF21" s="640">
        <f t="shared" si="24"/>
        <v>0</v>
      </c>
      <c r="AG21" s="640">
        <f t="shared" si="25"/>
        <v>0</v>
      </c>
      <c r="AH21" s="641">
        <f t="shared" si="26"/>
        <v>0</v>
      </c>
      <c r="AI21" s="641">
        <f t="shared" si="27"/>
        <v>0</v>
      </c>
      <c r="AJ21" s="638"/>
      <c r="AK21" s="639"/>
      <c r="AL21" s="640">
        <f t="shared" si="28"/>
        <v>0</v>
      </c>
      <c r="AM21" s="641">
        <f t="shared" si="29"/>
        <v>0</v>
      </c>
      <c r="AN21" s="638"/>
      <c r="AO21" s="639"/>
      <c r="AP21" s="638"/>
      <c r="AQ21" s="639"/>
      <c r="AR21" s="638"/>
      <c r="AS21" s="639"/>
      <c r="AT21" s="638"/>
      <c r="AU21" s="639"/>
      <c r="AV21" s="640">
        <f t="shared" si="30"/>
        <v>0</v>
      </c>
      <c r="AW21" s="640">
        <f t="shared" si="31"/>
        <v>0</v>
      </c>
      <c r="AX21" s="641">
        <f t="shared" si="32"/>
        <v>0</v>
      </c>
      <c r="AY21" s="641">
        <f t="shared" si="33"/>
        <v>0</v>
      </c>
      <c r="AZ21" s="640">
        <f t="shared" si="34"/>
        <v>5376.5</v>
      </c>
      <c r="BA21" s="641">
        <f t="shared" si="35"/>
        <v>5287.5</v>
      </c>
    </row>
    <row r="22" spans="1:53" s="1" customFormat="1">
      <c r="A22" s="401" t="s">
        <v>72</v>
      </c>
      <c r="B22" s="400" t="s">
        <v>796</v>
      </c>
      <c r="C22" s="398"/>
      <c r="D22" s="616">
        <v>101514</v>
      </c>
      <c r="E22" s="493">
        <v>8</v>
      </c>
      <c r="F22" s="638"/>
      <c r="G22" s="639"/>
      <c r="H22" s="638"/>
      <c r="I22" s="639"/>
      <c r="J22" s="638">
        <v>74336</v>
      </c>
      <c r="K22" s="639">
        <v>66331</v>
      </c>
      <c r="L22" s="638">
        <v>32281</v>
      </c>
      <c r="M22" s="639">
        <v>30531</v>
      </c>
      <c r="N22" s="638">
        <v>70317</v>
      </c>
      <c r="O22" s="639">
        <v>71340</v>
      </c>
      <c r="P22" s="640">
        <f t="shared" si="18"/>
        <v>176934</v>
      </c>
      <c r="Q22" s="640">
        <f t="shared" si="19"/>
        <v>5897.8</v>
      </c>
      <c r="R22" s="641">
        <f t="shared" si="20"/>
        <v>168202</v>
      </c>
      <c r="S22" s="641">
        <f t="shared" si="21"/>
        <v>5606.7333333333336</v>
      </c>
      <c r="T22" s="638">
        <v>13453</v>
      </c>
      <c r="U22" s="639">
        <v>15623</v>
      </c>
      <c r="V22" s="640">
        <f t="shared" si="22"/>
        <v>176934</v>
      </c>
      <c r="W22" s="641">
        <f t="shared" si="23"/>
        <v>168202</v>
      </c>
      <c r="X22" s="638"/>
      <c r="Y22" s="639"/>
      <c r="Z22" s="638"/>
      <c r="AA22" s="639"/>
      <c r="AB22" s="638"/>
      <c r="AC22" s="639"/>
      <c r="AD22" s="638"/>
      <c r="AE22" s="639"/>
      <c r="AF22" s="640">
        <f t="shared" si="24"/>
        <v>0</v>
      </c>
      <c r="AG22" s="640">
        <f t="shared" si="25"/>
        <v>0</v>
      </c>
      <c r="AH22" s="641">
        <f t="shared" si="26"/>
        <v>0</v>
      </c>
      <c r="AI22" s="641">
        <f t="shared" si="27"/>
        <v>0</v>
      </c>
      <c r="AJ22" s="638"/>
      <c r="AK22" s="639"/>
      <c r="AL22" s="640">
        <f t="shared" si="28"/>
        <v>0</v>
      </c>
      <c r="AM22" s="641">
        <f t="shared" si="29"/>
        <v>0</v>
      </c>
      <c r="AN22" s="638"/>
      <c r="AO22" s="639"/>
      <c r="AP22" s="638"/>
      <c r="AQ22" s="639"/>
      <c r="AR22" s="638"/>
      <c r="AS22" s="639"/>
      <c r="AT22" s="638"/>
      <c r="AU22" s="639"/>
      <c r="AV22" s="640">
        <f t="shared" si="30"/>
        <v>0</v>
      </c>
      <c r="AW22" s="640">
        <f t="shared" si="31"/>
        <v>0</v>
      </c>
      <c r="AX22" s="641">
        <f t="shared" si="32"/>
        <v>0</v>
      </c>
      <c r="AY22" s="641">
        <f t="shared" si="33"/>
        <v>0</v>
      </c>
      <c r="AZ22" s="640">
        <f t="shared" si="34"/>
        <v>5897.8</v>
      </c>
      <c r="BA22" s="641">
        <f t="shared" si="35"/>
        <v>5606.7333333333336</v>
      </c>
    </row>
    <row r="23" spans="1:53" s="1" customFormat="1">
      <c r="A23" s="401" t="s">
        <v>72</v>
      </c>
      <c r="B23" s="400" t="s">
        <v>89</v>
      </c>
      <c r="C23" s="583" t="s">
        <v>900</v>
      </c>
      <c r="D23" s="616">
        <v>102429</v>
      </c>
      <c r="E23" s="493">
        <v>9</v>
      </c>
      <c r="F23" s="638"/>
      <c r="G23" s="639"/>
      <c r="H23" s="638"/>
      <c r="I23" s="639"/>
      <c r="J23" s="638">
        <v>29956</v>
      </c>
      <c r="K23" s="639">
        <v>24338</v>
      </c>
      <c r="L23" s="638">
        <v>13763</v>
      </c>
      <c r="M23" s="639">
        <v>13335</v>
      </c>
      <c r="N23" s="638">
        <v>27028</v>
      </c>
      <c r="O23" s="639">
        <v>28020</v>
      </c>
      <c r="P23" s="640">
        <f t="shared" si="18"/>
        <v>70747</v>
      </c>
      <c r="Q23" s="640">
        <f t="shared" si="19"/>
        <v>2358.2333333333331</v>
      </c>
      <c r="R23" s="641">
        <f t="shared" si="20"/>
        <v>65693</v>
      </c>
      <c r="S23" s="641">
        <f t="shared" si="21"/>
        <v>2189.7666666666669</v>
      </c>
      <c r="T23" s="638">
        <v>10490</v>
      </c>
      <c r="U23" s="639">
        <v>10023</v>
      </c>
      <c r="V23" s="640">
        <f t="shared" si="22"/>
        <v>70747</v>
      </c>
      <c r="W23" s="641">
        <f t="shared" si="23"/>
        <v>65693</v>
      </c>
      <c r="X23" s="638"/>
      <c r="Y23" s="639"/>
      <c r="Z23" s="638"/>
      <c r="AA23" s="639"/>
      <c r="AB23" s="638"/>
      <c r="AC23" s="639"/>
      <c r="AD23" s="638"/>
      <c r="AE23" s="639"/>
      <c r="AF23" s="640">
        <f t="shared" si="24"/>
        <v>0</v>
      </c>
      <c r="AG23" s="640">
        <f t="shared" si="25"/>
        <v>0</v>
      </c>
      <c r="AH23" s="641">
        <f t="shared" si="26"/>
        <v>0</v>
      </c>
      <c r="AI23" s="641">
        <f t="shared" si="27"/>
        <v>0</v>
      </c>
      <c r="AJ23" s="638"/>
      <c r="AK23" s="639"/>
      <c r="AL23" s="640">
        <f t="shared" si="28"/>
        <v>0</v>
      </c>
      <c r="AM23" s="641">
        <f t="shared" si="29"/>
        <v>0</v>
      </c>
      <c r="AN23" s="638"/>
      <c r="AO23" s="639"/>
      <c r="AP23" s="638"/>
      <c r="AQ23" s="639"/>
      <c r="AR23" s="638"/>
      <c r="AS23" s="639"/>
      <c r="AT23" s="638"/>
      <c r="AU23" s="639"/>
      <c r="AV23" s="640">
        <f t="shared" si="30"/>
        <v>0</v>
      </c>
      <c r="AW23" s="640">
        <f t="shared" si="31"/>
        <v>0</v>
      </c>
      <c r="AX23" s="641">
        <f t="shared" si="32"/>
        <v>0</v>
      </c>
      <c r="AY23" s="641">
        <f t="shared" si="33"/>
        <v>0</v>
      </c>
      <c r="AZ23" s="640">
        <f t="shared" si="34"/>
        <v>2358.2333333333331</v>
      </c>
      <c r="BA23" s="641">
        <f t="shared" si="35"/>
        <v>2189.7666666666669</v>
      </c>
    </row>
    <row r="24" spans="1:53" s="1" customFormat="1">
      <c r="A24" s="401" t="s">
        <v>72</v>
      </c>
      <c r="B24" s="400" t="s">
        <v>90</v>
      </c>
      <c r="C24" s="462" t="s">
        <v>901</v>
      </c>
      <c r="D24" s="616">
        <v>102030</v>
      </c>
      <c r="E24" s="493">
        <v>9</v>
      </c>
      <c r="F24" s="638"/>
      <c r="G24" s="639"/>
      <c r="H24" s="638"/>
      <c r="I24" s="639"/>
      <c r="J24" s="638">
        <v>25972</v>
      </c>
      <c r="K24" s="639">
        <v>19259</v>
      </c>
      <c r="L24" s="638">
        <v>10290</v>
      </c>
      <c r="M24" s="639">
        <v>8334</v>
      </c>
      <c r="N24" s="638">
        <v>18700</v>
      </c>
      <c r="O24" s="639">
        <v>22005</v>
      </c>
      <c r="P24" s="640">
        <f t="shared" si="18"/>
        <v>54962</v>
      </c>
      <c r="Q24" s="640">
        <f t="shared" si="19"/>
        <v>1832.0666666666666</v>
      </c>
      <c r="R24" s="641">
        <f t="shared" si="20"/>
        <v>49598</v>
      </c>
      <c r="S24" s="641">
        <f t="shared" si="21"/>
        <v>1653.2666666666667</v>
      </c>
      <c r="T24" s="638">
        <v>4101</v>
      </c>
      <c r="U24" s="639">
        <v>4021</v>
      </c>
      <c r="V24" s="640">
        <f t="shared" si="22"/>
        <v>54962</v>
      </c>
      <c r="W24" s="641">
        <f t="shared" si="23"/>
        <v>49598</v>
      </c>
      <c r="X24" s="638"/>
      <c r="Y24" s="639"/>
      <c r="Z24" s="638"/>
      <c r="AA24" s="639"/>
      <c r="AB24" s="638"/>
      <c r="AC24" s="639"/>
      <c r="AD24" s="638"/>
      <c r="AE24" s="639"/>
      <c r="AF24" s="640">
        <f t="shared" si="24"/>
        <v>0</v>
      </c>
      <c r="AG24" s="640">
        <f t="shared" si="25"/>
        <v>0</v>
      </c>
      <c r="AH24" s="641">
        <f t="shared" si="26"/>
        <v>0</v>
      </c>
      <c r="AI24" s="641">
        <f t="shared" si="27"/>
        <v>0</v>
      </c>
      <c r="AJ24" s="638"/>
      <c r="AK24" s="639"/>
      <c r="AL24" s="640">
        <f t="shared" si="28"/>
        <v>0</v>
      </c>
      <c r="AM24" s="641">
        <f t="shared" si="29"/>
        <v>0</v>
      </c>
      <c r="AN24" s="638"/>
      <c r="AO24" s="639"/>
      <c r="AP24" s="638"/>
      <c r="AQ24" s="639"/>
      <c r="AR24" s="638"/>
      <c r="AS24" s="639"/>
      <c r="AT24" s="638"/>
      <c r="AU24" s="639"/>
      <c r="AV24" s="640">
        <f t="shared" si="30"/>
        <v>0</v>
      </c>
      <c r="AW24" s="640">
        <f t="shared" si="31"/>
        <v>0</v>
      </c>
      <c r="AX24" s="641">
        <f t="shared" si="32"/>
        <v>0</v>
      </c>
      <c r="AY24" s="641">
        <f t="shared" si="33"/>
        <v>0</v>
      </c>
      <c r="AZ24" s="640">
        <f t="shared" si="34"/>
        <v>1832.0666666666666</v>
      </c>
      <c r="BA24" s="641">
        <f t="shared" si="35"/>
        <v>1653.2666666666667</v>
      </c>
    </row>
    <row r="25" spans="1:53" s="1" customFormat="1">
      <c r="A25" s="401" t="s">
        <v>72</v>
      </c>
      <c r="B25" s="400" t="s">
        <v>822</v>
      </c>
      <c r="C25" s="462" t="s">
        <v>902</v>
      </c>
      <c r="D25" s="616">
        <v>101161</v>
      </c>
      <c r="E25" s="471">
        <v>8</v>
      </c>
      <c r="F25" s="638"/>
      <c r="G25" s="639"/>
      <c r="H25" s="638"/>
      <c r="I25" s="639"/>
      <c r="J25" s="638">
        <v>65377</v>
      </c>
      <c r="K25" s="639">
        <v>56555</v>
      </c>
      <c r="L25" s="638">
        <v>27248</v>
      </c>
      <c r="M25" s="639">
        <v>25290</v>
      </c>
      <c r="N25" s="638">
        <v>63082</v>
      </c>
      <c r="O25" s="639">
        <v>66208</v>
      </c>
      <c r="P25" s="640">
        <f t="shared" si="18"/>
        <v>155707</v>
      </c>
      <c r="Q25" s="640">
        <f t="shared" si="19"/>
        <v>5190.2333333333336</v>
      </c>
      <c r="R25" s="641">
        <f t="shared" si="20"/>
        <v>148053</v>
      </c>
      <c r="S25" s="641">
        <f t="shared" si="21"/>
        <v>4935.1000000000004</v>
      </c>
      <c r="T25" s="638">
        <v>16860</v>
      </c>
      <c r="U25" s="639">
        <v>14617</v>
      </c>
      <c r="V25" s="640">
        <f t="shared" si="22"/>
        <v>155707</v>
      </c>
      <c r="W25" s="641">
        <f t="shared" si="23"/>
        <v>148053</v>
      </c>
      <c r="X25" s="638"/>
      <c r="Y25" s="639"/>
      <c r="Z25" s="638"/>
      <c r="AA25" s="639"/>
      <c r="AB25" s="638"/>
      <c r="AC25" s="639"/>
      <c r="AD25" s="638"/>
      <c r="AE25" s="639"/>
      <c r="AF25" s="640">
        <f t="shared" si="24"/>
        <v>0</v>
      </c>
      <c r="AG25" s="640">
        <f t="shared" si="25"/>
        <v>0</v>
      </c>
      <c r="AH25" s="641">
        <f t="shared" si="26"/>
        <v>0</v>
      </c>
      <c r="AI25" s="641">
        <f t="shared" si="27"/>
        <v>0</v>
      </c>
      <c r="AJ25" s="638"/>
      <c r="AK25" s="639"/>
      <c r="AL25" s="640">
        <f t="shared" si="28"/>
        <v>0</v>
      </c>
      <c r="AM25" s="641">
        <f t="shared" si="29"/>
        <v>0</v>
      </c>
      <c r="AN25" s="638"/>
      <c r="AO25" s="639"/>
      <c r="AP25" s="638"/>
      <c r="AQ25" s="639"/>
      <c r="AR25" s="638"/>
      <c r="AS25" s="639"/>
      <c r="AT25" s="638"/>
      <c r="AU25" s="639"/>
      <c r="AV25" s="640">
        <f t="shared" si="30"/>
        <v>0</v>
      </c>
      <c r="AW25" s="640">
        <f t="shared" si="31"/>
        <v>0</v>
      </c>
      <c r="AX25" s="641">
        <f t="shared" si="32"/>
        <v>0</v>
      </c>
      <c r="AY25" s="641">
        <f t="shared" si="33"/>
        <v>0</v>
      </c>
      <c r="AZ25" s="640">
        <f t="shared" si="34"/>
        <v>5190.2333333333336</v>
      </c>
      <c r="BA25" s="641">
        <f t="shared" si="35"/>
        <v>4935.1000000000004</v>
      </c>
    </row>
    <row r="26" spans="1:53" s="1" customFormat="1">
      <c r="A26" s="401" t="s">
        <v>72</v>
      </c>
      <c r="B26" s="400" t="s">
        <v>91</v>
      </c>
      <c r="C26" s="398"/>
      <c r="D26" s="616">
        <v>101240</v>
      </c>
      <c r="E26" s="493">
        <v>9</v>
      </c>
      <c r="F26" s="638"/>
      <c r="G26" s="639"/>
      <c r="H26" s="638"/>
      <c r="I26" s="639"/>
      <c r="J26" s="638">
        <v>39353</v>
      </c>
      <c r="K26" s="639">
        <v>34962</v>
      </c>
      <c r="L26" s="638">
        <v>18276</v>
      </c>
      <c r="M26" s="639">
        <v>19692</v>
      </c>
      <c r="N26" s="638">
        <v>39506</v>
      </c>
      <c r="O26" s="639">
        <v>41096</v>
      </c>
      <c r="P26" s="640">
        <f t="shared" si="18"/>
        <v>97135</v>
      </c>
      <c r="Q26" s="640">
        <f t="shared" si="19"/>
        <v>3237.8333333333335</v>
      </c>
      <c r="R26" s="641">
        <f t="shared" si="20"/>
        <v>95750</v>
      </c>
      <c r="S26" s="641">
        <f t="shared" si="21"/>
        <v>3191.6666666666665</v>
      </c>
      <c r="T26" s="638">
        <v>4934</v>
      </c>
      <c r="U26" s="639">
        <v>5966</v>
      </c>
      <c r="V26" s="640">
        <f t="shared" si="22"/>
        <v>97135</v>
      </c>
      <c r="W26" s="641">
        <f t="shared" si="23"/>
        <v>95750</v>
      </c>
      <c r="X26" s="638"/>
      <c r="Y26" s="639"/>
      <c r="Z26" s="638"/>
      <c r="AA26" s="639"/>
      <c r="AB26" s="638"/>
      <c r="AC26" s="639"/>
      <c r="AD26" s="638"/>
      <c r="AE26" s="639"/>
      <c r="AF26" s="640">
        <f t="shared" si="24"/>
        <v>0</v>
      </c>
      <c r="AG26" s="640">
        <f t="shared" si="25"/>
        <v>0</v>
      </c>
      <c r="AH26" s="641">
        <f t="shared" si="26"/>
        <v>0</v>
      </c>
      <c r="AI26" s="641">
        <f t="shared" si="27"/>
        <v>0</v>
      </c>
      <c r="AJ26" s="638"/>
      <c r="AK26" s="639"/>
      <c r="AL26" s="640">
        <f t="shared" si="28"/>
        <v>0</v>
      </c>
      <c r="AM26" s="641">
        <f t="shared" si="29"/>
        <v>0</v>
      </c>
      <c r="AN26" s="638"/>
      <c r="AO26" s="639"/>
      <c r="AP26" s="638"/>
      <c r="AQ26" s="639"/>
      <c r="AR26" s="638"/>
      <c r="AS26" s="639"/>
      <c r="AT26" s="638"/>
      <c r="AU26" s="639"/>
      <c r="AV26" s="640">
        <f t="shared" si="30"/>
        <v>0</v>
      </c>
      <c r="AW26" s="640">
        <f t="shared" si="31"/>
        <v>0</v>
      </c>
      <c r="AX26" s="641">
        <f t="shared" si="32"/>
        <v>0</v>
      </c>
      <c r="AY26" s="641">
        <f t="shared" si="33"/>
        <v>0</v>
      </c>
      <c r="AZ26" s="640">
        <f t="shared" si="34"/>
        <v>3237.8333333333335</v>
      </c>
      <c r="BA26" s="641">
        <f t="shared" si="35"/>
        <v>3191.6666666666665</v>
      </c>
    </row>
    <row r="27" spans="1:53" s="1" customFormat="1">
      <c r="A27" s="401" t="s">
        <v>72</v>
      </c>
      <c r="B27" s="400" t="s">
        <v>797</v>
      </c>
      <c r="C27" s="398"/>
      <c r="D27" s="616">
        <v>101286</v>
      </c>
      <c r="E27" s="493">
        <v>9</v>
      </c>
      <c r="F27" s="638"/>
      <c r="G27" s="639"/>
      <c r="H27" s="638"/>
      <c r="I27" s="639"/>
      <c r="J27" s="638">
        <v>36713</v>
      </c>
      <c r="K27" s="639">
        <v>30513</v>
      </c>
      <c r="L27" s="638">
        <v>17248</v>
      </c>
      <c r="M27" s="639">
        <v>15413</v>
      </c>
      <c r="N27" s="638">
        <v>32178</v>
      </c>
      <c r="O27" s="639">
        <v>33463</v>
      </c>
      <c r="P27" s="640">
        <f t="shared" si="18"/>
        <v>86139</v>
      </c>
      <c r="Q27" s="640">
        <f t="shared" si="19"/>
        <v>2871.3</v>
      </c>
      <c r="R27" s="641">
        <f t="shared" si="20"/>
        <v>79389</v>
      </c>
      <c r="S27" s="641">
        <f t="shared" si="21"/>
        <v>2646.3</v>
      </c>
      <c r="T27" s="638">
        <v>6515</v>
      </c>
      <c r="U27" s="639">
        <v>5701</v>
      </c>
      <c r="V27" s="640">
        <f t="shared" si="22"/>
        <v>86139</v>
      </c>
      <c r="W27" s="641">
        <f t="shared" si="23"/>
        <v>79389</v>
      </c>
      <c r="X27" s="638"/>
      <c r="Y27" s="639"/>
      <c r="Z27" s="638"/>
      <c r="AA27" s="639"/>
      <c r="AB27" s="638"/>
      <c r="AC27" s="639"/>
      <c r="AD27" s="638"/>
      <c r="AE27" s="639"/>
      <c r="AF27" s="640">
        <f t="shared" si="24"/>
        <v>0</v>
      </c>
      <c r="AG27" s="640">
        <f t="shared" si="25"/>
        <v>0</v>
      </c>
      <c r="AH27" s="641">
        <f t="shared" si="26"/>
        <v>0</v>
      </c>
      <c r="AI27" s="641">
        <f t="shared" si="27"/>
        <v>0</v>
      </c>
      <c r="AJ27" s="638"/>
      <c r="AK27" s="639"/>
      <c r="AL27" s="640">
        <f t="shared" si="28"/>
        <v>0</v>
      </c>
      <c r="AM27" s="641">
        <f t="shared" si="29"/>
        <v>0</v>
      </c>
      <c r="AN27" s="638"/>
      <c r="AO27" s="639"/>
      <c r="AP27" s="638"/>
      <c r="AQ27" s="639"/>
      <c r="AR27" s="638"/>
      <c r="AS27" s="639"/>
      <c r="AT27" s="638"/>
      <c r="AU27" s="639"/>
      <c r="AV27" s="640">
        <f t="shared" si="30"/>
        <v>0</v>
      </c>
      <c r="AW27" s="640">
        <f t="shared" si="31"/>
        <v>0</v>
      </c>
      <c r="AX27" s="641">
        <f t="shared" si="32"/>
        <v>0</v>
      </c>
      <c r="AY27" s="641">
        <f t="shared" si="33"/>
        <v>0</v>
      </c>
      <c r="AZ27" s="640">
        <f t="shared" si="34"/>
        <v>2871.3</v>
      </c>
      <c r="BA27" s="641">
        <f t="shared" si="35"/>
        <v>2646.3</v>
      </c>
    </row>
    <row r="28" spans="1:53" s="1" customFormat="1">
      <c r="A28" s="401" t="s">
        <v>72</v>
      </c>
      <c r="B28" s="400" t="s">
        <v>798</v>
      </c>
      <c r="C28" s="398"/>
      <c r="D28" s="616">
        <v>101295</v>
      </c>
      <c r="E28" s="493">
        <v>9</v>
      </c>
      <c r="F28" s="638"/>
      <c r="G28" s="639"/>
      <c r="H28" s="638"/>
      <c r="I28" s="639"/>
      <c r="J28" s="638">
        <v>48052</v>
      </c>
      <c r="K28" s="639">
        <v>42439</v>
      </c>
      <c r="L28" s="638">
        <v>21257</v>
      </c>
      <c r="M28" s="639">
        <v>19366</v>
      </c>
      <c r="N28" s="638">
        <v>49925</v>
      </c>
      <c r="O28" s="639">
        <v>51196</v>
      </c>
      <c r="P28" s="640">
        <f t="shared" si="18"/>
        <v>119234</v>
      </c>
      <c r="Q28" s="640">
        <f t="shared" si="19"/>
        <v>3974.4666666666667</v>
      </c>
      <c r="R28" s="641">
        <f t="shared" si="20"/>
        <v>113001</v>
      </c>
      <c r="S28" s="641">
        <f t="shared" si="21"/>
        <v>3766.7</v>
      </c>
      <c r="T28" s="638">
        <v>8105</v>
      </c>
      <c r="U28" s="639">
        <v>7901</v>
      </c>
      <c r="V28" s="640">
        <f t="shared" si="22"/>
        <v>119234</v>
      </c>
      <c r="W28" s="641">
        <f t="shared" si="23"/>
        <v>113001</v>
      </c>
      <c r="X28" s="638"/>
      <c r="Y28" s="639"/>
      <c r="Z28" s="638"/>
      <c r="AA28" s="639"/>
      <c r="AB28" s="638"/>
      <c r="AC28" s="639"/>
      <c r="AD28" s="638"/>
      <c r="AE28" s="639"/>
      <c r="AF28" s="640">
        <f t="shared" si="24"/>
        <v>0</v>
      </c>
      <c r="AG28" s="640">
        <f t="shared" si="25"/>
        <v>0</v>
      </c>
      <c r="AH28" s="641">
        <f t="shared" si="26"/>
        <v>0</v>
      </c>
      <c r="AI28" s="641">
        <f t="shared" si="27"/>
        <v>0</v>
      </c>
      <c r="AJ28" s="638"/>
      <c r="AK28" s="639"/>
      <c r="AL28" s="640">
        <f t="shared" si="28"/>
        <v>0</v>
      </c>
      <c r="AM28" s="641">
        <f t="shared" si="29"/>
        <v>0</v>
      </c>
      <c r="AN28" s="638"/>
      <c r="AO28" s="639"/>
      <c r="AP28" s="638"/>
      <c r="AQ28" s="639"/>
      <c r="AR28" s="638"/>
      <c r="AS28" s="639"/>
      <c r="AT28" s="638"/>
      <c r="AU28" s="639"/>
      <c r="AV28" s="640">
        <f t="shared" si="30"/>
        <v>0</v>
      </c>
      <c r="AW28" s="640">
        <f t="shared" si="31"/>
        <v>0</v>
      </c>
      <c r="AX28" s="641">
        <f t="shared" si="32"/>
        <v>0</v>
      </c>
      <c r="AY28" s="641">
        <f t="shared" si="33"/>
        <v>0</v>
      </c>
      <c r="AZ28" s="640">
        <f t="shared" si="34"/>
        <v>3974.4666666666667</v>
      </c>
      <c r="BA28" s="641">
        <f t="shared" si="35"/>
        <v>3766.7</v>
      </c>
    </row>
    <row r="29" spans="1:53" s="1" customFormat="1">
      <c r="A29" s="401" t="s">
        <v>72</v>
      </c>
      <c r="B29" s="400" t="s">
        <v>92</v>
      </c>
      <c r="C29" s="398"/>
      <c r="D29" s="616">
        <v>101569</v>
      </c>
      <c r="E29" s="493">
        <v>9</v>
      </c>
      <c r="F29" s="638"/>
      <c r="G29" s="639"/>
      <c r="H29" s="638"/>
      <c r="I29" s="639"/>
      <c r="J29" s="638">
        <v>29269</v>
      </c>
      <c r="K29" s="639">
        <v>25334</v>
      </c>
      <c r="L29" s="638">
        <v>11700</v>
      </c>
      <c r="M29" s="639">
        <v>11874</v>
      </c>
      <c r="N29" s="638">
        <v>27548</v>
      </c>
      <c r="O29" s="639">
        <v>28878</v>
      </c>
      <c r="P29" s="640">
        <f t="shared" si="18"/>
        <v>68517</v>
      </c>
      <c r="Q29" s="640">
        <f t="shared" si="19"/>
        <v>2283.9</v>
      </c>
      <c r="R29" s="641">
        <f t="shared" si="20"/>
        <v>66086</v>
      </c>
      <c r="S29" s="641">
        <f t="shared" si="21"/>
        <v>2202.8666666666668</v>
      </c>
      <c r="T29" s="638">
        <v>1965</v>
      </c>
      <c r="U29" s="639">
        <v>2084</v>
      </c>
      <c r="V29" s="640">
        <f t="shared" si="22"/>
        <v>68517</v>
      </c>
      <c r="W29" s="641">
        <f t="shared" si="23"/>
        <v>66086</v>
      </c>
      <c r="X29" s="638"/>
      <c r="Y29" s="639"/>
      <c r="Z29" s="638"/>
      <c r="AA29" s="639"/>
      <c r="AB29" s="638"/>
      <c r="AC29" s="639"/>
      <c r="AD29" s="638"/>
      <c r="AE29" s="639"/>
      <c r="AF29" s="640">
        <f t="shared" si="24"/>
        <v>0</v>
      </c>
      <c r="AG29" s="640">
        <f t="shared" si="25"/>
        <v>0</v>
      </c>
      <c r="AH29" s="641">
        <f t="shared" si="26"/>
        <v>0</v>
      </c>
      <c r="AI29" s="641">
        <f t="shared" si="27"/>
        <v>0</v>
      </c>
      <c r="AJ29" s="638"/>
      <c r="AK29" s="639"/>
      <c r="AL29" s="640">
        <f t="shared" si="28"/>
        <v>0</v>
      </c>
      <c r="AM29" s="641">
        <f t="shared" si="29"/>
        <v>0</v>
      </c>
      <c r="AN29" s="638"/>
      <c r="AO29" s="639"/>
      <c r="AP29" s="638"/>
      <c r="AQ29" s="639"/>
      <c r="AR29" s="638"/>
      <c r="AS29" s="639"/>
      <c r="AT29" s="638"/>
      <c r="AU29" s="639"/>
      <c r="AV29" s="640">
        <f t="shared" si="30"/>
        <v>0</v>
      </c>
      <c r="AW29" s="640">
        <f t="shared" si="31"/>
        <v>0</v>
      </c>
      <c r="AX29" s="641">
        <f t="shared" si="32"/>
        <v>0</v>
      </c>
      <c r="AY29" s="641">
        <f t="shared" si="33"/>
        <v>0</v>
      </c>
      <c r="AZ29" s="640">
        <f t="shared" si="34"/>
        <v>2283.9</v>
      </c>
      <c r="BA29" s="641">
        <f t="shared" si="35"/>
        <v>2202.8666666666668</v>
      </c>
    </row>
    <row r="30" spans="1:53" s="1" customFormat="1">
      <c r="A30" s="401" t="s">
        <v>72</v>
      </c>
      <c r="B30" s="400" t="s">
        <v>93</v>
      </c>
      <c r="C30" s="583" t="s">
        <v>903</v>
      </c>
      <c r="D30" s="616">
        <v>101736</v>
      </c>
      <c r="E30" s="493">
        <v>9</v>
      </c>
      <c r="F30" s="638"/>
      <c r="G30" s="639"/>
      <c r="H30" s="638"/>
      <c r="I30" s="639"/>
      <c r="J30" s="638">
        <v>25281</v>
      </c>
      <c r="K30" s="639">
        <v>22828</v>
      </c>
      <c r="L30" s="638">
        <v>9757</v>
      </c>
      <c r="M30" s="639">
        <v>10206</v>
      </c>
      <c r="N30" s="638">
        <v>27289</v>
      </c>
      <c r="O30" s="639">
        <v>25964</v>
      </c>
      <c r="P30" s="640">
        <f t="shared" si="18"/>
        <v>62327</v>
      </c>
      <c r="Q30" s="640">
        <f t="shared" si="19"/>
        <v>2077.5666666666666</v>
      </c>
      <c r="R30" s="641">
        <f t="shared" si="20"/>
        <v>58998</v>
      </c>
      <c r="S30" s="641">
        <f t="shared" si="21"/>
        <v>1966.6</v>
      </c>
      <c r="T30" s="638">
        <v>8025</v>
      </c>
      <c r="U30" s="639">
        <v>10424</v>
      </c>
      <c r="V30" s="640">
        <f t="shared" si="22"/>
        <v>62327</v>
      </c>
      <c r="W30" s="641">
        <f t="shared" si="23"/>
        <v>58998</v>
      </c>
      <c r="X30" s="638"/>
      <c r="Y30" s="639"/>
      <c r="Z30" s="638"/>
      <c r="AA30" s="639"/>
      <c r="AB30" s="638"/>
      <c r="AC30" s="639"/>
      <c r="AD30" s="638"/>
      <c r="AE30" s="639"/>
      <c r="AF30" s="640">
        <f t="shared" si="24"/>
        <v>0</v>
      </c>
      <c r="AG30" s="640">
        <f t="shared" si="25"/>
        <v>0</v>
      </c>
      <c r="AH30" s="641">
        <f t="shared" si="26"/>
        <v>0</v>
      </c>
      <c r="AI30" s="641">
        <f t="shared" si="27"/>
        <v>0</v>
      </c>
      <c r="AJ30" s="638"/>
      <c r="AK30" s="639"/>
      <c r="AL30" s="640">
        <f t="shared" si="28"/>
        <v>0</v>
      </c>
      <c r="AM30" s="641">
        <f t="shared" si="29"/>
        <v>0</v>
      </c>
      <c r="AN30" s="638"/>
      <c r="AO30" s="639"/>
      <c r="AP30" s="638"/>
      <c r="AQ30" s="639"/>
      <c r="AR30" s="638"/>
      <c r="AS30" s="639"/>
      <c r="AT30" s="638"/>
      <c r="AU30" s="639"/>
      <c r="AV30" s="640">
        <f t="shared" si="30"/>
        <v>0</v>
      </c>
      <c r="AW30" s="640">
        <f t="shared" si="31"/>
        <v>0</v>
      </c>
      <c r="AX30" s="641">
        <f t="shared" si="32"/>
        <v>0</v>
      </c>
      <c r="AY30" s="641">
        <f t="shared" si="33"/>
        <v>0</v>
      </c>
      <c r="AZ30" s="640">
        <f t="shared" si="34"/>
        <v>2077.5666666666666</v>
      </c>
      <c r="BA30" s="641">
        <f t="shared" si="35"/>
        <v>1966.6</v>
      </c>
    </row>
    <row r="31" spans="1:53" s="1" customFormat="1">
      <c r="A31" s="401" t="s">
        <v>72</v>
      </c>
      <c r="B31" s="400" t="s">
        <v>94</v>
      </c>
      <c r="C31" s="398"/>
      <c r="D31" s="616">
        <v>102067</v>
      </c>
      <c r="E31" s="493">
        <v>9</v>
      </c>
      <c r="F31" s="638"/>
      <c r="G31" s="639"/>
      <c r="H31" s="638"/>
      <c r="I31" s="639"/>
      <c r="J31" s="638">
        <v>37193</v>
      </c>
      <c r="K31" s="639">
        <v>31567</v>
      </c>
      <c r="L31" s="638">
        <v>18816</v>
      </c>
      <c r="M31" s="639">
        <v>17380</v>
      </c>
      <c r="N31" s="638">
        <v>35893</v>
      </c>
      <c r="O31" s="639">
        <v>39894</v>
      </c>
      <c r="P31" s="640">
        <f t="shared" si="18"/>
        <v>91902</v>
      </c>
      <c r="Q31" s="640">
        <f t="shared" si="19"/>
        <v>3063.4</v>
      </c>
      <c r="R31" s="641">
        <f t="shared" si="20"/>
        <v>88841</v>
      </c>
      <c r="S31" s="641">
        <f t="shared" si="21"/>
        <v>2961.3666666666668</v>
      </c>
      <c r="T31" s="638">
        <v>3449</v>
      </c>
      <c r="U31" s="639">
        <v>4482</v>
      </c>
      <c r="V31" s="640">
        <f t="shared" si="22"/>
        <v>91902</v>
      </c>
      <c r="W31" s="641">
        <f t="shared" si="23"/>
        <v>88841</v>
      </c>
      <c r="X31" s="638"/>
      <c r="Y31" s="639"/>
      <c r="Z31" s="638"/>
      <c r="AA31" s="639"/>
      <c r="AB31" s="638"/>
      <c r="AC31" s="639"/>
      <c r="AD31" s="638"/>
      <c r="AE31" s="639"/>
      <c r="AF31" s="640">
        <f t="shared" si="24"/>
        <v>0</v>
      </c>
      <c r="AG31" s="640">
        <f t="shared" si="25"/>
        <v>0</v>
      </c>
      <c r="AH31" s="641">
        <f t="shared" si="26"/>
        <v>0</v>
      </c>
      <c r="AI31" s="641">
        <f t="shared" si="27"/>
        <v>0</v>
      </c>
      <c r="AJ31" s="638"/>
      <c r="AK31" s="639"/>
      <c r="AL31" s="640">
        <f t="shared" si="28"/>
        <v>0</v>
      </c>
      <c r="AM31" s="641">
        <f t="shared" si="29"/>
        <v>0</v>
      </c>
      <c r="AN31" s="638"/>
      <c r="AO31" s="639"/>
      <c r="AP31" s="638"/>
      <c r="AQ31" s="639"/>
      <c r="AR31" s="638"/>
      <c r="AS31" s="639"/>
      <c r="AT31" s="638"/>
      <c r="AU31" s="639"/>
      <c r="AV31" s="640">
        <f t="shared" si="30"/>
        <v>0</v>
      </c>
      <c r="AW31" s="640">
        <f t="shared" si="31"/>
        <v>0</v>
      </c>
      <c r="AX31" s="641">
        <f t="shared" si="32"/>
        <v>0</v>
      </c>
      <c r="AY31" s="641">
        <f t="shared" si="33"/>
        <v>0</v>
      </c>
      <c r="AZ31" s="640">
        <f t="shared" si="34"/>
        <v>3063.4</v>
      </c>
      <c r="BA31" s="641">
        <f t="shared" si="35"/>
        <v>2961.3666666666668</v>
      </c>
    </row>
    <row r="32" spans="1:53" s="1" customFormat="1">
      <c r="A32" s="401" t="s">
        <v>72</v>
      </c>
      <c r="B32" s="400" t="s">
        <v>95</v>
      </c>
      <c r="C32" s="398"/>
      <c r="D32" s="616">
        <v>251260</v>
      </c>
      <c r="E32" s="493">
        <v>9</v>
      </c>
      <c r="F32" s="638"/>
      <c r="G32" s="639"/>
      <c r="H32" s="638"/>
      <c r="I32" s="639"/>
      <c r="J32" s="638">
        <v>44046</v>
      </c>
      <c r="K32" s="639">
        <v>37111</v>
      </c>
      <c r="L32" s="638">
        <v>18475</v>
      </c>
      <c r="M32" s="639">
        <v>16274</v>
      </c>
      <c r="N32" s="638">
        <v>41544</v>
      </c>
      <c r="O32" s="639">
        <v>42728</v>
      </c>
      <c r="P32" s="640">
        <f t="shared" si="18"/>
        <v>104065</v>
      </c>
      <c r="Q32" s="640">
        <f t="shared" si="19"/>
        <v>3468.8333333333335</v>
      </c>
      <c r="R32" s="641">
        <f t="shared" si="20"/>
        <v>96113</v>
      </c>
      <c r="S32" s="641">
        <f t="shared" si="21"/>
        <v>3203.7666666666669</v>
      </c>
      <c r="T32" s="638">
        <v>3706</v>
      </c>
      <c r="U32" s="639">
        <v>3520</v>
      </c>
      <c r="V32" s="640">
        <f t="shared" si="22"/>
        <v>104065</v>
      </c>
      <c r="W32" s="641">
        <f t="shared" si="23"/>
        <v>96113</v>
      </c>
      <c r="X32" s="638"/>
      <c r="Y32" s="639"/>
      <c r="Z32" s="638"/>
      <c r="AA32" s="639"/>
      <c r="AB32" s="638"/>
      <c r="AC32" s="639"/>
      <c r="AD32" s="638"/>
      <c r="AE32" s="639"/>
      <c r="AF32" s="640">
        <f t="shared" si="24"/>
        <v>0</v>
      </c>
      <c r="AG32" s="640">
        <f t="shared" si="25"/>
        <v>0</v>
      </c>
      <c r="AH32" s="641">
        <f t="shared" si="26"/>
        <v>0</v>
      </c>
      <c r="AI32" s="641">
        <f t="shared" si="27"/>
        <v>0</v>
      </c>
      <c r="AJ32" s="638"/>
      <c r="AK32" s="639"/>
      <c r="AL32" s="640">
        <f t="shared" si="28"/>
        <v>0</v>
      </c>
      <c r="AM32" s="641">
        <f t="shared" si="29"/>
        <v>0</v>
      </c>
      <c r="AN32" s="638"/>
      <c r="AO32" s="639"/>
      <c r="AP32" s="638"/>
      <c r="AQ32" s="639"/>
      <c r="AR32" s="638"/>
      <c r="AS32" s="639"/>
      <c r="AT32" s="638"/>
      <c r="AU32" s="639"/>
      <c r="AV32" s="640">
        <f t="shared" si="30"/>
        <v>0</v>
      </c>
      <c r="AW32" s="640">
        <f t="shared" si="31"/>
        <v>0</v>
      </c>
      <c r="AX32" s="641">
        <f t="shared" si="32"/>
        <v>0</v>
      </c>
      <c r="AY32" s="641">
        <f t="shared" si="33"/>
        <v>0</v>
      </c>
      <c r="AZ32" s="640">
        <f t="shared" si="34"/>
        <v>3468.8333333333335</v>
      </c>
      <c r="BA32" s="641">
        <f t="shared" si="35"/>
        <v>3203.7666666666669</v>
      </c>
    </row>
    <row r="33" spans="1:55" s="1" customFormat="1">
      <c r="A33" s="401" t="s">
        <v>72</v>
      </c>
      <c r="B33" s="400" t="s">
        <v>96</v>
      </c>
      <c r="C33" s="398"/>
      <c r="D33" s="616">
        <v>100760</v>
      </c>
      <c r="E33" s="493">
        <v>10</v>
      </c>
      <c r="F33" s="638"/>
      <c r="G33" s="639"/>
      <c r="H33" s="638"/>
      <c r="I33" s="639"/>
      <c r="J33" s="638">
        <v>13211</v>
      </c>
      <c r="K33" s="639">
        <v>11224</v>
      </c>
      <c r="L33" s="638">
        <v>5444</v>
      </c>
      <c r="M33" s="639">
        <v>5203</v>
      </c>
      <c r="N33" s="638">
        <v>13361</v>
      </c>
      <c r="O33" s="639">
        <v>12770</v>
      </c>
      <c r="P33" s="640">
        <f t="shared" si="18"/>
        <v>32016</v>
      </c>
      <c r="Q33" s="640">
        <f t="shared" si="19"/>
        <v>1067.2</v>
      </c>
      <c r="R33" s="641">
        <f t="shared" si="20"/>
        <v>29197</v>
      </c>
      <c r="S33" s="641">
        <f t="shared" si="21"/>
        <v>973.23333333333335</v>
      </c>
      <c r="T33" s="638">
        <v>4544</v>
      </c>
      <c r="U33" s="639">
        <v>4984</v>
      </c>
      <c r="V33" s="640">
        <f t="shared" si="22"/>
        <v>32016</v>
      </c>
      <c r="W33" s="641">
        <f t="shared" si="23"/>
        <v>29197</v>
      </c>
      <c r="X33" s="638"/>
      <c r="Y33" s="639"/>
      <c r="Z33" s="638"/>
      <c r="AA33" s="639"/>
      <c r="AB33" s="638"/>
      <c r="AC33" s="639"/>
      <c r="AD33" s="638"/>
      <c r="AE33" s="639"/>
      <c r="AF33" s="640">
        <f t="shared" si="24"/>
        <v>0</v>
      </c>
      <c r="AG33" s="640">
        <f t="shared" si="25"/>
        <v>0</v>
      </c>
      <c r="AH33" s="641">
        <f t="shared" si="26"/>
        <v>0</v>
      </c>
      <c r="AI33" s="641">
        <f t="shared" si="27"/>
        <v>0</v>
      </c>
      <c r="AJ33" s="638"/>
      <c r="AK33" s="639"/>
      <c r="AL33" s="640">
        <f t="shared" si="28"/>
        <v>0</v>
      </c>
      <c r="AM33" s="641">
        <f t="shared" si="29"/>
        <v>0</v>
      </c>
      <c r="AN33" s="638"/>
      <c r="AO33" s="639"/>
      <c r="AP33" s="638"/>
      <c r="AQ33" s="639"/>
      <c r="AR33" s="638"/>
      <c r="AS33" s="639"/>
      <c r="AT33" s="638"/>
      <c r="AU33" s="639"/>
      <c r="AV33" s="640">
        <f t="shared" si="30"/>
        <v>0</v>
      </c>
      <c r="AW33" s="640">
        <f t="shared" si="31"/>
        <v>0</v>
      </c>
      <c r="AX33" s="641">
        <f t="shared" si="32"/>
        <v>0</v>
      </c>
      <c r="AY33" s="641">
        <f t="shared" si="33"/>
        <v>0</v>
      </c>
      <c r="AZ33" s="640">
        <f t="shared" si="34"/>
        <v>1067.2</v>
      </c>
      <c r="BA33" s="641">
        <f t="shared" si="35"/>
        <v>973.23333333333335</v>
      </c>
    </row>
    <row r="34" spans="1:55" s="1" customFormat="1">
      <c r="A34" s="401" t="s">
        <v>72</v>
      </c>
      <c r="B34" s="400" t="s">
        <v>799</v>
      </c>
      <c r="C34" s="398"/>
      <c r="D34" s="616">
        <v>101028</v>
      </c>
      <c r="E34" s="493">
        <v>10</v>
      </c>
      <c r="F34" s="638"/>
      <c r="G34" s="639"/>
      <c r="H34" s="638"/>
      <c r="I34" s="639"/>
      <c r="J34" s="638">
        <v>14450</v>
      </c>
      <c r="K34" s="639">
        <v>11466</v>
      </c>
      <c r="L34" s="638">
        <v>6811</v>
      </c>
      <c r="M34" s="639">
        <v>5445</v>
      </c>
      <c r="N34" s="638">
        <v>13396</v>
      </c>
      <c r="O34" s="639">
        <v>12562</v>
      </c>
      <c r="P34" s="640">
        <f t="shared" si="18"/>
        <v>34657</v>
      </c>
      <c r="Q34" s="640">
        <f t="shared" si="19"/>
        <v>1155.2333333333333</v>
      </c>
      <c r="R34" s="641">
        <f t="shared" si="20"/>
        <v>29473</v>
      </c>
      <c r="S34" s="641">
        <f t="shared" si="21"/>
        <v>982.43333333333328</v>
      </c>
      <c r="T34" s="638">
        <v>2055</v>
      </c>
      <c r="U34" s="639">
        <v>2578</v>
      </c>
      <c r="V34" s="640">
        <f t="shared" si="22"/>
        <v>34657</v>
      </c>
      <c r="W34" s="641">
        <f t="shared" si="23"/>
        <v>29473</v>
      </c>
      <c r="X34" s="638"/>
      <c r="Y34" s="639"/>
      <c r="Z34" s="638"/>
      <c r="AA34" s="639"/>
      <c r="AB34" s="638"/>
      <c r="AC34" s="639"/>
      <c r="AD34" s="638"/>
      <c r="AE34" s="639"/>
      <c r="AF34" s="640">
        <f t="shared" si="24"/>
        <v>0</v>
      </c>
      <c r="AG34" s="640">
        <f t="shared" si="25"/>
        <v>0</v>
      </c>
      <c r="AH34" s="641">
        <f t="shared" si="26"/>
        <v>0</v>
      </c>
      <c r="AI34" s="641">
        <f t="shared" si="27"/>
        <v>0</v>
      </c>
      <c r="AJ34" s="638"/>
      <c r="AK34" s="639"/>
      <c r="AL34" s="640">
        <f t="shared" si="28"/>
        <v>0</v>
      </c>
      <c r="AM34" s="641">
        <f t="shared" si="29"/>
        <v>0</v>
      </c>
      <c r="AN34" s="638"/>
      <c r="AO34" s="639"/>
      <c r="AP34" s="638"/>
      <c r="AQ34" s="639"/>
      <c r="AR34" s="638"/>
      <c r="AS34" s="639"/>
      <c r="AT34" s="638"/>
      <c r="AU34" s="639"/>
      <c r="AV34" s="640">
        <f t="shared" si="30"/>
        <v>0</v>
      </c>
      <c r="AW34" s="640">
        <f t="shared" si="31"/>
        <v>0</v>
      </c>
      <c r="AX34" s="641">
        <f t="shared" si="32"/>
        <v>0</v>
      </c>
      <c r="AY34" s="641">
        <f t="shared" si="33"/>
        <v>0</v>
      </c>
      <c r="AZ34" s="640">
        <f t="shared" si="34"/>
        <v>1155.2333333333333</v>
      </c>
      <c r="BA34" s="641">
        <f t="shared" si="35"/>
        <v>982.43333333333328</v>
      </c>
    </row>
    <row r="35" spans="1:55" s="1" customFormat="1">
      <c r="A35" s="401" t="s">
        <v>72</v>
      </c>
      <c r="B35" s="400" t="s">
        <v>800</v>
      </c>
      <c r="C35" s="405"/>
      <c r="D35" s="616">
        <v>101143</v>
      </c>
      <c r="E35" s="493">
        <v>10</v>
      </c>
      <c r="F35" s="638"/>
      <c r="G35" s="639"/>
      <c r="H35" s="638"/>
      <c r="I35" s="639"/>
      <c r="J35" s="638">
        <v>17358</v>
      </c>
      <c r="K35" s="639">
        <v>17261</v>
      </c>
      <c r="L35" s="638">
        <v>5322</v>
      </c>
      <c r="M35" s="639">
        <v>7148</v>
      </c>
      <c r="N35" s="638">
        <v>18355</v>
      </c>
      <c r="O35" s="639">
        <v>18540</v>
      </c>
      <c r="P35" s="640">
        <f t="shared" si="18"/>
        <v>41035</v>
      </c>
      <c r="Q35" s="640">
        <f t="shared" si="19"/>
        <v>1367.8333333333333</v>
      </c>
      <c r="R35" s="641">
        <f t="shared" si="20"/>
        <v>42949</v>
      </c>
      <c r="S35" s="641">
        <f t="shared" si="21"/>
        <v>1431.6333333333334</v>
      </c>
      <c r="T35" s="638">
        <v>5762</v>
      </c>
      <c r="U35" s="639">
        <v>6210</v>
      </c>
      <c r="V35" s="640">
        <f t="shared" si="22"/>
        <v>41035</v>
      </c>
      <c r="W35" s="641">
        <f t="shared" si="23"/>
        <v>42949</v>
      </c>
      <c r="X35" s="638"/>
      <c r="Y35" s="639"/>
      <c r="Z35" s="638"/>
      <c r="AA35" s="639"/>
      <c r="AB35" s="638"/>
      <c r="AC35" s="639"/>
      <c r="AD35" s="638"/>
      <c r="AE35" s="639"/>
      <c r="AF35" s="640">
        <f t="shared" si="24"/>
        <v>0</v>
      </c>
      <c r="AG35" s="640">
        <f t="shared" si="25"/>
        <v>0</v>
      </c>
      <c r="AH35" s="641">
        <f t="shared" si="26"/>
        <v>0</v>
      </c>
      <c r="AI35" s="641">
        <f t="shared" si="27"/>
        <v>0</v>
      </c>
      <c r="AJ35" s="638"/>
      <c r="AK35" s="639"/>
      <c r="AL35" s="640">
        <f t="shared" si="28"/>
        <v>0</v>
      </c>
      <c r="AM35" s="641">
        <f t="shared" si="29"/>
        <v>0</v>
      </c>
      <c r="AN35" s="638"/>
      <c r="AO35" s="639"/>
      <c r="AP35" s="638"/>
      <c r="AQ35" s="639"/>
      <c r="AR35" s="638"/>
      <c r="AS35" s="639"/>
      <c r="AT35" s="638"/>
      <c r="AU35" s="639"/>
      <c r="AV35" s="640">
        <f t="shared" si="30"/>
        <v>0</v>
      </c>
      <c r="AW35" s="640">
        <f t="shared" si="31"/>
        <v>0</v>
      </c>
      <c r="AX35" s="641">
        <f t="shared" si="32"/>
        <v>0</v>
      </c>
      <c r="AY35" s="641">
        <f t="shared" si="33"/>
        <v>0</v>
      </c>
      <c r="AZ35" s="640">
        <f t="shared" si="34"/>
        <v>1367.8333333333333</v>
      </c>
      <c r="BA35" s="641">
        <f t="shared" si="35"/>
        <v>1431.6333333333334</v>
      </c>
    </row>
    <row r="36" spans="1:55" s="1" customFormat="1">
      <c r="A36" s="401" t="s">
        <v>72</v>
      </c>
      <c r="B36" s="400" t="s">
        <v>97</v>
      </c>
      <c r="C36" s="398"/>
      <c r="D36" s="616">
        <v>101301</v>
      </c>
      <c r="E36" s="493">
        <v>10</v>
      </c>
      <c r="F36" s="638"/>
      <c r="G36" s="639"/>
      <c r="H36" s="638"/>
      <c r="I36" s="639"/>
      <c r="J36" s="638">
        <v>11845</v>
      </c>
      <c r="K36" s="639">
        <v>10957</v>
      </c>
      <c r="L36" s="638">
        <v>8195</v>
      </c>
      <c r="M36" s="639">
        <v>6631</v>
      </c>
      <c r="N36" s="638">
        <v>11469</v>
      </c>
      <c r="O36" s="639">
        <v>13371</v>
      </c>
      <c r="P36" s="640">
        <f t="shared" si="18"/>
        <v>31509</v>
      </c>
      <c r="Q36" s="640">
        <f t="shared" si="19"/>
        <v>1050.3</v>
      </c>
      <c r="R36" s="641">
        <f t="shared" si="20"/>
        <v>30959</v>
      </c>
      <c r="S36" s="641">
        <f t="shared" si="21"/>
        <v>1031.9666666666667</v>
      </c>
      <c r="T36" s="638">
        <v>5483</v>
      </c>
      <c r="U36" s="639">
        <v>6309</v>
      </c>
      <c r="V36" s="640">
        <f t="shared" si="22"/>
        <v>31509</v>
      </c>
      <c r="W36" s="641">
        <f t="shared" si="23"/>
        <v>30959</v>
      </c>
      <c r="X36" s="638"/>
      <c r="Y36" s="639"/>
      <c r="Z36" s="638"/>
      <c r="AA36" s="639"/>
      <c r="AB36" s="638"/>
      <c r="AC36" s="639"/>
      <c r="AD36" s="638"/>
      <c r="AE36" s="639"/>
      <c r="AF36" s="640">
        <f t="shared" si="24"/>
        <v>0</v>
      </c>
      <c r="AG36" s="640">
        <f t="shared" si="25"/>
        <v>0</v>
      </c>
      <c r="AH36" s="641">
        <f t="shared" si="26"/>
        <v>0</v>
      </c>
      <c r="AI36" s="641">
        <f t="shared" si="27"/>
        <v>0</v>
      </c>
      <c r="AJ36" s="638"/>
      <c r="AK36" s="639"/>
      <c r="AL36" s="640">
        <f t="shared" si="28"/>
        <v>0</v>
      </c>
      <c r="AM36" s="641">
        <f t="shared" si="29"/>
        <v>0</v>
      </c>
      <c r="AN36" s="638"/>
      <c r="AO36" s="639"/>
      <c r="AP36" s="638"/>
      <c r="AQ36" s="639"/>
      <c r="AR36" s="638"/>
      <c r="AS36" s="639"/>
      <c r="AT36" s="638"/>
      <c r="AU36" s="639"/>
      <c r="AV36" s="640">
        <f t="shared" si="30"/>
        <v>0</v>
      </c>
      <c r="AW36" s="640">
        <f t="shared" si="31"/>
        <v>0</v>
      </c>
      <c r="AX36" s="641">
        <f t="shared" si="32"/>
        <v>0</v>
      </c>
      <c r="AY36" s="641">
        <f t="shared" si="33"/>
        <v>0</v>
      </c>
      <c r="AZ36" s="640">
        <f t="shared" si="34"/>
        <v>1050.3</v>
      </c>
      <c r="BA36" s="641">
        <f t="shared" si="35"/>
        <v>1031.9666666666667</v>
      </c>
    </row>
    <row r="37" spans="1:55" s="1" customFormat="1">
      <c r="A37" s="401" t="s">
        <v>72</v>
      </c>
      <c r="B37" s="400" t="s">
        <v>98</v>
      </c>
      <c r="C37" s="398"/>
      <c r="D37" s="616">
        <v>101602</v>
      </c>
      <c r="E37" s="493">
        <v>10</v>
      </c>
      <c r="F37" s="638"/>
      <c r="G37" s="639"/>
      <c r="H37" s="638"/>
      <c r="I37" s="639"/>
      <c r="J37" s="638">
        <v>14673</v>
      </c>
      <c r="K37" s="639">
        <v>13991</v>
      </c>
      <c r="L37" s="638">
        <v>7669</v>
      </c>
      <c r="M37" s="639">
        <v>8101</v>
      </c>
      <c r="N37" s="638">
        <v>15511</v>
      </c>
      <c r="O37" s="639">
        <v>16518</v>
      </c>
      <c r="P37" s="640">
        <f t="shared" si="18"/>
        <v>37853</v>
      </c>
      <c r="Q37" s="640">
        <f t="shared" si="19"/>
        <v>1261.7666666666667</v>
      </c>
      <c r="R37" s="641">
        <f t="shared" si="20"/>
        <v>38610</v>
      </c>
      <c r="S37" s="641">
        <f t="shared" si="21"/>
        <v>1287</v>
      </c>
      <c r="T37" s="638">
        <v>5460</v>
      </c>
      <c r="U37" s="639">
        <v>6479</v>
      </c>
      <c r="V37" s="640">
        <f t="shared" si="22"/>
        <v>37853</v>
      </c>
      <c r="W37" s="641">
        <f t="shared" si="23"/>
        <v>38610</v>
      </c>
      <c r="X37" s="638"/>
      <c r="Y37" s="639"/>
      <c r="Z37" s="638"/>
      <c r="AA37" s="639"/>
      <c r="AB37" s="638"/>
      <c r="AC37" s="639"/>
      <c r="AD37" s="638"/>
      <c r="AE37" s="639"/>
      <c r="AF37" s="640">
        <f t="shared" si="24"/>
        <v>0</v>
      </c>
      <c r="AG37" s="640">
        <f t="shared" si="25"/>
        <v>0</v>
      </c>
      <c r="AH37" s="641">
        <f t="shared" si="26"/>
        <v>0</v>
      </c>
      <c r="AI37" s="641">
        <f t="shared" si="27"/>
        <v>0</v>
      </c>
      <c r="AJ37" s="638"/>
      <c r="AK37" s="639"/>
      <c r="AL37" s="640">
        <f t="shared" si="28"/>
        <v>0</v>
      </c>
      <c r="AM37" s="641">
        <f t="shared" si="29"/>
        <v>0</v>
      </c>
      <c r="AN37" s="638"/>
      <c r="AO37" s="639"/>
      <c r="AP37" s="638"/>
      <c r="AQ37" s="639"/>
      <c r="AR37" s="638"/>
      <c r="AS37" s="639"/>
      <c r="AT37" s="638"/>
      <c r="AU37" s="639"/>
      <c r="AV37" s="640">
        <f t="shared" si="30"/>
        <v>0</v>
      </c>
      <c r="AW37" s="640">
        <f t="shared" si="31"/>
        <v>0</v>
      </c>
      <c r="AX37" s="641">
        <f t="shared" si="32"/>
        <v>0</v>
      </c>
      <c r="AY37" s="641">
        <f t="shared" si="33"/>
        <v>0</v>
      </c>
      <c r="AZ37" s="640">
        <f t="shared" si="34"/>
        <v>1261.7666666666667</v>
      </c>
      <c r="BA37" s="641">
        <f t="shared" si="35"/>
        <v>1287</v>
      </c>
    </row>
    <row r="38" spans="1:55" s="1" customFormat="1">
      <c r="A38" s="401" t="s">
        <v>72</v>
      </c>
      <c r="B38" s="400" t="s">
        <v>801</v>
      </c>
      <c r="C38" s="398"/>
      <c r="D38" s="616">
        <v>101897</v>
      </c>
      <c r="E38" s="493">
        <v>10</v>
      </c>
      <c r="F38" s="638"/>
      <c r="G38" s="639"/>
      <c r="H38" s="638"/>
      <c r="I38" s="639"/>
      <c r="J38" s="638">
        <v>23104</v>
      </c>
      <c r="K38" s="639">
        <v>18399</v>
      </c>
      <c r="L38" s="638">
        <v>10798</v>
      </c>
      <c r="M38" s="639">
        <v>9026</v>
      </c>
      <c r="N38" s="638">
        <v>22589</v>
      </c>
      <c r="O38" s="639">
        <v>21712</v>
      </c>
      <c r="P38" s="640">
        <f t="shared" si="18"/>
        <v>56491</v>
      </c>
      <c r="Q38" s="640">
        <f t="shared" si="19"/>
        <v>1883.0333333333333</v>
      </c>
      <c r="R38" s="641">
        <f t="shared" si="20"/>
        <v>49137</v>
      </c>
      <c r="S38" s="641">
        <f t="shared" si="21"/>
        <v>1637.9</v>
      </c>
      <c r="T38" s="638">
        <v>11087</v>
      </c>
      <c r="U38" s="639">
        <v>11703</v>
      </c>
      <c r="V38" s="640">
        <f t="shared" si="22"/>
        <v>56491</v>
      </c>
      <c r="W38" s="641">
        <f t="shared" si="23"/>
        <v>49137</v>
      </c>
      <c r="X38" s="638"/>
      <c r="Y38" s="639"/>
      <c r="Z38" s="638"/>
      <c r="AA38" s="639"/>
      <c r="AB38" s="638"/>
      <c r="AC38" s="639"/>
      <c r="AD38" s="638"/>
      <c r="AE38" s="639"/>
      <c r="AF38" s="640">
        <f t="shared" si="24"/>
        <v>0</v>
      </c>
      <c r="AG38" s="640">
        <f t="shared" si="25"/>
        <v>0</v>
      </c>
      <c r="AH38" s="641">
        <f t="shared" si="26"/>
        <v>0</v>
      </c>
      <c r="AI38" s="641">
        <f t="shared" si="27"/>
        <v>0</v>
      </c>
      <c r="AJ38" s="638"/>
      <c r="AK38" s="639"/>
      <c r="AL38" s="640">
        <f t="shared" si="28"/>
        <v>0</v>
      </c>
      <c r="AM38" s="641">
        <f t="shared" si="29"/>
        <v>0</v>
      </c>
      <c r="AN38" s="638"/>
      <c r="AO38" s="639"/>
      <c r="AP38" s="638"/>
      <c r="AQ38" s="639"/>
      <c r="AR38" s="638"/>
      <c r="AS38" s="639"/>
      <c r="AT38" s="638"/>
      <c r="AU38" s="639"/>
      <c r="AV38" s="640">
        <f t="shared" si="30"/>
        <v>0</v>
      </c>
      <c r="AW38" s="640">
        <f t="shared" si="31"/>
        <v>0</v>
      </c>
      <c r="AX38" s="641">
        <f t="shared" si="32"/>
        <v>0</v>
      </c>
      <c r="AY38" s="641">
        <f t="shared" si="33"/>
        <v>0</v>
      </c>
      <c r="AZ38" s="640">
        <f t="shared" si="34"/>
        <v>1883.0333333333333</v>
      </c>
      <c r="BA38" s="641">
        <f t="shared" si="35"/>
        <v>1637.9</v>
      </c>
    </row>
    <row r="39" spans="1:55" s="1" customFormat="1">
      <c r="A39" s="401" t="s">
        <v>72</v>
      </c>
      <c r="B39" s="400" t="s">
        <v>99</v>
      </c>
      <c r="C39" s="398"/>
      <c r="D39" s="616">
        <v>102076</v>
      </c>
      <c r="E39" s="493">
        <v>10</v>
      </c>
      <c r="F39" s="638"/>
      <c r="G39" s="639"/>
      <c r="H39" s="638"/>
      <c r="I39" s="639"/>
      <c r="J39" s="638">
        <v>22380</v>
      </c>
      <c r="K39" s="639">
        <v>18656</v>
      </c>
      <c r="L39" s="638">
        <v>13328</v>
      </c>
      <c r="M39" s="639">
        <v>13182</v>
      </c>
      <c r="N39" s="638">
        <v>20874</v>
      </c>
      <c r="O39" s="639">
        <v>22221</v>
      </c>
      <c r="P39" s="640">
        <f t="shared" si="18"/>
        <v>56582</v>
      </c>
      <c r="Q39" s="640">
        <f t="shared" si="19"/>
        <v>1886.0666666666666</v>
      </c>
      <c r="R39" s="641">
        <f t="shared" si="20"/>
        <v>54059</v>
      </c>
      <c r="S39" s="641">
        <f t="shared" si="21"/>
        <v>1801.9666666666667</v>
      </c>
      <c r="T39" s="638">
        <v>2922</v>
      </c>
      <c r="U39" s="639">
        <v>3815</v>
      </c>
      <c r="V39" s="640">
        <f t="shared" si="22"/>
        <v>56582</v>
      </c>
      <c r="W39" s="641">
        <f t="shared" si="23"/>
        <v>54059</v>
      </c>
      <c r="X39" s="638"/>
      <c r="Y39" s="639"/>
      <c r="Z39" s="638"/>
      <c r="AA39" s="639"/>
      <c r="AB39" s="638"/>
      <c r="AC39" s="639"/>
      <c r="AD39" s="638"/>
      <c r="AE39" s="639"/>
      <c r="AF39" s="640">
        <f t="shared" si="24"/>
        <v>0</v>
      </c>
      <c r="AG39" s="640">
        <f t="shared" si="25"/>
        <v>0</v>
      </c>
      <c r="AH39" s="641">
        <f t="shared" si="26"/>
        <v>0</v>
      </c>
      <c r="AI39" s="641">
        <f t="shared" si="27"/>
        <v>0</v>
      </c>
      <c r="AJ39" s="638"/>
      <c r="AK39" s="639"/>
      <c r="AL39" s="640">
        <f t="shared" si="28"/>
        <v>0</v>
      </c>
      <c r="AM39" s="641">
        <f t="shared" si="29"/>
        <v>0</v>
      </c>
      <c r="AN39" s="638"/>
      <c r="AO39" s="639"/>
      <c r="AP39" s="638"/>
      <c r="AQ39" s="639"/>
      <c r="AR39" s="638"/>
      <c r="AS39" s="639"/>
      <c r="AT39" s="638"/>
      <c r="AU39" s="639"/>
      <c r="AV39" s="640">
        <f t="shared" si="30"/>
        <v>0</v>
      </c>
      <c r="AW39" s="640">
        <f t="shared" si="31"/>
        <v>0</v>
      </c>
      <c r="AX39" s="641">
        <f t="shared" si="32"/>
        <v>0</v>
      </c>
      <c r="AY39" s="641">
        <f t="shared" si="33"/>
        <v>0</v>
      </c>
      <c r="AZ39" s="640">
        <f t="shared" si="34"/>
        <v>1886.0666666666666</v>
      </c>
      <c r="BA39" s="641">
        <f t="shared" si="35"/>
        <v>1801.9666666666667</v>
      </c>
    </row>
    <row r="40" spans="1:55" s="1" customFormat="1">
      <c r="A40" s="401" t="s">
        <v>72</v>
      </c>
      <c r="B40" s="400" t="s">
        <v>802</v>
      </c>
      <c r="C40" s="398"/>
      <c r="D40" s="616">
        <v>102313</v>
      </c>
      <c r="E40" s="493">
        <v>12</v>
      </c>
      <c r="F40" s="638"/>
      <c r="G40" s="639"/>
      <c r="H40" s="638"/>
      <c r="I40" s="639"/>
      <c r="J40" s="638">
        <v>18054</v>
      </c>
      <c r="K40" s="639">
        <v>14356</v>
      </c>
      <c r="L40" s="638">
        <v>8555</v>
      </c>
      <c r="M40" s="639">
        <v>8761</v>
      </c>
      <c r="N40" s="638">
        <v>14127</v>
      </c>
      <c r="O40" s="639">
        <v>16581</v>
      </c>
      <c r="P40" s="640">
        <f t="shared" si="18"/>
        <v>40736</v>
      </c>
      <c r="Q40" s="640">
        <f t="shared" si="19"/>
        <v>1357.8666666666666</v>
      </c>
      <c r="R40" s="641">
        <f t="shared" si="20"/>
        <v>39698</v>
      </c>
      <c r="S40" s="641">
        <f t="shared" si="21"/>
        <v>1323.2666666666667</v>
      </c>
      <c r="T40" s="638">
        <v>1729</v>
      </c>
      <c r="U40" s="639">
        <v>1720</v>
      </c>
      <c r="V40" s="640">
        <f t="shared" si="22"/>
        <v>40736</v>
      </c>
      <c r="W40" s="641">
        <f t="shared" si="23"/>
        <v>39698</v>
      </c>
      <c r="X40" s="638"/>
      <c r="Y40" s="639"/>
      <c r="Z40" s="638"/>
      <c r="AA40" s="639"/>
      <c r="AB40" s="638"/>
      <c r="AC40" s="639"/>
      <c r="AD40" s="638"/>
      <c r="AE40" s="639"/>
      <c r="AF40" s="640">
        <f t="shared" si="24"/>
        <v>0</v>
      </c>
      <c r="AG40" s="640">
        <f t="shared" si="25"/>
        <v>0</v>
      </c>
      <c r="AH40" s="641">
        <f t="shared" si="26"/>
        <v>0</v>
      </c>
      <c r="AI40" s="641">
        <f t="shared" si="27"/>
        <v>0</v>
      </c>
      <c r="AJ40" s="638"/>
      <c r="AK40" s="639"/>
      <c r="AL40" s="640">
        <f t="shared" si="28"/>
        <v>0</v>
      </c>
      <c r="AM40" s="641">
        <f t="shared" si="29"/>
        <v>0</v>
      </c>
      <c r="AN40" s="638"/>
      <c r="AO40" s="639"/>
      <c r="AP40" s="638"/>
      <c r="AQ40" s="639"/>
      <c r="AR40" s="638"/>
      <c r="AS40" s="639"/>
      <c r="AT40" s="638"/>
      <c r="AU40" s="639"/>
      <c r="AV40" s="640">
        <f t="shared" si="30"/>
        <v>0</v>
      </c>
      <c r="AW40" s="640">
        <f t="shared" si="31"/>
        <v>0</v>
      </c>
      <c r="AX40" s="641">
        <f t="shared" si="32"/>
        <v>0</v>
      </c>
      <c r="AY40" s="641">
        <f t="shared" si="33"/>
        <v>0</v>
      </c>
      <c r="AZ40" s="640">
        <f t="shared" si="34"/>
        <v>1357.8666666666666</v>
      </c>
      <c r="BA40" s="641">
        <f t="shared" si="35"/>
        <v>1323.2666666666667</v>
      </c>
    </row>
    <row r="41" spans="1:55" s="1" customFormat="1">
      <c r="A41" s="401" t="s">
        <v>72</v>
      </c>
      <c r="B41" s="400" t="s">
        <v>803</v>
      </c>
      <c r="C41" s="398"/>
      <c r="D41" s="616">
        <v>101462</v>
      </c>
      <c r="E41" s="493">
        <v>13</v>
      </c>
      <c r="F41" s="638"/>
      <c r="G41" s="639"/>
      <c r="H41" s="638"/>
      <c r="I41" s="639"/>
      <c r="J41" s="638">
        <v>6859</v>
      </c>
      <c r="K41" s="639">
        <v>5990</v>
      </c>
      <c r="L41" s="638">
        <v>3123</v>
      </c>
      <c r="M41" s="639">
        <v>3760</v>
      </c>
      <c r="N41" s="638">
        <v>6501</v>
      </c>
      <c r="O41" s="639">
        <v>7088</v>
      </c>
      <c r="P41" s="640">
        <f t="shared" si="18"/>
        <v>16483</v>
      </c>
      <c r="Q41" s="640">
        <f t="shared" si="19"/>
        <v>549.43333333333328</v>
      </c>
      <c r="R41" s="641">
        <f t="shared" si="20"/>
        <v>16838</v>
      </c>
      <c r="S41" s="641">
        <f t="shared" si="21"/>
        <v>561.26666666666665</v>
      </c>
      <c r="T41" s="638">
        <v>1602</v>
      </c>
      <c r="U41" s="639">
        <v>1440</v>
      </c>
      <c r="V41" s="640">
        <f t="shared" si="22"/>
        <v>16483</v>
      </c>
      <c r="W41" s="641">
        <f t="shared" si="23"/>
        <v>16838</v>
      </c>
      <c r="X41" s="638"/>
      <c r="Y41" s="639"/>
      <c r="Z41" s="638"/>
      <c r="AA41" s="639"/>
      <c r="AB41" s="638"/>
      <c r="AC41" s="639"/>
      <c r="AD41" s="638"/>
      <c r="AE41" s="639"/>
      <c r="AF41" s="640">
        <f t="shared" si="24"/>
        <v>0</v>
      </c>
      <c r="AG41" s="640">
        <f t="shared" si="25"/>
        <v>0</v>
      </c>
      <c r="AH41" s="641">
        <f t="shared" si="26"/>
        <v>0</v>
      </c>
      <c r="AI41" s="641">
        <f t="shared" si="27"/>
        <v>0</v>
      </c>
      <c r="AJ41" s="638"/>
      <c r="AK41" s="639"/>
      <c r="AL41" s="640">
        <f t="shared" si="28"/>
        <v>0</v>
      </c>
      <c r="AM41" s="641">
        <f t="shared" si="29"/>
        <v>0</v>
      </c>
      <c r="AN41" s="638"/>
      <c r="AO41" s="639"/>
      <c r="AP41" s="638"/>
      <c r="AQ41" s="639"/>
      <c r="AR41" s="638"/>
      <c r="AS41" s="639"/>
      <c r="AT41" s="638"/>
      <c r="AU41" s="639"/>
      <c r="AV41" s="640">
        <f t="shared" si="30"/>
        <v>0</v>
      </c>
      <c r="AW41" s="640">
        <f t="shared" si="31"/>
        <v>0</v>
      </c>
      <c r="AX41" s="641">
        <f t="shared" si="32"/>
        <v>0</v>
      </c>
      <c r="AY41" s="641">
        <f t="shared" si="33"/>
        <v>0</v>
      </c>
      <c r="AZ41" s="640">
        <f t="shared" si="34"/>
        <v>549.43333333333328</v>
      </c>
      <c r="BA41" s="641">
        <f t="shared" si="35"/>
        <v>561.26666666666665</v>
      </c>
    </row>
    <row r="42" spans="1:55" s="1" customFormat="1">
      <c r="A42" s="401" t="s">
        <v>72</v>
      </c>
      <c r="B42" s="400" t="s">
        <v>100</v>
      </c>
      <c r="C42" s="398"/>
      <c r="D42" s="616">
        <v>101471</v>
      </c>
      <c r="E42" s="493">
        <v>13</v>
      </c>
      <c r="F42" s="638"/>
      <c r="G42" s="639"/>
      <c r="H42" s="638"/>
      <c r="I42" s="639"/>
      <c r="J42" s="638">
        <v>6571</v>
      </c>
      <c r="K42" s="639">
        <v>4788</v>
      </c>
      <c r="L42" s="638">
        <v>0</v>
      </c>
      <c r="M42" s="639">
        <v>3029</v>
      </c>
      <c r="N42" s="638">
        <v>4727</v>
      </c>
      <c r="O42" s="639">
        <v>4936</v>
      </c>
      <c r="P42" s="640">
        <f t="shared" si="18"/>
        <v>11298</v>
      </c>
      <c r="Q42" s="640">
        <f t="shared" si="19"/>
        <v>376.6</v>
      </c>
      <c r="R42" s="641">
        <f t="shared" si="20"/>
        <v>12753</v>
      </c>
      <c r="S42" s="641">
        <f t="shared" si="21"/>
        <v>425.1</v>
      </c>
      <c r="T42" s="638">
        <v>0</v>
      </c>
      <c r="U42" s="639">
        <v>0</v>
      </c>
      <c r="V42" s="640">
        <f t="shared" si="22"/>
        <v>11298</v>
      </c>
      <c r="W42" s="641">
        <f t="shared" si="23"/>
        <v>12753</v>
      </c>
      <c r="X42" s="638"/>
      <c r="Y42" s="639"/>
      <c r="Z42" s="638"/>
      <c r="AA42" s="639"/>
      <c r="AB42" s="638"/>
      <c r="AC42" s="639"/>
      <c r="AD42" s="638"/>
      <c r="AE42" s="639"/>
      <c r="AF42" s="640">
        <f t="shared" si="24"/>
        <v>0</v>
      </c>
      <c r="AG42" s="640">
        <f t="shared" si="25"/>
        <v>0</v>
      </c>
      <c r="AH42" s="641">
        <f t="shared" si="26"/>
        <v>0</v>
      </c>
      <c r="AI42" s="641">
        <f t="shared" si="27"/>
        <v>0</v>
      </c>
      <c r="AJ42" s="638"/>
      <c r="AK42" s="639"/>
      <c r="AL42" s="640">
        <f t="shared" si="28"/>
        <v>0</v>
      </c>
      <c r="AM42" s="641">
        <f t="shared" si="29"/>
        <v>0</v>
      </c>
      <c r="AN42" s="638"/>
      <c r="AO42" s="639"/>
      <c r="AP42" s="638"/>
      <c r="AQ42" s="639"/>
      <c r="AR42" s="638"/>
      <c r="AS42" s="639"/>
      <c r="AT42" s="638"/>
      <c r="AU42" s="639"/>
      <c r="AV42" s="640">
        <f t="shared" si="30"/>
        <v>0</v>
      </c>
      <c r="AW42" s="640">
        <f t="shared" si="31"/>
        <v>0</v>
      </c>
      <c r="AX42" s="641">
        <f t="shared" si="32"/>
        <v>0</v>
      </c>
      <c r="AY42" s="641">
        <f t="shared" si="33"/>
        <v>0</v>
      </c>
      <c r="AZ42" s="640">
        <f t="shared" si="34"/>
        <v>376.6</v>
      </c>
      <c r="BA42" s="641">
        <f t="shared" si="35"/>
        <v>425.1</v>
      </c>
    </row>
    <row r="43" spans="1:55" s="1" customFormat="1">
      <c r="A43" s="401" t="s">
        <v>72</v>
      </c>
      <c r="B43" s="400" t="s">
        <v>101</v>
      </c>
      <c r="C43" s="398"/>
      <c r="D43" s="616">
        <v>101994</v>
      </c>
      <c r="E43" s="493">
        <v>13</v>
      </c>
      <c r="F43" s="638"/>
      <c r="G43" s="639"/>
      <c r="H43" s="638"/>
      <c r="I43" s="639"/>
      <c r="J43" s="638">
        <v>3895</v>
      </c>
      <c r="K43" s="639">
        <v>2966</v>
      </c>
      <c r="L43" s="638">
        <v>2751</v>
      </c>
      <c r="M43" s="639">
        <v>2019</v>
      </c>
      <c r="N43" s="638">
        <v>2751</v>
      </c>
      <c r="O43" s="639">
        <v>3622</v>
      </c>
      <c r="P43" s="640">
        <f t="shared" si="18"/>
        <v>9397</v>
      </c>
      <c r="Q43" s="640">
        <f t="shared" si="19"/>
        <v>313.23333333333335</v>
      </c>
      <c r="R43" s="641">
        <f t="shared" si="20"/>
        <v>8607</v>
      </c>
      <c r="S43" s="641">
        <f t="shared" si="21"/>
        <v>286.89999999999998</v>
      </c>
      <c r="T43" s="638">
        <v>741</v>
      </c>
      <c r="U43" s="639">
        <v>569</v>
      </c>
      <c r="V43" s="640">
        <f t="shared" si="22"/>
        <v>9397</v>
      </c>
      <c r="W43" s="641">
        <f t="shared" si="23"/>
        <v>8607</v>
      </c>
      <c r="X43" s="638"/>
      <c r="Y43" s="639"/>
      <c r="Z43" s="638"/>
      <c r="AA43" s="639"/>
      <c r="AB43" s="638"/>
      <c r="AC43" s="639"/>
      <c r="AD43" s="638"/>
      <c r="AE43" s="639"/>
      <c r="AF43" s="640">
        <f t="shared" si="24"/>
        <v>0</v>
      </c>
      <c r="AG43" s="640">
        <f t="shared" si="25"/>
        <v>0</v>
      </c>
      <c r="AH43" s="641">
        <f t="shared" si="26"/>
        <v>0</v>
      </c>
      <c r="AI43" s="641">
        <f t="shared" si="27"/>
        <v>0</v>
      </c>
      <c r="AJ43" s="638"/>
      <c r="AK43" s="639"/>
      <c r="AL43" s="640">
        <f t="shared" si="28"/>
        <v>0</v>
      </c>
      <c r="AM43" s="641">
        <f t="shared" si="29"/>
        <v>0</v>
      </c>
      <c r="AN43" s="638"/>
      <c r="AO43" s="639"/>
      <c r="AP43" s="638"/>
      <c r="AQ43" s="639"/>
      <c r="AR43" s="638"/>
      <c r="AS43" s="639"/>
      <c r="AT43" s="638"/>
      <c r="AU43" s="639"/>
      <c r="AV43" s="640">
        <f t="shared" si="30"/>
        <v>0</v>
      </c>
      <c r="AW43" s="640">
        <f t="shared" si="31"/>
        <v>0</v>
      </c>
      <c r="AX43" s="641">
        <f t="shared" si="32"/>
        <v>0</v>
      </c>
      <c r="AY43" s="641">
        <f t="shared" si="33"/>
        <v>0</v>
      </c>
      <c r="AZ43" s="640">
        <f t="shared" si="34"/>
        <v>313.23333333333335</v>
      </c>
      <c r="BA43" s="641">
        <f t="shared" si="35"/>
        <v>286.89999999999998</v>
      </c>
    </row>
    <row r="44" spans="1:55" s="1" customFormat="1">
      <c r="A44" s="401" t="s">
        <v>72</v>
      </c>
      <c r="B44" s="400" t="s">
        <v>831</v>
      </c>
      <c r="C44" s="398"/>
      <c r="D44" s="616">
        <v>101648</v>
      </c>
      <c r="E44" s="493">
        <v>15</v>
      </c>
      <c r="F44" s="638"/>
      <c r="G44" s="639"/>
      <c r="H44" s="638"/>
      <c r="I44" s="639"/>
      <c r="J44" s="638">
        <v>6231</v>
      </c>
      <c r="K44" s="639">
        <v>5811</v>
      </c>
      <c r="L44" s="638">
        <v>0</v>
      </c>
      <c r="M44" s="639">
        <v>0</v>
      </c>
      <c r="N44" s="638">
        <v>6477</v>
      </c>
      <c r="O44" s="639">
        <v>5144</v>
      </c>
      <c r="P44" s="640">
        <f t="shared" si="18"/>
        <v>12708</v>
      </c>
      <c r="Q44" s="640">
        <f t="shared" si="19"/>
        <v>423.6</v>
      </c>
      <c r="R44" s="641">
        <f t="shared" si="20"/>
        <v>10955</v>
      </c>
      <c r="S44" s="641">
        <f t="shared" si="21"/>
        <v>365.16666666666669</v>
      </c>
      <c r="T44" s="638">
        <v>36</v>
      </c>
      <c r="U44" s="639">
        <v>0</v>
      </c>
      <c r="V44" s="640">
        <f t="shared" si="22"/>
        <v>12708</v>
      </c>
      <c r="W44" s="641">
        <f t="shared" si="23"/>
        <v>10955</v>
      </c>
      <c r="X44" s="638"/>
      <c r="Y44" s="639"/>
      <c r="Z44" s="638"/>
      <c r="AA44" s="639"/>
      <c r="AB44" s="638"/>
      <c r="AC44" s="639"/>
      <c r="AD44" s="638"/>
      <c r="AE44" s="639"/>
      <c r="AF44" s="640">
        <f t="shared" si="24"/>
        <v>0</v>
      </c>
      <c r="AG44" s="640">
        <f t="shared" si="25"/>
        <v>0</v>
      </c>
      <c r="AH44" s="641">
        <f t="shared" si="26"/>
        <v>0</v>
      </c>
      <c r="AI44" s="641">
        <f t="shared" si="27"/>
        <v>0</v>
      </c>
      <c r="AJ44" s="638"/>
      <c r="AK44" s="639"/>
      <c r="AL44" s="640">
        <f t="shared" si="28"/>
        <v>0</v>
      </c>
      <c r="AM44" s="641">
        <f t="shared" si="29"/>
        <v>0</v>
      </c>
      <c r="AN44" s="638"/>
      <c r="AO44" s="639"/>
      <c r="AP44" s="638"/>
      <c r="AQ44" s="639"/>
      <c r="AR44" s="638"/>
      <c r="AS44" s="639"/>
      <c r="AT44" s="638"/>
      <c r="AU44" s="639"/>
      <c r="AV44" s="640">
        <f t="shared" si="30"/>
        <v>0</v>
      </c>
      <c r="AW44" s="640">
        <f t="shared" si="31"/>
        <v>0</v>
      </c>
      <c r="AX44" s="641">
        <f t="shared" si="32"/>
        <v>0</v>
      </c>
      <c r="AY44" s="641">
        <f t="shared" si="33"/>
        <v>0</v>
      </c>
      <c r="AZ44" s="640">
        <f t="shared" si="34"/>
        <v>423.6</v>
      </c>
      <c r="BA44" s="641">
        <f t="shared" si="35"/>
        <v>365.16666666666669</v>
      </c>
    </row>
    <row r="45" spans="1:55" s="365" customFormat="1" ht="12.6" customHeight="1">
      <c r="A45" s="406" t="s">
        <v>102</v>
      </c>
      <c r="B45" s="407" t="s">
        <v>105</v>
      </c>
      <c r="C45" s="408"/>
      <c r="D45" s="618">
        <v>106458</v>
      </c>
      <c r="E45" s="520">
        <v>3</v>
      </c>
      <c r="F45" s="495" t="s">
        <v>74</v>
      </c>
      <c r="G45" s="496" t="s">
        <v>74</v>
      </c>
      <c r="H45" s="495"/>
      <c r="I45" s="496"/>
      <c r="J45" s="495">
        <v>108209</v>
      </c>
      <c r="K45" s="496">
        <v>99646</v>
      </c>
      <c r="L45" s="495">
        <v>18938</v>
      </c>
      <c r="M45" s="496">
        <v>18567</v>
      </c>
      <c r="N45" s="495">
        <v>112064</v>
      </c>
      <c r="O45" s="496">
        <v>108704</v>
      </c>
      <c r="P45" s="640">
        <f t="shared" si="18"/>
        <v>239211</v>
      </c>
      <c r="Q45" s="640">
        <f t="shared" si="19"/>
        <v>7973.7</v>
      </c>
      <c r="R45" s="641">
        <f t="shared" si="20"/>
        <v>226917</v>
      </c>
      <c r="S45" s="641">
        <f t="shared" si="21"/>
        <v>7563.9</v>
      </c>
      <c r="T45" s="495">
        <v>7314</v>
      </c>
      <c r="U45" s="496">
        <v>7048</v>
      </c>
      <c r="V45" s="640">
        <f t="shared" si="22"/>
        <v>239211</v>
      </c>
      <c r="W45" s="641">
        <f t="shared" si="23"/>
        <v>226917</v>
      </c>
      <c r="X45" s="495"/>
      <c r="Y45" s="496"/>
      <c r="Z45" s="495"/>
      <c r="AA45" s="496"/>
      <c r="AB45" s="495"/>
      <c r="AC45" s="496"/>
      <c r="AD45" s="495"/>
      <c r="AE45" s="496"/>
      <c r="AF45" s="640">
        <f t="shared" si="24"/>
        <v>0</v>
      </c>
      <c r="AG45" s="640">
        <f t="shared" si="25"/>
        <v>0</v>
      </c>
      <c r="AH45" s="641">
        <f t="shared" si="26"/>
        <v>0</v>
      </c>
      <c r="AI45" s="641">
        <f t="shared" si="27"/>
        <v>0</v>
      </c>
      <c r="AJ45" s="495"/>
      <c r="AK45" s="496"/>
      <c r="AL45" s="640">
        <f t="shared" si="28"/>
        <v>0</v>
      </c>
      <c r="AM45" s="641">
        <f t="shared" si="29"/>
        <v>0</v>
      </c>
      <c r="AN45" s="495"/>
      <c r="AO45" s="496"/>
      <c r="AP45" s="495">
        <v>37357</v>
      </c>
      <c r="AQ45" s="496">
        <v>37785</v>
      </c>
      <c r="AR45" s="495">
        <v>34123</v>
      </c>
      <c r="AS45" s="496">
        <v>32982</v>
      </c>
      <c r="AT45" s="495">
        <v>37129</v>
      </c>
      <c r="AU45" s="496">
        <v>36696</v>
      </c>
      <c r="AV45" s="640">
        <f t="shared" si="30"/>
        <v>108609</v>
      </c>
      <c r="AW45" s="640">
        <f t="shared" si="31"/>
        <v>4525.375</v>
      </c>
      <c r="AX45" s="641">
        <f t="shared" si="32"/>
        <v>107463</v>
      </c>
      <c r="AY45" s="641">
        <f t="shared" si="33"/>
        <v>4477.625</v>
      </c>
      <c r="AZ45" s="640">
        <f t="shared" si="34"/>
        <v>12499.075000000001</v>
      </c>
      <c r="BA45" s="641">
        <f t="shared" si="35"/>
        <v>12041.525</v>
      </c>
      <c r="BB45"/>
      <c r="BC45"/>
    </row>
    <row r="46" spans="1:55" s="365" customFormat="1" ht="12.6" customHeight="1">
      <c r="A46" s="406" t="s">
        <v>102</v>
      </c>
      <c r="B46" s="407" t="s">
        <v>106</v>
      </c>
      <c r="C46" s="410"/>
      <c r="D46" s="618">
        <v>106467</v>
      </c>
      <c r="E46" s="520">
        <v>3</v>
      </c>
      <c r="F46" s="495" t="s">
        <v>74</v>
      </c>
      <c r="G46" s="496" t="s">
        <v>74</v>
      </c>
      <c r="H46" s="495"/>
      <c r="I46" s="496"/>
      <c r="J46" s="495">
        <v>107736</v>
      </c>
      <c r="K46" s="496">
        <v>95105</v>
      </c>
      <c r="L46" s="495">
        <v>12040</v>
      </c>
      <c r="M46" s="496">
        <v>12325</v>
      </c>
      <c r="N46" s="495">
        <v>113783</v>
      </c>
      <c r="O46" s="496">
        <v>99548</v>
      </c>
      <c r="P46" s="640">
        <f t="shared" si="18"/>
        <v>233559</v>
      </c>
      <c r="Q46" s="640">
        <f t="shared" si="19"/>
        <v>7785.3</v>
      </c>
      <c r="R46" s="641">
        <f t="shared" si="20"/>
        <v>206978</v>
      </c>
      <c r="S46" s="641">
        <f t="shared" si="21"/>
        <v>6899.2666666666664</v>
      </c>
      <c r="T46" s="495">
        <v>24227</v>
      </c>
      <c r="U46" s="496">
        <v>21528</v>
      </c>
      <c r="V46" s="640">
        <f t="shared" si="22"/>
        <v>233559</v>
      </c>
      <c r="W46" s="641">
        <f t="shared" si="23"/>
        <v>206978</v>
      </c>
      <c r="X46" s="495"/>
      <c r="Y46" s="496"/>
      <c r="Z46" s="495"/>
      <c r="AA46" s="496"/>
      <c r="AB46" s="495"/>
      <c r="AC46" s="496"/>
      <c r="AD46" s="495"/>
      <c r="AE46" s="496"/>
      <c r="AF46" s="640">
        <f t="shared" si="24"/>
        <v>0</v>
      </c>
      <c r="AG46" s="640">
        <f t="shared" si="25"/>
        <v>0</v>
      </c>
      <c r="AH46" s="641">
        <f t="shared" si="26"/>
        <v>0</v>
      </c>
      <c r="AI46" s="641">
        <f t="shared" si="27"/>
        <v>0</v>
      </c>
      <c r="AJ46" s="495"/>
      <c r="AK46" s="496"/>
      <c r="AL46" s="640">
        <f t="shared" si="28"/>
        <v>0</v>
      </c>
      <c r="AM46" s="641">
        <f t="shared" si="29"/>
        <v>0</v>
      </c>
      <c r="AN46" s="495"/>
      <c r="AO46" s="496"/>
      <c r="AP46" s="495">
        <v>4451</v>
      </c>
      <c r="AQ46" s="496">
        <v>4306</v>
      </c>
      <c r="AR46" s="495">
        <v>2552</v>
      </c>
      <c r="AS46" s="496">
        <v>2530</v>
      </c>
      <c r="AT46" s="495">
        <v>4252</v>
      </c>
      <c r="AU46" s="496">
        <v>4496</v>
      </c>
      <c r="AV46" s="640">
        <f t="shared" si="30"/>
        <v>11255</v>
      </c>
      <c r="AW46" s="640">
        <f t="shared" si="31"/>
        <v>468.95833333333331</v>
      </c>
      <c r="AX46" s="641">
        <f t="shared" si="32"/>
        <v>11332</v>
      </c>
      <c r="AY46" s="641">
        <f t="shared" si="33"/>
        <v>472.16666666666669</v>
      </c>
      <c r="AZ46" s="640">
        <f t="shared" si="34"/>
        <v>8254.2583333333332</v>
      </c>
      <c r="BA46" s="641">
        <f t="shared" si="35"/>
        <v>7371.4333333333334</v>
      </c>
    </row>
    <row r="47" spans="1:55" s="365" customFormat="1" ht="12.6" customHeight="1">
      <c r="A47" s="406" t="s">
        <v>102</v>
      </c>
      <c r="B47" s="407" t="s">
        <v>108</v>
      </c>
      <c r="C47" s="408"/>
      <c r="D47" s="618">
        <v>107071</v>
      </c>
      <c r="E47" s="520">
        <v>4</v>
      </c>
      <c r="F47" s="495" t="s">
        <v>74</v>
      </c>
      <c r="G47" s="496" t="s">
        <v>74</v>
      </c>
      <c r="H47" s="495"/>
      <c r="I47" s="496"/>
      <c r="J47" s="495">
        <v>40041</v>
      </c>
      <c r="K47" s="496">
        <v>32278</v>
      </c>
      <c r="L47" s="495">
        <v>5049</v>
      </c>
      <c r="M47" s="496">
        <v>5212</v>
      </c>
      <c r="N47" s="495">
        <v>37756</v>
      </c>
      <c r="O47" s="496">
        <v>31971</v>
      </c>
      <c r="P47" s="640">
        <f t="shared" si="18"/>
        <v>82846</v>
      </c>
      <c r="Q47" s="640">
        <f t="shared" si="19"/>
        <v>2761.5333333333333</v>
      </c>
      <c r="R47" s="641">
        <f t="shared" si="20"/>
        <v>69461</v>
      </c>
      <c r="S47" s="641">
        <f t="shared" si="21"/>
        <v>2315.3666666666668</v>
      </c>
      <c r="T47" s="495">
        <v>2500</v>
      </c>
      <c r="U47" s="496">
        <v>118</v>
      </c>
      <c r="V47" s="640">
        <f t="shared" si="22"/>
        <v>82846</v>
      </c>
      <c r="W47" s="641">
        <f t="shared" si="23"/>
        <v>69461</v>
      </c>
      <c r="X47" s="495"/>
      <c r="Y47" s="496"/>
      <c r="Z47" s="495"/>
      <c r="AA47" s="496"/>
      <c r="AB47" s="495"/>
      <c r="AC47" s="496"/>
      <c r="AD47" s="495"/>
      <c r="AE47" s="496"/>
      <c r="AF47" s="640">
        <f t="shared" si="24"/>
        <v>0</v>
      </c>
      <c r="AG47" s="640">
        <f t="shared" si="25"/>
        <v>0</v>
      </c>
      <c r="AH47" s="641">
        <f t="shared" si="26"/>
        <v>0</v>
      </c>
      <c r="AI47" s="641">
        <f t="shared" si="27"/>
        <v>0</v>
      </c>
      <c r="AJ47" s="495"/>
      <c r="AK47" s="496"/>
      <c r="AL47" s="640">
        <f t="shared" si="28"/>
        <v>0</v>
      </c>
      <c r="AM47" s="641">
        <f t="shared" si="29"/>
        <v>0</v>
      </c>
      <c r="AN47" s="495"/>
      <c r="AO47" s="496"/>
      <c r="AP47" s="495">
        <v>3610</v>
      </c>
      <c r="AQ47" s="496">
        <v>3341</v>
      </c>
      <c r="AR47" s="495">
        <v>2190</v>
      </c>
      <c r="AS47" s="496">
        <v>2437</v>
      </c>
      <c r="AT47" s="495">
        <v>3564</v>
      </c>
      <c r="AU47" s="496">
        <v>4484</v>
      </c>
      <c r="AV47" s="640">
        <f t="shared" si="30"/>
        <v>9364</v>
      </c>
      <c r="AW47" s="640">
        <f t="shared" si="31"/>
        <v>390.16666666666669</v>
      </c>
      <c r="AX47" s="641">
        <f t="shared" si="32"/>
        <v>10262</v>
      </c>
      <c r="AY47" s="641">
        <f t="shared" si="33"/>
        <v>427.58333333333331</v>
      </c>
      <c r="AZ47" s="640">
        <f t="shared" si="34"/>
        <v>3151.7</v>
      </c>
      <c r="BA47" s="641">
        <f t="shared" si="35"/>
        <v>2742.9500000000003</v>
      </c>
    </row>
    <row r="48" spans="1:55" s="365" customFormat="1" ht="12.6" customHeight="1">
      <c r="A48" s="406" t="s">
        <v>102</v>
      </c>
      <c r="B48" s="407" t="s">
        <v>109</v>
      </c>
      <c r="C48" s="410"/>
      <c r="D48" s="618">
        <v>107983</v>
      </c>
      <c r="E48" s="520">
        <v>4</v>
      </c>
      <c r="F48" s="495" t="s">
        <v>74</v>
      </c>
      <c r="G48" s="496" t="s">
        <v>74</v>
      </c>
      <c r="H48" s="495"/>
      <c r="I48" s="496"/>
      <c r="J48" s="495">
        <v>44179</v>
      </c>
      <c r="K48" s="496">
        <v>41047</v>
      </c>
      <c r="L48" s="495">
        <v>4756</v>
      </c>
      <c r="M48" s="496">
        <v>5028</v>
      </c>
      <c r="N48" s="495">
        <v>49184</v>
      </c>
      <c r="O48" s="496">
        <v>43740</v>
      </c>
      <c r="P48" s="640">
        <f t="shared" si="18"/>
        <v>98119</v>
      </c>
      <c r="Q48" s="640">
        <f t="shared" si="19"/>
        <v>3270.6333333333332</v>
      </c>
      <c r="R48" s="641">
        <f t="shared" si="20"/>
        <v>89815</v>
      </c>
      <c r="S48" s="641">
        <f t="shared" si="21"/>
        <v>2993.8333333333335</v>
      </c>
      <c r="T48" s="495">
        <v>2838</v>
      </c>
      <c r="U48" s="496">
        <v>2836</v>
      </c>
      <c r="V48" s="640">
        <f t="shared" si="22"/>
        <v>98119</v>
      </c>
      <c r="W48" s="641">
        <f t="shared" si="23"/>
        <v>89815</v>
      </c>
      <c r="X48" s="495"/>
      <c r="Y48" s="496"/>
      <c r="Z48" s="495"/>
      <c r="AA48" s="496"/>
      <c r="AB48" s="495"/>
      <c r="AC48" s="496"/>
      <c r="AD48" s="495"/>
      <c r="AE48" s="496"/>
      <c r="AF48" s="640">
        <f t="shared" si="24"/>
        <v>0</v>
      </c>
      <c r="AG48" s="640">
        <f t="shared" si="25"/>
        <v>0</v>
      </c>
      <c r="AH48" s="641">
        <f t="shared" si="26"/>
        <v>0</v>
      </c>
      <c r="AI48" s="641">
        <f t="shared" si="27"/>
        <v>0</v>
      </c>
      <c r="AJ48" s="495"/>
      <c r="AK48" s="496"/>
      <c r="AL48" s="640">
        <f t="shared" si="28"/>
        <v>0</v>
      </c>
      <c r="AM48" s="641">
        <f t="shared" si="29"/>
        <v>0</v>
      </c>
      <c r="AN48" s="495"/>
      <c r="AO48" s="496"/>
      <c r="AP48" s="495">
        <v>5157</v>
      </c>
      <c r="AQ48" s="496">
        <v>6159</v>
      </c>
      <c r="AR48" s="495">
        <v>5163</v>
      </c>
      <c r="AS48" s="496">
        <v>5420</v>
      </c>
      <c r="AT48" s="495">
        <v>5529</v>
      </c>
      <c r="AU48" s="496">
        <v>7452</v>
      </c>
      <c r="AV48" s="640">
        <f t="shared" si="30"/>
        <v>15849</v>
      </c>
      <c r="AW48" s="640">
        <f t="shared" si="31"/>
        <v>660.375</v>
      </c>
      <c r="AX48" s="641">
        <f t="shared" si="32"/>
        <v>19031</v>
      </c>
      <c r="AY48" s="641">
        <f t="shared" si="33"/>
        <v>792.95833333333337</v>
      </c>
      <c r="AZ48" s="640">
        <f t="shared" si="34"/>
        <v>3931.0083333333332</v>
      </c>
      <c r="BA48" s="641">
        <f t="shared" si="35"/>
        <v>3786.791666666667</v>
      </c>
    </row>
    <row r="49" spans="1:53" s="365" customFormat="1" ht="12.6" customHeight="1">
      <c r="A49" s="406" t="s">
        <v>102</v>
      </c>
      <c r="B49" s="407" t="s">
        <v>103</v>
      </c>
      <c r="C49" s="408"/>
      <c r="D49" s="618">
        <v>106397</v>
      </c>
      <c r="E49" s="520">
        <v>1</v>
      </c>
      <c r="F49" s="495" t="s">
        <v>74</v>
      </c>
      <c r="G49" s="496" t="s">
        <v>74</v>
      </c>
      <c r="H49" s="495"/>
      <c r="I49" s="496"/>
      <c r="J49" s="495">
        <v>295335</v>
      </c>
      <c r="K49" s="496">
        <v>292269</v>
      </c>
      <c r="L49" s="495">
        <v>42213</v>
      </c>
      <c r="M49" s="496">
        <v>40021</v>
      </c>
      <c r="N49" s="495">
        <v>316631</v>
      </c>
      <c r="O49" s="496">
        <v>333494</v>
      </c>
      <c r="P49" s="640">
        <f t="shared" si="18"/>
        <v>654179</v>
      </c>
      <c r="Q49" s="640">
        <f t="shared" si="19"/>
        <v>21805.966666666667</v>
      </c>
      <c r="R49" s="641">
        <f t="shared" si="20"/>
        <v>665784</v>
      </c>
      <c r="S49" s="641">
        <f t="shared" si="21"/>
        <v>22192.799999999999</v>
      </c>
      <c r="T49" s="495">
        <v>106</v>
      </c>
      <c r="U49" s="496">
        <v>116</v>
      </c>
      <c r="V49" s="640">
        <f t="shared" si="22"/>
        <v>654179</v>
      </c>
      <c r="W49" s="641">
        <f t="shared" si="23"/>
        <v>665784</v>
      </c>
      <c r="X49" s="495"/>
      <c r="Y49" s="496"/>
      <c r="Z49" s="495"/>
      <c r="AA49" s="496"/>
      <c r="AB49" s="495"/>
      <c r="AC49" s="496"/>
      <c r="AD49" s="495"/>
      <c r="AE49" s="496"/>
      <c r="AF49" s="640">
        <f t="shared" si="24"/>
        <v>0</v>
      </c>
      <c r="AG49" s="640">
        <f t="shared" si="25"/>
        <v>0</v>
      </c>
      <c r="AH49" s="641">
        <f t="shared" si="26"/>
        <v>0</v>
      </c>
      <c r="AI49" s="641">
        <f t="shared" si="27"/>
        <v>0</v>
      </c>
      <c r="AJ49" s="495"/>
      <c r="AK49" s="496"/>
      <c r="AL49" s="640">
        <f t="shared" si="28"/>
        <v>0</v>
      </c>
      <c r="AM49" s="641">
        <f t="shared" si="29"/>
        <v>0</v>
      </c>
      <c r="AN49" s="495"/>
      <c r="AO49" s="496"/>
      <c r="AP49" s="495">
        <v>32805</v>
      </c>
      <c r="AQ49" s="496">
        <v>35881</v>
      </c>
      <c r="AR49" s="495">
        <v>12599</v>
      </c>
      <c r="AS49" s="496">
        <v>13697</v>
      </c>
      <c r="AT49" s="495">
        <v>36732</v>
      </c>
      <c r="AU49" s="496">
        <v>37015</v>
      </c>
      <c r="AV49" s="640">
        <f t="shared" si="30"/>
        <v>82136</v>
      </c>
      <c r="AW49" s="640">
        <f t="shared" si="31"/>
        <v>3422.3333333333335</v>
      </c>
      <c r="AX49" s="641">
        <f t="shared" si="32"/>
        <v>86593</v>
      </c>
      <c r="AY49" s="641">
        <f t="shared" si="33"/>
        <v>3608.0416666666665</v>
      </c>
      <c r="AZ49" s="640">
        <f t="shared" si="34"/>
        <v>25228.3</v>
      </c>
      <c r="BA49" s="641">
        <f t="shared" si="35"/>
        <v>25800.841666666667</v>
      </c>
    </row>
    <row r="50" spans="1:53" s="365" customFormat="1" ht="12.6" customHeight="1">
      <c r="A50" s="406" t="s">
        <v>102</v>
      </c>
      <c r="B50" s="407" t="s">
        <v>111</v>
      </c>
      <c r="C50" s="408"/>
      <c r="D50" s="618">
        <v>108092</v>
      </c>
      <c r="E50" s="520">
        <v>6</v>
      </c>
      <c r="F50" s="495" t="s">
        <v>74</v>
      </c>
      <c r="G50" s="496" t="s">
        <v>74</v>
      </c>
      <c r="H50" s="495"/>
      <c r="I50" s="496"/>
      <c r="J50" s="495">
        <v>66632</v>
      </c>
      <c r="K50" s="496">
        <v>59178</v>
      </c>
      <c r="L50" s="495">
        <v>6996</v>
      </c>
      <c r="M50" s="496">
        <v>6728</v>
      </c>
      <c r="N50" s="495">
        <v>70368</v>
      </c>
      <c r="O50" s="496">
        <v>63922</v>
      </c>
      <c r="P50" s="640">
        <f t="shared" si="18"/>
        <v>143996</v>
      </c>
      <c r="Q50" s="640">
        <f t="shared" si="19"/>
        <v>4799.8666666666668</v>
      </c>
      <c r="R50" s="641">
        <f t="shared" si="20"/>
        <v>129828</v>
      </c>
      <c r="S50" s="641">
        <f t="shared" si="21"/>
        <v>4327.6000000000004</v>
      </c>
      <c r="T50" s="495">
        <v>15691</v>
      </c>
      <c r="U50" s="496">
        <v>14650</v>
      </c>
      <c r="V50" s="640">
        <f t="shared" si="22"/>
        <v>143996</v>
      </c>
      <c r="W50" s="641">
        <f t="shared" si="23"/>
        <v>129828</v>
      </c>
      <c r="X50" s="495"/>
      <c r="Y50" s="496"/>
      <c r="Z50" s="495"/>
      <c r="AA50" s="496"/>
      <c r="AB50" s="495"/>
      <c r="AC50" s="496"/>
      <c r="AD50" s="495"/>
      <c r="AE50" s="496"/>
      <c r="AF50" s="640">
        <f t="shared" si="24"/>
        <v>0</v>
      </c>
      <c r="AG50" s="640">
        <f t="shared" si="25"/>
        <v>0</v>
      </c>
      <c r="AH50" s="641">
        <f t="shared" si="26"/>
        <v>0</v>
      </c>
      <c r="AI50" s="641">
        <f t="shared" si="27"/>
        <v>0</v>
      </c>
      <c r="AJ50" s="495"/>
      <c r="AK50" s="496"/>
      <c r="AL50" s="640">
        <f t="shared" si="28"/>
        <v>0</v>
      </c>
      <c r="AM50" s="641">
        <f t="shared" si="29"/>
        <v>0</v>
      </c>
      <c r="AN50" s="495"/>
      <c r="AO50" s="496"/>
      <c r="AP50" s="495">
        <v>228</v>
      </c>
      <c r="AQ50" s="496">
        <v>333</v>
      </c>
      <c r="AR50" s="495">
        <v>147</v>
      </c>
      <c r="AS50" s="496">
        <v>147</v>
      </c>
      <c r="AT50" s="495">
        <v>372</v>
      </c>
      <c r="AU50" s="496">
        <v>279</v>
      </c>
      <c r="AV50" s="640">
        <f t="shared" si="30"/>
        <v>747</v>
      </c>
      <c r="AW50" s="640">
        <f t="shared" si="31"/>
        <v>31.125</v>
      </c>
      <c r="AX50" s="641">
        <f t="shared" si="32"/>
        <v>759</v>
      </c>
      <c r="AY50" s="641">
        <f t="shared" si="33"/>
        <v>31.625</v>
      </c>
      <c r="AZ50" s="640">
        <f t="shared" si="34"/>
        <v>4830.9916666666668</v>
      </c>
      <c r="BA50" s="641">
        <f t="shared" si="35"/>
        <v>4359.2250000000004</v>
      </c>
    </row>
    <row r="51" spans="1:53" s="365" customFormat="1" ht="12.6" customHeight="1">
      <c r="A51" s="406" t="s">
        <v>102</v>
      </c>
      <c r="B51" s="407" t="s">
        <v>104</v>
      </c>
      <c r="C51" s="408"/>
      <c r="D51" s="618">
        <v>106245</v>
      </c>
      <c r="E51" s="520">
        <v>2</v>
      </c>
      <c r="F51" s="495" t="s">
        <v>74</v>
      </c>
      <c r="G51" s="496" t="s">
        <v>74</v>
      </c>
      <c r="H51" s="495"/>
      <c r="I51" s="496"/>
      <c r="J51" s="495">
        <v>73382</v>
      </c>
      <c r="K51" s="496">
        <v>66346</v>
      </c>
      <c r="L51" s="495">
        <v>16609</v>
      </c>
      <c r="M51" s="496">
        <v>14489</v>
      </c>
      <c r="N51" s="495">
        <v>75663</v>
      </c>
      <c r="O51" s="496">
        <v>66776</v>
      </c>
      <c r="P51" s="640">
        <f t="shared" si="18"/>
        <v>165654</v>
      </c>
      <c r="Q51" s="640">
        <f t="shared" si="19"/>
        <v>5521.8</v>
      </c>
      <c r="R51" s="641">
        <f t="shared" si="20"/>
        <v>147611</v>
      </c>
      <c r="S51" s="641">
        <f t="shared" si="21"/>
        <v>4920.3666666666668</v>
      </c>
      <c r="T51" s="495">
        <v>9952</v>
      </c>
      <c r="U51" s="496">
        <v>9012</v>
      </c>
      <c r="V51" s="640">
        <f t="shared" si="22"/>
        <v>165654</v>
      </c>
      <c r="W51" s="641">
        <f t="shared" si="23"/>
        <v>147611</v>
      </c>
      <c r="X51" s="495"/>
      <c r="Y51" s="496"/>
      <c r="Z51" s="495"/>
      <c r="AA51" s="496"/>
      <c r="AB51" s="495"/>
      <c r="AC51" s="496"/>
      <c r="AD51" s="495"/>
      <c r="AE51" s="496"/>
      <c r="AF51" s="640">
        <f t="shared" si="24"/>
        <v>0</v>
      </c>
      <c r="AG51" s="640">
        <f t="shared" si="25"/>
        <v>0</v>
      </c>
      <c r="AH51" s="641">
        <f t="shared" si="26"/>
        <v>0</v>
      </c>
      <c r="AI51" s="641">
        <f t="shared" si="27"/>
        <v>0</v>
      </c>
      <c r="AJ51" s="495"/>
      <c r="AK51" s="496"/>
      <c r="AL51" s="640">
        <f t="shared" si="28"/>
        <v>0</v>
      </c>
      <c r="AM51" s="641">
        <f t="shared" si="29"/>
        <v>0</v>
      </c>
      <c r="AN51" s="495"/>
      <c r="AO51" s="496"/>
      <c r="AP51" s="495">
        <v>16395</v>
      </c>
      <c r="AQ51" s="496">
        <v>16385</v>
      </c>
      <c r="AR51" s="495">
        <v>2892</v>
      </c>
      <c r="AS51" s="496">
        <v>3223</v>
      </c>
      <c r="AT51" s="495">
        <v>16999</v>
      </c>
      <c r="AU51" s="496">
        <v>17458</v>
      </c>
      <c r="AV51" s="640">
        <f t="shared" si="30"/>
        <v>36286</v>
      </c>
      <c r="AW51" s="640">
        <f t="shared" si="31"/>
        <v>1511.9166666666667</v>
      </c>
      <c r="AX51" s="641">
        <f t="shared" si="32"/>
        <v>37066</v>
      </c>
      <c r="AY51" s="641">
        <f t="shared" si="33"/>
        <v>1544.4166666666667</v>
      </c>
      <c r="AZ51" s="640">
        <f t="shared" si="34"/>
        <v>7033.7166666666672</v>
      </c>
      <c r="BA51" s="641">
        <f t="shared" si="35"/>
        <v>6464.7833333333338</v>
      </c>
    </row>
    <row r="52" spans="1:53" s="365" customFormat="1" ht="12.6" customHeight="1">
      <c r="A52" s="406" t="s">
        <v>102</v>
      </c>
      <c r="B52" s="407" t="s">
        <v>110</v>
      </c>
      <c r="C52" s="523"/>
      <c r="D52" s="618">
        <v>106485</v>
      </c>
      <c r="E52" s="520">
        <v>4</v>
      </c>
      <c r="F52" s="495" t="s">
        <v>74</v>
      </c>
      <c r="G52" s="496" t="s">
        <v>74</v>
      </c>
      <c r="H52" s="495"/>
      <c r="I52" s="496"/>
      <c r="J52" s="495">
        <v>27736</v>
      </c>
      <c r="K52" s="496">
        <v>26668</v>
      </c>
      <c r="L52" s="495">
        <v>5540</v>
      </c>
      <c r="M52" s="496">
        <v>5519</v>
      </c>
      <c r="N52" s="495">
        <v>29979</v>
      </c>
      <c r="O52" s="496">
        <v>27949</v>
      </c>
      <c r="P52" s="640">
        <f t="shared" si="18"/>
        <v>63255</v>
      </c>
      <c r="Q52" s="640">
        <f t="shared" si="19"/>
        <v>2108.5</v>
      </c>
      <c r="R52" s="641">
        <f t="shared" si="20"/>
        <v>60136</v>
      </c>
      <c r="S52" s="641">
        <f t="shared" si="21"/>
        <v>2004.5333333333333</v>
      </c>
      <c r="T52" s="495">
        <v>2768</v>
      </c>
      <c r="U52" s="496">
        <v>2415</v>
      </c>
      <c r="V52" s="640">
        <f t="shared" si="22"/>
        <v>63255</v>
      </c>
      <c r="W52" s="641">
        <f t="shared" si="23"/>
        <v>60136</v>
      </c>
      <c r="X52" s="495"/>
      <c r="Y52" s="496"/>
      <c r="Z52" s="495"/>
      <c r="AA52" s="496"/>
      <c r="AB52" s="495"/>
      <c r="AC52" s="496"/>
      <c r="AD52" s="495"/>
      <c r="AE52" s="496"/>
      <c r="AF52" s="640">
        <f t="shared" si="24"/>
        <v>0</v>
      </c>
      <c r="AG52" s="640">
        <f t="shared" si="25"/>
        <v>0</v>
      </c>
      <c r="AH52" s="641">
        <f t="shared" si="26"/>
        <v>0</v>
      </c>
      <c r="AI52" s="641">
        <f t="shared" si="27"/>
        <v>0</v>
      </c>
      <c r="AJ52" s="495"/>
      <c r="AK52" s="496"/>
      <c r="AL52" s="640">
        <f t="shared" si="28"/>
        <v>0</v>
      </c>
      <c r="AM52" s="641">
        <f t="shared" si="29"/>
        <v>0</v>
      </c>
      <c r="AN52" s="495"/>
      <c r="AO52" s="496"/>
      <c r="AP52" s="495">
        <v>2204</v>
      </c>
      <c r="AQ52" s="496">
        <v>2220</v>
      </c>
      <c r="AR52" s="495">
        <v>2555</v>
      </c>
      <c r="AS52" s="496">
        <v>2737</v>
      </c>
      <c r="AT52" s="495">
        <v>2148</v>
      </c>
      <c r="AU52" s="496">
        <v>2498</v>
      </c>
      <c r="AV52" s="640">
        <f t="shared" si="30"/>
        <v>6907</v>
      </c>
      <c r="AW52" s="640">
        <f t="shared" si="31"/>
        <v>287.79166666666669</v>
      </c>
      <c r="AX52" s="641">
        <f t="shared" si="32"/>
        <v>7455</v>
      </c>
      <c r="AY52" s="641">
        <f t="shared" si="33"/>
        <v>310.625</v>
      </c>
      <c r="AZ52" s="640">
        <f t="shared" si="34"/>
        <v>2396.2916666666665</v>
      </c>
      <c r="BA52" s="641">
        <f t="shared" si="35"/>
        <v>2315.1583333333333</v>
      </c>
    </row>
    <row r="53" spans="1:53" s="365" customFormat="1" ht="12.6" customHeight="1">
      <c r="A53" s="406" t="s">
        <v>102</v>
      </c>
      <c r="B53" s="407" t="s">
        <v>112</v>
      </c>
      <c r="C53" s="523" t="s">
        <v>888</v>
      </c>
      <c r="D53" s="618">
        <v>106412</v>
      </c>
      <c r="E53" s="520">
        <v>6</v>
      </c>
      <c r="F53" s="495" t="s">
        <v>74</v>
      </c>
      <c r="G53" s="496" t="s">
        <v>74</v>
      </c>
      <c r="H53" s="495"/>
      <c r="I53" s="496"/>
      <c r="J53" s="495">
        <v>29442</v>
      </c>
      <c r="K53" s="496">
        <v>28548</v>
      </c>
      <c r="L53" s="495">
        <v>3107</v>
      </c>
      <c r="M53" s="496">
        <v>3839</v>
      </c>
      <c r="N53" s="495">
        <v>34550</v>
      </c>
      <c r="O53" s="496">
        <v>33590</v>
      </c>
      <c r="P53" s="640">
        <f t="shared" si="18"/>
        <v>67099</v>
      </c>
      <c r="Q53" s="640">
        <f t="shared" si="19"/>
        <v>2236.6333333333332</v>
      </c>
      <c r="R53" s="641">
        <f t="shared" si="20"/>
        <v>65977</v>
      </c>
      <c r="S53" s="641">
        <f t="shared" si="21"/>
        <v>2199.2333333333331</v>
      </c>
      <c r="T53" s="495">
        <v>266</v>
      </c>
      <c r="U53" s="496">
        <v>76</v>
      </c>
      <c r="V53" s="640">
        <f t="shared" si="22"/>
        <v>67099</v>
      </c>
      <c r="W53" s="641">
        <f t="shared" si="23"/>
        <v>65977</v>
      </c>
      <c r="X53" s="495"/>
      <c r="Y53" s="496"/>
      <c r="Z53" s="495"/>
      <c r="AA53" s="496"/>
      <c r="AB53" s="495"/>
      <c r="AC53" s="496"/>
      <c r="AD53" s="495"/>
      <c r="AE53" s="496"/>
      <c r="AF53" s="640">
        <f t="shared" si="24"/>
        <v>0</v>
      </c>
      <c r="AG53" s="640">
        <f t="shared" si="25"/>
        <v>0</v>
      </c>
      <c r="AH53" s="641">
        <f t="shared" si="26"/>
        <v>0</v>
      </c>
      <c r="AI53" s="641">
        <f t="shared" si="27"/>
        <v>0</v>
      </c>
      <c r="AJ53" s="495"/>
      <c r="AK53" s="496"/>
      <c r="AL53" s="640">
        <f t="shared" si="28"/>
        <v>0</v>
      </c>
      <c r="AM53" s="641">
        <f t="shared" si="29"/>
        <v>0</v>
      </c>
      <c r="AN53" s="495"/>
      <c r="AO53" s="496"/>
      <c r="AP53" s="495">
        <v>803</v>
      </c>
      <c r="AQ53" s="496">
        <v>1226</v>
      </c>
      <c r="AR53" s="495">
        <v>272</v>
      </c>
      <c r="AS53" s="496">
        <v>290</v>
      </c>
      <c r="AT53" s="495">
        <v>1185</v>
      </c>
      <c r="AU53" s="496">
        <v>1391</v>
      </c>
      <c r="AV53" s="640">
        <f t="shared" si="30"/>
        <v>2260</v>
      </c>
      <c r="AW53" s="640">
        <f t="shared" si="31"/>
        <v>94.166666666666671</v>
      </c>
      <c r="AX53" s="641">
        <f t="shared" si="32"/>
        <v>2907</v>
      </c>
      <c r="AY53" s="641">
        <f t="shared" si="33"/>
        <v>121.125</v>
      </c>
      <c r="AZ53" s="640">
        <f t="shared" si="34"/>
        <v>2330.7999999999997</v>
      </c>
      <c r="BA53" s="641">
        <f t="shared" si="35"/>
        <v>2320.3583333333331</v>
      </c>
    </row>
    <row r="54" spans="1:53" s="365" customFormat="1" ht="12.6" customHeight="1">
      <c r="A54" s="406" t="s">
        <v>102</v>
      </c>
      <c r="B54" s="407" t="s">
        <v>107</v>
      </c>
      <c r="C54" s="523"/>
      <c r="D54" s="618">
        <v>106704</v>
      </c>
      <c r="E54" s="520">
        <v>3</v>
      </c>
      <c r="F54" s="495" t="s">
        <v>74</v>
      </c>
      <c r="G54" s="496" t="s">
        <v>74</v>
      </c>
      <c r="H54" s="495"/>
      <c r="I54" s="496"/>
      <c r="J54" s="495">
        <v>110711</v>
      </c>
      <c r="K54" s="496">
        <v>102686</v>
      </c>
      <c r="L54" s="495">
        <v>17429</v>
      </c>
      <c r="M54" s="496">
        <v>15733</v>
      </c>
      <c r="N54" s="495">
        <v>119194</v>
      </c>
      <c r="O54" s="496">
        <v>112359</v>
      </c>
      <c r="P54" s="640">
        <f t="shared" si="18"/>
        <v>247334</v>
      </c>
      <c r="Q54" s="640">
        <f t="shared" si="19"/>
        <v>8244.4666666666672</v>
      </c>
      <c r="R54" s="641">
        <f t="shared" si="20"/>
        <v>230778</v>
      </c>
      <c r="S54" s="641">
        <f t="shared" si="21"/>
        <v>7692.6</v>
      </c>
      <c r="T54" s="495">
        <v>2306</v>
      </c>
      <c r="U54" s="496">
        <v>2908</v>
      </c>
      <c r="V54" s="640">
        <f t="shared" si="22"/>
        <v>247334</v>
      </c>
      <c r="W54" s="641">
        <f t="shared" si="23"/>
        <v>230778</v>
      </c>
      <c r="X54" s="495"/>
      <c r="Y54" s="496"/>
      <c r="Z54" s="495"/>
      <c r="AA54" s="496"/>
      <c r="AB54" s="495"/>
      <c r="AC54" s="496"/>
      <c r="AD54" s="495"/>
      <c r="AE54" s="496"/>
      <c r="AF54" s="640">
        <f t="shared" si="24"/>
        <v>0</v>
      </c>
      <c r="AG54" s="640">
        <f t="shared" si="25"/>
        <v>0</v>
      </c>
      <c r="AH54" s="641">
        <f t="shared" si="26"/>
        <v>0</v>
      </c>
      <c r="AI54" s="641">
        <f t="shared" si="27"/>
        <v>0</v>
      </c>
      <c r="AJ54" s="495"/>
      <c r="AK54" s="496"/>
      <c r="AL54" s="640">
        <f t="shared" si="28"/>
        <v>0</v>
      </c>
      <c r="AM54" s="641">
        <f t="shared" si="29"/>
        <v>0</v>
      </c>
      <c r="AN54" s="495"/>
      <c r="AO54" s="496"/>
      <c r="AP54" s="495">
        <v>13062</v>
      </c>
      <c r="AQ54" s="496">
        <v>12735</v>
      </c>
      <c r="AR54" s="495">
        <v>9844</v>
      </c>
      <c r="AS54" s="496">
        <v>9649</v>
      </c>
      <c r="AT54" s="495">
        <v>14031</v>
      </c>
      <c r="AU54" s="496">
        <v>15171</v>
      </c>
      <c r="AV54" s="640">
        <f t="shared" si="30"/>
        <v>36937</v>
      </c>
      <c r="AW54" s="640">
        <f t="shared" si="31"/>
        <v>1539.0416666666667</v>
      </c>
      <c r="AX54" s="641">
        <f t="shared" si="32"/>
        <v>37555</v>
      </c>
      <c r="AY54" s="641">
        <f t="shared" si="33"/>
        <v>1564.7916666666667</v>
      </c>
      <c r="AZ54" s="640">
        <f t="shared" si="34"/>
        <v>9783.5083333333332</v>
      </c>
      <c r="BA54" s="641">
        <f t="shared" si="35"/>
        <v>9257.3916666666664</v>
      </c>
    </row>
    <row r="55" spans="1:53" s="365" customFormat="1" ht="12.6" customHeight="1">
      <c r="A55" s="406" t="s">
        <v>102</v>
      </c>
      <c r="B55" s="407" t="s">
        <v>116</v>
      </c>
      <c r="C55" s="523"/>
      <c r="D55" s="618">
        <v>107327</v>
      </c>
      <c r="E55" s="520">
        <v>10</v>
      </c>
      <c r="F55" s="495" t="s">
        <v>74</v>
      </c>
      <c r="G55" s="496" t="s">
        <v>74</v>
      </c>
      <c r="H55" s="495"/>
      <c r="I55" s="496"/>
      <c r="J55" s="495">
        <v>11593</v>
      </c>
      <c r="K55" s="496">
        <v>10558</v>
      </c>
      <c r="L55" s="495">
        <v>2171</v>
      </c>
      <c r="M55" s="496">
        <v>2137</v>
      </c>
      <c r="N55" s="495">
        <v>12107</v>
      </c>
      <c r="O55" s="496">
        <v>11855</v>
      </c>
      <c r="P55" s="640">
        <f t="shared" si="18"/>
        <v>25871</v>
      </c>
      <c r="Q55" s="640">
        <f t="shared" si="19"/>
        <v>862.36666666666667</v>
      </c>
      <c r="R55" s="641">
        <f t="shared" si="20"/>
        <v>24550</v>
      </c>
      <c r="S55" s="641">
        <f t="shared" si="21"/>
        <v>818.33333333333337</v>
      </c>
      <c r="T55" s="495">
        <v>4697</v>
      </c>
      <c r="U55" s="496">
        <v>5222</v>
      </c>
      <c r="V55" s="640">
        <f t="shared" si="22"/>
        <v>25871</v>
      </c>
      <c r="W55" s="641">
        <f t="shared" si="23"/>
        <v>24550</v>
      </c>
      <c r="X55" s="495"/>
      <c r="Y55" s="496"/>
      <c r="Z55" s="495"/>
      <c r="AA55" s="496"/>
      <c r="AB55" s="495"/>
      <c r="AC55" s="496"/>
      <c r="AD55" s="495"/>
      <c r="AE55" s="496"/>
      <c r="AF55" s="640">
        <f t="shared" si="24"/>
        <v>0</v>
      </c>
      <c r="AG55" s="640">
        <f t="shared" si="25"/>
        <v>0</v>
      </c>
      <c r="AH55" s="641">
        <f t="shared" si="26"/>
        <v>0</v>
      </c>
      <c r="AI55" s="641">
        <f t="shared" si="27"/>
        <v>0</v>
      </c>
      <c r="AJ55" s="495"/>
      <c r="AK55" s="496"/>
      <c r="AL55" s="640">
        <f t="shared" si="28"/>
        <v>0</v>
      </c>
      <c r="AM55" s="641">
        <f t="shared" si="29"/>
        <v>0</v>
      </c>
      <c r="AN55" s="495"/>
      <c r="AO55" s="496"/>
      <c r="AP55" s="495"/>
      <c r="AQ55" s="496"/>
      <c r="AR55" s="495"/>
      <c r="AS55" s="496"/>
      <c r="AT55" s="495"/>
      <c r="AU55" s="496"/>
      <c r="AV55" s="640">
        <f t="shared" si="30"/>
        <v>0</v>
      </c>
      <c r="AW55" s="640">
        <f t="shared" si="31"/>
        <v>0</v>
      </c>
      <c r="AX55" s="641">
        <f t="shared" si="32"/>
        <v>0</v>
      </c>
      <c r="AY55" s="641">
        <f t="shared" si="33"/>
        <v>0</v>
      </c>
      <c r="AZ55" s="640">
        <f t="shared" si="34"/>
        <v>862.36666666666667</v>
      </c>
      <c r="BA55" s="641">
        <f t="shared" si="35"/>
        <v>818.33333333333337</v>
      </c>
    </row>
    <row r="56" spans="1:53" s="365" customFormat="1" ht="12.6" customHeight="1">
      <c r="A56" s="406" t="s">
        <v>102</v>
      </c>
      <c r="B56" s="407" t="s">
        <v>114</v>
      </c>
      <c r="C56" s="523"/>
      <c r="D56" s="618">
        <v>106449</v>
      </c>
      <c r="E56" s="520">
        <v>9</v>
      </c>
      <c r="F56" s="495" t="s">
        <v>74</v>
      </c>
      <c r="G56" s="496" t="s">
        <v>74</v>
      </c>
      <c r="H56" s="495"/>
      <c r="I56" s="496"/>
      <c r="J56" s="495">
        <v>31302</v>
      </c>
      <c r="K56" s="496">
        <v>26828</v>
      </c>
      <c r="L56" s="495">
        <v>6253</v>
      </c>
      <c r="M56" s="496">
        <v>5642</v>
      </c>
      <c r="N56" s="495">
        <v>31537</v>
      </c>
      <c r="O56" s="496">
        <v>28115</v>
      </c>
      <c r="P56" s="640">
        <f t="shared" si="18"/>
        <v>69092</v>
      </c>
      <c r="Q56" s="640">
        <f t="shared" si="19"/>
        <v>2303.0666666666666</v>
      </c>
      <c r="R56" s="641">
        <f t="shared" si="20"/>
        <v>60585</v>
      </c>
      <c r="S56" s="641">
        <f t="shared" si="21"/>
        <v>2019.5</v>
      </c>
      <c r="T56" s="495">
        <v>7748</v>
      </c>
      <c r="U56" s="496">
        <v>8450</v>
      </c>
      <c r="V56" s="640">
        <f t="shared" si="22"/>
        <v>69092</v>
      </c>
      <c r="W56" s="641">
        <f t="shared" si="23"/>
        <v>60585</v>
      </c>
      <c r="X56" s="495"/>
      <c r="Y56" s="496"/>
      <c r="Z56" s="495"/>
      <c r="AA56" s="496"/>
      <c r="AB56" s="495"/>
      <c r="AC56" s="496"/>
      <c r="AD56" s="495"/>
      <c r="AE56" s="496"/>
      <c r="AF56" s="640">
        <f t="shared" si="24"/>
        <v>0</v>
      </c>
      <c r="AG56" s="640">
        <f t="shared" si="25"/>
        <v>0</v>
      </c>
      <c r="AH56" s="641">
        <f t="shared" si="26"/>
        <v>0</v>
      </c>
      <c r="AI56" s="641">
        <f t="shared" si="27"/>
        <v>0</v>
      </c>
      <c r="AJ56" s="495"/>
      <c r="AK56" s="496"/>
      <c r="AL56" s="640">
        <f t="shared" si="28"/>
        <v>0</v>
      </c>
      <c r="AM56" s="641">
        <f t="shared" si="29"/>
        <v>0</v>
      </c>
      <c r="AN56" s="495"/>
      <c r="AO56" s="496"/>
      <c r="AP56" s="495"/>
      <c r="AQ56" s="496"/>
      <c r="AR56" s="495"/>
      <c r="AS56" s="496"/>
      <c r="AT56" s="495"/>
      <c r="AU56" s="496"/>
      <c r="AV56" s="640">
        <f t="shared" si="30"/>
        <v>0</v>
      </c>
      <c r="AW56" s="640">
        <f t="shared" si="31"/>
        <v>0</v>
      </c>
      <c r="AX56" s="641">
        <f t="shared" si="32"/>
        <v>0</v>
      </c>
      <c r="AY56" s="641">
        <f t="shared" si="33"/>
        <v>0</v>
      </c>
      <c r="AZ56" s="640">
        <f t="shared" si="34"/>
        <v>2303.0666666666666</v>
      </c>
      <c r="BA56" s="641">
        <f t="shared" si="35"/>
        <v>2019.5</v>
      </c>
    </row>
    <row r="57" spans="1:53" s="365" customFormat="1" ht="12.6" customHeight="1">
      <c r="A57" s="406" t="s">
        <v>102</v>
      </c>
      <c r="B57" s="407" t="s">
        <v>118</v>
      </c>
      <c r="C57" s="570"/>
      <c r="D57" s="618">
        <v>420538</v>
      </c>
      <c r="E57" s="520">
        <v>10</v>
      </c>
      <c r="F57" s="495" t="s">
        <v>74</v>
      </c>
      <c r="G57" s="496" t="s">
        <v>74</v>
      </c>
      <c r="H57" s="495"/>
      <c r="I57" s="496"/>
      <c r="J57" s="495">
        <v>11576</v>
      </c>
      <c r="K57" s="496">
        <v>10629</v>
      </c>
      <c r="L57" s="495">
        <v>2499</v>
      </c>
      <c r="M57" s="496">
        <v>2158</v>
      </c>
      <c r="N57" s="495">
        <v>12333</v>
      </c>
      <c r="O57" s="496">
        <v>11999</v>
      </c>
      <c r="P57" s="640">
        <f t="shared" si="18"/>
        <v>26408</v>
      </c>
      <c r="Q57" s="640">
        <f t="shared" si="19"/>
        <v>880.26666666666665</v>
      </c>
      <c r="R57" s="641">
        <f t="shared" si="20"/>
        <v>24786</v>
      </c>
      <c r="S57" s="641">
        <f t="shared" si="21"/>
        <v>826.2</v>
      </c>
      <c r="T57" s="495">
        <v>3605</v>
      </c>
      <c r="U57" s="496">
        <v>3570</v>
      </c>
      <c r="V57" s="640">
        <f t="shared" si="22"/>
        <v>26408</v>
      </c>
      <c r="W57" s="641">
        <f t="shared" si="23"/>
        <v>24786</v>
      </c>
      <c r="X57" s="495"/>
      <c r="Y57" s="496"/>
      <c r="Z57" s="495"/>
      <c r="AA57" s="496"/>
      <c r="AB57" s="495"/>
      <c r="AC57" s="496"/>
      <c r="AD57" s="495"/>
      <c r="AE57" s="496"/>
      <c r="AF57" s="640">
        <f t="shared" si="24"/>
        <v>0</v>
      </c>
      <c r="AG57" s="640">
        <f t="shared" si="25"/>
        <v>0</v>
      </c>
      <c r="AH57" s="641">
        <f t="shared" si="26"/>
        <v>0</v>
      </c>
      <c r="AI57" s="641">
        <f t="shared" si="27"/>
        <v>0</v>
      </c>
      <c r="AJ57" s="495"/>
      <c r="AK57" s="496"/>
      <c r="AL57" s="640">
        <f t="shared" si="28"/>
        <v>0</v>
      </c>
      <c r="AM57" s="641">
        <f t="shared" si="29"/>
        <v>0</v>
      </c>
      <c r="AN57" s="495"/>
      <c r="AO57" s="496"/>
      <c r="AP57" s="495"/>
      <c r="AQ57" s="496"/>
      <c r="AR57" s="495"/>
      <c r="AS57" s="496"/>
      <c r="AT57" s="495"/>
      <c r="AU57" s="496"/>
      <c r="AV57" s="640">
        <f t="shared" si="30"/>
        <v>0</v>
      </c>
      <c r="AW57" s="640">
        <f t="shared" si="31"/>
        <v>0</v>
      </c>
      <c r="AX57" s="641">
        <f t="shared" si="32"/>
        <v>0</v>
      </c>
      <c r="AY57" s="641">
        <f t="shared" si="33"/>
        <v>0</v>
      </c>
      <c r="AZ57" s="640">
        <f t="shared" si="34"/>
        <v>880.26666666666665</v>
      </c>
      <c r="BA57" s="641">
        <f t="shared" si="35"/>
        <v>826.2</v>
      </c>
    </row>
    <row r="58" spans="1:53" s="365" customFormat="1" ht="12.6" customHeight="1">
      <c r="A58" s="406" t="s">
        <v>102</v>
      </c>
      <c r="B58" s="411" t="s">
        <v>117</v>
      </c>
      <c r="C58" s="523"/>
      <c r="D58" s="618">
        <v>107318</v>
      </c>
      <c r="E58" s="520">
        <v>10</v>
      </c>
      <c r="F58" s="495" t="s">
        <v>74</v>
      </c>
      <c r="G58" s="496" t="s">
        <v>74</v>
      </c>
      <c r="H58" s="495"/>
      <c r="I58" s="496"/>
      <c r="J58" s="495">
        <v>9413</v>
      </c>
      <c r="K58" s="496">
        <v>8843</v>
      </c>
      <c r="L58" s="495">
        <v>2011</v>
      </c>
      <c r="M58" s="496">
        <v>1887</v>
      </c>
      <c r="N58" s="495">
        <v>10338</v>
      </c>
      <c r="O58" s="496">
        <v>9514</v>
      </c>
      <c r="P58" s="640">
        <f t="shared" si="18"/>
        <v>21762</v>
      </c>
      <c r="Q58" s="640">
        <f t="shared" si="19"/>
        <v>725.4</v>
      </c>
      <c r="R58" s="641">
        <f t="shared" si="20"/>
        <v>20244</v>
      </c>
      <c r="S58" s="641">
        <f t="shared" si="21"/>
        <v>674.8</v>
      </c>
      <c r="T58" s="495">
        <v>6264</v>
      </c>
      <c r="U58" s="496">
        <v>5194</v>
      </c>
      <c r="V58" s="640">
        <f t="shared" si="22"/>
        <v>21762</v>
      </c>
      <c r="W58" s="641">
        <f t="shared" si="23"/>
        <v>20244</v>
      </c>
      <c r="X58" s="495"/>
      <c r="Y58" s="496"/>
      <c r="Z58" s="495"/>
      <c r="AA58" s="496"/>
      <c r="AB58" s="495"/>
      <c r="AC58" s="496"/>
      <c r="AD58" s="495"/>
      <c r="AE58" s="496"/>
      <c r="AF58" s="640">
        <f t="shared" si="24"/>
        <v>0</v>
      </c>
      <c r="AG58" s="640">
        <f t="shared" si="25"/>
        <v>0</v>
      </c>
      <c r="AH58" s="641">
        <f t="shared" si="26"/>
        <v>0</v>
      </c>
      <c r="AI58" s="641">
        <f t="shared" si="27"/>
        <v>0</v>
      </c>
      <c r="AJ58" s="495"/>
      <c r="AK58" s="496"/>
      <c r="AL58" s="640">
        <f t="shared" si="28"/>
        <v>0</v>
      </c>
      <c r="AM58" s="641">
        <f t="shared" si="29"/>
        <v>0</v>
      </c>
      <c r="AN58" s="495"/>
      <c r="AO58" s="496"/>
      <c r="AP58" s="495"/>
      <c r="AQ58" s="496"/>
      <c r="AR58" s="495"/>
      <c r="AS58" s="496"/>
      <c r="AT58" s="495"/>
      <c r="AU58" s="496"/>
      <c r="AV58" s="640">
        <f t="shared" si="30"/>
        <v>0</v>
      </c>
      <c r="AW58" s="640">
        <f t="shared" si="31"/>
        <v>0</v>
      </c>
      <c r="AX58" s="641">
        <f t="shared" si="32"/>
        <v>0</v>
      </c>
      <c r="AY58" s="641">
        <f t="shared" si="33"/>
        <v>0</v>
      </c>
      <c r="AZ58" s="640">
        <f t="shared" si="34"/>
        <v>725.4</v>
      </c>
      <c r="BA58" s="641">
        <f t="shared" si="35"/>
        <v>674.8</v>
      </c>
    </row>
    <row r="59" spans="1:53" s="365" customFormat="1" ht="12.6" customHeight="1">
      <c r="A59" s="406" t="s">
        <v>102</v>
      </c>
      <c r="B59" s="407" t="s">
        <v>119</v>
      </c>
      <c r="C59" s="523"/>
      <c r="D59" s="618">
        <v>440402</v>
      </c>
      <c r="E59" s="520">
        <v>10</v>
      </c>
      <c r="F59" s="495" t="s">
        <v>74</v>
      </c>
      <c r="G59" s="496" t="s">
        <v>74</v>
      </c>
      <c r="H59" s="495"/>
      <c r="I59" s="496"/>
      <c r="J59" s="495">
        <v>21163</v>
      </c>
      <c r="K59" s="496">
        <v>18081</v>
      </c>
      <c r="L59" s="495">
        <v>11369</v>
      </c>
      <c r="M59" s="496">
        <v>11392</v>
      </c>
      <c r="N59" s="495">
        <v>19174</v>
      </c>
      <c r="O59" s="496">
        <v>19317</v>
      </c>
      <c r="P59" s="640">
        <f t="shared" si="18"/>
        <v>51706</v>
      </c>
      <c r="Q59" s="640">
        <f t="shared" si="19"/>
        <v>1723.5333333333333</v>
      </c>
      <c r="R59" s="641">
        <f t="shared" si="20"/>
        <v>48790</v>
      </c>
      <c r="S59" s="641">
        <f t="shared" si="21"/>
        <v>1626.3333333333333</v>
      </c>
      <c r="T59" s="495">
        <v>5547</v>
      </c>
      <c r="U59" s="496">
        <v>5434</v>
      </c>
      <c r="V59" s="640">
        <f t="shared" si="22"/>
        <v>51706</v>
      </c>
      <c r="W59" s="641">
        <f t="shared" si="23"/>
        <v>48790</v>
      </c>
      <c r="X59" s="495"/>
      <c r="Y59" s="496"/>
      <c r="Z59" s="495"/>
      <c r="AA59" s="496"/>
      <c r="AB59" s="495"/>
      <c r="AC59" s="496"/>
      <c r="AD59" s="495"/>
      <c r="AE59" s="496"/>
      <c r="AF59" s="640">
        <f t="shared" si="24"/>
        <v>0</v>
      </c>
      <c r="AG59" s="640">
        <f t="shared" si="25"/>
        <v>0</v>
      </c>
      <c r="AH59" s="641">
        <f t="shared" si="26"/>
        <v>0</v>
      </c>
      <c r="AI59" s="641">
        <f t="shared" si="27"/>
        <v>0</v>
      </c>
      <c r="AJ59" s="495"/>
      <c r="AK59" s="496"/>
      <c r="AL59" s="640">
        <f t="shared" si="28"/>
        <v>0</v>
      </c>
      <c r="AM59" s="641">
        <f t="shared" si="29"/>
        <v>0</v>
      </c>
      <c r="AN59" s="495"/>
      <c r="AO59" s="496"/>
      <c r="AP59" s="495"/>
      <c r="AQ59" s="496"/>
      <c r="AR59" s="495"/>
      <c r="AS59" s="496"/>
      <c r="AT59" s="495"/>
      <c r="AU59" s="496"/>
      <c r="AV59" s="640">
        <f t="shared" si="30"/>
        <v>0</v>
      </c>
      <c r="AW59" s="640">
        <f t="shared" si="31"/>
        <v>0</v>
      </c>
      <c r="AX59" s="641">
        <f t="shared" si="32"/>
        <v>0</v>
      </c>
      <c r="AY59" s="641">
        <f t="shared" si="33"/>
        <v>0</v>
      </c>
      <c r="AZ59" s="640">
        <f t="shared" si="34"/>
        <v>1723.5333333333333</v>
      </c>
      <c r="BA59" s="641">
        <f t="shared" si="35"/>
        <v>1626.3333333333333</v>
      </c>
    </row>
    <row r="60" spans="1:53" s="365" customFormat="1" ht="12.6" customHeight="1">
      <c r="A60" s="406" t="s">
        <v>102</v>
      </c>
      <c r="B60" s="407" t="s">
        <v>823</v>
      </c>
      <c r="C60" s="523"/>
      <c r="D60" s="618">
        <v>107521</v>
      </c>
      <c r="E60" s="520">
        <v>10</v>
      </c>
      <c r="F60" s="495" t="s">
        <v>74</v>
      </c>
      <c r="G60" s="496" t="s">
        <v>74</v>
      </c>
      <c r="H60" s="495"/>
      <c r="I60" s="496"/>
      <c r="J60" s="495">
        <v>8770</v>
      </c>
      <c r="K60" s="496">
        <v>9520</v>
      </c>
      <c r="L60" s="495">
        <v>2714</v>
      </c>
      <c r="M60" s="496">
        <v>2435</v>
      </c>
      <c r="N60" s="495">
        <v>8342</v>
      </c>
      <c r="O60" s="496">
        <v>9841</v>
      </c>
      <c r="P60" s="640">
        <f t="shared" si="18"/>
        <v>19826</v>
      </c>
      <c r="Q60" s="640">
        <f t="shared" si="19"/>
        <v>660.86666666666667</v>
      </c>
      <c r="R60" s="641">
        <f t="shared" si="20"/>
        <v>21796</v>
      </c>
      <c r="S60" s="641">
        <f t="shared" si="21"/>
        <v>726.5333333333333</v>
      </c>
      <c r="T60" s="495">
        <v>5560</v>
      </c>
      <c r="U60" s="496">
        <v>9565</v>
      </c>
      <c r="V60" s="640">
        <f t="shared" si="22"/>
        <v>19826</v>
      </c>
      <c r="W60" s="641">
        <f t="shared" si="23"/>
        <v>21796</v>
      </c>
      <c r="X60" s="495"/>
      <c r="Y60" s="496"/>
      <c r="Z60" s="495"/>
      <c r="AA60" s="496"/>
      <c r="AB60" s="495"/>
      <c r="AC60" s="496"/>
      <c r="AD60" s="495"/>
      <c r="AE60" s="496"/>
      <c r="AF60" s="640">
        <f t="shared" si="24"/>
        <v>0</v>
      </c>
      <c r="AG60" s="640">
        <f t="shared" si="25"/>
        <v>0</v>
      </c>
      <c r="AH60" s="641">
        <f t="shared" si="26"/>
        <v>0</v>
      </c>
      <c r="AI60" s="641">
        <f t="shared" si="27"/>
        <v>0</v>
      </c>
      <c r="AJ60" s="495"/>
      <c r="AK60" s="496"/>
      <c r="AL60" s="640">
        <f t="shared" si="28"/>
        <v>0</v>
      </c>
      <c r="AM60" s="641">
        <f t="shared" si="29"/>
        <v>0</v>
      </c>
      <c r="AN60" s="495"/>
      <c r="AO60" s="496"/>
      <c r="AP60" s="495"/>
      <c r="AQ60" s="496"/>
      <c r="AR60" s="495"/>
      <c r="AS60" s="496"/>
      <c r="AT60" s="495"/>
      <c r="AU60" s="496"/>
      <c r="AV60" s="640">
        <f t="shared" si="30"/>
        <v>0</v>
      </c>
      <c r="AW60" s="640">
        <f t="shared" si="31"/>
        <v>0</v>
      </c>
      <c r="AX60" s="641">
        <f t="shared" si="32"/>
        <v>0</v>
      </c>
      <c r="AY60" s="641">
        <f t="shared" si="33"/>
        <v>0</v>
      </c>
      <c r="AZ60" s="640">
        <f t="shared" si="34"/>
        <v>660.86666666666667</v>
      </c>
      <c r="BA60" s="641">
        <f t="shared" si="35"/>
        <v>726.5333333333333</v>
      </c>
    </row>
    <row r="61" spans="1:53" s="365" customFormat="1" ht="12.6" customHeight="1">
      <c r="A61" s="406" t="s">
        <v>102</v>
      </c>
      <c r="B61" s="407" t="s">
        <v>120</v>
      </c>
      <c r="C61" s="523"/>
      <c r="D61" s="618">
        <v>106625</v>
      </c>
      <c r="E61" s="520">
        <v>10</v>
      </c>
      <c r="F61" s="495" t="s">
        <v>74</v>
      </c>
      <c r="G61" s="496" t="s">
        <v>74</v>
      </c>
      <c r="H61" s="495"/>
      <c r="I61" s="496"/>
      <c r="J61" s="495">
        <v>14405</v>
      </c>
      <c r="K61" s="496">
        <v>13970</v>
      </c>
      <c r="L61" s="495">
        <v>3079</v>
      </c>
      <c r="M61" s="496">
        <v>3350</v>
      </c>
      <c r="N61" s="495">
        <v>15434</v>
      </c>
      <c r="O61" s="496">
        <v>15343</v>
      </c>
      <c r="P61" s="640">
        <f t="shared" si="18"/>
        <v>32918</v>
      </c>
      <c r="Q61" s="640">
        <f t="shared" si="19"/>
        <v>1097.2666666666667</v>
      </c>
      <c r="R61" s="641">
        <f t="shared" si="20"/>
        <v>32663</v>
      </c>
      <c r="S61" s="641">
        <f t="shared" si="21"/>
        <v>1088.7666666666667</v>
      </c>
      <c r="T61" s="495">
        <v>3392</v>
      </c>
      <c r="U61" s="496">
        <v>3820</v>
      </c>
      <c r="V61" s="640">
        <f t="shared" si="22"/>
        <v>32918</v>
      </c>
      <c r="W61" s="641">
        <f t="shared" si="23"/>
        <v>32663</v>
      </c>
      <c r="X61" s="495"/>
      <c r="Y61" s="496"/>
      <c r="Z61" s="495"/>
      <c r="AA61" s="496"/>
      <c r="AB61" s="495"/>
      <c r="AC61" s="496"/>
      <c r="AD61" s="495"/>
      <c r="AE61" s="496"/>
      <c r="AF61" s="640">
        <f t="shared" si="24"/>
        <v>0</v>
      </c>
      <c r="AG61" s="640">
        <f t="shared" si="25"/>
        <v>0</v>
      </c>
      <c r="AH61" s="641">
        <f t="shared" si="26"/>
        <v>0</v>
      </c>
      <c r="AI61" s="641">
        <f t="shared" si="27"/>
        <v>0</v>
      </c>
      <c r="AJ61" s="495"/>
      <c r="AK61" s="496"/>
      <c r="AL61" s="640">
        <f t="shared" si="28"/>
        <v>0</v>
      </c>
      <c r="AM61" s="641">
        <f t="shared" si="29"/>
        <v>0</v>
      </c>
      <c r="AN61" s="495"/>
      <c r="AO61" s="496"/>
      <c r="AP61" s="495"/>
      <c r="AQ61" s="496"/>
      <c r="AR61" s="495"/>
      <c r="AS61" s="496"/>
      <c r="AT61" s="495"/>
      <c r="AU61" s="496"/>
      <c r="AV61" s="640">
        <f t="shared" si="30"/>
        <v>0</v>
      </c>
      <c r="AW61" s="640">
        <f t="shared" si="31"/>
        <v>0</v>
      </c>
      <c r="AX61" s="641">
        <f t="shared" si="32"/>
        <v>0</v>
      </c>
      <c r="AY61" s="641">
        <f t="shared" si="33"/>
        <v>0</v>
      </c>
      <c r="AZ61" s="640">
        <f t="shared" si="34"/>
        <v>1097.2666666666667</v>
      </c>
      <c r="BA61" s="641">
        <f t="shared" si="35"/>
        <v>1088.7666666666667</v>
      </c>
    </row>
    <row r="62" spans="1:53" s="365" customFormat="1" ht="12.6" customHeight="1">
      <c r="A62" s="406" t="s">
        <v>102</v>
      </c>
      <c r="B62" s="407" t="s">
        <v>121</v>
      </c>
      <c r="C62" s="408"/>
      <c r="D62" s="618">
        <v>106795</v>
      </c>
      <c r="E62" s="520">
        <v>10</v>
      </c>
      <c r="F62" s="495" t="s">
        <v>74</v>
      </c>
      <c r="G62" s="496" t="s">
        <v>74</v>
      </c>
      <c r="H62" s="495"/>
      <c r="I62" s="496"/>
      <c r="J62" s="495">
        <v>12227</v>
      </c>
      <c r="K62" s="496">
        <v>11479</v>
      </c>
      <c r="L62" s="495">
        <v>2238</v>
      </c>
      <c r="M62" s="496">
        <v>2178</v>
      </c>
      <c r="N62" s="495">
        <v>13134</v>
      </c>
      <c r="O62" s="496">
        <v>12271</v>
      </c>
      <c r="P62" s="640">
        <f t="shared" si="18"/>
        <v>27599</v>
      </c>
      <c r="Q62" s="640">
        <f t="shared" si="19"/>
        <v>919.9666666666667</v>
      </c>
      <c r="R62" s="641">
        <f t="shared" si="20"/>
        <v>25928</v>
      </c>
      <c r="S62" s="641">
        <f t="shared" si="21"/>
        <v>864.26666666666665</v>
      </c>
      <c r="T62" s="495">
        <v>6559</v>
      </c>
      <c r="U62" s="496">
        <v>6173</v>
      </c>
      <c r="V62" s="640">
        <f t="shared" si="22"/>
        <v>27599</v>
      </c>
      <c r="W62" s="641">
        <f t="shared" si="23"/>
        <v>25928</v>
      </c>
      <c r="X62" s="495"/>
      <c r="Y62" s="496"/>
      <c r="Z62" s="495"/>
      <c r="AA62" s="496"/>
      <c r="AB62" s="495"/>
      <c r="AC62" s="496"/>
      <c r="AD62" s="495"/>
      <c r="AE62" s="496"/>
      <c r="AF62" s="640">
        <f t="shared" si="24"/>
        <v>0</v>
      </c>
      <c r="AG62" s="640">
        <f t="shared" si="25"/>
        <v>0</v>
      </c>
      <c r="AH62" s="641">
        <f t="shared" si="26"/>
        <v>0</v>
      </c>
      <c r="AI62" s="641">
        <f t="shared" si="27"/>
        <v>0</v>
      </c>
      <c r="AJ62" s="495"/>
      <c r="AK62" s="496"/>
      <c r="AL62" s="640">
        <f t="shared" si="28"/>
        <v>0</v>
      </c>
      <c r="AM62" s="641">
        <f t="shared" si="29"/>
        <v>0</v>
      </c>
      <c r="AN62" s="495"/>
      <c r="AO62" s="496"/>
      <c r="AP62" s="495"/>
      <c r="AQ62" s="496"/>
      <c r="AR62" s="495"/>
      <c r="AS62" s="496"/>
      <c r="AT62" s="495"/>
      <c r="AU62" s="496"/>
      <c r="AV62" s="640">
        <f t="shared" si="30"/>
        <v>0</v>
      </c>
      <c r="AW62" s="640">
        <f t="shared" si="31"/>
        <v>0</v>
      </c>
      <c r="AX62" s="641">
        <f t="shared" si="32"/>
        <v>0</v>
      </c>
      <c r="AY62" s="641">
        <f t="shared" si="33"/>
        <v>0</v>
      </c>
      <c r="AZ62" s="640">
        <f t="shared" si="34"/>
        <v>919.9666666666667</v>
      </c>
      <c r="BA62" s="641">
        <f t="shared" si="35"/>
        <v>864.26666666666665</v>
      </c>
    </row>
    <row r="63" spans="1:53" s="365" customFormat="1" ht="12.6" customHeight="1">
      <c r="A63" s="409" t="s">
        <v>102</v>
      </c>
      <c r="B63" s="407" t="s">
        <v>122</v>
      </c>
      <c r="C63" s="408"/>
      <c r="D63" s="618">
        <v>106883</v>
      </c>
      <c r="E63" s="520">
        <v>10</v>
      </c>
      <c r="F63" s="495" t="s">
        <v>74</v>
      </c>
      <c r="G63" s="496" t="s">
        <v>74</v>
      </c>
      <c r="H63" s="495"/>
      <c r="I63" s="496"/>
      <c r="J63" s="495">
        <v>11061</v>
      </c>
      <c r="K63" s="496">
        <v>8308</v>
      </c>
      <c r="L63" s="495">
        <v>3226</v>
      </c>
      <c r="M63" s="496">
        <v>3238</v>
      </c>
      <c r="N63" s="495">
        <v>9355</v>
      </c>
      <c r="O63" s="496">
        <v>9152</v>
      </c>
      <c r="P63" s="640">
        <f t="shared" si="18"/>
        <v>23642</v>
      </c>
      <c r="Q63" s="640">
        <f t="shared" si="19"/>
        <v>788.06666666666672</v>
      </c>
      <c r="R63" s="641">
        <f t="shared" si="20"/>
        <v>20698</v>
      </c>
      <c r="S63" s="641">
        <f t="shared" si="21"/>
        <v>689.93333333333328</v>
      </c>
      <c r="T63" s="495">
        <v>3075</v>
      </c>
      <c r="U63" s="496">
        <v>2952</v>
      </c>
      <c r="V63" s="640">
        <f t="shared" si="22"/>
        <v>23642</v>
      </c>
      <c r="W63" s="641">
        <f t="shared" si="23"/>
        <v>20698</v>
      </c>
      <c r="X63" s="495"/>
      <c r="Y63" s="496"/>
      <c r="Z63" s="495"/>
      <c r="AA63" s="496"/>
      <c r="AB63" s="495"/>
      <c r="AC63" s="496"/>
      <c r="AD63" s="495"/>
      <c r="AE63" s="496"/>
      <c r="AF63" s="640">
        <f t="shared" si="24"/>
        <v>0</v>
      </c>
      <c r="AG63" s="640">
        <f t="shared" si="25"/>
        <v>0</v>
      </c>
      <c r="AH63" s="641">
        <f t="shared" si="26"/>
        <v>0</v>
      </c>
      <c r="AI63" s="641">
        <f t="shared" si="27"/>
        <v>0</v>
      </c>
      <c r="AJ63" s="495"/>
      <c r="AK63" s="496"/>
      <c r="AL63" s="640">
        <f t="shared" si="28"/>
        <v>0</v>
      </c>
      <c r="AM63" s="641">
        <f t="shared" si="29"/>
        <v>0</v>
      </c>
      <c r="AN63" s="495"/>
      <c r="AO63" s="496"/>
      <c r="AP63" s="495"/>
      <c r="AQ63" s="496"/>
      <c r="AR63" s="495"/>
      <c r="AS63" s="496"/>
      <c r="AT63" s="495"/>
      <c r="AU63" s="496"/>
      <c r="AV63" s="640">
        <f t="shared" si="30"/>
        <v>0</v>
      </c>
      <c r="AW63" s="640">
        <f t="shared" si="31"/>
        <v>0</v>
      </c>
      <c r="AX63" s="641">
        <f t="shared" si="32"/>
        <v>0</v>
      </c>
      <c r="AY63" s="641">
        <f t="shared" si="33"/>
        <v>0</v>
      </c>
      <c r="AZ63" s="640">
        <f t="shared" si="34"/>
        <v>788.06666666666672</v>
      </c>
      <c r="BA63" s="641">
        <f t="shared" si="35"/>
        <v>689.93333333333328</v>
      </c>
    </row>
    <row r="64" spans="1:53" s="365" customFormat="1" ht="12.6" customHeight="1">
      <c r="A64" s="406" t="s">
        <v>102</v>
      </c>
      <c r="B64" s="407" t="s">
        <v>123</v>
      </c>
      <c r="C64" s="408"/>
      <c r="D64" s="618">
        <v>107460</v>
      </c>
      <c r="E64" s="520">
        <v>10</v>
      </c>
      <c r="F64" s="495" t="s">
        <v>74</v>
      </c>
      <c r="G64" s="496" t="s">
        <v>74</v>
      </c>
      <c r="H64" s="495"/>
      <c r="I64" s="496"/>
      <c r="J64" s="495">
        <v>15790</v>
      </c>
      <c r="K64" s="496">
        <v>14481</v>
      </c>
      <c r="L64" s="495">
        <v>2879</v>
      </c>
      <c r="M64" s="496">
        <v>2843</v>
      </c>
      <c r="N64" s="495">
        <v>17315</v>
      </c>
      <c r="O64" s="496">
        <v>18073</v>
      </c>
      <c r="P64" s="640">
        <f t="shared" si="18"/>
        <v>35984</v>
      </c>
      <c r="Q64" s="640">
        <f t="shared" si="19"/>
        <v>1199.4666666666667</v>
      </c>
      <c r="R64" s="641">
        <f t="shared" si="20"/>
        <v>35397</v>
      </c>
      <c r="S64" s="641">
        <f t="shared" si="21"/>
        <v>1179.9000000000001</v>
      </c>
      <c r="T64" s="495">
        <v>3885</v>
      </c>
      <c r="U64" s="496">
        <v>5792</v>
      </c>
      <c r="V64" s="640">
        <f t="shared" si="22"/>
        <v>35984</v>
      </c>
      <c r="W64" s="641">
        <f t="shared" si="23"/>
        <v>35397</v>
      </c>
      <c r="X64" s="495"/>
      <c r="Y64" s="496"/>
      <c r="Z64" s="495"/>
      <c r="AA64" s="496"/>
      <c r="AB64" s="495"/>
      <c r="AC64" s="496"/>
      <c r="AD64" s="495"/>
      <c r="AE64" s="496"/>
      <c r="AF64" s="640">
        <f t="shared" si="24"/>
        <v>0</v>
      </c>
      <c r="AG64" s="640">
        <f t="shared" si="25"/>
        <v>0</v>
      </c>
      <c r="AH64" s="641">
        <f t="shared" si="26"/>
        <v>0</v>
      </c>
      <c r="AI64" s="641">
        <f t="shared" si="27"/>
        <v>0</v>
      </c>
      <c r="AJ64" s="495"/>
      <c r="AK64" s="496"/>
      <c r="AL64" s="640">
        <f t="shared" si="28"/>
        <v>0</v>
      </c>
      <c r="AM64" s="641">
        <f t="shared" si="29"/>
        <v>0</v>
      </c>
      <c r="AN64" s="495"/>
      <c r="AO64" s="496"/>
      <c r="AP64" s="495"/>
      <c r="AQ64" s="496"/>
      <c r="AR64" s="495"/>
      <c r="AS64" s="496"/>
      <c r="AT64" s="495"/>
      <c r="AU64" s="496"/>
      <c r="AV64" s="640">
        <f t="shared" si="30"/>
        <v>0</v>
      </c>
      <c r="AW64" s="640">
        <f t="shared" si="31"/>
        <v>0</v>
      </c>
      <c r="AX64" s="641">
        <f t="shared" si="32"/>
        <v>0</v>
      </c>
      <c r="AY64" s="641">
        <f t="shared" si="33"/>
        <v>0</v>
      </c>
      <c r="AZ64" s="640">
        <f t="shared" si="34"/>
        <v>1199.4666666666667</v>
      </c>
      <c r="BA64" s="641">
        <f t="shared" si="35"/>
        <v>1179.9000000000001</v>
      </c>
    </row>
    <row r="65" spans="1:53" s="365" customFormat="1" ht="12.6" customHeight="1">
      <c r="A65" s="409" t="s">
        <v>102</v>
      </c>
      <c r="B65" s="411" t="s">
        <v>115</v>
      </c>
      <c r="C65" s="410"/>
      <c r="D65" s="618">
        <v>106980</v>
      </c>
      <c r="E65" s="520">
        <v>10</v>
      </c>
      <c r="F65" s="495" t="s">
        <v>74</v>
      </c>
      <c r="G65" s="496" t="s">
        <v>74</v>
      </c>
      <c r="H65" s="495"/>
      <c r="I65" s="496"/>
      <c r="J65" s="495">
        <v>23417</v>
      </c>
      <c r="K65" s="496">
        <v>20882</v>
      </c>
      <c r="L65" s="495">
        <v>4639</v>
      </c>
      <c r="M65" s="496">
        <v>3356</v>
      </c>
      <c r="N65" s="495">
        <v>24727</v>
      </c>
      <c r="O65" s="496">
        <v>24401</v>
      </c>
      <c r="P65" s="640">
        <f t="shared" si="18"/>
        <v>52783</v>
      </c>
      <c r="Q65" s="640">
        <f t="shared" si="19"/>
        <v>1759.4333333333334</v>
      </c>
      <c r="R65" s="641">
        <f t="shared" si="20"/>
        <v>48639</v>
      </c>
      <c r="S65" s="641">
        <f t="shared" si="21"/>
        <v>1621.3</v>
      </c>
      <c r="T65" s="495">
        <v>4507</v>
      </c>
      <c r="U65" s="496">
        <v>3618</v>
      </c>
      <c r="V65" s="640">
        <f t="shared" si="22"/>
        <v>52783</v>
      </c>
      <c r="W65" s="641">
        <f t="shared" si="23"/>
        <v>48639</v>
      </c>
      <c r="X65" s="495"/>
      <c r="Y65" s="496"/>
      <c r="Z65" s="495"/>
      <c r="AA65" s="496"/>
      <c r="AB65" s="495"/>
      <c r="AC65" s="496"/>
      <c r="AD65" s="495"/>
      <c r="AE65" s="496"/>
      <c r="AF65" s="640">
        <f t="shared" si="24"/>
        <v>0</v>
      </c>
      <c r="AG65" s="640">
        <f t="shared" si="25"/>
        <v>0</v>
      </c>
      <c r="AH65" s="641">
        <f t="shared" si="26"/>
        <v>0</v>
      </c>
      <c r="AI65" s="641">
        <f t="shared" si="27"/>
        <v>0</v>
      </c>
      <c r="AJ65" s="495"/>
      <c r="AK65" s="496"/>
      <c r="AL65" s="640">
        <f t="shared" si="28"/>
        <v>0</v>
      </c>
      <c r="AM65" s="641">
        <f t="shared" si="29"/>
        <v>0</v>
      </c>
      <c r="AN65" s="495"/>
      <c r="AO65" s="496"/>
      <c r="AP65" s="495"/>
      <c r="AQ65" s="496"/>
      <c r="AR65" s="495"/>
      <c r="AS65" s="496"/>
      <c r="AT65" s="495"/>
      <c r="AU65" s="496"/>
      <c r="AV65" s="640">
        <f t="shared" si="30"/>
        <v>0</v>
      </c>
      <c r="AW65" s="640">
        <f t="shared" si="31"/>
        <v>0</v>
      </c>
      <c r="AX65" s="641">
        <f t="shared" si="32"/>
        <v>0</v>
      </c>
      <c r="AY65" s="641">
        <f t="shared" si="33"/>
        <v>0</v>
      </c>
      <c r="AZ65" s="640">
        <f t="shared" si="34"/>
        <v>1759.4333333333334</v>
      </c>
      <c r="BA65" s="641">
        <f t="shared" si="35"/>
        <v>1621.3</v>
      </c>
    </row>
    <row r="66" spans="1:53" s="365" customFormat="1" ht="12.6" customHeight="1">
      <c r="A66" s="406" t="s">
        <v>102</v>
      </c>
      <c r="B66" s="407" t="s">
        <v>113</v>
      </c>
      <c r="C66" s="523" t="s">
        <v>904</v>
      </c>
      <c r="D66" s="618">
        <v>367459</v>
      </c>
      <c r="E66" s="520">
        <v>8</v>
      </c>
      <c r="F66" s="495" t="s">
        <v>74</v>
      </c>
      <c r="G66" s="496" t="s">
        <v>74</v>
      </c>
      <c r="H66" s="495"/>
      <c r="I66" s="496"/>
      <c r="J66" s="495">
        <v>63624</v>
      </c>
      <c r="K66" s="496">
        <v>54767</v>
      </c>
      <c r="L66" s="495">
        <v>13384</v>
      </c>
      <c r="M66" s="496">
        <v>12633</v>
      </c>
      <c r="N66" s="495">
        <v>63953</v>
      </c>
      <c r="O66" s="496">
        <v>59834</v>
      </c>
      <c r="P66" s="640">
        <f t="shared" si="18"/>
        <v>140961</v>
      </c>
      <c r="Q66" s="640">
        <f t="shared" si="19"/>
        <v>4698.7</v>
      </c>
      <c r="R66" s="641">
        <f t="shared" si="20"/>
        <v>127234</v>
      </c>
      <c r="S66" s="641">
        <f t="shared" si="21"/>
        <v>4241.1333333333332</v>
      </c>
      <c r="T66" s="495">
        <v>19113</v>
      </c>
      <c r="U66" s="496">
        <v>19763</v>
      </c>
      <c r="V66" s="640">
        <f t="shared" si="22"/>
        <v>140961</v>
      </c>
      <c r="W66" s="641">
        <f t="shared" si="23"/>
        <v>127234</v>
      </c>
      <c r="X66" s="495"/>
      <c r="Y66" s="496"/>
      <c r="Z66" s="495"/>
      <c r="AA66" s="496"/>
      <c r="AB66" s="495"/>
      <c r="AC66" s="496"/>
      <c r="AD66" s="495"/>
      <c r="AE66" s="496"/>
      <c r="AF66" s="640">
        <f t="shared" si="24"/>
        <v>0</v>
      </c>
      <c r="AG66" s="640">
        <f t="shared" si="25"/>
        <v>0</v>
      </c>
      <c r="AH66" s="641">
        <f t="shared" si="26"/>
        <v>0</v>
      </c>
      <c r="AI66" s="641">
        <f t="shared" si="27"/>
        <v>0</v>
      </c>
      <c r="AJ66" s="495"/>
      <c r="AK66" s="496"/>
      <c r="AL66" s="640">
        <f t="shared" si="28"/>
        <v>0</v>
      </c>
      <c r="AM66" s="641">
        <f t="shared" si="29"/>
        <v>0</v>
      </c>
      <c r="AN66" s="495"/>
      <c r="AO66" s="496"/>
      <c r="AP66" s="495"/>
      <c r="AQ66" s="496"/>
      <c r="AR66" s="495"/>
      <c r="AS66" s="496"/>
      <c r="AT66" s="495"/>
      <c r="AU66" s="496"/>
      <c r="AV66" s="640">
        <f t="shared" si="30"/>
        <v>0</v>
      </c>
      <c r="AW66" s="640">
        <f t="shared" si="31"/>
        <v>0</v>
      </c>
      <c r="AX66" s="641">
        <f t="shared" si="32"/>
        <v>0</v>
      </c>
      <c r="AY66" s="641">
        <f t="shared" si="33"/>
        <v>0</v>
      </c>
      <c r="AZ66" s="640">
        <f t="shared" si="34"/>
        <v>4698.7</v>
      </c>
      <c r="BA66" s="641">
        <f t="shared" si="35"/>
        <v>4241.1333333333332</v>
      </c>
    </row>
    <row r="67" spans="1:53" s="365" customFormat="1" ht="12.6" customHeight="1">
      <c r="A67" s="406" t="s">
        <v>102</v>
      </c>
      <c r="B67" s="407" t="s">
        <v>124</v>
      </c>
      <c r="C67" s="408"/>
      <c r="D67" s="618">
        <v>107549</v>
      </c>
      <c r="E67" s="520">
        <v>10</v>
      </c>
      <c r="F67" s="495" t="s">
        <v>74</v>
      </c>
      <c r="G67" s="496" t="s">
        <v>74</v>
      </c>
      <c r="H67" s="495"/>
      <c r="I67" s="496"/>
      <c r="J67" s="495">
        <v>10189</v>
      </c>
      <c r="K67" s="496">
        <v>9173</v>
      </c>
      <c r="L67" s="495">
        <v>2583</v>
      </c>
      <c r="M67" s="496">
        <v>2359</v>
      </c>
      <c r="N67" s="495">
        <v>10168</v>
      </c>
      <c r="O67" s="496">
        <v>9692</v>
      </c>
      <c r="P67" s="640">
        <f t="shared" si="18"/>
        <v>22940</v>
      </c>
      <c r="Q67" s="640">
        <f t="shared" si="19"/>
        <v>764.66666666666663</v>
      </c>
      <c r="R67" s="641">
        <f t="shared" si="20"/>
        <v>21224</v>
      </c>
      <c r="S67" s="641">
        <f t="shared" si="21"/>
        <v>707.4666666666667</v>
      </c>
      <c r="T67" s="495">
        <v>3478</v>
      </c>
      <c r="U67" s="496">
        <v>3757</v>
      </c>
      <c r="V67" s="640">
        <f t="shared" si="22"/>
        <v>22940</v>
      </c>
      <c r="W67" s="641">
        <f t="shared" si="23"/>
        <v>21224</v>
      </c>
      <c r="X67" s="495"/>
      <c r="Y67" s="496"/>
      <c r="Z67" s="495"/>
      <c r="AA67" s="496"/>
      <c r="AB67" s="495"/>
      <c r="AC67" s="496"/>
      <c r="AD67" s="495"/>
      <c r="AE67" s="496"/>
      <c r="AF67" s="640">
        <f t="shared" si="24"/>
        <v>0</v>
      </c>
      <c r="AG67" s="640">
        <f t="shared" si="25"/>
        <v>0</v>
      </c>
      <c r="AH67" s="641">
        <f t="shared" si="26"/>
        <v>0</v>
      </c>
      <c r="AI67" s="641">
        <f t="shared" si="27"/>
        <v>0</v>
      </c>
      <c r="AJ67" s="495"/>
      <c r="AK67" s="496"/>
      <c r="AL67" s="640">
        <f t="shared" si="28"/>
        <v>0</v>
      </c>
      <c r="AM67" s="641">
        <f t="shared" si="29"/>
        <v>0</v>
      </c>
      <c r="AN67" s="495"/>
      <c r="AO67" s="496"/>
      <c r="AP67" s="495"/>
      <c r="AQ67" s="496"/>
      <c r="AR67" s="495"/>
      <c r="AS67" s="496"/>
      <c r="AT67" s="495"/>
      <c r="AU67" s="496"/>
      <c r="AV67" s="640">
        <f t="shared" si="30"/>
        <v>0</v>
      </c>
      <c r="AW67" s="640">
        <f t="shared" si="31"/>
        <v>0</v>
      </c>
      <c r="AX67" s="641">
        <f t="shared" si="32"/>
        <v>0</v>
      </c>
      <c r="AY67" s="641">
        <f t="shared" si="33"/>
        <v>0</v>
      </c>
      <c r="AZ67" s="640">
        <f t="shared" si="34"/>
        <v>764.66666666666663</v>
      </c>
      <c r="BA67" s="641">
        <f t="shared" si="35"/>
        <v>707.4666666666667</v>
      </c>
    </row>
    <row r="68" spans="1:53" s="365" customFormat="1" ht="12.6" customHeight="1">
      <c r="A68" s="406" t="s">
        <v>102</v>
      </c>
      <c r="B68" s="407" t="s">
        <v>125</v>
      </c>
      <c r="C68" s="408"/>
      <c r="D68" s="618">
        <v>107619</v>
      </c>
      <c r="E68" s="520">
        <v>10</v>
      </c>
      <c r="F68" s="495" t="s">
        <v>74</v>
      </c>
      <c r="G68" s="496" t="s">
        <v>74</v>
      </c>
      <c r="H68" s="495"/>
      <c r="I68" s="496"/>
      <c r="J68" s="495">
        <v>11064</v>
      </c>
      <c r="K68" s="496">
        <v>8854</v>
      </c>
      <c r="L68" s="495">
        <v>2802</v>
      </c>
      <c r="M68" s="496">
        <v>2632</v>
      </c>
      <c r="N68" s="495">
        <v>9863</v>
      </c>
      <c r="O68" s="496">
        <v>11075</v>
      </c>
      <c r="P68" s="640">
        <f t="shared" si="18"/>
        <v>23729</v>
      </c>
      <c r="Q68" s="640">
        <f t="shared" si="19"/>
        <v>790.9666666666667</v>
      </c>
      <c r="R68" s="641">
        <f t="shared" si="20"/>
        <v>22561</v>
      </c>
      <c r="S68" s="641">
        <f t="shared" si="21"/>
        <v>752.0333333333333</v>
      </c>
      <c r="T68" s="495">
        <v>5159</v>
      </c>
      <c r="U68" s="496">
        <v>4796</v>
      </c>
      <c r="V68" s="640">
        <f t="shared" si="22"/>
        <v>23729</v>
      </c>
      <c r="W68" s="641">
        <f t="shared" si="23"/>
        <v>22561</v>
      </c>
      <c r="X68" s="495"/>
      <c r="Y68" s="496"/>
      <c r="Z68" s="495"/>
      <c r="AA68" s="496"/>
      <c r="AB68" s="495"/>
      <c r="AC68" s="496"/>
      <c r="AD68" s="495"/>
      <c r="AE68" s="496"/>
      <c r="AF68" s="640">
        <f t="shared" si="24"/>
        <v>0</v>
      </c>
      <c r="AG68" s="640">
        <f t="shared" si="25"/>
        <v>0</v>
      </c>
      <c r="AH68" s="641">
        <f t="shared" si="26"/>
        <v>0</v>
      </c>
      <c r="AI68" s="641">
        <f t="shared" si="27"/>
        <v>0</v>
      </c>
      <c r="AJ68" s="495"/>
      <c r="AK68" s="496"/>
      <c r="AL68" s="640">
        <f t="shared" si="28"/>
        <v>0</v>
      </c>
      <c r="AM68" s="641">
        <f t="shared" si="29"/>
        <v>0</v>
      </c>
      <c r="AN68" s="495"/>
      <c r="AO68" s="496"/>
      <c r="AP68" s="495"/>
      <c r="AQ68" s="496"/>
      <c r="AR68" s="495"/>
      <c r="AS68" s="496"/>
      <c r="AT68" s="495"/>
      <c r="AU68" s="496"/>
      <c r="AV68" s="640">
        <f t="shared" si="30"/>
        <v>0</v>
      </c>
      <c r="AW68" s="640">
        <f t="shared" si="31"/>
        <v>0</v>
      </c>
      <c r="AX68" s="641">
        <f t="shared" si="32"/>
        <v>0</v>
      </c>
      <c r="AY68" s="641">
        <f t="shared" si="33"/>
        <v>0</v>
      </c>
      <c r="AZ68" s="640">
        <f t="shared" si="34"/>
        <v>790.9666666666667</v>
      </c>
      <c r="BA68" s="641">
        <f t="shared" si="35"/>
        <v>752.0333333333333</v>
      </c>
    </row>
    <row r="69" spans="1:53" s="365" customFormat="1" ht="12.6" customHeight="1">
      <c r="A69" s="406" t="s">
        <v>102</v>
      </c>
      <c r="B69" s="407" t="s">
        <v>126</v>
      </c>
      <c r="C69" s="408"/>
      <c r="D69" s="618">
        <v>107974</v>
      </c>
      <c r="E69" s="520">
        <v>10</v>
      </c>
      <c r="F69" s="495" t="s">
        <v>74</v>
      </c>
      <c r="G69" s="496" t="s">
        <v>74</v>
      </c>
      <c r="H69" s="495"/>
      <c r="I69" s="496"/>
      <c r="J69" s="495">
        <v>12437</v>
      </c>
      <c r="K69" s="496">
        <v>10553</v>
      </c>
      <c r="L69" s="495">
        <v>4360</v>
      </c>
      <c r="M69" s="496">
        <v>4133</v>
      </c>
      <c r="N69" s="495">
        <v>11939</v>
      </c>
      <c r="O69" s="496">
        <v>11352</v>
      </c>
      <c r="P69" s="640">
        <f t="shared" si="18"/>
        <v>28736</v>
      </c>
      <c r="Q69" s="640">
        <f t="shared" si="19"/>
        <v>957.86666666666667</v>
      </c>
      <c r="R69" s="641">
        <f t="shared" si="20"/>
        <v>26038</v>
      </c>
      <c r="S69" s="641">
        <f t="shared" si="21"/>
        <v>867.93333333333328</v>
      </c>
      <c r="T69" s="495">
        <v>2676</v>
      </c>
      <c r="U69" s="496">
        <v>2744</v>
      </c>
      <c r="V69" s="640">
        <f t="shared" si="22"/>
        <v>28736</v>
      </c>
      <c r="W69" s="641">
        <f t="shared" si="23"/>
        <v>26038</v>
      </c>
      <c r="X69" s="495"/>
      <c r="Y69" s="496"/>
      <c r="Z69" s="495"/>
      <c r="AA69" s="496"/>
      <c r="AB69" s="495"/>
      <c r="AC69" s="496"/>
      <c r="AD69" s="495"/>
      <c r="AE69" s="496"/>
      <c r="AF69" s="640">
        <f t="shared" si="24"/>
        <v>0</v>
      </c>
      <c r="AG69" s="640">
        <f t="shared" si="25"/>
        <v>0</v>
      </c>
      <c r="AH69" s="641">
        <f t="shared" si="26"/>
        <v>0</v>
      </c>
      <c r="AI69" s="641">
        <f t="shared" si="27"/>
        <v>0</v>
      </c>
      <c r="AJ69" s="495"/>
      <c r="AK69" s="496"/>
      <c r="AL69" s="640">
        <f t="shared" si="28"/>
        <v>0</v>
      </c>
      <c r="AM69" s="641">
        <f t="shared" si="29"/>
        <v>0</v>
      </c>
      <c r="AN69" s="495"/>
      <c r="AO69" s="496"/>
      <c r="AP69" s="495"/>
      <c r="AQ69" s="496"/>
      <c r="AR69" s="495"/>
      <c r="AS69" s="496"/>
      <c r="AT69" s="495"/>
      <c r="AU69" s="496"/>
      <c r="AV69" s="640">
        <f t="shared" si="30"/>
        <v>0</v>
      </c>
      <c r="AW69" s="640">
        <f t="shared" si="31"/>
        <v>0</v>
      </c>
      <c r="AX69" s="641">
        <f t="shared" si="32"/>
        <v>0</v>
      </c>
      <c r="AY69" s="641">
        <f t="shared" si="33"/>
        <v>0</v>
      </c>
      <c r="AZ69" s="640">
        <f t="shared" si="34"/>
        <v>957.86666666666667</v>
      </c>
      <c r="BA69" s="641">
        <f t="shared" si="35"/>
        <v>867.93333333333328</v>
      </c>
    </row>
    <row r="70" spans="1:53" s="365" customFormat="1" ht="12.6" customHeight="1">
      <c r="A70" s="409" t="s">
        <v>102</v>
      </c>
      <c r="B70" s="407" t="s">
        <v>128</v>
      </c>
      <c r="C70" s="408"/>
      <c r="D70" s="618">
        <v>107992</v>
      </c>
      <c r="E70" s="520">
        <v>10</v>
      </c>
      <c r="F70" s="495" t="s">
        <v>74</v>
      </c>
      <c r="G70" s="496" t="s">
        <v>74</v>
      </c>
      <c r="H70" s="495"/>
      <c r="I70" s="496"/>
      <c r="J70" s="495">
        <v>11040</v>
      </c>
      <c r="K70" s="496">
        <v>10849</v>
      </c>
      <c r="L70" s="495">
        <v>2973</v>
      </c>
      <c r="M70" s="496">
        <v>2626</v>
      </c>
      <c r="N70" s="495">
        <v>10721</v>
      </c>
      <c r="O70" s="496">
        <v>10680</v>
      </c>
      <c r="P70" s="640">
        <f t="shared" si="18"/>
        <v>24734</v>
      </c>
      <c r="Q70" s="640">
        <f t="shared" si="19"/>
        <v>824.4666666666667</v>
      </c>
      <c r="R70" s="641">
        <f t="shared" si="20"/>
        <v>24155</v>
      </c>
      <c r="S70" s="641">
        <f t="shared" si="21"/>
        <v>805.16666666666663</v>
      </c>
      <c r="T70" s="495">
        <v>2954</v>
      </c>
      <c r="U70" s="496">
        <v>2304</v>
      </c>
      <c r="V70" s="640">
        <f t="shared" si="22"/>
        <v>24734</v>
      </c>
      <c r="W70" s="641">
        <f t="shared" si="23"/>
        <v>24155</v>
      </c>
      <c r="X70" s="495"/>
      <c r="Y70" s="496"/>
      <c r="Z70" s="495"/>
      <c r="AA70" s="496"/>
      <c r="AB70" s="495"/>
      <c r="AC70" s="496"/>
      <c r="AD70" s="495"/>
      <c r="AE70" s="496"/>
      <c r="AF70" s="640">
        <f t="shared" si="24"/>
        <v>0</v>
      </c>
      <c r="AG70" s="640">
        <f t="shared" si="25"/>
        <v>0</v>
      </c>
      <c r="AH70" s="641">
        <f t="shared" si="26"/>
        <v>0</v>
      </c>
      <c r="AI70" s="641">
        <f t="shared" si="27"/>
        <v>0</v>
      </c>
      <c r="AJ70" s="495"/>
      <c r="AK70" s="496"/>
      <c r="AL70" s="640">
        <f t="shared" si="28"/>
        <v>0</v>
      </c>
      <c r="AM70" s="641">
        <f t="shared" si="29"/>
        <v>0</v>
      </c>
      <c r="AN70" s="495"/>
      <c r="AO70" s="496"/>
      <c r="AP70" s="495"/>
      <c r="AQ70" s="496"/>
      <c r="AR70" s="495"/>
      <c r="AS70" s="496"/>
      <c r="AT70" s="495"/>
      <c r="AU70" s="496"/>
      <c r="AV70" s="640">
        <f t="shared" si="30"/>
        <v>0</v>
      </c>
      <c r="AW70" s="640">
        <f t="shared" si="31"/>
        <v>0</v>
      </c>
      <c r="AX70" s="641">
        <f t="shared" si="32"/>
        <v>0</v>
      </c>
      <c r="AY70" s="641">
        <f t="shared" si="33"/>
        <v>0</v>
      </c>
      <c r="AZ70" s="640">
        <f t="shared" si="34"/>
        <v>824.4666666666667</v>
      </c>
      <c r="BA70" s="641">
        <f t="shared" si="35"/>
        <v>805.16666666666663</v>
      </c>
    </row>
    <row r="71" spans="1:53" s="365" customFormat="1" ht="12.6" customHeight="1">
      <c r="A71" s="406" t="s">
        <v>102</v>
      </c>
      <c r="B71" s="407" t="s">
        <v>127</v>
      </c>
      <c r="C71" s="408"/>
      <c r="D71" s="618">
        <v>107637</v>
      </c>
      <c r="E71" s="520">
        <v>10</v>
      </c>
      <c r="F71" s="495" t="s">
        <v>74</v>
      </c>
      <c r="G71" s="496" t="s">
        <v>74</v>
      </c>
      <c r="H71" s="495"/>
      <c r="I71" s="496"/>
      <c r="J71" s="495">
        <v>10768</v>
      </c>
      <c r="K71" s="496">
        <v>9394</v>
      </c>
      <c r="L71" s="495">
        <v>3293</v>
      </c>
      <c r="M71" s="496">
        <v>2845</v>
      </c>
      <c r="N71" s="495">
        <v>10536</v>
      </c>
      <c r="O71" s="496">
        <v>9691</v>
      </c>
      <c r="P71" s="640">
        <f t="shared" si="18"/>
        <v>24597</v>
      </c>
      <c r="Q71" s="640">
        <f t="shared" si="19"/>
        <v>819.9</v>
      </c>
      <c r="R71" s="641">
        <f t="shared" si="20"/>
        <v>21930</v>
      </c>
      <c r="S71" s="641">
        <f t="shared" si="21"/>
        <v>731</v>
      </c>
      <c r="T71" s="495">
        <v>1902</v>
      </c>
      <c r="U71" s="496">
        <v>2152</v>
      </c>
      <c r="V71" s="640">
        <f t="shared" si="22"/>
        <v>24597</v>
      </c>
      <c r="W71" s="641">
        <f t="shared" si="23"/>
        <v>21930</v>
      </c>
      <c r="X71" s="495"/>
      <c r="Y71" s="496"/>
      <c r="Z71" s="495"/>
      <c r="AA71" s="496"/>
      <c r="AB71" s="495"/>
      <c r="AC71" s="496"/>
      <c r="AD71" s="495"/>
      <c r="AE71" s="496"/>
      <c r="AF71" s="640">
        <f t="shared" si="24"/>
        <v>0</v>
      </c>
      <c r="AG71" s="640">
        <f t="shared" si="25"/>
        <v>0</v>
      </c>
      <c r="AH71" s="641">
        <f t="shared" si="26"/>
        <v>0</v>
      </c>
      <c r="AI71" s="641">
        <f t="shared" si="27"/>
        <v>0</v>
      </c>
      <c r="AJ71" s="495"/>
      <c r="AK71" s="496"/>
      <c r="AL71" s="640">
        <f t="shared" si="28"/>
        <v>0</v>
      </c>
      <c r="AM71" s="641">
        <f t="shared" si="29"/>
        <v>0</v>
      </c>
      <c r="AN71" s="495"/>
      <c r="AO71" s="496"/>
      <c r="AP71" s="495"/>
      <c r="AQ71" s="496"/>
      <c r="AR71" s="495"/>
      <c r="AS71" s="496"/>
      <c r="AT71" s="495"/>
      <c r="AU71" s="496"/>
      <c r="AV71" s="640">
        <f t="shared" si="30"/>
        <v>0</v>
      </c>
      <c r="AW71" s="640">
        <f t="shared" si="31"/>
        <v>0</v>
      </c>
      <c r="AX71" s="641">
        <f t="shared" si="32"/>
        <v>0</v>
      </c>
      <c r="AY71" s="641">
        <f t="shared" si="33"/>
        <v>0</v>
      </c>
      <c r="AZ71" s="640">
        <f t="shared" si="34"/>
        <v>819.9</v>
      </c>
      <c r="BA71" s="641">
        <f t="shared" si="35"/>
        <v>731</v>
      </c>
    </row>
    <row r="72" spans="1:53" s="365" customFormat="1" ht="12.6" customHeight="1">
      <c r="A72" s="409" t="s">
        <v>102</v>
      </c>
      <c r="B72" s="407" t="s">
        <v>129</v>
      </c>
      <c r="C72" s="408"/>
      <c r="D72" s="618">
        <v>106999</v>
      </c>
      <c r="E72" s="520">
        <v>10</v>
      </c>
      <c r="F72" s="495" t="s">
        <v>74</v>
      </c>
      <c r="G72" s="496" t="s">
        <v>74</v>
      </c>
      <c r="H72" s="495"/>
      <c r="I72" s="496"/>
      <c r="J72" s="495">
        <v>12151</v>
      </c>
      <c r="K72" s="496">
        <v>9729</v>
      </c>
      <c r="L72" s="495">
        <v>2609</v>
      </c>
      <c r="M72" s="496">
        <v>2066</v>
      </c>
      <c r="N72" s="495">
        <v>12753</v>
      </c>
      <c r="O72" s="496">
        <v>10895</v>
      </c>
      <c r="P72" s="640">
        <f t="shared" ref="P72:P135" si="36">SUM(H72,J72,L72,N72)</f>
        <v>27513</v>
      </c>
      <c r="Q72" s="640">
        <f t="shared" ref="Q72:Q135" si="37">+P72/30</f>
        <v>917.1</v>
      </c>
      <c r="R72" s="641">
        <f t="shared" ref="R72:R135" si="38">SUM(I72,K72,M72,O72)</f>
        <v>22690</v>
      </c>
      <c r="S72" s="641">
        <f t="shared" ref="S72:S135" si="39">+R72/30</f>
        <v>756.33333333333337</v>
      </c>
      <c r="T72" s="495">
        <v>4405</v>
      </c>
      <c r="U72" s="496">
        <v>3406</v>
      </c>
      <c r="V72" s="640">
        <f t="shared" ref="V72:V135" si="40">IF(ISBLANK(T72),0,P72)</f>
        <v>27513</v>
      </c>
      <c r="W72" s="641">
        <f t="shared" ref="W72:W135" si="41">IF(ISBLANK(U72),0,R72)</f>
        <v>22690</v>
      </c>
      <c r="X72" s="495"/>
      <c r="Y72" s="496"/>
      <c r="Z72" s="495"/>
      <c r="AA72" s="496"/>
      <c r="AB72" s="495"/>
      <c r="AC72" s="496"/>
      <c r="AD72" s="495"/>
      <c r="AE72" s="496"/>
      <c r="AF72" s="640">
        <f t="shared" ref="AF72:AF135" si="42">SUM(X72,Z72,AB72,AD72)</f>
        <v>0</v>
      </c>
      <c r="AG72" s="640">
        <f t="shared" ref="AG72:AG135" si="43">+AF72/900</f>
        <v>0</v>
      </c>
      <c r="AH72" s="641">
        <f t="shared" ref="AH72:AH135" si="44">SUM(Y72,AA72,AC72,AE72)</f>
        <v>0</v>
      </c>
      <c r="AI72" s="641">
        <f t="shared" ref="AI72:AI135" si="45">+AH72/900</f>
        <v>0</v>
      </c>
      <c r="AJ72" s="495"/>
      <c r="AK72" s="496"/>
      <c r="AL72" s="640">
        <f t="shared" ref="AL72:AL135" si="46">IF(ISBLANK(AJ72),0,AF72)</f>
        <v>0</v>
      </c>
      <c r="AM72" s="641">
        <f t="shared" ref="AM72:AM135" si="47">IF(ISBLANK(AK72),0,AH72)</f>
        <v>0</v>
      </c>
      <c r="AN72" s="495"/>
      <c r="AO72" s="496"/>
      <c r="AP72" s="495"/>
      <c r="AQ72" s="496"/>
      <c r="AR72" s="495"/>
      <c r="AS72" s="496"/>
      <c r="AT72" s="495"/>
      <c r="AU72" s="496"/>
      <c r="AV72" s="640">
        <f t="shared" ref="AV72:AV135" si="48">SUM(AN72,AP72,AR72,AT72)</f>
        <v>0</v>
      </c>
      <c r="AW72" s="640">
        <f t="shared" ref="AW72:AW135" si="49">+AV72/24</f>
        <v>0</v>
      </c>
      <c r="AX72" s="641">
        <f t="shared" ref="AX72:AX135" si="50">SUM(AO72,AQ72,AS72,AU72)</f>
        <v>0</v>
      </c>
      <c r="AY72" s="641">
        <f t="shared" ref="AY72:AY135" si="51">+AX72/24</f>
        <v>0</v>
      </c>
      <c r="AZ72" s="640">
        <f t="shared" ref="AZ72:AZ135" si="52">SUM(Q72,AG72,AW72)</f>
        <v>917.1</v>
      </c>
      <c r="BA72" s="641">
        <f t="shared" ref="BA72:BA135" si="53">SUM(S72,AI72,AY72)</f>
        <v>756.33333333333337</v>
      </c>
    </row>
    <row r="73" spans="1:53" s="365" customFormat="1" ht="12.6" customHeight="1">
      <c r="A73" s="406" t="s">
        <v>102</v>
      </c>
      <c r="B73" s="407" t="s">
        <v>824</v>
      </c>
      <c r="C73" s="408"/>
      <c r="D73" s="618">
        <v>107725</v>
      </c>
      <c r="E73" s="520">
        <v>10</v>
      </c>
      <c r="F73" s="495" t="s">
        <v>74</v>
      </c>
      <c r="G73" s="496" t="s">
        <v>74</v>
      </c>
      <c r="H73" s="495"/>
      <c r="I73" s="496"/>
      <c r="J73" s="495">
        <v>12157</v>
      </c>
      <c r="K73" s="496">
        <v>10201</v>
      </c>
      <c r="L73" s="495">
        <v>2415</v>
      </c>
      <c r="M73" s="496">
        <v>2286</v>
      </c>
      <c r="N73" s="495">
        <v>11563</v>
      </c>
      <c r="O73" s="496">
        <v>11118</v>
      </c>
      <c r="P73" s="640">
        <f t="shared" si="36"/>
        <v>26135</v>
      </c>
      <c r="Q73" s="640">
        <f t="shared" si="37"/>
        <v>871.16666666666663</v>
      </c>
      <c r="R73" s="641">
        <f t="shared" si="38"/>
        <v>23605</v>
      </c>
      <c r="S73" s="641">
        <f t="shared" si="39"/>
        <v>786.83333333333337</v>
      </c>
      <c r="T73" s="495">
        <v>6521</v>
      </c>
      <c r="U73" s="496">
        <v>5647</v>
      </c>
      <c r="V73" s="640">
        <f t="shared" si="40"/>
        <v>26135</v>
      </c>
      <c r="W73" s="641">
        <f t="shared" si="41"/>
        <v>23605</v>
      </c>
      <c r="X73" s="495"/>
      <c r="Y73" s="496"/>
      <c r="Z73" s="495"/>
      <c r="AA73" s="496"/>
      <c r="AB73" s="495"/>
      <c r="AC73" s="496"/>
      <c r="AD73" s="495"/>
      <c r="AE73" s="496"/>
      <c r="AF73" s="640">
        <f t="shared" si="42"/>
        <v>0</v>
      </c>
      <c r="AG73" s="640">
        <f t="shared" si="43"/>
        <v>0</v>
      </c>
      <c r="AH73" s="641">
        <f t="shared" si="44"/>
        <v>0</v>
      </c>
      <c r="AI73" s="641">
        <f t="shared" si="45"/>
        <v>0</v>
      </c>
      <c r="AJ73" s="495"/>
      <c r="AK73" s="496"/>
      <c r="AL73" s="640">
        <f t="shared" si="46"/>
        <v>0</v>
      </c>
      <c r="AM73" s="641">
        <f t="shared" si="47"/>
        <v>0</v>
      </c>
      <c r="AN73" s="495"/>
      <c r="AO73" s="496"/>
      <c r="AP73" s="495"/>
      <c r="AQ73" s="496"/>
      <c r="AR73" s="495"/>
      <c r="AS73" s="496"/>
      <c r="AT73" s="495"/>
      <c r="AU73" s="496"/>
      <c r="AV73" s="640">
        <f t="shared" si="48"/>
        <v>0</v>
      </c>
      <c r="AW73" s="640">
        <f t="shared" si="49"/>
        <v>0</v>
      </c>
      <c r="AX73" s="641">
        <f t="shared" si="50"/>
        <v>0</v>
      </c>
      <c r="AY73" s="641">
        <f t="shared" si="51"/>
        <v>0</v>
      </c>
      <c r="AZ73" s="640">
        <f t="shared" si="52"/>
        <v>871.16666666666663</v>
      </c>
      <c r="BA73" s="641">
        <f t="shared" si="53"/>
        <v>786.83333333333337</v>
      </c>
    </row>
    <row r="74" spans="1:53" s="365" customFormat="1" ht="12.6" customHeight="1">
      <c r="A74" s="409" t="s">
        <v>102</v>
      </c>
      <c r="B74" s="407" t="s">
        <v>130</v>
      </c>
      <c r="C74" s="408"/>
      <c r="D74" s="618">
        <v>107585</v>
      </c>
      <c r="E74" s="520">
        <v>10</v>
      </c>
      <c r="F74" s="495" t="s">
        <v>74</v>
      </c>
      <c r="G74" s="496" t="s">
        <v>74</v>
      </c>
      <c r="H74" s="495"/>
      <c r="I74" s="496"/>
      <c r="J74" s="495">
        <v>17756</v>
      </c>
      <c r="K74" s="496">
        <v>17626</v>
      </c>
      <c r="L74" s="495">
        <v>3011</v>
      </c>
      <c r="M74" s="496">
        <v>3303</v>
      </c>
      <c r="N74" s="495">
        <v>19832</v>
      </c>
      <c r="O74" s="496">
        <v>19858</v>
      </c>
      <c r="P74" s="640">
        <f t="shared" si="36"/>
        <v>40599</v>
      </c>
      <c r="Q74" s="640">
        <f t="shared" si="37"/>
        <v>1353.3</v>
      </c>
      <c r="R74" s="641">
        <f t="shared" si="38"/>
        <v>40787</v>
      </c>
      <c r="S74" s="641">
        <f t="shared" si="39"/>
        <v>1359.5666666666666</v>
      </c>
      <c r="T74" s="495">
        <v>2347</v>
      </c>
      <c r="U74" s="496">
        <v>2927</v>
      </c>
      <c r="V74" s="640">
        <f t="shared" si="40"/>
        <v>40599</v>
      </c>
      <c r="W74" s="641">
        <f t="shared" si="41"/>
        <v>40787</v>
      </c>
      <c r="X74" s="495"/>
      <c r="Y74" s="496"/>
      <c r="Z74" s="495"/>
      <c r="AA74" s="496"/>
      <c r="AB74" s="495"/>
      <c r="AC74" s="496"/>
      <c r="AD74" s="495"/>
      <c r="AE74" s="496"/>
      <c r="AF74" s="640">
        <f t="shared" si="42"/>
        <v>0</v>
      </c>
      <c r="AG74" s="640">
        <f t="shared" si="43"/>
        <v>0</v>
      </c>
      <c r="AH74" s="641">
        <f t="shared" si="44"/>
        <v>0</v>
      </c>
      <c r="AI74" s="641">
        <f t="shared" si="45"/>
        <v>0</v>
      </c>
      <c r="AJ74" s="495"/>
      <c r="AK74" s="496"/>
      <c r="AL74" s="640">
        <f t="shared" si="46"/>
        <v>0</v>
      </c>
      <c r="AM74" s="641">
        <f t="shared" si="47"/>
        <v>0</v>
      </c>
      <c r="AN74" s="495"/>
      <c r="AO74" s="496"/>
      <c r="AP74" s="495"/>
      <c r="AQ74" s="496"/>
      <c r="AR74" s="495"/>
      <c r="AS74" s="496"/>
      <c r="AT74" s="495"/>
      <c r="AU74" s="496"/>
      <c r="AV74" s="640">
        <f t="shared" si="48"/>
        <v>0</v>
      </c>
      <c r="AW74" s="640">
        <f t="shared" si="49"/>
        <v>0</v>
      </c>
      <c r="AX74" s="641">
        <f t="shared" si="50"/>
        <v>0</v>
      </c>
      <c r="AY74" s="641">
        <f t="shared" si="51"/>
        <v>0</v>
      </c>
      <c r="AZ74" s="640">
        <f t="shared" si="52"/>
        <v>1353.3</v>
      </c>
      <c r="BA74" s="641">
        <f t="shared" si="53"/>
        <v>1359.5666666666666</v>
      </c>
    </row>
    <row r="75" spans="1:53" s="365" customFormat="1" ht="12.6" customHeight="1">
      <c r="A75" s="406" t="s">
        <v>102</v>
      </c>
      <c r="B75" s="407" t="s">
        <v>805</v>
      </c>
      <c r="C75" s="408"/>
      <c r="D75" s="618">
        <v>107743</v>
      </c>
      <c r="E75" s="520">
        <v>10</v>
      </c>
      <c r="F75" s="495" t="s">
        <v>74</v>
      </c>
      <c r="G75" s="496" t="s">
        <v>74</v>
      </c>
      <c r="H75" s="495"/>
      <c r="I75" s="496"/>
      <c r="J75" s="495">
        <v>7204</v>
      </c>
      <c r="K75" s="496">
        <v>6973</v>
      </c>
      <c r="L75" s="495">
        <v>1077</v>
      </c>
      <c r="M75" s="496">
        <v>1346</v>
      </c>
      <c r="N75" s="495">
        <v>8940</v>
      </c>
      <c r="O75" s="496">
        <v>8208</v>
      </c>
      <c r="P75" s="640">
        <f t="shared" si="36"/>
        <v>17221</v>
      </c>
      <c r="Q75" s="640">
        <f t="shared" si="37"/>
        <v>574.0333333333333</v>
      </c>
      <c r="R75" s="641">
        <f t="shared" si="38"/>
        <v>16527</v>
      </c>
      <c r="S75" s="641">
        <f t="shared" si="39"/>
        <v>550.9</v>
      </c>
      <c r="T75" s="495">
        <v>2914</v>
      </c>
      <c r="U75" s="496">
        <v>2313</v>
      </c>
      <c r="V75" s="640">
        <f t="shared" si="40"/>
        <v>17221</v>
      </c>
      <c r="W75" s="641">
        <f t="shared" si="41"/>
        <v>16527</v>
      </c>
      <c r="X75" s="495"/>
      <c r="Y75" s="496"/>
      <c r="Z75" s="495"/>
      <c r="AA75" s="496"/>
      <c r="AB75" s="495"/>
      <c r="AC75" s="496"/>
      <c r="AD75" s="495"/>
      <c r="AE75" s="496"/>
      <c r="AF75" s="640">
        <f t="shared" si="42"/>
        <v>0</v>
      </c>
      <c r="AG75" s="640">
        <f t="shared" si="43"/>
        <v>0</v>
      </c>
      <c r="AH75" s="641">
        <f t="shared" si="44"/>
        <v>0</v>
      </c>
      <c r="AI75" s="641">
        <f t="shared" si="45"/>
        <v>0</v>
      </c>
      <c r="AJ75" s="495"/>
      <c r="AK75" s="496"/>
      <c r="AL75" s="640">
        <f t="shared" si="46"/>
        <v>0</v>
      </c>
      <c r="AM75" s="641">
        <f t="shared" si="47"/>
        <v>0</v>
      </c>
      <c r="AN75" s="495"/>
      <c r="AO75" s="496"/>
      <c r="AP75" s="495"/>
      <c r="AQ75" s="496"/>
      <c r="AR75" s="495"/>
      <c r="AS75" s="496"/>
      <c r="AT75" s="495"/>
      <c r="AU75" s="496"/>
      <c r="AV75" s="640">
        <f t="shared" si="48"/>
        <v>0</v>
      </c>
      <c r="AW75" s="640">
        <f t="shared" si="49"/>
        <v>0</v>
      </c>
      <c r="AX75" s="641">
        <f t="shared" si="50"/>
        <v>0</v>
      </c>
      <c r="AY75" s="641">
        <f t="shared" si="51"/>
        <v>0</v>
      </c>
      <c r="AZ75" s="640">
        <f t="shared" si="52"/>
        <v>574.0333333333333</v>
      </c>
      <c r="BA75" s="641">
        <f t="shared" si="53"/>
        <v>550.9</v>
      </c>
    </row>
    <row r="76" spans="1:53" s="365" customFormat="1" ht="12.6" customHeight="1">
      <c r="A76" s="409" t="s">
        <v>102</v>
      </c>
      <c r="B76" s="407" t="s">
        <v>804</v>
      </c>
      <c r="C76" s="410"/>
      <c r="D76" s="618">
        <v>107664</v>
      </c>
      <c r="E76" s="520">
        <v>9</v>
      </c>
      <c r="F76" s="495" t="s">
        <v>74</v>
      </c>
      <c r="G76" s="496" t="s">
        <v>74</v>
      </c>
      <c r="H76" s="495"/>
      <c r="I76" s="496"/>
      <c r="J76" s="495">
        <v>51561</v>
      </c>
      <c r="K76" s="496">
        <v>43451</v>
      </c>
      <c r="L76" s="495">
        <v>11753</v>
      </c>
      <c r="M76" s="496">
        <v>13029</v>
      </c>
      <c r="N76" s="495">
        <v>49410</v>
      </c>
      <c r="O76" s="496">
        <v>46037</v>
      </c>
      <c r="P76" s="640">
        <f t="shared" si="36"/>
        <v>112724</v>
      </c>
      <c r="Q76" s="640">
        <f t="shared" si="37"/>
        <v>3757.4666666666667</v>
      </c>
      <c r="R76" s="641">
        <f t="shared" si="38"/>
        <v>102517</v>
      </c>
      <c r="S76" s="641">
        <f t="shared" si="39"/>
        <v>3417.2333333333331</v>
      </c>
      <c r="T76" s="495">
        <v>4036</v>
      </c>
      <c r="U76" s="496">
        <v>1944</v>
      </c>
      <c r="V76" s="640">
        <f t="shared" si="40"/>
        <v>112724</v>
      </c>
      <c r="W76" s="641">
        <f t="shared" si="41"/>
        <v>102517</v>
      </c>
      <c r="X76" s="495"/>
      <c r="Y76" s="496"/>
      <c r="Z76" s="495"/>
      <c r="AA76" s="496"/>
      <c r="AB76" s="495"/>
      <c r="AC76" s="496"/>
      <c r="AD76" s="495"/>
      <c r="AE76" s="496"/>
      <c r="AF76" s="640">
        <f t="shared" si="42"/>
        <v>0</v>
      </c>
      <c r="AG76" s="640">
        <f t="shared" si="43"/>
        <v>0</v>
      </c>
      <c r="AH76" s="641">
        <f t="shared" si="44"/>
        <v>0</v>
      </c>
      <c r="AI76" s="641">
        <f t="shared" si="45"/>
        <v>0</v>
      </c>
      <c r="AJ76" s="495"/>
      <c r="AK76" s="496"/>
      <c r="AL76" s="640">
        <f t="shared" si="46"/>
        <v>0</v>
      </c>
      <c r="AM76" s="641">
        <f t="shared" si="47"/>
        <v>0</v>
      </c>
      <c r="AN76" s="495"/>
      <c r="AO76" s="496"/>
      <c r="AP76" s="495"/>
      <c r="AQ76" s="496"/>
      <c r="AR76" s="495"/>
      <c r="AS76" s="496"/>
      <c r="AT76" s="495"/>
      <c r="AU76" s="496"/>
      <c r="AV76" s="640">
        <f t="shared" si="48"/>
        <v>0</v>
      </c>
      <c r="AW76" s="640">
        <f t="shared" si="49"/>
        <v>0</v>
      </c>
      <c r="AX76" s="641">
        <f t="shared" si="50"/>
        <v>0</v>
      </c>
      <c r="AY76" s="641">
        <f t="shared" si="51"/>
        <v>0</v>
      </c>
      <c r="AZ76" s="640">
        <f t="shared" si="52"/>
        <v>3757.4666666666667</v>
      </c>
      <c r="BA76" s="641">
        <f t="shared" si="53"/>
        <v>3417.2333333333331</v>
      </c>
    </row>
    <row r="77" spans="1:53" s="365" customFormat="1" ht="12.6" customHeight="1">
      <c r="A77" s="412" t="s">
        <v>429</v>
      </c>
      <c r="B77" s="413" t="s">
        <v>430</v>
      </c>
      <c r="C77" s="414"/>
      <c r="D77" s="619">
        <v>130943</v>
      </c>
      <c r="E77" s="494">
        <v>1</v>
      </c>
      <c r="F77" s="495"/>
      <c r="G77" s="496"/>
      <c r="H77" s="495">
        <v>27294</v>
      </c>
      <c r="I77" s="496">
        <v>37651</v>
      </c>
      <c r="J77" s="495">
        <v>264814</v>
      </c>
      <c r="K77" s="496">
        <v>260063</v>
      </c>
      <c r="L77" s="495">
        <v>29207</v>
      </c>
      <c r="M77" s="496">
        <v>19219</v>
      </c>
      <c r="N77" s="495">
        <v>279297</v>
      </c>
      <c r="O77" s="496">
        <v>278897</v>
      </c>
      <c r="P77" s="640">
        <f t="shared" si="36"/>
        <v>600612</v>
      </c>
      <c r="Q77" s="640">
        <f t="shared" si="37"/>
        <v>20020.400000000001</v>
      </c>
      <c r="R77" s="641">
        <f t="shared" si="38"/>
        <v>595830</v>
      </c>
      <c r="S77" s="641">
        <f t="shared" si="39"/>
        <v>19861</v>
      </c>
      <c r="T77" s="495"/>
      <c r="U77" s="496"/>
      <c r="V77" s="640">
        <f t="shared" si="40"/>
        <v>0</v>
      </c>
      <c r="W77" s="641">
        <f t="shared" si="41"/>
        <v>0</v>
      </c>
      <c r="X77" s="495"/>
      <c r="Y77" s="496"/>
      <c r="Z77" s="495"/>
      <c r="AA77" s="496"/>
      <c r="AB77" s="495"/>
      <c r="AC77" s="496"/>
      <c r="AD77" s="495"/>
      <c r="AE77" s="496"/>
      <c r="AF77" s="640">
        <f t="shared" si="42"/>
        <v>0</v>
      </c>
      <c r="AG77" s="640">
        <f t="shared" si="43"/>
        <v>0</v>
      </c>
      <c r="AH77" s="641">
        <f t="shared" si="44"/>
        <v>0</v>
      </c>
      <c r="AI77" s="641">
        <f t="shared" si="45"/>
        <v>0</v>
      </c>
      <c r="AJ77" s="495"/>
      <c r="AK77" s="496"/>
      <c r="AL77" s="640">
        <f t="shared" si="46"/>
        <v>0</v>
      </c>
      <c r="AM77" s="641">
        <f t="shared" si="47"/>
        <v>0</v>
      </c>
      <c r="AN77" s="495">
        <v>2465</v>
      </c>
      <c r="AO77" s="496">
        <v>2682</v>
      </c>
      <c r="AP77" s="495">
        <v>30287</v>
      </c>
      <c r="AQ77" s="496">
        <v>26149</v>
      </c>
      <c r="AR77" s="495">
        <v>8166</v>
      </c>
      <c r="AS77" s="496">
        <v>8015</v>
      </c>
      <c r="AT77" s="495">
        <v>33690</v>
      </c>
      <c r="AU77" s="496">
        <v>29122</v>
      </c>
      <c r="AV77" s="640">
        <f t="shared" si="48"/>
        <v>74608</v>
      </c>
      <c r="AW77" s="640">
        <f t="shared" si="49"/>
        <v>3108.6666666666665</v>
      </c>
      <c r="AX77" s="641">
        <f t="shared" si="50"/>
        <v>65968</v>
      </c>
      <c r="AY77" s="641">
        <f t="shared" si="51"/>
        <v>2748.6666666666665</v>
      </c>
      <c r="AZ77" s="640">
        <f t="shared" si="52"/>
        <v>23129.066666666669</v>
      </c>
      <c r="BA77" s="641">
        <f t="shared" si="53"/>
        <v>22609.666666666668</v>
      </c>
    </row>
    <row r="78" spans="1:53" s="365" customFormat="1" ht="12.6" customHeight="1">
      <c r="A78" s="412" t="s">
        <v>429</v>
      </c>
      <c r="B78" s="413" t="s">
        <v>431</v>
      </c>
      <c r="C78" s="415"/>
      <c r="D78" s="619">
        <v>130934</v>
      </c>
      <c r="E78" s="494">
        <v>3</v>
      </c>
      <c r="F78" s="495"/>
      <c r="G78" s="496"/>
      <c r="H78" s="495"/>
      <c r="I78" s="496">
        <v>984</v>
      </c>
      <c r="J78" s="495">
        <v>58128</v>
      </c>
      <c r="K78" s="496">
        <v>54485</v>
      </c>
      <c r="L78" s="495">
        <v>10113</v>
      </c>
      <c r="M78" s="496">
        <v>9456</v>
      </c>
      <c r="N78" s="495">
        <v>63465</v>
      </c>
      <c r="O78" s="496">
        <v>64061</v>
      </c>
      <c r="P78" s="640">
        <f t="shared" si="36"/>
        <v>131706</v>
      </c>
      <c r="Q78" s="640">
        <f t="shared" si="37"/>
        <v>4390.2</v>
      </c>
      <c r="R78" s="641">
        <f t="shared" si="38"/>
        <v>128986</v>
      </c>
      <c r="S78" s="641">
        <f t="shared" si="39"/>
        <v>4299.5333333333338</v>
      </c>
      <c r="T78" s="495"/>
      <c r="U78" s="496"/>
      <c r="V78" s="640">
        <f t="shared" si="40"/>
        <v>0</v>
      </c>
      <c r="W78" s="641">
        <f t="shared" si="41"/>
        <v>0</v>
      </c>
      <c r="X78" s="495"/>
      <c r="Y78" s="496"/>
      <c r="Z78" s="495"/>
      <c r="AA78" s="496"/>
      <c r="AB78" s="495"/>
      <c r="AC78" s="496"/>
      <c r="AD78" s="495"/>
      <c r="AE78" s="496"/>
      <c r="AF78" s="640">
        <f t="shared" si="42"/>
        <v>0</v>
      </c>
      <c r="AG78" s="640">
        <f t="shared" si="43"/>
        <v>0</v>
      </c>
      <c r="AH78" s="641">
        <f t="shared" si="44"/>
        <v>0</v>
      </c>
      <c r="AI78" s="641">
        <f t="shared" si="45"/>
        <v>0</v>
      </c>
      <c r="AJ78" s="495"/>
      <c r="AK78" s="496"/>
      <c r="AL78" s="640">
        <f t="shared" si="46"/>
        <v>0</v>
      </c>
      <c r="AM78" s="641">
        <f t="shared" si="47"/>
        <v>0</v>
      </c>
      <c r="AN78" s="495"/>
      <c r="AO78" s="496">
        <v>117</v>
      </c>
      <c r="AP78" s="495">
        <v>3930</v>
      </c>
      <c r="AQ78" s="496">
        <v>5036</v>
      </c>
      <c r="AR78" s="495">
        <v>1429</v>
      </c>
      <c r="AS78" s="496">
        <v>2756</v>
      </c>
      <c r="AT78" s="495">
        <v>3995</v>
      </c>
      <c r="AU78" s="496">
        <v>6789</v>
      </c>
      <c r="AV78" s="640">
        <f t="shared" si="48"/>
        <v>9354</v>
      </c>
      <c r="AW78" s="640">
        <f t="shared" si="49"/>
        <v>389.75</v>
      </c>
      <c r="AX78" s="641">
        <f t="shared" si="50"/>
        <v>14698</v>
      </c>
      <c r="AY78" s="641">
        <f t="shared" si="51"/>
        <v>612.41666666666663</v>
      </c>
      <c r="AZ78" s="640">
        <f t="shared" si="52"/>
        <v>4779.95</v>
      </c>
      <c r="BA78" s="641">
        <f t="shared" si="53"/>
        <v>4911.9500000000007</v>
      </c>
    </row>
    <row r="79" spans="1:53" s="365" customFormat="1" ht="12" customHeight="1">
      <c r="A79" s="588" t="s">
        <v>429</v>
      </c>
      <c r="B79" s="586" t="s">
        <v>432</v>
      </c>
      <c r="C79" s="585" t="s">
        <v>905</v>
      </c>
      <c r="D79" s="620">
        <v>130907</v>
      </c>
      <c r="E79" s="587">
        <v>7</v>
      </c>
      <c r="F79" s="495"/>
      <c r="G79" s="496"/>
      <c r="H79" s="495"/>
      <c r="I79" s="496"/>
      <c r="J79" s="495">
        <v>100220</v>
      </c>
      <c r="K79" s="496">
        <v>91972</v>
      </c>
      <c r="L79" s="495">
        <v>32370</v>
      </c>
      <c r="M79" s="496">
        <v>27976</v>
      </c>
      <c r="N79" s="495">
        <v>116491</v>
      </c>
      <c r="O79" s="496">
        <v>108157</v>
      </c>
      <c r="P79" s="640">
        <f t="shared" si="36"/>
        <v>249081</v>
      </c>
      <c r="Q79" s="640">
        <f t="shared" si="37"/>
        <v>8302.7000000000007</v>
      </c>
      <c r="R79" s="641">
        <f t="shared" si="38"/>
        <v>228105</v>
      </c>
      <c r="S79" s="641">
        <f t="shared" si="39"/>
        <v>7603.5</v>
      </c>
      <c r="T79" s="495"/>
      <c r="U79" s="496"/>
      <c r="V79" s="640">
        <f t="shared" si="40"/>
        <v>0</v>
      </c>
      <c r="W79" s="641">
        <f t="shared" si="41"/>
        <v>0</v>
      </c>
      <c r="X79" s="495"/>
      <c r="Y79" s="496"/>
      <c r="Z79" s="495"/>
      <c r="AA79" s="496"/>
      <c r="AB79" s="495"/>
      <c r="AC79" s="496"/>
      <c r="AD79" s="495"/>
      <c r="AE79" s="496"/>
      <c r="AF79" s="640">
        <f t="shared" si="42"/>
        <v>0</v>
      </c>
      <c r="AG79" s="640">
        <f t="shared" si="43"/>
        <v>0</v>
      </c>
      <c r="AH79" s="641">
        <f t="shared" si="44"/>
        <v>0</v>
      </c>
      <c r="AI79" s="641">
        <f t="shared" si="45"/>
        <v>0</v>
      </c>
      <c r="AJ79" s="495"/>
      <c r="AK79" s="496"/>
      <c r="AL79" s="640">
        <f t="shared" si="46"/>
        <v>0</v>
      </c>
      <c r="AM79" s="641">
        <f t="shared" si="47"/>
        <v>0</v>
      </c>
      <c r="AN79" s="495"/>
      <c r="AO79" s="496"/>
      <c r="AP79" s="495"/>
      <c r="AQ79" s="496"/>
      <c r="AR79" s="495"/>
      <c r="AS79" s="496"/>
      <c r="AT79" s="495"/>
      <c r="AU79" s="496"/>
      <c r="AV79" s="640">
        <f t="shared" si="48"/>
        <v>0</v>
      </c>
      <c r="AW79" s="640">
        <f t="shared" si="49"/>
        <v>0</v>
      </c>
      <c r="AX79" s="641">
        <f t="shared" si="50"/>
        <v>0</v>
      </c>
      <c r="AY79" s="641">
        <f t="shared" si="51"/>
        <v>0</v>
      </c>
      <c r="AZ79" s="640">
        <f t="shared" si="52"/>
        <v>8302.7000000000007</v>
      </c>
      <c r="BA79" s="641">
        <f t="shared" si="53"/>
        <v>7603.5</v>
      </c>
    </row>
    <row r="80" spans="1:53" s="365" customFormat="1" ht="12" customHeight="1">
      <c r="A80" s="416" t="s">
        <v>131</v>
      </c>
      <c r="B80" s="417" t="s">
        <v>132</v>
      </c>
      <c r="C80" s="533" t="s">
        <v>906</v>
      </c>
      <c r="D80" s="621">
        <v>132693</v>
      </c>
      <c r="E80" s="498">
        <v>7</v>
      </c>
      <c r="F80" s="495"/>
      <c r="G80" s="496"/>
      <c r="H80" s="495"/>
      <c r="I80" s="496"/>
      <c r="J80" s="495">
        <v>127669</v>
      </c>
      <c r="K80" s="463">
        <v>112417</v>
      </c>
      <c r="L80" s="495">
        <v>53421</v>
      </c>
      <c r="M80" s="463">
        <v>46592</v>
      </c>
      <c r="N80" s="495">
        <v>124032</v>
      </c>
      <c r="O80" s="463">
        <v>108520</v>
      </c>
      <c r="P80" s="640">
        <f t="shared" si="36"/>
        <v>305122</v>
      </c>
      <c r="Q80" s="640">
        <f t="shared" si="37"/>
        <v>10170.733333333334</v>
      </c>
      <c r="R80" s="641">
        <f t="shared" si="38"/>
        <v>267529</v>
      </c>
      <c r="S80" s="641">
        <f t="shared" si="39"/>
        <v>8917.6333333333332</v>
      </c>
      <c r="T80" s="495">
        <v>60572</v>
      </c>
      <c r="U80" s="463">
        <v>54015</v>
      </c>
      <c r="V80" s="640">
        <f t="shared" si="40"/>
        <v>305122</v>
      </c>
      <c r="W80" s="641">
        <f t="shared" si="41"/>
        <v>267529</v>
      </c>
      <c r="X80" s="495"/>
      <c r="Y80" s="496"/>
      <c r="Z80" s="495">
        <v>160119</v>
      </c>
      <c r="AA80" s="463">
        <v>138126</v>
      </c>
      <c r="AB80" s="495">
        <v>21876</v>
      </c>
      <c r="AC80" s="463">
        <v>30108</v>
      </c>
      <c r="AD80" s="495">
        <v>97947</v>
      </c>
      <c r="AE80" s="499">
        <v>164156</v>
      </c>
      <c r="AF80" s="640">
        <f t="shared" si="42"/>
        <v>279942</v>
      </c>
      <c r="AG80" s="640">
        <f t="shared" si="43"/>
        <v>311.04666666666668</v>
      </c>
      <c r="AH80" s="641">
        <f t="shared" si="44"/>
        <v>332390</v>
      </c>
      <c r="AI80" s="641">
        <f t="shared" si="45"/>
        <v>369.32222222222219</v>
      </c>
      <c r="AJ80" s="495">
        <v>21860</v>
      </c>
      <c r="AK80" s="463">
        <v>21780</v>
      </c>
      <c r="AL80" s="640">
        <f t="shared" si="46"/>
        <v>279942</v>
      </c>
      <c r="AM80" s="641">
        <f t="shared" si="47"/>
        <v>332390</v>
      </c>
      <c r="AN80" s="495"/>
      <c r="AO80" s="496"/>
      <c r="AP80" s="495"/>
      <c r="AQ80" s="496"/>
      <c r="AR80" s="495"/>
      <c r="AS80" s="496"/>
      <c r="AT80" s="495"/>
      <c r="AU80" s="496"/>
      <c r="AV80" s="640">
        <f t="shared" si="48"/>
        <v>0</v>
      </c>
      <c r="AW80" s="640">
        <f t="shared" si="49"/>
        <v>0</v>
      </c>
      <c r="AX80" s="641">
        <f t="shared" si="50"/>
        <v>0</v>
      </c>
      <c r="AY80" s="641">
        <f t="shared" si="51"/>
        <v>0</v>
      </c>
      <c r="AZ80" s="640">
        <f t="shared" si="52"/>
        <v>10481.780000000001</v>
      </c>
      <c r="BA80" s="641">
        <f t="shared" si="53"/>
        <v>9286.9555555555562</v>
      </c>
    </row>
    <row r="81" spans="1:53" s="365" customFormat="1" ht="12.6" customHeight="1">
      <c r="A81" s="416" t="s">
        <v>131</v>
      </c>
      <c r="B81" s="417" t="s">
        <v>133</v>
      </c>
      <c r="C81" s="533" t="s">
        <v>907</v>
      </c>
      <c r="D81" s="621">
        <v>132709</v>
      </c>
      <c r="E81" s="498">
        <v>7</v>
      </c>
      <c r="F81" s="495"/>
      <c r="G81" s="496"/>
      <c r="H81" s="495"/>
      <c r="I81" s="496"/>
      <c r="J81" s="495">
        <v>306238</v>
      </c>
      <c r="K81" s="463">
        <v>272902</v>
      </c>
      <c r="L81" s="495">
        <v>153503</v>
      </c>
      <c r="M81" s="463">
        <v>141434</v>
      </c>
      <c r="N81" s="495">
        <v>301326</v>
      </c>
      <c r="O81" s="463">
        <v>266980</v>
      </c>
      <c r="P81" s="640">
        <f t="shared" si="36"/>
        <v>761067</v>
      </c>
      <c r="Q81" s="640">
        <f t="shared" si="37"/>
        <v>25368.9</v>
      </c>
      <c r="R81" s="641">
        <f t="shared" si="38"/>
        <v>681316</v>
      </c>
      <c r="S81" s="641">
        <f t="shared" si="39"/>
        <v>22710.533333333333</v>
      </c>
      <c r="T81" s="495">
        <v>65528</v>
      </c>
      <c r="U81" s="463">
        <v>58887</v>
      </c>
      <c r="V81" s="640">
        <f t="shared" si="40"/>
        <v>761067</v>
      </c>
      <c r="W81" s="641">
        <f t="shared" si="41"/>
        <v>681316</v>
      </c>
      <c r="X81" s="495"/>
      <c r="Y81" s="496"/>
      <c r="Z81" s="495">
        <v>68290</v>
      </c>
      <c r="AA81" s="463">
        <v>52974</v>
      </c>
      <c r="AB81" s="495">
        <v>15576</v>
      </c>
      <c r="AC81" s="463">
        <v>43580</v>
      </c>
      <c r="AD81" s="495">
        <v>99592</v>
      </c>
      <c r="AE81" s="499">
        <v>72676</v>
      </c>
      <c r="AF81" s="640">
        <f t="shared" si="42"/>
        <v>183458</v>
      </c>
      <c r="AG81" s="640">
        <f t="shared" si="43"/>
        <v>203.84222222222223</v>
      </c>
      <c r="AH81" s="641">
        <f t="shared" si="44"/>
        <v>169230</v>
      </c>
      <c r="AI81" s="641">
        <f t="shared" si="45"/>
        <v>188.03333333333333</v>
      </c>
      <c r="AJ81" s="495">
        <v>0</v>
      </c>
      <c r="AK81" s="463">
        <v>0</v>
      </c>
      <c r="AL81" s="640">
        <f t="shared" si="46"/>
        <v>183458</v>
      </c>
      <c r="AM81" s="641">
        <f t="shared" si="47"/>
        <v>169230</v>
      </c>
      <c r="AN81" s="495"/>
      <c r="AO81" s="496"/>
      <c r="AP81" s="495"/>
      <c r="AQ81" s="496"/>
      <c r="AR81" s="495"/>
      <c r="AS81" s="496"/>
      <c r="AT81" s="495"/>
      <c r="AU81" s="496"/>
      <c r="AV81" s="640">
        <f t="shared" si="48"/>
        <v>0</v>
      </c>
      <c r="AW81" s="640">
        <f t="shared" si="49"/>
        <v>0</v>
      </c>
      <c r="AX81" s="641">
        <f t="shared" si="50"/>
        <v>0</v>
      </c>
      <c r="AY81" s="641">
        <f t="shared" si="51"/>
        <v>0</v>
      </c>
      <c r="AZ81" s="640">
        <f t="shared" si="52"/>
        <v>25572.742222222223</v>
      </c>
      <c r="BA81" s="641">
        <f t="shared" si="53"/>
        <v>22898.566666666666</v>
      </c>
    </row>
    <row r="82" spans="1:53" s="365" customFormat="1" ht="12.6" customHeight="1">
      <c r="A82" s="416" t="s">
        <v>131</v>
      </c>
      <c r="B82" s="417" t="s">
        <v>134</v>
      </c>
      <c r="C82" s="533" t="s">
        <v>904</v>
      </c>
      <c r="D82" s="621">
        <v>132851</v>
      </c>
      <c r="E82" s="498">
        <v>7</v>
      </c>
      <c r="F82" s="495"/>
      <c r="G82" s="496"/>
      <c r="H82" s="495"/>
      <c r="I82" s="496"/>
      <c r="J82" s="495">
        <v>57789</v>
      </c>
      <c r="K82" s="463">
        <v>50341</v>
      </c>
      <c r="L82" s="495">
        <v>24432</v>
      </c>
      <c r="M82" s="463">
        <v>21184</v>
      </c>
      <c r="N82" s="495">
        <v>57082</v>
      </c>
      <c r="O82" s="463">
        <v>49896</v>
      </c>
      <c r="P82" s="640">
        <f t="shared" si="36"/>
        <v>139303</v>
      </c>
      <c r="Q82" s="640">
        <f t="shared" si="37"/>
        <v>4643.4333333333334</v>
      </c>
      <c r="R82" s="641">
        <f t="shared" si="38"/>
        <v>121421</v>
      </c>
      <c r="S82" s="641">
        <f t="shared" si="39"/>
        <v>4047.3666666666668</v>
      </c>
      <c r="T82" s="495">
        <v>20511</v>
      </c>
      <c r="U82" s="463">
        <v>19246</v>
      </c>
      <c r="V82" s="640">
        <f t="shared" si="40"/>
        <v>139303</v>
      </c>
      <c r="W82" s="641">
        <f t="shared" si="41"/>
        <v>121421</v>
      </c>
      <c r="X82" s="495"/>
      <c r="Y82" s="496"/>
      <c r="Z82" s="495">
        <v>53333</v>
      </c>
      <c r="AA82" s="463">
        <v>44320</v>
      </c>
      <c r="AB82" s="495">
        <v>24476</v>
      </c>
      <c r="AC82" s="463">
        <v>30223</v>
      </c>
      <c r="AD82" s="495">
        <v>59275</v>
      </c>
      <c r="AE82" s="499">
        <v>41765</v>
      </c>
      <c r="AF82" s="640">
        <f t="shared" si="42"/>
        <v>137084</v>
      </c>
      <c r="AG82" s="640">
        <f t="shared" si="43"/>
        <v>152.31555555555556</v>
      </c>
      <c r="AH82" s="641">
        <f t="shared" si="44"/>
        <v>116308</v>
      </c>
      <c r="AI82" s="641">
        <f t="shared" si="45"/>
        <v>129.23111111111112</v>
      </c>
      <c r="AJ82" s="495">
        <v>5910</v>
      </c>
      <c r="AK82" s="463">
        <v>8490</v>
      </c>
      <c r="AL82" s="640">
        <f t="shared" si="46"/>
        <v>137084</v>
      </c>
      <c r="AM82" s="641">
        <f t="shared" si="47"/>
        <v>116308</v>
      </c>
      <c r="AN82" s="495"/>
      <c r="AO82" s="496"/>
      <c r="AP82" s="495"/>
      <c r="AQ82" s="496"/>
      <c r="AR82" s="495"/>
      <c r="AS82" s="496"/>
      <c r="AT82" s="495"/>
      <c r="AU82" s="496"/>
      <c r="AV82" s="640">
        <f t="shared" si="48"/>
        <v>0</v>
      </c>
      <c r="AW82" s="640">
        <f t="shared" si="49"/>
        <v>0</v>
      </c>
      <c r="AX82" s="641">
        <f t="shared" si="50"/>
        <v>0</v>
      </c>
      <c r="AY82" s="641">
        <f t="shared" si="51"/>
        <v>0</v>
      </c>
      <c r="AZ82" s="640">
        <f t="shared" si="52"/>
        <v>4795.7488888888893</v>
      </c>
      <c r="BA82" s="641">
        <f t="shared" si="53"/>
        <v>4176.597777777778</v>
      </c>
    </row>
    <row r="83" spans="1:53" s="365" customFormat="1" ht="12.6" customHeight="1">
      <c r="A83" s="416" t="s">
        <v>131</v>
      </c>
      <c r="B83" s="417" t="s">
        <v>135</v>
      </c>
      <c r="C83" s="533" t="s">
        <v>908</v>
      </c>
      <c r="D83" s="621">
        <v>133021</v>
      </c>
      <c r="E83" s="498">
        <v>7</v>
      </c>
      <c r="F83" s="495"/>
      <c r="G83" s="496"/>
      <c r="H83" s="495"/>
      <c r="I83" s="496"/>
      <c r="J83" s="495">
        <v>15610</v>
      </c>
      <c r="K83" s="463">
        <v>14263</v>
      </c>
      <c r="L83" s="495">
        <v>5118</v>
      </c>
      <c r="M83" s="463">
        <v>4983</v>
      </c>
      <c r="N83" s="495">
        <v>16676</v>
      </c>
      <c r="O83" s="463">
        <v>15224</v>
      </c>
      <c r="P83" s="640">
        <f t="shared" si="36"/>
        <v>37404</v>
      </c>
      <c r="Q83" s="640">
        <f t="shared" si="37"/>
        <v>1246.8</v>
      </c>
      <c r="R83" s="641">
        <f t="shared" si="38"/>
        <v>34470</v>
      </c>
      <c r="S83" s="641">
        <f t="shared" si="39"/>
        <v>1149</v>
      </c>
      <c r="T83" s="495">
        <v>7982</v>
      </c>
      <c r="U83" s="463">
        <v>7051</v>
      </c>
      <c r="V83" s="640">
        <f t="shared" si="40"/>
        <v>37404</v>
      </c>
      <c r="W83" s="641">
        <f t="shared" si="41"/>
        <v>34470</v>
      </c>
      <c r="X83" s="495"/>
      <c r="Y83" s="496"/>
      <c r="Z83" s="495">
        <v>46348</v>
      </c>
      <c r="AA83" s="463">
        <v>48564</v>
      </c>
      <c r="AB83" s="495">
        <v>27055</v>
      </c>
      <c r="AC83" s="463">
        <v>19328</v>
      </c>
      <c r="AD83" s="495">
        <v>60038</v>
      </c>
      <c r="AE83" s="499">
        <v>60543</v>
      </c>
      <c r="AF83" s="640">
        <f t="shared" si="42"/>
        <v>133441</v>
      </c>
      <c r="AG83" s="640">
        <f t="shared" si="43"/>
        <v>148.26777777777778</v>
      </c>
      <c r="AH83" s="641">
        <f t="shared" si="44"/>
        <v>128435</v>
      </c>
      <c r="AI83" s="641">
        <f t="shared" si="45"/>
        <v>142.70555555555555</v>
      </c>
      <c r="AJ83" s="495">
        <v>3210</v>
      </c>
      <c r="AK83" s="463">
        <v>9390</v>
      </c>
      <c r="AL83" s="640">
        <f t="shared" si="46"/>
        <v>133441</v>
      </c>
      <c r="AM83" s="641">
        <f t="shared" si="47"/>
        <v>128435</v>
      </c>
      <c r="AN83" s="495"/>
      <c r="AO83" s="496"/>
      <c r="AP83" s="495"/>
      <c r="AQ83" s="496"/>
      <c r="AR83" s="495"/>
      <c r="AS83" s="496"/>
      <c r="AT83" s="495"/>
      <c r="AU83" s="496"/>
      <c r="AV83" s="640">
        <f t="shared" si="48"/>
        <v>0</v>
      </c>
      <c r="AW83" s="640">
        <f t="shared" si="49"/>
        <v>0</v>
      </c>
      <c r="AX83" s="641">
        <f t="shared" si="50"/>
        <v>0</v>
      </c>
      <c r="AY83" s="641">
        <f t="shared" si="51"/>
        <v>0</v>
      </c>
      <c r="AZ83" s="640">
        <f t="shared" si="52"/>
        <v>1395.0677777777778</v>
      </c>
      <c r="BA83" s="641">
        <f t="shared" si="53"/>
        <v>1291.7055555555555</v>
      </c>
    </row>
    <row r="84" spans="1:53" s="365" customFormat="1" ht="12.6" customHeight="1">
      <c r="A84" s="416" t="s">
        <v>131</v>
      </c>
      <c r="B84" s="417" t="s">
        <v>136</v>
      </c>
      <c r="C84" s="533" t="s">
        <v>906</v>
      </c>
      <c r="D84" s="621">
        <v>133386</v>
      </c>
      <c r="E84" s="498">
        <v>7</v>
      </c>
      <c r="F84" s="495"/>
      <c r="G84" s="496"/>
      <c r="H84" s="495"/>
      <c r="I84" s="496"/>
      <c r="J84" s="495">
        <v>116276</v>
      </c>
      <c r="K84" s="463">
        <v>106354</v>
      </c>
      <c r="L84" s="495">
        <v>44333</v>
      </c>
      <c r="M84" s="463">
        <v>41890</v>
      </c>
      <c r="N84" s="495">
        <v>118104</v>
      </c>
      <c r="O84" s="463">
        <v>103127</v>
      </c>
      <c r="P84" s="640">
        <f t="shared" si="36"/>
        <v>278713</v>
      </c>
      <c r="Q84" s="640">
        <f t="shared" si="37"/>
        <v>9290.4333333333325</v>
      </c>
      <c r="R84" s="641">
        <f t="shared" si="38"/>
        <v>251371</v>
      </c>
      <c r="S84" s="641">
        <f t="shared" si="39"/>
        <v>8379.0333333333328</v>
      </c>
      <c r="T84" s="495">
        <v>42905</v>
      </c>
      <c r="U84" s="463">
        <v>38237</v>
      </c>
      <c r="V84" s="640">
        <f t="shared" si="40"/>
        <v>278713</v>
      </c>
      <c r="W84" s="641">
        <f t="shared" si="41"/>
        <v>251371</v>
      </c>
      <c r="X84" s="495"/>
      <c r="Y84" s="496"/>
      <c r="Z84" s="495">
        <v>548380</v>
      </c>
      <c r="AA84" s="463">
        <v>474464</v>
      </c>
      <c r="AB84" s="495">
        <v>252868</v>
      </c>
      <c r="AC84" s="463">
        <v>295308</v>
      </c>
      <c r="AD84" s="495">
        <v>460628</v>
      </c>
      <c r="AE84" s="499">
        <v>472815</v>
      </c>
      <c r="AF84" s="640">
        <f t="shared" si="42"/>
        <v>1261876</v>
      </c>
      <c r="AG84" s="640">
        <f t="shared" si="43"/>
        <v>1402.0844444444444</v>
      </c>
      <c r="AH84" s="641">
        <f t="shared" si="44"/>
        <v>1242587</v>
      </c>
      <c r="AI84" s="641">
        <f t="shared" si="45"/>
        <v>1380.6522222222222</v>
      </c>
      <c r="AJ84" s="495">
        <v>10820</v>
      </c>
      <c r="AK84" s="463">
        <v>10235</v>
      </c>
      <c r="AL84" s="640">
        <f t="shared" si="46"/>
        <v>1261876</v>
      </c>
      <c r="AM84" s="641">
        <f t="shared" si="47"/>
        <v>1242587</v>
      </c>
      <c r="AN84" s="495"/>
      <c r="AO84" s="496"/>
      <c r="AP84" s="495"/>
      <c r="AQ84" s="496"/>
      <c r="AR84" s="495"/>
      <c r="AS84" s="496"/>
      <c r="AT84" s="495"/>
      <c r="AU84" s="496"/>
      <c r="AV84" s="640">
        <f t="shared" si="48"/>
        <v>0</v>
      </c>
      <c r="AW84" s="640">
        <f t="shared" si="49"/>
        <v>0</v>
      </c>
      <c r="AX84" s="641">
        <f t="shared" si="50"/>
        <v>0</v>
      </c>
      <c r="AY84" s="641">
        <f t="shared" si="51"/>
        <v>0</v>
      </c>
      <c r="AZ84" s="640">
        <f t="shared" si="52"/>
        <v>10692.517777777777</v>
      </c>
      <c r="BA84" s="641">
        <f t="shared" si="53"/>
        <v>9759.6855555555558</v>
      </c>
    </row>
    <row r="85" spans="1:53" s="365" customFormat="1" ht="12.6" customHeight="1">
      <c r="A85" s="416" t="s">
        <v>131</v>
      </c>
      <c r="B85" s="417" t="s">
        <v>137</v>
      </c>
      <c r="C85" s="533" t="s">
        <v>906</v>
      </c>
      <c r="D85" s="621">
        <v>133508</v>
      </c>
      <c r="E85" s="498">
        <v>7</v>
      </c>
      <c r="F85" s="495"/>
      <c r="G85" s="496"/>
      <c r="H85" s="495"/>
      <c r="I85" s="496"/>
      <c r="J85" s="495">
        <v>131986</v>
      </c>
      <c r="K85" s="463">
        <v>120018</v>
      </c>
      <c r="L85" s="495">
        <v>41741</v>
      </c>
      <c r="M85" s="463">
        <v>41102</v>
      </c>
      <c r="N85" s="495">
        <v>136908</v>
      </c>
      <c r="O85" s="463">
        <v>129002</v>
      </c>
      <c r="P85" s="640">
        <f t="shared" si="36"/>
        <v>310635</v>
      </c>
      <c r="Q85" s="640">
        <f t="shared" si="37"/>
        <v>10354.5</v>
      </c>
      <c r="R85" s="641">
        <f t="shared" si="38"/>
        <v>290122</v>
      </c>
      <c r="S85" s="641">
        <f t="shared" si="39"/>
        <v>9670.7333333333336</v>
      </c>
      <c r="T85" s="495">
        <v>45171</v>
      </c>
      <c r="U85" s="463">
        <v>43503</v>
      </c>
      <c r="V85" s="640">
        <f t="shared" si="40"/>
        <v>310635</v>
      </c>
      <c r="W85" s="641">
        <f t="shared" si="41"/>
        <v>290122</v>
      </c>
      <c r="X85" s="495"/>
      <c r="Y85" s="496"/>
      <c r="Z85" s="495">
        <v>4800</v>
      </c>
      <c r="AA85" s="463">
        <v>13920</v>
      </c>
      <c r="AB85" s="495">
        <v>12450</v>
      </c>
      <c r="AC85" s="463">
        <v>6840</v>
      </c>
      <c r="AD85" s="495">
        <v>6720</v>
      </c>
      <c r="AE85" s="499">
        <v>7800</v>
      </c>
      <c r="AF85" s="640">
        <f t="shared" si="42"/>
        <v>23970</v>
      </c>
      <c r="AG85" s="640">
        <f t="shared" si="43"/>
        <v>26.633333333333333</v>
      </c>
      <c r="AH85" s="641">
        <f t="shared" si="44"/>
        <v>28560</v>
      </c>
      <c r="AI85" s="641">
        <f t="shared" si="45"/>
        <v>31.733333333333334</v>
      </c>
      <c r="AJ85" s="495">
        <v>0</v>
      </c>
      <c r="AK85" s="463">
        <v>0</v>
      </c>
      <c r="AL85" s="640">
        <f t="shared" si="46"/>
        <v>23970</v>
      </c>
      <c r="AM85" s="641">
        <f t="shared" si="47"/>
        <v>28560</v>
      </c>
      <c r="AN85" s="495"/>
      <c r="AO85" s="496"/>
      <c r="AP85" s="495"/>
      <c r="AQ85" s="496"/>
      <c r="AR85" s="495"/>
      <c r="AS85" s="496"/>
      <c r="AT85" s="495"/>
      <c r="AU85" s="496"/>
      <c r="AV85" s="640">
        <f t="shared" si="48"/>
        <v>0</v>
      </c>
      <c r="AW85" s="640">
        <f t="shared" si="49"/>
        <v>0</v>
      </c>
      <c r="AX85" s="641">
        <f t="shared" si="50"/>
        <v>0</v>
      </c>
      <c r="AY85" s="641">
        <f t="shared" si="51"/>
        <v>0</v>
      </c>
      <c r="AZ85" s="640">
        <f t="shared" si="52"/>
        <v>10381.133333333333</v>
      </c>
      <c r="BA85" s="641">
        <f t="shared" si="53"/>
        <v>9702.4666666666672</v>
      </c>
    </row>
    <row r="86" spans="1:53" s="365" customFormat="1" ht="12.6" customHeight="1">
      <c r="A86" s="416" t="s">
        <v>131</v>
      </c>
      <c r="B86" s="417" t="s">
        <v>138</v>
      </c>
      <c r="C86" s="533" t="s">
        <v>906</v>
      </c>
      <c r="D86" s="621">
        <v>133702</v>
      </c>
      <c r="E86" s="498">
        <v>7</v>
      </c>
      <c r="F86" s="495"/>
      <c r="G86" s="496"/>
      <c r="H86" s="495"/>
      <c r="I86" s="496"/>
      <c r="J86" s="495">
        <v>184397</v>
      </c>
      <c r="K86" s="463">
        <v>162072</v>
      </c>
      <c r="L86" s="495">
        <v>97946</v>
      </c>
      <c r="M86" s="463">
        <v>86379</v>
      </c>
      <c r="N86" s="495">
        <v>178559</v>
      </c>
      <c r="O86" s="463">
        <v>163391</v>
      </c>
      <c r="P86" s="640">
        <f t="shared" si="36"/>
        <v>460902</v>
      </c>
      <c r="Q86" s="640">
        <f t="shared" si="37"/>
        <v>15363.4</v>
      </c>
      <c r="R86" s="641">
        <f t="shared" si="38"/>
        <v>411842</v>
      </c>
      <c r="S86" s="641">
        <f t="shared" si="39"/>
        <v>13728.066666666668</v>
      </c>
      <c r="T86" s="495">
        <v>38431</v>
      </c>
      <c r="U86" s="463">
        <v>34777</v>
      </c>
      <c r="V86" s="640">
        <f t="shared" si="40"/>
        <v>460902</v>
      </c>
      <c r="W86" s="641">
        <f t="shared" si="41"/>
        <v>411842</v>
      </c>
      <c r="X86" s="495"/>
      <c r="Y86" s="496"/>
      <c r="Z86" s="495">
        <v>390805</v>
      </c>
      <c r="AA86" s="463">
        <v>304419</v>
      </c>
      <c r="AB86" s="495">
        <v>190314</v>
      </c>
      <c r="AC86" s="463">
        <v>230177</v>
      </c>
      <c r="AD86" s="495">
        <v>314158</v>
      </c>
      <c r="AE86" s="499">
        <v>303408</v>
      </c>
      <c r="AF86" s="640">
        <f t="shared" si="42"/>
        <v>895277</v>
      </c>
      <c r="AG86" s="640">
        <f t="shared" si="43"/>
        <v>994.75222222222226</v>
      </c>
      <c r="AH86" s="641">
        <f t="shared" si="44"/>
        <v>838004</v>
      </c>
      <c r="AI86" s="641">
        <f t="shared" si="45"/>
        <v>931.1155555555556</v>
      </c>
      <c r="AJ86" s="495">
        <v>12148</v>
      </c>
      <c r="AK86" s="463">
        <v>3505</v>
      </c>
      <c r="AL86" s="640">
        <f t="shared" si="46"/>
        <v>895277</v>
      </c>
      <c r="AM86" s="641">
        <f t="shared" si="47"/>
        <v>838004</v>
      </c>
      <c r="AN86" s="495"/>
      <c r="AO86" s="496"/>
      <c r="AP86" s="495"/>
      <c r="AQ86" s="496"/>
      <c r="AR86" s="495"/>
      <c r="AS86" s="496"/>
      <c r="AT86" s="495"/>
      <c r="AU86" s="496"/>
      <c r="AV86" s="640">
        <f t="shared" si="48"/>
        <v>0</v>
      </c>
      <c r="AW86" s="640">
        <f t="shared" si="49"/>
        <v>0</v>
      </c>
      <c r="AX86" s="641">
        <f t="shared" si="50"/>
        <v>0</v>
      </c>
      <c r="AY86" s="641">
        <f t="shared" si="51"/>
        <v>0</v>
      </c>
      <c r="AZ86" s="640">
        <f t="shared" si="52"/>
        <v>16358.152222222221</v>
      </c>
      <c r="BA86" s="641">
        <f t="shared" si="53"/>
        <v>14659.182222222224</v>
      </c>
    </row>
    <row r="87" spans="1:53" s="365" customFormat="1" ht="12.6" customHeight="1">
      <c r="A87" s="416" t="s">
        <v>131</v>
      </c>
      <c r="B87" s="417" t="s">
        <v>826</v>
      </c>
      <c r="C87" s="533"/>
      <c r="D87" s="621">
        <v>133960</v>
      </c>
      <c r="E87" s="498">
        <v>10</v>
      </c>
      <c r="F87" s="495"/>
      <c r="G87" s="496"/>
      <c r="H87" s="495"/>
      <c r="I87" s="496"/>
      <c r="J87" s="495">
        <v>8606</v>
      </c>
      <c r="K87" s="463">
        <v>8817</v>
      </c>
      <c r="L87" s="495">
        <v>2812</v>
      </c>
      <c r="M87" s="463">
        <v>2967</v>
      </c>
      <c r="N87" s="495">
        <v>9392</v>
      </c>
      <c r="O87" s="463">
        <v>9507</v>
      </c>
      <c r="P87" s="640">
        <f t="shared" si="36"/>
        <v>20810</v>
      </c>
      <c r="Q87" s="640">
        <f t="shared" si="37"/>
        <v>693.66666666666663</v>
      </c>
      <c r="R87" s="641">
        <f t="shared" si="38"/>
        <v>21291</v>
      </c>
      <c r="S87" s="641">
        <f t="shared" si="39"/>
        <v>709.7</v>
      </c>
      <c r="T87" s="495">
        <v>2226</v>
      </c>
      <c r="U87" s="463">
        <v>2132</v>
      </c>
      <c r="V87" s="640">
        <f t="shared" si="40"/>
        <v>20810</v>
      </c>
      <c r="W87" s="641">
        <f t="shared" si="41"/>
        <v>21291</v>
      </c>
      <c r="X87" s="495"/>
      <c r="Y87" s="496"/>
      <c r="Z87" s="495">
        <v>31580</v>
      </c>
      <c r="AA87" s="463">
        <v>31977</v>
      </c>
      <c r="AB87" s="495">
        <v>19302</v>
      </c>
      <c r="AC87" s="463">
        <v>32828</v>
      </c>
      <c r="AD87" s="495">
        <v>31261</v>
      </c>
      <c r="AE87" s="499">
        <v>38407</v>
      </c>
      <c r="AF87" s="640">
        <f t="shared" si="42"/>
        <v>82143</v>
      </c>
      <c r="AG87" s="640">
        <f t="shared" si="43"/>
        <v>91.27</v>
      </c>
      <c r="AH87" s="641">
        <f t="shared" si="44"/>
        <v>103212</v>
      </c>
      <c r="AI87" s="641">
        <f t="shared" si="45"/>
        <v>114.68</v>
      </c>
      <c r="AJ87" s="495">
        <v>0</v>
      </c>
      <c r="AK87" s="463">
        <v>0</v>
      </c>
      <c r="AL87" s="640">
        <f t="shared" si="46"/>
        <v>82143</v>
      </c>
      <c r="AM87" s="641">
        <f t="shared" si="47"/>
        <v>103212</v>
      </c>
      <c r="AN87" s="495"/>
      <c r="AO87" s="496"/>
      <c r="AP87" s="495"/>
      <c r="AQ87" s="496"/>
      <c r="AR87" s="495"/>
      <c r="AS87" s="496"/>
      <c r="AT87" s="495"/>
      <c r="AU87" s="496"/>
      <c r="AV87" s="640">
        <f t="shared" si="48"/>
        <v>0</v>
      </c>
      <c r="AW87" s="640">
        <f t="shared" si="49"/>
        <v>0</v>
      </c>
      <c r="AX87" s="641">
        <f t="shared" si="50"/>
        <v>0</v>
      </c>
      <c r="AY87" s="641">
        <f t="shared" si="51"/>
        <v>0</v>
      </c>
      <c r="AZ87" s="640">
        <f t="shared" si="52"/>
        <v>784.93666666666661</v>
      </c>
      <c r="BA87" s="641">
        <f t="shared" si="53"/>
        <v>824.38000000000011</v>
      </c>
    </row>
    <row r="88" spans="1:53" s="365" customFormat="1" ht="12.6" customHeight="1">
      <c r="A88" s="416" t="s">
        <v>131</v>
      </c>
      <c r="B88" s="417" t="s">
        <v>139</v>
      </c>
      <c r="C88" s="533" t="s">
        <v>904</v>
      </c>
      <c r="D88" s="621">
        <v>134343</v>
      </c>
      <c r="E88" s="498">
        <v>7</v>
      </c>
      <c r="F88" s="495"/>
      <c r="G88" s="496"/>
      <c r="H88" s="495"/>
      <c r="I88" s="496"/>
      <c r="J88" s="495">
        <v>38945</v>
      </c>
      <c r="K88" s="463">
        <v>34418</v>
      </c>
      <c r="L88" s="495">
        <v>11191</v>
      </c>
      <c r="M88" s="463">
        <v>10967</v>
      </c>
      <c r="N88" s="495">
        <v>40033</v>
      </c>
      <c r="O88" s="463">
        <v>39949</v>
      </c>
      <c r="P88" s="640">
        <f t="shared" si="36"/>
        <v>90169</v>
      </c>
      <c r="Q88" s="640">
        <f t="shared" si="37"/>
        <v>3005.6333333333332</v>
      </c>
      <c r="R88" s="641">
        <f t="shared" si="38"/>
        <v>85334</v>
      </c>
      <c r="S88" s="641">
        <f t="shared" si="39"/>
        <v>2844.4666666666667</v>
      </c>
      <c r="T88" s="495">
        <v>12056</v>
      </c>
      <c r="U88" s="463">
        <v>12610</v>
      </c>
      <c r="V88" s="640">
        <f t="shared" si="40"/>
        <v>90169</v>
      </c>
      <c r="W88" s="641">
        <f t="shared" si="41"/>
        <v>85334</v>
      </c>
      <c r="X88" s="495"/>
      <c r="Y88" s="496"/>
      <c r="Z88" s="495">
        <v>47862</v>
      </c>
      <c r="AA88" s="463">
        <v>59151</v>
      </c>
      <c r="AB88" s="495">
        <v>24107</v>
      </c>
      <c r="AC88" s="463">
        <v>31679</v>
      </c>
      <c r="AD88" s="495">
        <v>51646</v>
      </c>
      <c r="AE88" s="499">
        <v>41052</v>
      </c>
      <c r="AF88" s="640">
        <f t="shared" si="42"/>
        <v>123615</v>
      </c>
      <c r="AG88" s="640">
        <f t="shared" si="43"/>
        <v>137.35</v>
      </c>
      <c r="AH88" s="641">
        <f t="shared" si="44"/>
        <v>131882</v>
      </c>
      <c r="AI88" s="641">
        <f t="shared" si="45"/>
        <v>146.53555555555556</v>
      </c>
      <c r="AJ88" s="495">
        <v>0</v>
      </c>
      <c r="AK88" s="463">
        <v>0</v>
      </c>
      <c r="AL88" s="640">
        <f t="shared" si="46"/>
        <v>123615</v>
      </c>
      <c r="AM88" s="641">
        <f t="shared" si="47"/>
        <v>131882</v>
      </c>
      <c r="AN88" s="495"/>
      <c r="AO88" s="496"/>
      <c r="AP88" s="495"/>
      <c r="AQ88" s="496"/>
      <c r="AR88" s="495"/>
      <c r="AS88" s="496"/>
      <c r="AT88" s="495"/>
      <c r="AU88" s="496"/>
      <c r="AV88" s="640">
        <f t="shared" si="48"/>
        <v>0</v>
      </c>
      <c r="AW88" s="640">
        <f t="shared" si="49"/>
        <v>0</v>
      </c>
      <c r="AX88" s="641">
        <f t="shared" si="50"/>
        <v>0</v>
      </c>
      <c r="AY88" s="641">
        <f t="shared" si="51"/>
        <v>0</v>
      </c>
      <c r="AZ88" s="640">
        <f t="shared" si="52"/>
        <v>3142.9833333333331</v>
      </c>
      <c r="BA88" s="641">
        <f t="shared" si="53"/>
        <v>2991.0022222222224</v>
      </c>
    </row>
    <row r="89" spans="1:53" s="365" customFormat="1" ht="12.6" customHeight="1">
      <c r="A89" s="416" t="s">
        <v>131</v>
      </c>
      <c r="B89" s="417" t="s">
        <v>140</v>
      </c>
      <c r="C89" s="533"/>
      <c r="D89" s="621">
        <v>134495</v>
      </c>
      <c r="E89" s="498">
        <v>8</v>
      </c>
      <c r="F89" s="495"/>
      <c r="G89" s="496"/>
      <c r="H89" s="495"/>
      <c r="I89" s="496"/>
      <c r="J89" s="495">
        <v>237483</v>
      </c>
      <c r="K89" s="463">
        <v>211166</v>
      </c>
      <c r="L89" s="495">
        <v>96362</v>
      </c>
      <c r="M89" s="463">
        <v>92894</v>
      </c>
      <c r="N89" s="495">
        <v>232718</v>
      </c>
      <c r="O89" s="463">
        <v>224142</v>
      </c>
      <c r="P89" s="640">
        <f t="shared" si="36"/>
        <v>566563</v>
      </c>
      <c r="Q89" s="640">
        <f t="shared" si="37"/>
        <v>18885.433333333334</v>
      </c>
      <c r="R89" s="641">
        <f t="shared" si="38"/>
        <v>528202</v>
      </c>
      <c r="S89" s="641">
        <f t="shared" si="39"/>
        <v>17606.733333333334</v>
      </c>
      <c r="T89" s="495">
        <v>71752</v>
      </c>
      <c r="U89" s="463">
        <v>70328</v>
      </c>
      <c r="V89" s="640">
        <f t="shared" si="40"/>
        <v>566563</v>
      </c>
      <c r="W89" s="641">
        <f t="shared" si="41"/>
        <v>528202</v>
      </c>
      <c r="X89" s="495"/>
      <c r="Y89" s="496"/>
      <c r="Z89" s="495">
        <v>875049</v>
      </c>
      <c r="AA89" s="463">
        <v>707791</v>
      </c>
      <c r="AB89" s="495">
        <v>64272</v>
      </c>
      <c r="AC89" s="463">
        <v>71792</v>
      </c>
      <c r="AD89" s="495">
        <v>846842</v>
      </c>
      <c r="AE89" s="499">
        <v>700223</v>
      </c>
      <c r="AF89" s="640">
        <f t="shared" si="42"/>
        <v>1786163</v>
      </c>
      <c r="AG89" s="640">
        <f t="shared" si="43"/>
        <v>1984.6255555555556</v>
      </c>
      <c r="AH89" s="641">
        <f t="shared" si="44"/>
        <v>1479806</v>
      </c>
      <c r="AI89" s="641">
        <f t="shared" si="45"/>
        <v>1644.2288888888888</v>
      </c>
      <c r="AJ89" s="495">
        <v>0</v>
      </c>
      <c r="AK89" s="463">
        <v>0</v>
      </c>
      <c r="AL89" s="640">
        <f t="shared" si="46"/>
        <v>1786163</v>
      </c>
      <c r="AM89" s="641">
        <f t="shared" si="47"/>
        <v>1479806</v>
      </c>
      <c r="AN89" s="495"/>
      <c r="AO89" s="496"/>
      <c r="AP89" s="495"/>
      <c r="AQ89" s="496"/>
      <c r="AR89" s="495"/>
      <c r="AS89" s="496"/>
      <c r="AT89" s="495"/>
      <c r="AU89" s="496"/>
      <c r="AV89" s="640">
        <f t="shared" si="48"/>
        <v>0</v>
      </c>
      <c r="AW89" s="640">
        <f t="shared" si="49"/>
        <v>0</v>
      </c>
      <c r="AX89" s="641">
        <f t="shared" si="50"/>
        <v>0</v>
      </c>
      <c r="AY89" s="641">
        <f t="shared" si="51"/>
        <v>0</v>
      </c>
      <c r="AZ89" s="640">
        <f t="shared" si="52"/>
        <v>20870.058888888889</v>
      </c>
      <c r="BA89" s="641">
        <f t="shared" si="53"/>
        <v>19250.962222222224</v>
      </c>
    </row>
    <row r="90" spans="1:53" s="365" customFormat="1" ht="12.6" customHeight="1">
      <c r="A90" s="416" t="s">
        <v>131</v>
      </c>
      <c r="B90" s="417" t="s">
        <v>141</v>
      </c>
      <c r="C90" s="533" t="s">
        <v>906</v>
      </c>
      <c r="D90" s="621">
        <v>134608</v>
      </c>
      <c r="E90" s="498">
        <v>7</v>
      </c>
      <c r="F90" s="495"/>
      <c r="G90" s="496"/>
      <c r="H90" s="495"/>
      <c r="I90" s="496"/>
      <c r="J90" s="495">
        <v>120054</v>
      </c>
      <c r="K90" s="463">
        <v>109926</v>
      </c>
      <c r="L90" s="495">
        <v>60010</v>
      </c>
      <c r="M90" s="463">
        <v>54667</v>
      </c>
      <c r="N90" s="495">
        <v>121224</v>
      </c>
      <c r="O90" s="463">
        <v>111915</v>
      </c>
      <c r="P90" s="640">
        <f t="shared" si="36"/>
        <v>301288</v>
      </c>
      <c r="Q90" s="640">
        <f t="shared" si="37"/>
        <v>10042.933333333332</v>
      </c>
      <c r="R90" s="641">
        <f t="shared" si="38"/>
        <v>276508</v>
      </c>
      <c r="S90" s="641">
        <f t="shared" si="39"/>
        <v>9216.9333333333325</v>
      </c>
      <c r="T90" s="495">
        <v>63338</v>
      </c>
      <c r="U90" s="463">
        <v>52678</v>
      </c>
      <c r="V90" s="640">
        <f t="shared" si="40"/>
        <v>301288</v>
      </c>
      <c r="W90" s="641">
        <f t="shared" si="41"/>
        <v>276508</v>
      </c>
      <c r="X90" s="495"/>
      <c r="Y90" s="496"/>
      <c r="Z90" s="495">
        <v>626352</v>
      </c>
      <c r="AA90" s="463">
        <v>403009</v>
      </c>
      <c r="AB90" s="495">
        <v>275731</v>
      </c>
      <c r="AC90" s="463">
        <v>352656</v>
      </c>
      <c r="AD90" s="495">
        <v>376074</v>
      </c>
      <c r="AE90" s="499">
        <v>334555</v>
      </c>
      <c r="AF90" s="640">
        <f t="shared" si="42"/>
        <v>1278157</v>
      </c>
      <c r="AG90" s="640">
        <f t="shared" si="43"/>
        <v>1420.1744444444444</v>
      </c>
      <c r="AH90" s="641">
        <f t="shared" si="44"/>
        <v>1090220</v>
      </c>
      <c r="AI90" s="641">
        <f t="shared" si="45"/>
        <v>1211.3555555555556</v>
      </c>
      <c r="AJ90" s="495">
        <v>1500</v>
      </c>
      <c r="AK90" s="463">
        <v>2065</v>
      </c>
      <c r="AL90" s="640">
        <f t="shared" si="46"/>
        <v>1278157</v>
      </c>
      <c r="AM90" s="641">
        <f t="shared" si="47"/>
        <v>1090220</v>
      </c>
      <c r="AN90" s="495"/>
      <c r="AO90" s="496"/>
      <c r="AP90" s="495"/>
      <c r="AQ90" s="496"/>
      <c r="AR90" s="495"/>
      <c r="AS90" s="496"/>
      <c r="AT90" s="495"/>
      <c r="AU90" s="496"/>
      <c r="AV90" s="640">
        <f t="shared" si="48"/>
        <v>0</v>
      </c>
      <c r="AW90" s="640">
        <f t="shared" si="49"/>
        <v>0</v>
      </c>
      <c r="AX90" s="641">
        <f t="shared" si="50"/>
        <v>0</v>
      </c>
      <c r="AY90" s="641">
        <f t="shared" si="51"/>
        <v>0</v>
      </c>
      <c r="AZ90" s="640">
        <f t="shared" si="52"/>
        <v>11463.107777777777</v>
      </c>
      <c r="BA90" s="641">
        <f t="shared" si="53"/>
        <v>10428.288888888888</v>
      </c>
    </row>
    <row r="91" spans="1:53" s="365" customFormat="1" ht="12.6" customHeight="1">
      <c r="A91" s="416" t="s">
        <v>131</v>
      </c>
      <c r="B91" s="417" t="s">
        <v>142</v>
      </c>
      <c r="C91" s="533" t="s">
        <v>904</v>
      </c>
      <c r="D91" s="621">
        <v>135160</v>
      </c>
      <c r="E91" s="498">
        <v>7</v>
      </c>
      <c r="F91" s="495"/>
      <c r="G91" s="496"/>
      <c r="H91" s="495"/>
      <c r="I91" s="496"/>
      <c r="J91" s="495">
        <v>25259</v>
      </c>
      <c r="K91" s="463">
        <v>21472</v>
      </c>
      <c r="L91" s="495">
        <v>11539</v>
      </c>
      <c r="M91" s="463">
        <v>10529</v>
      </c>
      <c r="N91" s="495">
        <v>23619</v>
      </c>
      <c r="O91" s="463">
        <v>22310</v>
      </c>
      <c r="P91" s="640">
        <f t="shared" si="36"/>
        <v>60417</v>
      </c>
      <c r="Q91" s="640">
        <f t="shared" si="37"/>
        <v>2013.9</v>
      </c>
      <c r="R91" s="641">
        <f t="shared" si="38"/>
        <v>54311</v>
      </c>
      <c r="S91" s="641">
        <f t="shared" si="39"/>
        <v>1810.3666666666666</v>
      </c>
      <c r="T91" s="495">
        <v>13299</v>
      </c>
      <c r="U91" s="463">
        <v>11153</v>
      </c>
      <c r="V91" s="640">
        <f t="shared" si="40"/>
        <v>60417</v>
      </c>
      <c r="W91" s="641">
        <f t="shared" si="41"/>
        <v>54311</v>
      </c>
      <c r="X91" s="495"/>
      <c r="Y91" s="496"/>
      <c r="Z91" s="495">
        <v>90149</v>
      </c>
      <c r="AA91" s="463">
        <v>122058</v>
      </c>
      <c r="AB91" s="495">
        <v>43816</v>
      </c>
      <c r="AC91" s="463">
        <v>34762</v>
      </c>
      <c r="AD91" s="495">
        <v>102831</v>
      </c>
      <c r="AE91" s="499">
        <v>83890</v>
      </c>
      <c r="AF91" s="640">
        <f t="shared" si="42"/>
        <v>236796</v>
      </c>
      <c r="AG91" s="640">
        <f t="shared" si="43"/>
        <v>263.10666666666668</v>
      </c>
      <c r="AH91" s="641">
        <f t="shared" si="44"/>
        <v>240710</v>
      </c>
      <c r="AI91" s="641">
        <f t="shared" si="45"/>
        <v>267.45555555555558</v>
      </c>
      <c r="AJ91" s="495">
        <v>3000</v>
      </c>
      <c r="AK91" s="463">
        <v>5505</v>
      </c>
      <c r="AL91" s="640">
        <f t="shared" si="46"/>
        <v>236796</v>
      </c>
      <c r="AM91" s="641">
        <f t="shared" si="47"/>
        <v>240710</v>
      </c>
      <c r="AN91" s="495"/>
      <c r="AO91" s="496"/>
      <c r="AP91" s="495"/>
      <c r="AQ91" s="496"/>
      <c r="AR91" s="495"/>
      <c r="AS91" s="496"/>
      <c r="AT91" s="495"/>
      <c r="AU91" s="496"/>
      <c r="AV91" s="640">
        <f t="shared" si="48"/>
        <v>0</v>
      </c>
      <c r="AW91" s="640">
        <f t="shared" si="49"/>
        <v>0</v>
      </c>
      <c r="AX91" s="641">
        <f t="shared" si="50"/>
        <v>0</v>
      </c>
      <c r="AY91" s="641">
        <f t="shared" si="51"/>
        <v>0</v>
      </c>
      <c r="AZ91" s="640">
        <f t="shared" si="52"/>
        <v>2277.0066666666667</v>
      </c>
      <c r="BA91" s="641">
        <f t="shared" si="53"/>
        <v>2077.8222222222221</v>
      </c>
    </row>
    <row r="92" spans="1:53" s="365" customFormat="1" ht="12.6" customHeight="1">
      <c r="A92" s="416" t="s">
        <v>131</v>
      </c>
      <c r="B92" s="417" t="s">
        <v>143</v>
      </c>
      <c r="C92" s="533" t="s">
        <v>904</v>
      </c>
      <c r="D92" s="621">
        <v>135188</v>
      </c>
      <c r="E92" s="498">
        <v>7</v>
      </c>
      <c r="F92" s="495"/>
      <c r="G92" s="496"/>
      <c r="H92" s="495"/>
      <c r="I92" s="496"/>
      <c r="J92" s="495">
        <v>39810</v>
      </c>
      <c r="K92" s="463">
        <v>37785</v>
      </c>
      <c r="L92" s="495">
        <v>15197</v>
      </c>
      <c r="M92" s="463">
        <v>13199</v>
      </c>
      <c r="N92" s="495">
        <v>42699</v>
      </c>
      <c r="O92" s="463">
        <v>37742</v>
      </c>
      <c r="P92" s="640">
        <f t="shared" si="36"/>
        <v>97706</v>
      </c>
      <c r="Q92" s="640">
        <f t="shared" si="37"/>
        <v>3256.8666666666668</v>
      </c>
      <c r="R92" s="641">
        <f t="shared" si="38"/>
        <v>88726</v>
      </c>
      <c r="S92" s="641">
        <f t="shared" si="39"/>
        <v>2957.5333333333333</v>
      </c>
      <c r="T92" s="495">
        <v>24011</v>
      </c>
      <c r="U92" s="463">
        <v>22105</v>
      </c>
      <c r="V92" s="640">
        <f t="shared" si="40"/>
        <v>97706</v>
      </c>
      <c r="W92" s="641">
        <f t="shared" si="41"/>
        <v>88726</v>
      </c>
      <c r="X92" s="495"/>
      <c r="Y92" s="496"/>
      <c r="Z92" s="495">
        <v>114</v>
      </c>
      <c r="AA92" s="463">
        <v>194</v>
      </c>
      <c r="AB92" s="495">
        <v>0</v>
      </c>
      <c r="AC92" s="463">
        <v>0</v>
      </c>
      <c r="AD92" s="495">
        <v>392</v>
      </c>
      <c r="AE92" s="499">
        <v>0</v>
      </c>
      <c r="AF92" s="640">
        <f t="shared" si="42"/>
        <v>506</v>
      </c>
      <c r="AG92" s="640">
        <f t="shared" si="43"/>
        <v>0.56222222222222218</v>
      </c>
      <c r="AH92" s="641">
        <f t="shared" si="44"/>
        <v>194</v>
      </c>
      <c r="AI92" s="641">
        <f t="shared" si="45"/>
        <v>0.21555555555555556</v>
      </c>
      <c r="AJ92" s="495">
        <v>0</v>
      </c>
      <c r="AK92" s="463">
        <v>0</v>
      </c>
      <c r="AL92" s="640">
        <f t="shared" si="46"/>
        <v>506</v>
      </c>
      <c r="AM92" s="641">
        <f t="shared" si="47"/>
        <v>194</v>
      </c>
      <c r="AN92" s="495"/>
      <c r="AO92" s="496"/>
      <c r="AP92" s="495"/>
      <c r="AQ92" s="496"/>
      <c r="AR92" s="495"/>
      <c r="AS92" s="496"/>
      <c r="AT92" s="495"/>
      <c r="AU92" s="496"/>
      <c r="AV92" s="640">
        <f t="shared" si="48"/>
        <v>0</v>
      </c>
      <c r="AW92" s="640">
        <f t="shared" si="49"/>
        <v>0</v>
      </c>
      <c r="AX92" s="641">
        <f t="shared" si="50"/>
        <v>0</v>
      </c>
      <c r="AY92" s="641">
        <f t="shared" si="51"/>
        <v>0</v>
      </c>
      <c r="AZ92" s="640">
        <f t="shared" si="52"/>
        <v>3257.4288888888891</v>
      </c>
      <c r="BA92" s="641">
        <f t="shared" si="53"/>
        <v>2957.7488888888888</v>
      </c>
    </row>
    <row r="93" spans="1:53" s="365" customFormat="1" ht="12.6" customHeight="1">
      <c r="A93" s="416" t="s">
        <v>131</v>
      </c>
      <c r="B93" s="417" t="s">
        <v>144</v>
      </c>
      <c r="C93" s="533" t="s">
        <v>906</v>
      </c>
      <c r="D93" s="621">
        <v>135391</v>
      </c>
      <c r="E93" s="498">
        <v>7</v>
      </c>
      <c r="F93" s="495"/>
      <c r="G93" s="496"/>
      <c r="H93" s="495"/>
      <c r="I93" s="496"/>
      <c r="J93" s="495">
        <v>81023</v>
      </c>
      <c r="K93" s="463">
        <v>76565</v>
      </c>
      <c r="L93" s="495">
        <v>30021</v>
      </c>
      <c r="M93" s="463">
        <v>26952</v>
      </c>
      <c r="N93" s="495">
        <v>86374</v>
      </c>
      <c r="O93" s="463">
        <v>77599</v>
      </c>
      <c r="P93" s="640">
        <f t="shared" si="36"/>
        <v>197418</v>
      </c>
      <c r="Q93" s="640">
        <f t="shared" si="37"/>
        <v>6580.6</v>
      </c>
      <c r="R93" s="641">
        <f t="shared" si="38"/>
        <v>181116</v>
      </c>
      <c r="S93" s="641">
        <f t="shared" si="39"/>
        <v>6037.2</v>
      </c>
      <c r="T93" s="495">
        <v>16324</v>
      </c>
      <c r="U93" s="463">
        <v>13980</v>
      </c>
      <c r="V93" s="640">
        <f t="shared" si="40"/>
        <v>197418</v>
      </c>
      <c r="W93" s="641">
        <f t="shared" si="41"/>
        <v>181116</v>
      </c>
      <c r="X93" s="495"/>
      <c r="Y93" s="496"/>
      <c r="Z93" s="495">
        <v>0</v>
      </c>
      <c r="AA93" s="463">
        <v>0</v>
      </c>
      <c r="AB93" s="495">
        <v>0</v>
      </c>
      <c r="AC93" s="463">
        <v>0</v>
      </c>
      <c r="AD93" s="495">
        <v>0</v>
      </c>
      <c r="AE93" s="499">
        <v>0</v>
      </c>
      <c r="AF93" s="640">
        <f t="shared" si="42"/>
        <v>0</v>
      </c>
      <c r="AG93" s="640">
        <f t="shared" si="43"/>
        <v>0</v>
      </c>
      <c r="AH93" s="641">
        <f t="shared" si="44"/>
        <v>0</v>
      </c>
      <c r="AI93" s="641">
        <f t="shared" si="45"/>
        <v>0</v>
      </c>
      <c r="AJ93" s="495">
        <v>0</v>
      </c>
      <c r="AK93" s="463">
        <v>0</v>
      </c>
      <c r="AL93" s="640">
        <f t="shared" si="46"/>
        <v>0</v>
      </c>
      <c r="AM93" s="641">
        <f t="shared" si="47"/>
        <v>0</v>
      </c>
      <c r="AN93" s="495"/>
      <c r="AO93" s="496"/>
      <c r="AP93" s="495"/>
      <c r="AQ93" s="496"/>
      <c r="AR93" s="495"/>
      <c r="AS93" s="496"/>
      <c r="AT93" s="495"/>
      <c r="AU93" s="496"/>
      <c r="AV93" s="640">
        <f t="shared" si="48"/>
        <v>0</v>
      </c>
      <c r="AW93" s="640">
        <f t="shared" si="49"/>
        <v>0</v>
      </c>
      <c r="AX93" s="641">
        <f t="shared" si="50"/>
        <v>0</v>
      </c>
      <c r="AY93" s="641">
        <f t="shared" si="51"/>
        <v>0</v>
      </c>
      <c r="AZ93" s="640">
        <f t="shared" si="52"/>
        <v>6580.6</v>
      </c>
      <c r="BA93" s="641">
        <f t="shared" si="53"/>
        <v>6037.2</v>
      </c>
    </row>
    <row r="94" spans="1:53" s="365" customFormat="1" ht="12.6" customHeight="1">
      <c r="A94" s="416" t="s">
        <v>131</v>
      </c>
      <c r="B94" s="417" t="s">
        <v>145</v>
      </c>
      <c r="C94" s="533" t="s">
        <v>906</v>
      </c>
      <c r="D94" s="621">
        <v>135717</v>
      </c>
      <c r="E94" s="498">
        <v>7</v>
      </c>
      <c r="F94" s="495"/>
      <c r="G94" s="496"/>
      <c r="H94" s="495"/>
      <c r="I94" s="496"/>
      <c r="J94" s="495">
        <v>499096</v>
      </c>
      <c r="K94" s="463">
        <v>465813</v>
      </c>
      <c r="L94" s="495">
        <v>256784</v>
      </c>
      <c r="M94" s="463">
        <v>255674</v>
      </c>
      <c r="N94" s="495">
        <v>482907</v>
      </c>
      <c r="O94" s="463">
        <v>477060</v>
      </c>
      <c r="P94" s="640">
        <f t="shared" si="36"/>
        <v>1238787</v>
      </c>
      <c r="Q94" s="640">
        <f t="shared" si="37"/>
        <v>41292.9</v>
      </c>
      <c r="R94" s="641">
        <f t="shared" si="38"/>
        <v>1198547</v>
      </c>
      <c r="S94" s="641">
        <f t="shared" si="39"/>
        <v>39951.566666666666</v>
      </c>
      <c r="T94" s="495">
        <v>68977</v>
      </c>
      <c r="U94" s="463">
        <v>66511</v>
      </c>
      <c r="V94" s="640">
        <f t="shared" si="40"/>
        <v>1238787</v>
      </c>
      <c r="W94" s="641">
        <f t="shared" si="41"/>
        <v>1198547</v>
      </c>
      <c r="X94" s="495"/>
      <c r="Y94" s="496"/>
      <c r="Z94" s="495">
        <v>890680</v>
      </c>
      <c r="AA94" s="463">
        <v>494099</v>
      </c>
      <c r="AB94" s="495">
        <v>204286</v>
      </c>
      <c r="AC94" s="463">
        <v>364396</v>
      </c>
      <c r="AD94" s="495">
        <v>358370</v>
      </c>
      <c r="AE94" s="499">
        <v>555007</v>
      </c>
      <c r="AF94" s="640">
        <f t="shared" si="42"/>
        <v>1453336</v>
      </c>
      <c r="AG94" s="640">
        <f t="shared" si="43"/>
        <v>1614.8177777777778</v>
      </c>
      <c r="AH94" s="641">
        <f t="shared" si="44"/>
        <v>1413502</v>
      </c>
      <c r="AI94" s="641">
        <f t="shared" si="45"/>
        <v>1570.5577777777778</v>
      </c>
      <c r="AJ94" s="495">
        <v>0</v>
      </c>
      <c r="AK94" s="463">
        <v>0</v>
      </c>
      <c r="AL94" s="640">
        <f t="shared" si="46"/>
        <v>1453336</v>
      </c>
      <c r="AM94" s="641">
        <f t="shared" si="47"/>
        <v>1413502</v>
      </c>
      <c r="AN94" s="495"/>
      <c r="AO94" s="496"/>
      <c r="AP94" s="495"/>
      <c r="AQ94" s="496"/>
      <c r="AR94" s="495"/>
      <c r="AS94" s="496"/>
      <c r="AT94" s="495"/>
      <c r="AU94" s="496"/>
      <c r="AV94" s="640">
        <f t="shared" si="48"/>
        <v>0</v>
      </c>
      <c r="AW94" s="640">
        <f t="shared" si="49"/>
        <v>0</v>
      </c>
      <c r="AX94" s="641">
        <f t="shared" si="50"/>
        <v>0</v>
      </c>
      <c r="AY94" s="641">
        <f t="shared" si="51"/>
        <v>0</v>
      </c>
      <c r="AZ94" s="640">
        <f t="shared" si="52"/>
        <v>42907.717777777776</v>
      </c>
      <c r="BA94" s="641">
        <f t="shared" si="53"/>
        <v>41522.124444444446</v>
      </c>
    </row>
    <row r="95" spans="1:53" s="365" customFormat="1" ht="12.6" customHeight="1">
      <c r="A95" s="416" t="s">
        <v>131</v>
      </c>
      <c r="B95" s="417" t="s">
        <v>825</v>
      </c>
      <c r="C95" s="533"/>
      <c r="D95" s="621">
        <v>136145</v>
      </c>
      <c r="E95" s="498">
        <v>10</v>
      </c>
      <c r="F95" s="495"/>
      <c r="G95" s="496"/>
      <c r="H95" s="495"/>
      <c r="I95" s="496"/>
      <c r="J95" s="495">
        <v>9113</v>
      </c>
      <c r="K95" s="463">
        <v>8827</v>
      </c>
      <c r="L95" s="495">
        <v>3207</v>
      </c>
      <c r="M95" s="463">
        <v>4129</v>
      </c>
      <c r="N95" s="495">
        <v>9612</v>
      </c>
      <c r="O95" s="463">
        <v>9483</v>
      </c>
      <c r="P95" s="640">
        <f t="shared" si="36"/>
        <v>21932</v>
      </c>
      <c r="Q95" s="640">
        <f t="shared" si="37"/>
        <v>731.06666666666672</v>
      </c>
      <c r="R95" s="641">
        <f t="shared" si="38"/>
        <v>22439</v>
      </c>
      <c r="S95" s="641">
        <f t="shared" si="39"/>
        <v>747.9666666666667</v>
      </c>
      <c r="T95" s="495">
        <v>5402</v>
      </c>
      <c r="U95" s="463">
        <v>5641</v>
      </c>
      <c r="V95" s="640">
        <f t="shared" si="40"/>
        <v>21932</v>
      </c>
      <c r="W95" s="641">
        <f t="shared" si="41"/>
        <v>22439</v>
      </c>
      <c r="X95" s="495"/>
      <c r="Y95" s="496"/>
      <c r="Z95" s="495">
        <v>33721</v>
      </c>
      <c r="AA95" s="463">
        <v>25443</v>
      </c>
      <c r="AB95" s="495">
        <v>6640</v>
      </c>
      <c r="AC95" s="463">
        <v>14091</v>
      </c>
      <c r="AD95" s="495">
        <v>19838</v>
      </c>
      <c r="AE95" s="499">
        <v>20121</v>
      </c>
      <c r="AF95" s="640">
        <f t="shared" si="42"/>
        <v>60199</v>
      </c>
      <c r="AG95" s="640">
        <f t="shared" si="43"/>
        <v>66.887777777777771</v>
      </c>
      <c r="AH95" s="641">
        <f t="shared" si="44"/>
        <v>59655</v>
      </c>
      <c r="AI95" s="641">
        <f t="shared" si="45"/>
        <v>66.283333333333331</v>
      </c>
      <c r="AJ95" s="495">
        <v>3150</v>
      </c>
      <c r="AK95" s="463">
        <v>600</v>
      </c>
      <c r="AL95" s="640">
        <f t="shared" si="46"/>
        <v>60199</v>
      </c>
      <c r="AM95" s="641">
        <f t="shared" si="47"/>
        <v>59655</v>
      </c>
      <c r="AN95" s="495"/>
      <c r="AO95" s="496"/>
      <c r="AP95" s="495"/>
      <c r="AQ95" s="496"/>
      <c r="AR95" s="495"/>
      <c r="AS95" s="496"/>
      <c r="AT95" s="495"/>
      <c r="AU95" s="496"/>
      <c r="AV95" s="640">
        <f t="shared" si="48"/>
        <v>0</v>
      </c>
      <c r="AW95" s="640">
        <f t="shared" si="49"/>
        <v>0</v>
      </c>
      <c r="AX95" s="641">
        <f t="shared" si="50"/>
        <v>0</v>
      </c>
      <c r="AY95" s="641">
        <f t="shared" si="51"/>
        <v>0</v>
      </c>
      <c r="AZ95" s="640">
        <f t="shared" si="52"/>
        <v>797.95444444444445</v>
      </c>
      <c r="BA95" s="641">
        <f t="shared" si="53"/>
        <v>814.25</v>
      </c>
    </row>
    <row r="96" spans="1:53" s="365" customFormat="1" ht="12.6" customHeight="1">
      <c r="A96" s="416" t="s">
        <v>131</v>
      </c>
      <c r="B96" s="417" t="s">
        <v>146</v>
      </c>
      <c r="C96" s="533" t="s">
        <v>904</v>
      </c>
      <c r="D96" s="621">
        <v>136233</v>
      </c>
      <c r="E96" s="498">
        <v>7</v>
      </c>
      <c r="F96" s="495"/>
      <c r="G96" s="496"/>
      <c r="H96" s="495"/>
      <c r="I96" s="496"/>
      <c r="J96" s="495">
        <v>44214</v>
      </c>
      <c r="K96" s="463">
        <v>38244</v>
      </c>
      <c r="L96" s="495">
        <v>18349</v>
      </c>
      <c r="M96" s="463">
        <v>14614</v>
      </c>
      <c r="N96" s="495">
        <v>42943</v>
      </c>
      <c r="O96" s="463">
        <v>39106</v>
      </c>
      <c r="P96" s="640">
        <f t="shared" si="36"/>
        <v>105506</v>
      </c>
      <c r="Q96" s="640">
        <f t="shared" si="37"/>
        <v>3516.8666666666668</v>
      </c>
      <c r="R96" s="641">
        <f t="shared" si="38"/>
        <v>91964</v>
      </c>
      <c r="S96" s="641">
        <f t="shared" si="39"/>
        <v>3065.4666666666667</v>
      </c>
      <c r="T96" s="495">
        <v>18485</v>
      </c>
      <c r="U96" s="463">
        <v>17290</v>
      </c>
      <c r="V96" s="640">
        <f t="shared" si="40"/>
        <v>105506</v>
      </c>
      <c r="W96" s="641">
        <f t="shared" si="41"/>
        <v>91964</v>
      </c>
      <c r="X96" s="495"/>
      <c r="Y96" s="496"/>
      <c r="Z96" s="495">
        <v>102523</v>
      </c>
      <c r="AA96" s="463">
        <v>87048</v>
      </c>
      <c r="AB96" s="495">
        <v>7424</v>
      </c>
      <c r="AC96" s="463">
        <v>19434</v>
      </c>
      <c r="AD96" s="495">
        <v>86153</v>
      </c>
      <c r="AE96" s="499">
        <v>62896</v>
      </c>
      <c r="AF96" s="640">
        <f t="shared" si="42"/>
        <v>196100</v>
      </c>
      <c r="AG96" s="640">
        <f t="shared" si="43"/>
        <v>217.88888888888889</v>
      </c>
      <c r="AH96" s="641">
        <f t="shared" si="44"/>
        <v>169378</v>
      </c>
      <c r="AI96" s="641">
        <f t="shared" si="45"/>
        <v>188.19777777777779</v>
      </c>
      <c r="AJ96" s="495">
        <v>0</v>
      </c>
      <c r="AK96" s="463">
        <v>0</v>
      </c>
      <c r="AL96" s="640">
        <f t="shared" si="46"/>
        <v>196100</v>
      </c>
      <c r="AM96" s="641">
        <f t="shared" si="47"/>
        <v>169378</v>
      </c>
      <c r="AN96" s="495"/>
      <c r="AO96" s="496"/>
      <c r="AP96" s="495"/>
      <c r="AQ96" s="496"/>
      <c r="AR96" s="495"/>
      <c r="AS96" s="496"/>
      <c r="AT96" s="495"/>
      <c r="AU96" s="496"/>
      <c r="AV96" s="640">
        <f t="shared" si="48"/>
        <v>0</v>
      </c>
      <c r="AW96" s="640">
        <f t="shared" si="49"/>
        <v>0</v>
      </c>
      <c r="AX96" s="641">
        <f t="shared" si="50"/>
        <v>0</v>
      </c>
      <c r="AY96" s="641">
        <f t="shared" si="51"/>
        <v>0</v>
      </c>
      <c r="AZ96" s="640">
        <f t="shared" si="52"/>
        <v>3734.7555555555555</v>
      </c>
      <c r="BA96" s="641">
        <f t="shared" si="53"/>
        <v>3253.6644444444446</v>
      </c>
    </row>
    <row r="97" spans="1:53" s="365" customFormat="1" ht="12.6" customHeight="1">
      <c r="A97" s="416" t="s">
        <v>131</v>
      </c>
      <c r="B97" s="417" t="s">
        <v>147</v>
      </c>
      <c r="C97" s="533" t="s">
        <v>906</v>
      </c>
      <c r="D97" s="621">
        <v>136358</v>
      </c>
      <c r="E97" s="498">
        <v>7</v>
      </c>
      <c r="F97" s="495"/>
      <c r="G97" s="496"/>
      <c r="H97" s="495"/>
      <c r="I97" s="496"/>
      <c r="J97" s="495">
        <v>220541</v>
      </c>
      <c r="K97" s="463">
        <v>190047</v>
      </c>
      <c r="L97" s="495">
        <v>120964</v>
      </c>
      <c r="M97" s="463">
        <v>104976</v>
      </c>
      <c r="N97" s="495">
        <v>218438</v>
      </c>
      <c r="O97" s="463">
        <v>187939</v>
      </c>
      <c r="P97" s="640">
        <f t="shared" si="36"/>
        <v>559943</v>
      </c>
      <c r="Q97" s="640">
        <f t="shared" si="37"/>
        <v>18664.766666666666</v>
      </c>
      <c r="R97" s="641">
        <f t="shared" si="38"/>
        <v>482962</v>
      </c>
      <c r="S97" s="641">
        <f t="shared" si="39"/>
        <v>16098.733333333334</v>
      </c>
      <c r="T97" s="495">
        <v>39731</v>
      </c>
      <c r="U97" s="463">
        <v>29128</v>
      </c>
      <c r="V97" s="640">
        <f t="shared" si="40"/>
        <v>559943</v>
      </c>
      <c r="W97" s="641">
        <f t="shared" si="41"/>
        <v>482962</v>
      </c>
      <c r="X97" s="495"/>
      <c r="Y97" s="496"/>
      <c r="Z97" s="495">
        <v>517305</v>
      </c>
      <c r="AA97" s="463">
        <v>447415</v>
      </c>
      <c r="AB97" s="495">
        <v>271739</v>
      </c>
      <c r="AC97" s="463">
        <v>264681</v>
      </c>
      <c r="AD97" s="495">
        <v>442577</v>
      </c>
      <c r="AE97" s="499">
        <v>288980</v>
      </c>
      <c r="AF97" s="640">
        <f t="shared" si="42"/>
        <v>1231621</v>
      </c>
      <c r="AG97" s="640">
        <f t="shared" si="43"/>
        <v>1368.4677777777779</v>
      </c>
      <c r="AH97" s="641">
        <f t="shared" si="44"/>
        <v>1001076</v>
      </c>
      <c r="AI97" s="641">
        <f t="shared" si="45"/>
        <v>1112.3066666666666</v>
      </c>
      <c r="AJ97" s="495">
        <v>1920</v>
      </c>
      <c r="AK97" s="463">
        <v>0</v>
      </c>
      <c r="AL97" s="640">
        <f t="shared" si="46"/>
        <v>1231621</v>
      </c>
      <c r="AM97" s="641">
        <f t="shared" si="47"/>
        <v>1001076</v>
      </c>
      <c r="AN97" s="495"/>
      <c r="AO97" s="496"/>
      <c r="AP97" s="495"/>
      <c r="AQ97" s="496"/>
      <c r="AR97" s="495"/>
      <c r="AS97" s="496"/>
      <c r="AT97" s="495"/>
      <c r="AU97" s="496"/>
      <c r="AV97" s="640">
        <f t="shared" si="48"/>
        <v>0</v>
      </c>
      <c r="AW97" s="640">
        <f t="shared" si="49"/>
        <v>0</v>
      </c>
      <c r="AX97" s="641">
        <f t="shared" si="50"/>
        <v>0</v>
      </c>
      <c r="AY97" s="641">
        <f t="shared" si="51"/>
        <v>0</v>
      </c>
      <c r="AZ97" s="640">
        <f t="shared" si="52"/>
        <v>20033.234444444446</v>
      </c>
      <c r="BA97" s="641">
        <f t="shared" si="53"/>
        <v>17211.04</v>
      </c>
    </row>
    <row r="98" spans="1:53" s="365" customFormat="1" ht="12.6" customHeight="1">
      <c r="A98" s="416" t="s">
        <v>131</v>
      </c>
      <c r="B98" s="417" t="s">
        <v>148</v>
      </c>
      <c r="C98" s="533" t="s">
        <v>906</v>
      </c>
      <c r="D98" s="621">
        <v>136400</v>
      </c>
      <c r="E98" s="498">
        <v>7</v>
      </c>
      <c r="F98" s="495"/>
      <c r="G98" s="496"/>
      <c r="H98" s="495"/>
      <c r="I98" s="496"/>
      <c r="J98" s="495">
        <v>92543</v>
      </c>
      <c r="K98" s="463">
        <v>82291</v>
      </c>
      <c r="L98" s="495">
        <v>29752</v>
      </c>
      <c r="M98" s="463">
        <v>26296</v>
      </c>
      <c r="N98" s="495">
        <v>90133</v>
      </c>
      <c r="O98" s="463">
        <v>78008</v>
      </c>
      <c r="P98" s="640">
        <f t="shared" si="36"/>
        <v>212428</v>
      </c>
      <c r="Q98" s="640">
        <f t="shared" si="37"/>
        <v>7080.9333333333334</v>
      </c>
      <c r="R98" s="641">
        <f t="shared" si="38"/>
        <v>186595</v>
      </c>
      <c r="S98" s="641">
        <f t="shared" si="39"/>
        <v>6219.833333333333</v>
      </c>
      <c r="T98" s="495">
        <v>37152</v>
      </c>
      <c r="U98" s="463">
        <v>35354</v>
      </c>
      <c r="V98" s="640">
        <f t="shared" si="40"/>
        <v>212428</v>
      </c>
      <c r="W98" s="641">
        <f t="shared" si="41"/>
        <v>186595</v>
      </c>
      <c r="X98" s="495"/>
      <c r="Y98" s="496"/>
      <c r="Z98" s="495">
        <v>114435</v>
      </c>
      <c r="AA98" s="463">
        <v>97351</v>
      </c>
      <c r="AB98" s="495">
        <v>12446</v>
      </c>
      <c r="AC98" s="463">
        <v>52552</v>
      </c>
      <c r="AD98" s="495">
        <v>59344</v>
      </c>
      <c r="AE98" s="499">
        <v>104080</v>
      </c>
      <c r="AF98" s="640">
        <f t="shared" si="42"/>
        <v>186225</v>
      </c>
      <c r="AG98" s="640">
        <f t="shared" si="43"/>
        <v>206.91666666666666</v>
      </c>
      <c r="AH98" s="641">
        <f t="shared" si="44"/>
        <v>253983</v>
      </c>
      <c r="AI98" s="641">
        <f t="shared" si="45"/>
        <v>282.20333333333332</v>
      </c>
      <c r="AJ98" s="495">
        <v>2100</v>
      </c>
      <c r="AK98" s="463">
        <v>4650</v>
      </c>
      <c r="AL98" s="640">
        <f t="shared" si="46"/>
        <v>186225</v>
      </c>
      <c r="AM98" s="641">
        <f t="shared" si="47"/>
        <v>253983</v>
      </c>
      <c r="AN98" s="495"/>
      <c r="AO98" s="496"/>
      <c r="AP98" s="495"/>
      <c r="AQ98" s="496"/>
      <c r="AR98" s="495"/>
      <c r="AS98" s="496"/>
      <c r="AT98" s="495"/>
      <c r="AU98" s="496"/>
      <c r="AV98" s="640">
        <f t="shared" si="48"/>
        <v>0</v>
      </c>
      <c r="AW98" s="640">
        <f t="shared" si="49"/>
        <v>0</v>
      </c>
      <c r="AX98" s="641">
        <f t="shared" si="50"/>
        <v>0</v>
      </c>
      <c r="AY98" s="641">
        <f t="shared" si="51"/>
        <v>0</v>
      </c>
      <c r="AZ98" s="640">
        <f t="shared" si="52"/>
        <v>7287.85</v>
      </c>
      <c r="BA98" s="641">
        <f t="shared" si="53"/>
        <v>6502.036666666666</v>
      </c>
    </row>
    <row r="99" spans="1:53" s="365" customFormat="1" ht="12.6" customHeight="1">
      <c r="A99" s="416" t="s">
        <v>131</v>
      </c>
      <c r="B99" s="417" t="s">
        <v>149</v>
      </c>
      <c r="C99" s="533" t="s">
        <v>906</v>
      </c>
      <c r="D99" s="621">
        <v>136473</v>
      </c>
      <c r="E99" s="498">
        <v>7</v>
      </c>
      <c r="F99" s="495"/>
      <c r="G99" s="496"/>
      <c r="H99" s="495"/>
      <c r="I99" s="496"/>
      <c r="J99" s="495">
        <v>77997</v>
      </c>
      <c r="K99" s="463">
        <v>69489</v>
      </c>
      <c r="L99" s="495">
        <v>30648</v>
      </c>
      <c r="M99" s="463">
        <v>28449</v>
      </c>
      <c r="N99" s="495">
        <v>78284</v>
      </c>
      <c r="O99" s="463">
        <v>73022</v>
      </c>
      <c r="P99" s="640">
        <f t="shared" si="36"/>
        <v>186929</v>
      </c>
      <c r="Q99" s="640">
        <f t="shared" si="37"/>
        <v>6230.9666666666662</v>
      </c>
      <c r="R99" s="641">
        <f t="shared" si="38"/>
        <v>170960</v>
      </c>
      <c r="S99" s="641">
        <f t="shared" si="39"/>
        <v>5698.666666666667</v>
      </c>
      <c r="T99" s="495">
        <v>26065</v>
      </c>
      <c r="U99" s="463">
        <v>22988</v>
      </c>
      <c r="V99" s="640">
        <f t="shared" si="40"/>
        <v>186929</v>
      </c>
      <c r="W99" s="641">
        <f t="shared" si="41"/>
        <v>170960</v>
      </c>
      <c r="X99" s="495"/>
      <c r="Y99" s="496"/>
      <c r="Z99" s="495">
        <v>173412</v>
      </c>
      <c r="AA99" s="463">
        <v>130486</v>
      </c>
      <c r="AB99" s="495">
        <v>64278</v>
      </c>
      <c r="AC99" s="463">
        <v>66019</v>
      </c>
      <c r="AD99" s="495">
        <v>133087</v>
      </c>
      <c r="AE99" s="499">
        <v>147858</v>
      </c>
      <c r="AF99" s="640">
        <f t="shared" si="42"/>
        <v>370777</v>
      </c>
      <c r="AG99" s="640">
        <f t="shared" si="43"/>
        <v>411.97444444444443</v>
      </c>
      <c r="AH99" s="641">
        <f t="shared" si="44"/>
        <v>344363</v>
      </c>
      <c r="AI99" s="641">
        <f t="shared" si="45"/>
        <v>382.62555555555554</v>
      </c>
      <c r="AJ99" s="495">
        <v>2700</v>
      </c>
      <c r="AK99" s="463">
        <v>375</v>
      </c>
      <c r="AL99" s="640">
        <f t="shared" si="46"/>
        <v>370777</v>
      </c>
      <c r="AM99" s="641">
        <f t="shared" si="47"/>
        <v>344363</v>
      </c>
      <c r="AN99" s="495"/>
      <c r="AO99" s="496"/>
      <c r="AP99" s="495"/>
      <c r="AQ99" s="496"/>
      <c r="AR99" s="495"/>
      <c r="AS99" s="496"/>
      <c r="AT99" s="495"/>
      <c r="AU99" s="496"/>
      <c r="AV99" s="640">
        <f t="shared" si="48"/>
        <v>0</v>
      </c>
      <c r="AW99" s="640">
        <f t="shared" si="49"/>
        <v>0</v>
      </c>
      <c r="AX99" s="641">
        <f t="shared" si="50"/>
        <v>0</v>
      </c>
      <c r="AY99" s="641">
        <f t="shared" si="51"/>
        <v>0</v>
      </c>
      <c r="AZ99" s="640">
        <f t="shared" si="52"/>
        <v>6642.9411111111103</v>
      </c>
      <c r="BA99" s="641">
        <f t="shared" si="53"/>
        <v>6081.2922222222223</v>
      </c>
    </row>
    <row r="100" spans="1:53" s="365" customFormat="1" ht="12.6" customHeight="1">
      <c r="A100" s="416" t="s">
        <v>131</v>
      </c>
      <c r="B100" s="417" t="s">
        <v>150</v>
      </c>
      <c r="C100" s="533" t="s">
        <v>906</v>
      </c>
      <c r="D100" s="621">
        <v>136516</v>
      </c>
      <c r="E100" s="498">
        <v>7</v>
      </c>
      <c r="F100" s="495"/>
      <c r="G100" s="496"/>
      <c r="H100" s="495"/>
      <c r="I100" s="496"/>
      <c r="J100" s="495">
        <v>79005</v>
      </c>
      <c r="K100" s="463">
        <v>69011</v>
      </c>
      <c r="L100" s="495">
        <v>31004</v>
      </c>
      <c r="M100" s="463">
        <v>25395</v>
      </c>
      <c r="N100" s="495">
        <v>80269</v>
      </c>
      <c r="O100" s="463">
        <v>71739</v>
      </c>
      <c r="P100" s="640">
        <f t="shared" si="36"/>
        <v>190278</v>
      </c>
      <c r="Q100" s="640">
        <f t="shared" si="37"/>
        <v>6342.6</v>
      </c>
      <c r="R100" s="641">
        <f t="shared" si="38"/>
        <v>166145</v>
      </c>
      <c r="S100" s="641">
        <f t="shared" si="39"/>
        <v>5538.166666666667</v>
      </c>
      <c r="T100" s="495">
        <v>21372</v>
      </c>
      <c r="U100" s="463">
        <v>17314</v>
      </c>
      <c r="V100" s="640">
        <f t="shared" si="40"/>
        <v>190278</v>
      </c>
      <c r="W100" s="641">
        <f t="shared" si="41"/>
        <v>166145</v>
      </c>
      <c r="X100" s="495"/>
      <c r="Y100" s="496"/>
      <c r="Z100" s="495">
        <v>29514</v>
      </c>
      <c r="AA100" s="463">
        <v>21374</v>
      </c>
      <c r="AB100" s="495">
        <v>14739</v>
      </c>
      <c r="AC100" s="463">
        <v>24685</v>
      </c>
      <c r="AD100" s="495">
        <v>36752</v>
      </c>
      <c r="AE100" s="499">
        <v>41100</v>
      </c>
      <c r="AF100" s="640">
        <f t="shared" si="42"/>
        <v>81005</v>
      </c>
      <c r="AG100" s="640">
        <f t="shared" si="43"/>
        <v>90.00555555555556</v>
      </c>
      <c r="AH100" s="641">
        <f t="shared" si="44"/>
        <v>87159</v>
      </c>
      <c r="AI100" s="641">
        <f t="shared" si="45"/>
        <v>96.843333333333334</v>
      </c>
      <c r="AJ100" s="495">
        <v>0</v>
      </c>
      <c r="AK100" s="463">
        <v>0</v>
      </c>
      <c r="AL100" s="640">
        <f t="shared" si="46"/>
        <v>81005</v>
      </c>
      <c r="AM100" s="641">
        <f t="shared" si="47"/>
        <v>87159</v>
      </c>
      <c r="AN100" s="495"/>
      <c r="AO100" s="496"/>
      <c r="AP100" s="495"/>
      <c r="AQ100" s="496"/>
      <c r="AR100" s="495"/>
      <c r="AS100" s="496"/>
      <c r="AT100" s="495"/>
      <c r="AU100" s="496"/>
      <c r="AV100" s="640">
        <f t="shared" si="48"/>
        <v>0</v>
      </c>
      <c r="AW100" s="640">
        <f t="shared" si="49"/>
        <v>0</v>
      </c>
      <c r="AX100" s="641">
        <f t="shared" si="50"/>
        <v>0</v>
      </c>
      <c r="AY100" s="641">
        <f t="shared" si="51"/>
        <v>0</v>
      </c>
      <c r="AZ100" s="640">
        <f t="shared" si="52"/>
        <v>6432.6055555555558</v>
      </c>
      <c r="BA100" s="641">
        <f t="shared" si="53"/>
        <v>5635.01</v>
      </c>
    </row>
    <row r="101" spans="1:53" s="365" customFormat="1" ht="12.6" customHeight="1">
      <c r="A101" s="416" t="s">
        <v>131</v>
      </c>
      <c r="B101" s="417" t="s">
        <v>151</v>
      </c>
      <c r="C101" s="533" t="s">
        <v>904</v>
      </c>
      <c r="D101" s="621">
        <v>137281</v>
      </c>
      <c r="E101" s="498">
        <v>7</v>
      </c>
      <c r="F101" s="495"/>
      <c r="G101" s="496"/>
      <c r="H101" s="495"/>
      <c r="I101" s="496"/>
      <c r="J101" s="495">
        <v>53848</v>
      </c>
      <c r="K101" s="463">
        <v>49330</v>
      </c>
      <c r="L101" s="495">
        <v>22640</v>
      </c>
      <c r="M101" s="463">
        <v>18979</v>
      </c>
      <c r="N101" s="495">
        <v>56936</v>
      </c>
      <c r="O101" s="463">
        <v>52192</v>
      </c>
      <c r="P101" s="640">
        <f t="shared" si="36"/>
        <v>133424</v>
      </c>
      <c r="Q101" s="640">
        <f t="shared" si="37"/>
        <v>4447.4666666666662</v>
      </c>
      <c r="R101" s="641">
        <f t="shared" si="38"/>
        <v>120501</v>
      </c>
      <c r="S101" s="641">
        <f t="shared" si="39"/>
        <v>4016.7</v>
      </c>
      <c r="T101" s="495">
        <v>36232</v>
      </c>
      <c r="U101" s="463">
        <v>34913</v>
      </c>
      <c r="V101" s="640">
        <f t="shared" si="40"/>
        <v>133424</v>
      </c>
      <c r="W101" s="641">
        <f t="shared" si="41"/>
        <v>120501</v>
      </c>
      <c r="X101" s="495"/>
      <c r="Y101" s="496"/>
      <c r="Z101" s="495">
        <v>45624</v>
      </c>
      <c r="AA101" s="463">
        <v>47400</v>
      </c>
      <c r="AB101" s="495">
        <v>20984</v>
      </c>
      <c r="AC101" s="463">
        <v>17310</v>
      </c>
      <c r="AD101" s="495">
        <v>26343</v>
      </c>
      <c r="AE101" s="499">
        <v>47008</v>
      </c>
      <c r="AF101" s="640">
        <f t="shared" si="42"/>
        <v>92951</v>
      </c>
      <c r="AG101" s="640">
        <f t="shared" si="43"/>
        <v>103.27888888888889</v>
      </c>
      <c r="AH101" s="641">
        <f t="shared" si="44"/>
        <v>111718</v>
      </c>
      <c r="AI101" s="641">
        <f t="shared" si="45"/>
        <v>124.13111111111111</v>
      </c>
      <c r="AJ101" s="495">
        <v>1320</v>
      </c>
      <c r="AK101" s="463">
        <v>1920</v>
      </c>
      <c r="AL101" s="640">
        <f t="shared" si="46"/>
        <v>92951</v>
      </c>
      <c r="AM101" s="641">
        <f t="shared" si="47"/>
        <v>111718</v>
      </c>
      <c r="AN101" s="495"/>
      <c r="AO101" s="496"/>
      <c r="AP101" s="495"/>
      <c r="AQ101" s="496"/>
      <c r="AR101" s="495"/>
      <c r="AS101" s="496"/>
      <c r="AT101" s="495"/>
      <c r="AU101" s="496"/>
      <c r="AV101" s="640">
        <f t="shared" si="48"/>
        <v>0</v>
      </c>
      <c r="AW101" s="640">
        <f t="shared" si="49"/>
        <v>0</v>
      </c>
      <c r="AX101" s="641">
        <f t="shared" si="50"/>
        <v>0</v>
      </c>
      <c r="AY101" s="641">
        <f t="shared" si="51"/>
        <v>0</v>
      </c>
      <c r="AZ101" s="640">
        <f t="shared" si="52"/>
        <v>4550.7455555555553</v>
      </c>
      <c r="BA101" s="641">
        <f t="shared" si="53"/>
        <v>4140.8311111111107</v>
      </c>
    </row>
    <row r="102" spans="1:53" s="365" customFormat="1" ht="12.6" customHeight="1">
      <c r="A102" s="416" t="s">
        <v>131</v>
      </c>
      <c r="B102" s="417" t="s">
        <v>152</v>
      </c>
      <c r="C102" s="533" t="s">
        <v>906</v>
      </c>
      <c r="D102" s="621">
        <v>137078</v>
      </c>
      <c r="E102" s="498">
        <v>7</v>
      </c>
      <c r="F102" s="495"/>
      <c r="G102" s="496"/>
      <c r="H102" s="495"/>
      <c r="I102" s="496"/>
      <c r="J102" s="495">
        <v>224398</v>
      </c>
      <c r="K102" s="463">
        <v>201353</v>
      </c>
      <c r="L102" s="495">
        <v>82899</v>
      </c>
      <c r="M102" s="463">
        <v>72901</v>
      </c>
      <c r="N102" s="495">
        <v>215624</v>
      </c>
      <c r="O102" s="463">
        <v>195771</v>
      </c>
      <c r="P102" s="640">
        <f t="shared" si="36"/>
        <v>522921</v>
      </c>
      <c r="Q102" s="640">
        <f t="shared" si="37"/>
        <v>17430.7</v>
      </c>
      <c r="R102" s="641">
        <f t="shared" si="38"/>
        <v>470025</v>
      </c>
      <c r="S102" s="641">
        <f t="shared" si="39"/>
        <v>15667.5</v>
      </c>
      <c r="T102" s="495">
        <v>45611</v>
      </c>
      <c r="U102" s="463">
        <v>43118</v>
      </c>
      <c r="V102" s="640">
        <f t="shared" si="40"/>
        <v>522921</v>
      </c>
      <c r="W102" s="641">
        <f t="shared" si="41"/>
        <v>470025</v>
      </c>
      <c r="X102" s="495"/>
      <c r="Y102" s="496"/>
      <c r="Z102" s="495">
        <v>68153</v>
      </c>
      <c r="AA102" s="463">
        <v>103622</v>
      </c>
      <c r="AB102" s="495">
        <v>37279</v>
      </c>
      <c r="AC102" s="463">
        <v>46427</v>
      </c>
      <c r="AD102" s="495">
        <v>79586</v>
      </c>
      <c r="AE102" s="499">
        <v>92243</v>
      </c>
      <c r="AF102" s="640">
        <f t="shared" si="42"/>
        <v>185018</v>
      </c>
      <c r="AG102" s="640">
        <f t="shared" si="43"/>
        <v>205.57555555555555</v>
      </c>
      <c r="AH102" s="641">
        <f t="shared" si="44"/>
        <v>242292</v>
      </c>
      <c r="AI102" s="641">
        <f t="shared" si="45"/>
        <v>269.21333333333331</v>
      </c>
      <c r="AJ102" s="495">
        <v>0</v>
      </c>
      <c r="AK102" s="463">
        <v>0</v>
      </c>
      <c r="AL102" s="640">
        <f t="shared" si="46"/>
        <v>185018</v>
      </c>
      <c r="AM102" s="641">
        <f t="shared" si="47"/>
        <v>242292</v>
      </c>
      <c r="AN102" s="495"/>
      <c r="AO102" s="496"/>
      <c r="AP102" s="495"/>
      <c r="AQ102" s="496"/>
      <c r="AR102" s="495"/>
      <c r="AS102" s="496"/>
      <c r="AT102" s="495"/>
      <c r="AU102" s="496"/>
      <c r="AV102" s="640">
        <f t="shared" si="48"/>
        <v>0</v>
      </c>
      <c r="AW102" s="640">
        <f t="shared" si="49"/>
        <v>0</v>
      </c>
      <c r="AX102" s="641">
        <f t="shared" si="50"/>
        <v>0</v>
      </c>
      <c r="AY102" s="641">
        <f t="shared" si="51"/>
        <v>0</v>
      </c>
      <c r="AZ102" s="640">
        <f t="shared" si="52"/>
        <v>17636.275555555556</v>
      </c>
      <c r="BA102" s="641">
        <f t="shared" si="53"/>
        <v>15936.713333333333</v>
      </c>
    </row>
    <row r="103" spans="1:53" s="365" customFormat="1" ht="12.6" customHeight="1">
      <c r="A103" s="416" t="s">
        <v>131</v>
      </c>
      <c r="B103" s="417" t="s">
        <v>153</v>
      </c>
      <c r="C103" s="533" t="s">
        <v>906</v>
      </c>
      <c r="D103" s="621">
        <v>137096</v>
      </c>
      <c r="E103" s="498">
        <v>7</v>
      </c>
      <c r="F103" s="495"/>
      <c r="G103" s="496"/>
      <c r="H103" s="495"/>
      <c r="I103" s="496"/>
      <c r="J103" s="495">
        <v>118747</v>
      </c>
      <c r="K103" s="463">
        <v>104901</v>
      </c>
      <c r="L103" s="495">
        <v>48120</v>
      </c>
      <c r="M103" s="463">
        <v>44030</v>
      </c>
      <c r="N103" s="495">
        <v>122669</v>
      </c>
      <c r="O103" s="463">
        <v>116327</v>
      </c>
      <c r="P103" s="640">
        <f t="shared" si="36"/>
        <v>289536</v>
      </c>
      <c r="Q103" s="640">
        <f t="shared" si="37"/>
        <v>9651.2000000000007</v>
      </c>
      <c r="R103" s="641">
        <f t="shared" si="38"/>
        <v>265258</v>
      </c>
      <c r="S103" s="641">
        <f t="shared" si="39"/>
        <v>8841.9333333333325</v>
      </c>
      <c r="T103" s="495">
        <v>18539</v>
      </c>
      <c r="U103" s="463">
        <v>13615</v>
      </c>
      <c r="V103" s="640">
        <f t="shared" si="40"/>
        <v>289536</v>
      </c>
      <c r="W103" s="641">
        <f t="shared" si="41"/>
        <v>265258</v>
      </c>
      <c r="X103" s="495"/>
      <c r="Y103" s="496"/>
      <c r="Z103" s="495">
        <v>288901</v>
      </c>
      <c r="AA103" s="463">
        <v>238989</v>
      </c>
      <c r="AB103" s="495">
        <v>154479</v>
      </c>
      <c r="AC103" s="463">
        <v>190649</v>
      </c>
      <c r="AD103" s="495">
        <v>243304</v>
      </c>
      <c r="AE103" s="499">
        <v>267884</v>
      </c>
      <c r="AF103" s="640">
        <f t="shared" si="42"/>
        <v>686684</v>
      </c>
      <c r="AG103" s="640">
        <f t="shared" si="43"/>
        <v>762.98222222222228</v>
      </c>
      <c r="AH103" s="641">
        <f t="shared" si="44"/>
        <v>697522</v>
      </c>
      <c r="AI103" s="641">
        <f t="shared" si="45"/>
        <v>775.0244444444445</v>
      </c>
      <c r="AJ103" s="495">
        <v>2118</v>
      </c>
      <c r="AK103" s="463">
        <v>0</v>
      </c>
      <c r="AL103" s="640">
        <f t="shared" si="46"/>
        <v>686684</v>
      </c>
      <c r="AM103" s="641">
        <f t="shared" si="47"/>
        <v>697522</v>
      </c>
      <c r="AN103" s="495"/>
      <c r="AO103" s="496"/>
      <c r="AP103" s="495"/>
      <c r="AQ103" s="496"/>
      <c r="AR103" s="495"/>
      <c r="AS103" s="496"/>
      <c r="AT103" s="495"/>
      <c r="AU103" s="496"/>
      <c r="AV103" s="640">
        <f t="shared" si="48"/>
        <v>0</v>
      </c>
      <c r="AW103" s="640">
        <f t="shared" si="49"/>
        <v>0</v>
      </c>
      <c r="AX103" s="641">
        <f t="shared" si="50"/>
        <v>0</v>
      </c>
      <c r="AY103" s="641">
        <f t="shared" si="51"/>
        <v>0</v>
      </c>
      <c r="AZ103" s="640">
        <f t="shared" si="52"/>
        <v>10414.182222222224</v>
      </c>
      <c r="BA103" s="641">
        <f t="shared" si="53"/>
        <v>9616.9577777777777</v>
      </c>
    </row>
    <row r="104" spans="1:53" s="365" customFormat="1" ht="12.6" customHeight="1">
      <c r="A104" s="416" t="s">
        <v>131</v>
      </c>
      <c r="B104" s="417" t="s">
        <v>154</v>
      </c>
      <c r="C104" s="533" t="s">
        <v>906</v>
      </c>
      <c r="D104" s="621">
        <v>137209</v>
      </c>
      <c r="E104" s="498">
        <v>7</v>
      </c>
      <c r="F104" s="495"/>
      <c r="G104" s="496"/>
      <c r="H104" s="495"/>
      <c r="I104" s="496"/>
      <c r="J104" s="495">
        <v>132321</v>
      </c>
      <c r="K104" s="463">
        <v>118518</v>
      </c>
      <c r="L104" s="495">
        <v>67365</v>
      </c>
      <c r="M104" s="463">
        <v>60728</v>
      </c>
      <c r="N104" s="495">
        <v>132878</v>
      </c>
      <c r="O104" s="463">
        <v>124703</v>
      </c>
      <c r="P104" s="640">
        <f t="shared" si="36"/>
        <v>332564</v>
      </c>
      <c r="Q104" s="640">
        <f t="shared" si="37"/>
        <v>11085.466666666667</v>
      </c>
      <c r="R104" s="641">
        <f t="shared" si="38"/>
        <v>303949</v>
      </c>
      <c r="S104" s="641">
        <f t="shared" si="39"/>
        <v>10131.633333333333</v>
      </c>
      <c r="T104" s="495">
        <v>19486</v>
      </c>
      <c r="U104" s="463">
        <v>21380</v>
      </c>
      <c r="V104" s="640">
        <f t="shared" si="40"/>
        <v>332564</v>
      </c>
      <c r="W104" s="641">
        <f t="shared" si="41"/>
        <v>303949</v>
      </c>
      <c r="X104" s="495"/>
      <c r="Y104" s="496"/>
      <c r="Z104" s="495">
        <v>596078</v>
      </c>
      <c r="AA104" s="463">
        <v>468116</v>
      </c>
      <c r="AB104" s="495">
        <v>413902</v>
      </c>
      <c r="AC104" s="463">
        <v>347676</v>
      </c>
      <c r="AD104" s="495">
        <v>464010</v>
      </c>
      <c r="AE104" s="499">
        <v>280296</v>
      </c>
      <c r="AF104" s="640">
        <f t="shared" si="42"/>
        <v>1473990</v>
      </c>
      <c r="AG104" s="640">
        <f t="shared" si="43"/>
        <v>1637.7666666666667</v>
      </c>
      <c r="AH104" s="641">
        <f t="shared" si="44"/>
        <v>1096088</v>
      </c>
      <c r="AI104" s="641">
        <f t="shared" si="45"/>
        <v>1217.8755555555556</v>
      </c>
      <c r="AJ104" s="495">
        <v>0</v>
      </c>
      <c r="AK104" s="463">
        <v>0</v>
      </c>
      <c r="AL104" s="640">
        <f t="shared" si="46"/>
        <v>1473990</v>
      </c>
      <c r="AM104" s="641">
        <f t="shared" si="47"/>
        <v>1096088</v>
      </c>
      <c r="AN104" s="495"/>
      <c r="AO104" s="496"/>
      <c r="AP104" s="495"/>
      <c r="AQ104" s="496"/>
      <c r="AR104" s="495"/>
      <c r="AS104" s="496"/>
      <c r="AT104" s="495"/>
      <c r="AU104" s="496"/>
      <c r="AV104" s="640">
        <f t="shared" si="48"/>
        <v>0</v>
      </c>
      <c r="AW104" s="640">
        <f t="shared" si="49"/>
        <v>0</v>
      </c>
      <c r="AX104" s="641">
        <f t="shared" si="50"/>
        <v>0</v>
      </c>
      <c r="AY104" s="641">
        <f t="shared" si="51"/>
        <v>0</v>
      </c>
      <c r="AZ104" s="640">
        <f t="shared" si="52"/>
        <v>12723.233333333334</v>
      </c>
      <c r="BA104" s="641">
        <f t="shared" si="53"/>
        <v>11349.508888888889</v>
      </c>
    </row>
    <row r="105" spans="1:53" s="365" customFormat="1" ht="12.6" customHeight="1">
      <c r="A105" s="416" t="s">
        <v>131</v>
      </c>
      <c r="B105" s="417" t="s">
        <v>155</v>
      </c>
      <c r="C105" s="533" t="s">
        <v>904</v>
      </c>
      <c r="D105" s="621">
        <v>137315</v>
      </c>
      <c r="E105" s="498">
        <v>7</v>
      </c>
      <c r="F105" s="495"/>
      <c r="G105" s="496"/>
      <c r="H105" s="495"/>
      <c r="I105" s="496"/>
      <c r="J105" s="495">
        <v>19465</v>
      </c>
      <c r="K105" s="463">
        <v>20308</v>
      </c>
      <c r="L105" s="495">
        <v>6124</v>
      </c>
      <c r="M105" s="463">
        <v>6670</v>
      </c>
      <c r="N105" s="495">
        <v>22581</v>
      </c>
      <c r="O105" s="463">
        <v>22036</v>
      </c>
      <c r="P105" s="640">
        <f t="shared" si="36"/>
        <v>48170</v>
      </c>
      <c r="Q105" s="640">
        <f t="shared" si="37"/>
        <v>1605.6666666666667</v>
      </c>
      <c r="R105" s="641">
        <f t="shared" si="38"/>
        <v>49014</v>
      </c>
      <c r="S105" s="641">
        <f t="shared" si="39"/>
        <v>1633.8</v>
      </c>
      <c r="T105" s="495">
        <v>9093</v>
      </c>
      <c r="U105" s="463">
        <v>10353</v>
      </c>
      <c r="V105" s="640">
        <f t="shared" si="40"/>
        <v>48170</v>
      </c>
      <c r="W105" s="641">
        <f t="shared" si="41"/>
        <v>49014</v>
      </c>
      <c r="X105" s="495"/>
      <c r="Y105" s="496"/>
      <c r="Z105" s="495">
        <v>283005</v>
      </c>
      <c r="AA105" s="463">
        <v>243547</v>
      </c>
      <c r="AB105" s="495">
        <v>92292</v>
      </c>
      <c r="AC105" s="463">
        <v>106762</v>
      </c>
      <c r="AD105" s="495">
        <v>286330</v>
      </c>
      <c r="AE105" s="499">
        <v>263225</v>
      </c>
      <c r="AF105" s="640">
        <f t="shared" si="42"/>
        <v>661627</v>
      </c>
      <c r="AG105" s="640">
        <f t="shared" si="43"/>
        <v>735.14111111111106</v>
      </c>
      <c r="AH105" s="641">
        <f t="shared" si="44"/>
        <v>613534</v>
      </c>
      <c r="AI105" s="641">
        <f t="shared" si="45"/>
        <v>681.70444444444445</v>
      </c>
      <c r="AJ105" s="495">
        <v>66660</v>
      </c>
      <c r="AK105" s="463">
        <v>61310</v>
      </c>
      <c r="AL105" s="640">
        <f t="shared" si="46"/>
        <v>661627</v>
      </c>
      <c r="AM105" s="641">
        <f t="shared" si="47"/>
        <v>613534</v>
      </c>
      <c r="AN105" s="495"/>
      <c r="AO105" s="496"/>
      <c r="AP105" s="495"/>
      <c r="AQ105" s="496"/>
      <c r="AR105" s="495"/>
      <c r="AS105" s="496"/>
      <c r="AT105" s="495"/>
      <c r="AU105" s="496"/>
      <c r="AV105" s="640">
        <f t="shared" si="48"/>
        <v>0</v>
      </c>
      <c r="AW105" s="640">
        <f t="shared" si="49"/>
        <v>0</v>
      </c>
      <c r="AX105" s="641">
        <f t="shared" si="50"/>
        <v>0</v>
      </c>
      <c r="AY105" s="641">
        <f t="shared" si="51"/>
        <v>0</v>
      </c>
      <c r="AZ105" s="640">
        <f t="shared" si="52"/>
        <v>2340.807777777778</v>
      </c>
      <c r="BA105" s="641">
        <f t="shared" si="53"/>
        <v>2315.5044444444443</v>
      </c>
    </row>
    <row r="106" spans="1:53" s="365" customFormat="1" ht="12.6" customHeight="1">
      <c r="A106" s="416" t="s">
        <v>131</v>
      </c>
      <c r="B106" s="417" t="s">
        <v>156</v>
      </c>
      <c r="C106" s="533"/>
      <c r="D106" s="621">
        <v>137759</v>
      </c>
      <c r="E106" s="498">
        <v>8</v>
      </c>
      <c r="F106" s="495"/>
      <c r="G106" s="496"/>
      <c r="H106" s="495"/>
      <c r="I106" s="496"/>
      <c r="J106" s="495">
        <v>99273</v>
      </c>
      <c r="K106" s="463">
        <v>97334</v>
      </c>
      <c r="L106" s="495">
        <v>42609</v>
      </c>
      <c r="M106" s="463">
        <v>42465</v>
      </c>
      <c r="N106" s="495">
        <v>110866</v>
      </c>
      <c r="O106" s="463">
        <v>120423</v>
      </c>
      <c r="P106" s="640">
        <f t="shared" si="36"/>
        <v>252748</v>
      </c>
      <c r="Q106" s="640">
        <f t="shared" si="37"/>
        <v>8424.9333333333325</v>
      </c>
      <c r="R106" s="641">
        <f t="shared" si="38"/>
        <v>260222</v>
      </c>
      <c r="S106" s="641">
        <f t="shared" si="39"/>
        <v>8674.0666666666675</v>
      </c>
      <c r="T106" s="495">
        <v>10903</v>
      </c>
      <c r="U106" s="463">
        <v>12286</v>
      </c>
      <c r="V106" s="640">
        <f t="shared" si="40"/>
        <v>252748</v>
      </c>
      <c r="W106" s="641">
        <f t="shared" si="41"/>
        <v>260222</v>
      </c>
      <c r="X106" s="495"/>
      <c r="Y106" s="496"/>
      <c r="Z106" s="495">
        <v>135526</v>
      </c>
      <c r="AA106" s="463">
        <v>81776</v>
      </c>
      <c r="AB106" s="495">
        <v>5170</v>
      </c>
      <c r="AC106" s="463">
        <v>56539</v>
      </c>
      <c r="AD106" s="495">
        <v>127392</v>
      </c>
      <c r="AE106" s="499">
        <v>150527</v>
      </c>
      <c r="AF106" s="640">
        <f t="shared" si="42"/>
        <v>268088</v>
      </c>
      <c r="AG106" s="640">
        <f t="shared" si="43"/>
        <v>297.87555555555554</v>
      </c>
      <c r="AH106" s="641">
        <f t="shared" si="44"/>
        <v>288842</v>
      </c>
      <c r="AI106" s="641">
        <f t="shared" si="45"/>
        <v>320.93555555555554</v>
      </c>
      <c r="AJ106" s="495">
        <v>0</v>
      </c>
      <c r="AK106" s="463">
        <v>0</v>
      </c>
      <c r="AL106" s="640">
        <f t="shared" si="46"/>
        <v>268088</v>
      </c>
      <c r="AM106" s="641">
        <f t="shared" si="47"/>
        <v>288842</v>
      </c>
      <c r="AN106" s="495"/>
      <c r="AO106" s="496"/>
      <c r="AP106" s="495"/>
      <c r="AQ106" s="496"/>
      <c r="AR106" s="495"/>
      <c r="AS106" s="496"/>
      <c r="AT106" s="495"/>
      <c r="AU106" s="496"/>
      <c r="AV106" s="640">
        <f t="shared" si="48"/>
        <v>0</v>
      </c>
      <c r="AW106" s="640">
        <f t="shared" si="49"/>
        <v>0</v>
      </c>
      <c r="AX106" s="641">
        <f t="shared" si="50"/>
        <v>0</v>
      </c>
      <c r="AY106" s="641">
        <f t="shared" si="51"/>
        <v>0</v>
      </c>
      <c r="AZ106" s="640">
        <f t="shared" si="52"/>
        <v>8722.8088888888888</v>
      </c>
      <c r="BA106" s="641">
        <f t="shared" si="53"/>
        <v>8995.0022222222233</v>
      </c>
    </row>
    <row r="107" spans="1:53" s="365" customFormat="1" ht="12.6" customHeight="1">
      <c r="A107" s="416" t="s">
        <v>131</v>
      </c>
      <c r="B107" s="417" t="s">
        <v>157</v>
      </c>
      <c r="C107" s="533" t="s">
        <v>906</v>
      </c>
      <c r="D107" s="621">
        <v>138187</v>
      </c>
      <c r="E107" s="498">
        <v>7</v>
      </c>
      <c r="F107" s="495"/>
      <c r="G107" s="496"/>
      <c r="H107" s="495"/>
      <c r="I107" s="496"/>
      <c r="J107" s="495">
        <v>389871</v>
      </c>
      <c r="K107" s="463">
        <v>382987</v>
      </c>
      <c r="L107" s="495">
        <v>207915</v>
      </c>
      <c r="M107" s="463">
        <v>177945</v>
      </c>
      <c r="N107" s="495">
        <v>429906</v>
      </c>
      <c r="O107" s="463">
        <v>385193</v>
      </c>
      <c r="P107" s="640">
        <f t="shared" si="36"/>
        <v>1027692</v>
      </c>
      <c r="Q107" s="640">
        <f t="shared" si="37"/>
        <v>34256.400000000001</v>
      </c>
      <c r="R107" s="641">
        <f t="shared" si="38"/>
        <v>946125</v>
      </c>
      <c r="S107" s="641">
        <f t="shared" si="39"/>
        <v>31537.5</v>
      </c>
      <c r="T107" s="495">
        <v>111499</v>
      </c>
      <c r="U107" s="463">
        <v>100095</v>
      </c>
      <c r="V107" s="640">
        <f t="shared" si="40"/>
        <v>1027692</v>
      </c>
      <c r="W107" s="641">
        <f t="shared" si="41"/>
        <v>946125</v>
      </c>
      <c r="X107" s="495"/>
      <c r="Y107" s="496"/>
      <c r="Z107" s="495">
        <v>102098</v>
      </c>
      <c r="AA107" s="463">
        <v>120786</v>
      </c>
      <c r="AB107" s="495">
        <v>63163</v>
      </c>
      <c r="AC107" s="463">
        <v>58265</v>
      </c>
      <c r="AD107" s="495">
        <v>70970</v>
      </c>
      <c r="AE107" s="499">
        <v>59948</v>
      </c>
      <c r="AF107" s="640">
        <f t="shared" si="42"/>
        <v>236231</v>
      </c>
      <c r="AG107" s="640">
        <f t="shared" si="43"/>
        <v>262.47888888888889</v>
      </c>
      <c r="AH107" s="641">
        <f t="shared" si="44"/>
        <v>238999</v>
      </c>
      <c r="AI107" s="641">
        <f t="shared" si="45"/>
        <v>265.55444444444447</v>
      </c>
      <c r="AJ107" s="495">
        <v>0</v>
      </c>
      <c r="AK107" s="463">
        <v>0</v>
      </c>
      <c r="AL107" s="640">
        <f t="shared" si="46"/>
        <v>236231</v>
      </c>
      <c r="AM107" s="641">
        <f t="shared" si="47"/>
        <v>238999</v>
      </c>
      <c r="AN107" s="495"/>
      <c r="AO107" s="496"/>
      <c r="AP107" s="495"/>
      <c r="AQ107" s="496"/>
      <c r="AR107" s="495"/>
      <c r="AS107" s="496"/>
      <c r="AT107" s="495"/>
      <c r="AU107" s="496"/>
      <c r="AV107" s="640">
        <f t="shared" si="48"/>
        <v>0</v>
      </c>
      <c r="AW107" s="640">
        <f t="shared" si="49"/>
        <v>0</v>
      </c>
      <c r="AX107" s="641">
        <f t="shared" si="50"/>
        <v>0</v>
      </c>
      <c r="AY107" s="641">
        <f t="shared" si="51"/>
        <v>0</v>
      </c>
      <c r="AZ107" s="640">
        <f t="shared" si="52"/>
        <v>34518.878888888888</v>
      </c>
      <c r="BA107" s="641">
        <f t="shared" si="53"/>
        <v>31803.054444444446</v>
      </c>
    </row>
    <row r="108" spans="1:53" s="365" customFormat="1" ht="12.6" customHeight="1">
      <c r="A108" s="418" t="s">
        <v>158</v>
      </c>
      <c r="B108" s="419" t="s">
        <v>793</v>
      </c>
      <c r="C108" s="420"/>
      <c r="D108" s="622">
        <v>139940</v>
      </c>
      <c r="E108" s="502">
        <v>1</v>
      </c>
      <c r="F108" s="495"/>
      <c r="G108" s="496"/>
      <c r="H108" s="495"/>
      <c r="I108" s="496"/>
      <c r="J108" s="495">
        <v>489543.5</v>
      </c>
      <c r="K108" s="496">
        <v>458038</v>
      </c>
      <c r="L108" s="495">
        <v>154606</v>
      </c>
      <c r="M108" s="496">
        <v>131012</v>
      </c>
      <c r="N108" s="495">
        <v>522155.5</v>
      </c>
      <c r="O108" s="496">
        <v>492262</v>
      </c>
      <c r="P108" s="640">
        <f t="shared" si="36"/>
        <v>1166305</v>
      </c>
      <c r="Q108" s="640">
        <f t="shared" si="37"/>
        <v>38876.833333333336</v>
      </c>
      <c r="R108" s="641">
        <f t="shared" si="38"/>
        <v>1081312</v>
      </c>
      <c r="S108" s="641">
        <f t="shared" si="39"/>
        <v>36043.73333333333</v>
      </c>
      <c r="T108" s="495">
        <v>29104.5</v>
      </c>
      <c r="U108" s="496">
        <v>28667.5</v>
      </c>
      <c r="V108" s="640">
        <f t="shared" si="40"/>
        <v>1166305</v>
      </c>
      <c r="W108" s="641">
        <f t="shared" si="41"/>
        <v>1081312</v>
      </c>
      <c r="X108" s="495"/>
      <c r="Y108" s="496"/>
      <c r="Z108" s="495"/>
      <c r="AA108" s="496"/>
      <c r="AB108" s="495"/>
      <c r="AC108" s="496"/>
      <c r="AD108" s="495"/>
      <c r="AE108" s="496"/>
      <c r="AF108" s="640">
        <f t="shared" si="42"/>
        <v>0</v>
      </c>
      <c r="AG108" s="640">
        <f t="shared" si="43"/>
        <v>0</v>
      </c>
      <c r="AH108" s="641">
        <f t="shared" si="44"/>
        <v>0</v>
      </c>
      <c r="AI108" s="641">
        <f t="shared" si="45"/>
        <v>0</v>
      </c>
      <c r="AJ108" s="495"/>
      <c r="AK108" s="496"/>
      <c r="AL108" s="640">
        <f t="shared" si="46"/>
        <v>0</v>
      </c>
      <c r="AM108" s="641">
        <f t="shared" si="47"/>
        <v>0</v>
      </c>
      <c r="AN108" s="495"/>
      <c r="AO108" s="496"/>
      <c r="AP108" s="495">
        <v>86346.5</v>
      </c>
      <c r="AQ108" s="496">
        <v>84262</v>
      </c>
      <c r="AR108" s="495">
        <v>47864</v>
      </c>
      <c r="AS108" s="496">
        <v>40968</v>
      </c>
      <c r="AT108" s="495">
        <v>87426.5</v>
      </c>
      <c r="AU108" s="496">
        <v>87538</v>
      </c>
      <c r="AV108" s="640">
        <f t="shared" si="48"/>
        <v>221637</v>
      </c>
      <c r="AW108" s="640">
        <f t="shared" si="49"/>
        <v>9234.875</v>
      </c>
      <c r="AX108" s="641">
        <f t="shared" si="50"/>
        <v>212768</v>
      </c>
      <c r="AY108" s="641">
        <f t="shared" si="51"/>
        <v>8865.3333333333339</v>
      </c>
      <c r="AZ108" s="640">
        <f t="shared" si="52"/>
        <v>48111.708333333336</v>
      </c>
      <c r="BA108" s="641">
        <f t="shared" si="53"/>
        <v>44909.066666666666</v>
      </c>
    </row>
    <row r="109" spans="1:53" s="365" customFormat="1" ht="12.6" customHeight="1">
      <c r="A109" s="418" t="s">
        <v>158</v>
      </c>
      <c r="B109" s="419" t="s">
        <v>159</v>
      </c>
      <c r="C109" s="420"/>
      <c r="D109" s="622">
        <v>139959</v>
      </c>
      <c r="E109" s="502">
        <v>1</v>
      </c>
      <c r="F109" s="495"/>
      <c r="G109" s="496"/>
      <c r="H109" s="495"/>
      <c r="I109" s="496"/>
      <c r="J109" s="495">
        <v>387828.5</v>
      </c>
      <c r="K109" s="496">
        <v>388604</v>
      </c>
      <c r="L109" s="495">
        <v>78267</v>
      </c>
      <c r="M109" s="496">
        <v>66909</v>
      </c>
      <c r="N109" s="495">
        <v>403765</v>
      </c>
      <c r="O109" s="496">
        <v>406427.5</v>
      </c>
      <c r="P109" s="640">
        <f t="shared" si="36"/>
        <v>869860.5</v>
      </c>
      <c r="Q109" s="640">
        <f t="shared" si="37"/>
        <v>28995.35</v>
      </c>
      <c r="R109" s="641">
        <f t="shared" si="38"/>
        <v>861940.5</v>
      </c>
      <c r="S109" s="641">
        <f t="shared" si="39"/>
        <v>28731.35</v>
      </c>
      <c r="T109" s="495">
        <v>819</v>
      </c>
      <c r="U109" s="496">
        <v>741</v>
      </c>
      <c r="V109" s="640">
        <f t="shared" si="40"/>
        <v>869860.5</v>
      </c>
      <c r="W109" s="641">
        <f t="shared" si="41"/>
        <v>861940.5</v>
      </c>
      <c r="X109" s="495"/>
      <c r="Y109" s="496"/>
      <c r="Z109" s="495"/>
      <c r="AA109" s="496"/>
      <c r="AB109" s="495"/>
      <c r="AC109" s="496"/>
      <c r="AD109" s="495"/>
      <c r="AE109" s="496"/>
      <c r="AF109" s="640">
        <f t="shared" si="42"/>
        <v>0</v>
      </c>
      <c r="AG109" s="640">
        <f t="shared" si="43"/>
        <v>0</v>
      </c>
      <c r="AH109" s="641">
        <f t="shared" si="44"/>
        <v>0</v>
      </c>
      <c r="AI109" s="641">
        <f t="shared" si="45"/>
        <v>0</v>
      </c>
      <c r="AJ109" s="495"/>
      <c r="AK109" s="496"/>
      <c r="AL109" s="640">
        <f t="shared" si="46"/>
        <v>0</v>
      </c>
      <c r="AM109" s="641">
        <f t="shared" si="47"/>
        <v>0</v>
      </c>
      <c r="AN109" s="495"/>
      <c r="AO109" s="496"/>
      <c r="AP109" s="495">
        <v>115495.8</v>
      </c>
      <c r="AQ109" s="496">
        <v>122028.8</v>
      </c>
      <c r="AR109" s="495">
        <v>52548.1</v>
      </c>
      <c r="AS109" s="496">
        <v>55237.51</v>
      </c>
      <c r="AT109" s="495">
        <v>120898</v>
      </c>
      <c r="AU109" s="496">
        <v>127330.4</v>
      </c>
      <c r="AV109" s="640">
        <f t="shared" si="48"/>
        <v>288941.90000000002</v>
      </c>
      <c r="AW109" s="640">
        <f t="shared" si="49"/>
        <v>12039.245833333334</v>
      </c>
      <c r="AX109" s="641">
        <f t="shared" si="50"/>
        <v>304596.70999999996</v>
      </c>
      <c r="AY109" s="641">
        <f t="shared" si="51"/>
        <v>12691.529583333331</v>
      </c>
      <c r="AZ109" s="640">
        <f t="shared" si="52"/>
        <v>41034.595833333333</v>
      </c>
      <c r="BA109" s="641">
        <f t="shared" si="53"/>
        <v>41422.879583333328</v>
      </c>
    </row>
    <row r="110" spans="1:53" s="365" customFormat="1" ht="12.6" customHeight="1">
      <c r="A110" s="418" t="s">
        <v>158</v>
      </c>
      <c r="B110" s="419" t="s">
        <v>160</v>
      </c>
      <c r="C110" s="420"/>
      <c r="D110" s="622">
        <v>139755</v>
      </c>
      <c r="E110" s="502">
        <v>2</v>
      </c>
      <c r="F110" s="495"/>
      <c r="G110" s="496"/>
      <c r="H110" s="495"/>
      <c r="I110" s="496"/>
      <c r="J110" s="495">
        <v>200200.97</v>
      </c>
      <c r="K110" s="496">
        <v>205016</v>
      </c>
      <c r="L110" s="495">
        <v>57738</v>
      </c>
      <c r="M110" s="496">
        <v>46467</v>
      </c>
      <c r="N110" s="495">
        <v>224031</v>
      </c>
      <c r="O110" s="496">
        <v>227819</v>
      </c>
      <c r="P110" s="640">
        <f t="shared" si="36"/>
        <v>481969.97</v>
      </c>
      <c r="Q110" s="640">
        <f t="shared" si="37"/>
        <v>16065.665666666666</v>
      </c>
      <c r="R110" s="641">
        <f t="shared" si="38"/>
        <v>479302</v>
      </c>
      <c r="S110" s="641">
        <f t="shared" si="39"/>
        <v>15976.733333333334</v>
      </c>
      <c r="T110" s="495">
        <v>4804</v>
      </c>
      <c r="U110" s="496">
        <v>5539</v>
      </c>
      <c r="V110" s="640">
        <f t="shared" si="40"/>
        <v>481969.97</v>
      </c>
      <c r="W110" s="641">
        <f t="shared" si="41"/>
        <v>479302</v>
      </c>
      <c r="X110" s="495"/>
      <c r="Y110" s="496"/>
      <c r="Z110" s="495"/>
      <c r="AA110" s="496"/>
      <c r="AB110" s="495"/>
      <c r="AC110" s="496"/>
      <c r="AD110" s="495"/>
      <c r="AE110" s="496"/>
      <c r="AF110" s="640">
        <f t="shared" si="42"/>
        <v>0</v>
      </c>
      <c r="AG110" s="640">
        <f t="shared" si="43"/>
        <v>0</v>
      </c>
      <c r="AH110" s="641">
        <f t="shared" si="44"/>
        <v>0</v>
      </c>
      <c r="AI110" s="641">
        <f t="shared" si="45"/>
        <v>0</v>
      </c>
      <c r="AJ110" s="495"/>
      <c r="AK110" s="496"/>
      <c r="AL110" s="640">
        <f t="shared" si="46"/>
        <v>0</v>
      </c>
      <c r="AM110" s="641">
        <f t="shared" si="47"/>
        <v>0</v>
      </c>
      <c r="AN110" s="495"/>
      <c r="AO110" s="496"/>
      <c r="AP110" s="495">
        <v>154035.5</v>
      </c>
      <c r="AQ110" s="496">
        <v>168966</v>
      </c>
      <c r="AR110" s="495">
        <v>78380.5</v>
      </c>
      <c r="AS110" s="496">
        <v>84279</v>
      </c>
      <c r="AT110" s="495">
        <v>170322.5</v>
      </c>
      <c r="AU110" s="496">
        <v>188470</v>
      </c>
      <c r="AV110" s="640">
        <f t="shared" si="48"/>
        <v>402738.5</v>
      </c>
      <c r="AW110" s="640">
        <f t="shared" si="49"/>
        <v>16780.770833333332</v>
      </c>
      <c r="AX110" s="641">
        <f t="shared" si="50"/>
        <v>441715</v>
      </c>
      <c r="AY110" s="641">
        <f t="shared" si="51"/>
        <v>18404.791666666668</v>
      </c>
      <c r="AZ110" s="640">
        <f t="shared" si="52"/>
        <v>32846.436499999996</v>
      </c>
      <c r="BA110" s="641">
        <f t="shared" si="53"/>
        <v>34381.525000000001</v>
      </c>
    </row>
    <row r="111" spans="1:53" s="365" customFormat="1" ht="12.6" customHeight="1">
      <c r="A111" s="418" t="s">
        <v>158</v>
      </c>
      <c r="B111" s="419" t="s">
        <v>161</v>
      </c>
      <c r="C111" s="420"/>
      <c r="D111" s="622">
        <v>139931</v>
      </c>
      <c r="E111" s="502">
        <v>3</v>
      </c>
      <c r="F111" s="495"/>
      <c r="G111" s="496"/>
      <c r="H111" s="495"/>
      <c r="I111" s="496"/>
      <c r="J111" s="495">
        <v>267704</v>
      </c>
      <c r="K111" s="496">
        <v>267427</v>
      </c>
      <c r="L111" s="495">
        <v>75748</v>
      </c>
      <c r="M111" s="496">
        <v>75602</v>
      </c>
      <c r="N111" s="495">
        <v>304969</v>
      </c>
      <c r="O111" s="496">
        <v>304930</v>
      </c>
      <c r="P111" s="640">
        <f t="shared" si="36"/>
        <v>648421</v>
      </c>
      <c r="Q111" s="640">
        <f t="shared" si="37"/>
        <v>21614.033333333333</v>
      </c>
      <c r="R111" s="641">
        <f t="shared" si="38"/>
        <v>647959</v>
      </c>
      <c r="S111" s="641">
        <f t="shared" si="39"/>
        <v>21598.633333333335</v>
      </c>
      <c r="T111" s="495">
        <v>12455</v>
      </c>
      <c r="U111" s="496">
        <v>12275</v>
      </c>
      <c r="V111" s="640">
        <f t="shared" si="40"/>
        <v>648421</v>
      </c>
      <c r="W111" s="641">
        <f t="shared" si="41"/>
        <v>647959</v>
      </c>
      <c r="X111" s="495"/>
      <c r="Y111" s="496"/>
      <c r="Z111" s="495"/>
      <c r="AA111" s="496"/>
      <c r="AB111" s="495"/>
      <c r="AC111" s="496"/>
      <c r="AD111" s="495"/>
      <c r="AE111" s="496"/>
      <c r="AF111" s="640">
        <f t="shared" si="42"/>
        <v>0</v>
      </c>
      <c r="AG111" s="640">
        <f t="shared" si="43"/>
        <v>0</v>
      </c>
      <c r="AH111" s="641">
        <f t="shared" si="44"/>
        <v>0</v>
      </c>
      <c r="AI111" s="641">
        <f t="shared" si="45"/>
        <v>0</v>
      </c>
      <c r="AJ111" s="495"/>
      <c r="AK111" s="496"/>
      <c r="AL111" s="640">
        <f t="shared" si="46"/>
        <v>0</v>
      </c>
      <c r="AM111" s="641">
        <f t="shared" si="47"/>
        <v>0</v>
      </c>
      <c r="AN111" s="495"/>
      <c r="AO111" s="496"/>
      <c r="AP111" s="495">
        <v>22641</v>
      </c>
      <c r="AQ111" s="496">
        <v>23926</v>
      </c>
      <c r="AR111" s="495">
        <v>17245</v>
      </c>
      <c r="AS111" s="496">
        <v>17778</v>
      </c>
      <c r="AT111" s="495">
        <v>25127</v>
      </c>
      <c r="AU111" s="496">
        <v>25597</v>
      </c>
      <c r="AV111" s="640">
        <f t="shared" si="48"/>
        <v>65013</v>
      </c>
      <c r="AW111" s="640">
        <f t="shared" si="49"/>
        <v>2708.875</v>
      </c>
      <c r="AX111" s="641">
        <f t="shared" si="50"/>
        <v>67301</v>
      </c>
      <c r="AY111" s="641">
        <f t="shared" si="51"/>
        <v>2804.2083333333335</v>
      </c>
      <c r="AZ111" s="640">
        <f t="shared" si="52"/>
        <v>24322.908333333333</v>
      </c>
      <c r="BA111" s="641">
        <f t="shared" si="53"/>
        <v>24402.841666666667</v>
      </c>
    </row>
    <row r="112" spans="1:53" s="365" customFormat="1" ht="12.6" customHeight="1">
      <c r="A112" s="418" t="s">
        <v>158</v>
      </c>
      <c r="B112" s="419" t="s">
        <v>162</v>
      </c>
      <c r="C112" s="420"/>
      <c r="D112" s="622">
        <v>486840</v>
      </c>
      <c r="E112" s="502">
        <v>3</v>
      </c>
      <c r="F112" s="495"/>
      <c r="G112" s="496"/>
      <c r="H112" s="495"/>
      <c r="I112" s="496"/>
      <c r="J112" s="495">
        <v>393334</v>
      </c>
      <c r="K112" s="496">
        <v>416737</v>
      </c>
      <c r="L112" s="495">
        <v>117730</v>
      </c>
      <c r="M112" s="496">
        <v>113002</v>
      </c>
      <c r="N112" s="495">
        <v>456454</v>
      </c>
      <c r="O112" s="496">
        <v>471733</v>
      </c>
      <c r="P112" s="640">
        <f t="shared" si="36"/>
        <v>967518</v>
      </c>
      <c r="Q112" s="640">
        <f t="shared" si="37"/>
        <v>32250.6</v>
      </c>
      <c r="R112" s="641">
        <f t="shared" si="38"/>
        <v>1001472</v>
      </c>
      <c r="S112" s="641">
        <f t="shared" si="39"/>
        <v>33382.400000000001</v>
      </c>
      <c r="T112" s="495">
        <v>16415</v>
      </c>
      <c r="U112" s="496">
        <v>16129</v>
      </c>
      <c r="V112" s="640">
        <f t="shared" si="40"/>
        <v>967518</v>
      </c>
      <c r="W112" s="641">
        <f t="shared" si="41"/>
        <v>1001472</v>
      </c>
      <c r="X112" s="495"/>
      <c r="Y112" s="496"/>
      <c r="Z112" s="495"/>
      <c r="AA112" s="496"/>
      <c r="AB112" s="495"/>
      <c r="AC112" s="496"/>
      <c r="AD112" s="495"/>
      <c r="AE112" s="496"/>
      <c r="AF112" s="640">
        <f t="shared" si="42"/>
        <v>0</v>
      </c>
      <c r="AG112" s="640">
        <f t="shared" si="43"/>
        <v>0</v>
      </c>
      <c r="AH112" s="641">
        <f t="shared" si="44"/>
        <v>0</v>
      </c>
      <c r="AI112" s="641">
        <f t="shared" si="45"/>
        <v>0</v>
      </c>
      <c r="AJ112" s="495"/>
      <c r="AK112" s="496"/>
      <c r="AL112" s="640">
        <f t="shared" si="46"/>
        <v>0</v>
      </c>
      <c r="AM112" s="641">
        <f t="shared" si="47"/>
        <v>0</v>
      </c>
      <c r="AN112" s="495"/>
      <c r="AO112" s="496"/>
      <c r="AP112" s="495">
        <v>21164</v>
      </c>
      <c r="AQ112" s="496">
        <v>26091</v>
      </c>
      <c r="AR112" s="495">
        <v>14408</v>
      </c>
      <c r="AS112" s="496">
        <v>15590</v>
      </c>
      <c r="AT112" s="495">
        <v>26283</v>
      </c>
      <c r="AU112" s="496">
        <v>28609</v>
      </c>
      <c r="AV112" s="640">
        <f t="shared" si="48"/>
        <v>61855</v>
      </c>
      <c r="AW112" s="640">
        <f t="shared" si="49"/>
        <v>2577.2916666666665</v>
      </c>
      <c r="AX112" s="641">
        <f t="shared" si="50"/>
        <v>70290</v>
      </c>
      <c r="AY112" s="641">
        <f t="shared" si="51"/>
        <v>2928.75</v>
      </c>
      <c r="AZ112" s="640">
        <f t="shared" si="52"/>
        <v>34827.891666666663</v>
      </c>
      <c r="BA112" s="641">
        <f t="shared" si="53"/>
        <v>36311.15</v>
      </c>
    </row>
    <row r="113" spans="1:53" s="365" customFormat="1" ht="12.6" customHeight="1">
      <c r="A113" s="418" t="s">
        <v>158</v>
      </c>
      <c r="B113" s="419" t="s">
        <v>163</v>
      </c>
      <c r="C113" s="420"/>
      <c r="D113" s="622">
        <v>141334</v>
      </c>
      <c r="E113" s="502">
        <v>3</v>
      </c>
      <c r="F113" s="495"/>
      <c r="G113" s="496"/>
      <c r="H113" s="495"/>
      <c r="I113" s="496"/>
      <c r="J113" s="495">
        <v>119289</v>
      </c>
      <c r="K113" s="496">
        <v>111774</v>
      </c>
      <c r="L113" s="495">
        <v>34423</v>
      </c>
      <c r="M113" s="496">
        <v>32163</v>
      </c>
      <c r="N113" s="495">
        <v>126581</v>
      </c>
      <c r="O113" s="496">
        <v>114102</v>
      </c>
      <c r="P113" s="640">
        <f t="shared" si="36"/>
        <v>280293</v>
      </c>
      <c r="Q113" s="640">
        <f t="shared" si="37"/>
        <v>9343.1</v>
      </c>
      <c r="R113" s="641">
        <f t="shared" si="38"/>
        <v>258039</v>
      </c>
      <c r="S113" s="641">
        <f t="shared" si="39"/>
        <v>8601.2999999999993</v>
      </c>
      <c r="T113" s="495">
        <v>9494</v>
      </c>
      <c r="U113" s="496">
        <v>10200</v>
      </c>
      <c r="V113" s="640">
        <f t="shared" si="40"/>
        <v>280293</v>
      </c>
      <c r="W113" s="641">
        <f t="shared" si="41"/>
        <v>258039</v>
      </c>
      <c r="X113" s="495"/>
      <c r="Y113" s="496"/>
      <c r="Z113" s="495"/>
      <c r="AA113" s="496"/>
      <c r="AB113" s="495"/>
      <c r="AC113" s="496"/>
      <c r="AD113" s="495"/>
      <c r="AE113" s="496"/>
      <c r="AF113" s="640">
        <f t="shared" si="42"/>
        <v>0</v>
      </c>
      <c r="AG113" s="640">
        <f t="shared" si="43"/>
        <v>0</v>
      </c>
      <c r="AH113" s="641">
        <f t="shared" si="44"/>
        <v>0</v>
      </c>
      <c r="AI113" s="641">
        <f t="shared" si="45"/>
        <v>0</v>
      </c>
      <c r="AJ113" s="495"/>
      <c r="AK113" s="496"/>
      <c r="AL113" s="640">
        <f t="shared" si="46"/>
        <v>0</v>
      </c>
      <c r="AM113" s="641">
        <f t="shared" si="47"/>
        <v>0</v>
      </c>
      <c r="AN113" s="495"/>
      <c r="AO113" s="496"/>
      <c r="AP113" s="495">
        <v>16982</v>
      </c>
      <c r="AQ113" s="496">
        <v>18659</v>
      </c>
      <c r="AR113" s="495">
        <v>16008</v>
      </c>
      <c r="AS113" s="496">
        <v>17032</v>
      </c>
      <c r="AT113" s="495">
        <v>19599</v>
      </c>
      <c r="AU113" s="496">
        <v>19492</v>
      </c>
      <c r="AV113" s="640">
        <f t="shared" si="48"/>
        <v>52589</v>
      </c>
      <c r="AW113" s="640">
        <f t="shared" si="49"/>
        <v>2191.2083333333335</v>
      </c>
      <c r="AX113" s="641">
        <f t="shared" si="50"/>
        <v>55183</v>
      </c>
      <c r="AY113" s="641">
        <f t="shared" si="51"/>
        <v>2299.2916666666665</v>
      </c>
      <c r="AZ113" s="640">
        <f t="shared" si="52"/>
        <v>11534.308333333334</v>
      </c>
      <c r="BA113" s="641">
        <f t="shared" si="53"/>
        <v>10900.591666666665</v>
      </c>
    </row>
    <row r="114" spans="1:53" s="365" customFormat="1" ht="12.6" customHeight="1">
      <c r="A114" s="418" t="s">
        <v>158</v>
      </c>
      <c r="B114" s="419" t="s">
        <v>164</v>
      </c>
      <c r="C114" s="420"/>
      <c r="D114" s="622">
        <v>141264</v>
      </c>
      <c r="E114" s="502">
        <v>3</v>
      </c>
      <c r="F114" s="495"/>
      <c r="G114" s="496"/>
      <c r="H114" s="495"/>
      <c r="I114" s="496"/>
      <c r="J114" s="495">
        <v>97569</v>
      </c>
      <c r="K114" s="496">
        <v>104163</v>
      </c>
      <c r="L114" s="495">
        <v>26198</v>
      </c>
      <c r="M114" s="496">
        <v>27259</v>
      </c>
      <c r="N114" s="495">
        <v>118153</v>
      </c>
      <c r="O114" s="496">
        <v>108744</v>
      </c>
      <c r="P114" s="640">
        <f t="shared" si="36"/>
        <v>241920</v>
      </c>
      <c r="Q114" s="640">
        <f t="shared" si="37"/>
        <v>8064</v>
      </c>
      <c r="R114" s="641">
        <f t="shared" si="38"/>
        <v>240166</v>
      </c>
      <c r="S114" s="641">
        <f t="shared" si="39"/>
        <v>8005.5333333333338</v>
      </c>
      <c r="T114" s="495">
        <v>2715</v>
      </c>
      <c r="U114" s="496">
        <v>3165</v>
      </c>
      <c r="V114" s="640">
        <f t="shared" si="40"/>
        <v>241920</v>
      </c>
      <c r="W114" s="641">
        <f t="shared" si="41"/>
        <v>240166</v>
      </c>
      <c r="X114" s="495"/>
      <c r="Y114" s="496"/>
      <c r="Z114" s="495"/>
      <c r="AA114" s="496"/>
      <c r="AB114" s="495"/>
      <c r="AC114" s="496"/>
      <c r="AD114" s="495"/>
      <c r="AE114" s="496"/>
      <c r="AF114" s="640">
        <f t="shared" si="42"/>
        <v>0</v>
      </c>
      <c r="AG114" s="640">
        <f t="shared" si="43"/>
        <v>0</v>
      </c>
      <c r="AH114" s="641">
        <f t="shared" si="44"/>
        <v>0</v>
      </c>
      <c r="AI114" s="641">
        <f t="shared" si="45"/>
        <v>0</v>
      </c>
      <c r="AJ114" s="495"/>
      <c r="AK114" s="496"/>
      <c r="AL114" s="640">
        <f t="shared" si="46"/>
        <v>0</v>
      </c>
      <c r="AM114" s="641">
        <f t="shared" si="47"/>
        <v>0</v>
      </c>
      <c r="AN114" s="495"/>
      <c r="AO114" s="496"/>
      <c r="AP114" s="495">
        <v>16822</v>
      </c>
      <c r="AQ114" s="496">
        <v>17522</v>
      </c>
      <c r="AR114" s="495">
        <v>13479</v>
      </c>
      <c r="AS114" s="496">
        <v>13904</v>
      </c>
      <c r="AT114" s="495">
        <v>18156</v>
      </c>
      <c r="AU114" s="496">
        <v>18317</v>
      </c>
      <c r="AV114" s="640">
        <f t="shared" si="48"/>
        <v>48457</v>
      </c>
      <c r="AW114" s="640">
        <f t="shared" si="49"/>
        <v>2019.0416666666667</v>
      </c>
      <c r="AX114" s="641">
        <f t="shared" si="50"/>
        <v>49743</v>
      </c>
      <c r="AY114" s="641">
        <f t="shared" si="51"/>
        <v>2072.625</v>
      </c>
      <c r="AZ114" s="640">
        <f t="shared" si="52"/>
        <v>10083.041666666666</v>
      </c>
      <c r="BA114" s="641">
        <f t="shared" si="53"/>
        <v>10078.158333333333</v>
      </c>
    </row>
    <row r="115" spans="1:53" s="365" customFormat="1" ht="12.6" customHeight="1">
      <c r="A115" s="418" t="s">
        <v>158</v>
      </c>
      <c r="B115" s="419" t="s">
        <v>165</v>
      </c>
      <c r="C115" s="420"/>
      <c r="D115" s="622">
        <v>138716</v>
      </c>
      <c r="E115" s="502">
        <v>4</v>
      </c>
      <c r="F115" s="495"/>
      <c r="G115" s="496"/>
      <c r="H115" s="495"/>
      <c r="I115" s="496"/>
      <c r="J115" s="495">
        <v>65480</v>
      </c>
      <c r="K115" s="496">
        <v>61362</v>
      </c>
      <c r="L115" s="495">
        <v>17594</v>
      </c>
      <c r="M115" s="496">
        <v>17945</v>
      </c>
      <c r="N115" s="495">
        <v>71883</v>
      </c>
      <c r="O115" s="496">
        <v>67032</v>
      </c>
      <c r="P115" s="640">
        <f t="shared" si="36"/>
        <v>154957</v>
      </c>
      <c r="Q115" s="640">
        <f t="shared" si="37"/>
        <v>5165.2333333333336</v>
      </c>
      <c r="R115" s="641">
        <f t="shared" si="38"/>
        <v>146339</v>
      </c>
      <c r="S115" s="641">
        <f t="shared" si="39"/>
        <v>4877.9666666666662</v>
      </c>
      <c r="T115" s="495">
        <v>5732</v>
      </c>
      <c r="U115" s="496">
        <v>4074</v>
      </c>
      <c r="V115" s="640">
        <f t="shared" si="40"/>
        <v>154957</v>
      </c>
      <c r="W115" s="641">
        <f t="shared" si="41"/>
        <v>146339</v>
      </c>
      <c r="X115" s="495"/>
      <c r="Y115" s="496"/>
      <c r="Z115" s="495"/>
      <c r="AA115" s="496"/>
      <c r="AB115" s="495"/>
      <c r="AC115" s="496"/>
      <c r="AD115" s="495"/>
      <c r="AE115" s="496"/>
      <c r="AF115" s="640">
        <f t="shared" si="42"/>
        <v>0</v>
      </c>
      <c r="AG115" s="640">
        <f t="shared" si="43"/>
        <v>0</v>
      </c>
      <c r="AH115" s="641">
        <f t="shared" si="44"/>
        <v>0</v>
      </c>
      <c r="AI115" s="641">
        <f t="shared" si="45"/>
        <v>0</v>
      </c>
      <c r="AJ115" s="495"/>
      <c r="AK115" s="496"/>
      <c r="AL115" s="640">
        <f t="shared" si="46"/>
        <v>0</v>
      </c>
      <c r="AM115" s="641">
        <f t="shared" si="47"/>
        <v>0</v>
      </c>
      <c r="AN115" s="495"/>
      <c r="AO115" s="496"/>
      <c r="AP115" s="495">
        <v>2348</v>
      </c>
      <c r="AQ115" s="496">
        <v>3159</v>
      </c>
      <c r="AR115" s="495">
        <v>1549</v>
      </c>
      <c r="AS115" s="496">
        <v>1699</v>
      </c>
      <c r="AT115" s="495">
        <v>3136</v>
      </c>
      <c r="AU115" s="496">
        <v>3799</v>
      </c>
      <c r="AV115" s="640">
        <f t="shared" si="48"/>
        <v>7033</v>
      </c>
      <c r="AW115" s="640">
        <f t="shared" si="49"/>
        <v>293.04166666666669</v>
      </c>
      <c r="AX115" s="641">
        <f t="shared" si="50"/>
        <v>8657</v>
      </c>
      <c r="AY115" s="641">
        <f t="shared" si="51"/>
        <v>360.70833333333331</v>
      </c>
      <c r="AZ115" s="640">
        <f t="shared" si="52"/>
        <v>5458.2750000000005</v>
      </c>
      <c r="BA115" s="641">
        <f t="shared" si="53"/>
        <v>5238.6749999999993</v>
      </c>
    </row>
    <row r="116" spans="1:53" s="365" customFormat="1" ht="12.6" customHeight="1">
      <c r="A116" s="418" t="s">
        <v>158</v>
      </c>
      <c r="B116" s="421" t="s">
        <v>806</v>
      </c>
      <c r="C116" s="420"/>
      <c r="D116" s="622">
        <v>482149</v>
      </c>
      <c r="E116" s="502">
        <v>4</v>
      </c>
      <c r="F116" s="495"/>
      <c r="G116" s="496"/>
      <c r="H116" s="495"/>
      <c r="I116" s="496"/>
      <c r="J116" s="495">
        <v>66566</v>
      </c>
      <c r="K116" s="496">
        <v>65031</v>
      </c>
      <c r="L116" s="495">
        <v>14260</v>
      </c>
      <c r="M116" s="496">
        <v>12938</v>
      </c>
      <c r="N116" s="495">
        <v>73883</v>
      </c>
      <c r="O116" s="496">
        <v>70945</v>
      </c>
      <c r="P116" s="640">
        <f t="shared" si="36"/>
        <v>154709</v>
      </c>
      <c r="Q116" s="640">
        <f t="shared" si="37"/>
        <v>5156.9666666666662</v>
      </c>
      <c r="R116" s="641">
        <f t="shared" si="38"/>
        <v>148914</v>
      </c>
      <c r="S116" s="641">
        <f t="shared" si="39"/>
        <v>4963.8</v>
      </c>
      <c r="T116" s="495">
        <v>3219</v>
      </c>
      <c r="U116" s="496">
        <v>3048</v>
      </c>
      <c r="V116" s="640">
        <f t="shared" si="40"/>
        <v>154709</v>
      </c>
      <c r="W116" s="641">
        <f t="shared" si="41"/>
        <v>148914</v>
      </c>
      <c r="X116" s="495"/>
      <c r="Y116" s="496"/>
      <c r="Z116" s="495"/>
      <c r="AA116" s="496"/>
      <c r="AB116" s="495"/>
      <c r="AC116" s="496"/>
      <c r="AD116" s="495"/>
      <c r="AE116" s="496"/>
      <c r="AF116" s="640">
        <f t="shared" si="42"/>
        <v>0</v>
      </c>
      <c r="AG116" s="640">
        <f t="shared" si="43"/>
        <v>0</v>
      </c>
      <c r="AH116" s="641">
        <f t="shared" si="44"/>
        <v>0</v>
      </c>
      <c r="AI116" s="641">
        <f t="shared" si="45"/>
        <v>0</v>
      </c>
      <c r="AJ116" s="495"/>
      <c r="AK116" s="496"/>
      <c r="AL116" s="640">
        <f t="shared" si="46"/>
        <v>0</v>
      </c>
      <c r="AM116" s="641">
        <f t="shared" si="47"/>
        <v>0</v>
      </c>
      <c r="AN116" s="495"/>
      <c r="AO116" s="496"/>
      <c r="AP116" s="495">
        <v>16660</v>
      </c>
      <c r="AQ116" s="496">
        <v>18163</v>
      </c>
      <c r="AR116" s="495">
        <v>14267</v>
      </c>
      <c r="AS116" s="496">
        <v>15133</v>
      </c>
      <c r="AT116" s="495">
        <v>21162</v>
      </c>
      <c r="AU116" s="496">
        <v>22729</v>
      </c>
      <c r="AV116" s="640">
        <f t="shared" si="48"/>
        <v>52089</v>
      </c>
      <c r="AW116" s="640">
        <f t="shared" si="49"/>
        <v>2170.375</v>
      </c>
      <c r="AX116" s="641">
        <f t="shared" si="50"/>
        <v>56025</v>
      </c>
      <c r="AY116" s="641">
        <f t="shared" si="51"/>
        <v>2334.375</v>
      </c>
      <c r="AZ116" s="640">
        <f t="shared" si="52"/>
        <v>7327.3416666666662</v>
      </c>
      <c r="BA116" s="641">
        <f t="shared" si="53"/>
        <v>7298.1750000000002</v>
      </c>
    </row>
    <row r="117" spans="1:53" s="365" customFormat="1" ht="12.6" customHeight="1">
      <c r="A117" s="418" t="s">
        <v>158</v>
      </c>
      <c r="B117" s="419" t="s">
        <v>166</v>
      </c>
      <c r="C117" s="422"/>
      <c r="D117" s="622">
        <v>139311</v>
      </c>
      <c r="E117" s="502">
        <v>4</v>
      </c>
      <c r="F117" s="495"/>
      <c r="G117" s="496"/>
      <c r="H117" s="495"/>
      <c r="I117" s="496"/>
      <c r="J117" s="495">
        <v>65891</v>
      </c>
      <c r="K117" s="496">
        <v>61079</v>
      </c>
      <c r="L117" s="495">
        <v>21965</v>
      </c>
      <c r="M117" s="496">
        <v>20557</v>
      </c>
      <c r="N117" s="495">
        <v>68382</v>
      </c>
      <c r="O117" s="496">
        <v>64149</v>
      </c>
      <c r="P117" s="640">
        <f t="shared" si="36"/>
        <v>156238</v>
      </c>
      <c r="Q117" s="640">
        <f t="shared" si="37"/>
        <v>5207.9333333333334</v>
      </c>
      <c r="R117" s="641">
        <f t="shared" si="38"/>
        <v>145785</v>
      </c>
      <c r="S117" s="641">
        <f t="shared" si="39"/>
        <v>4859.5</v>
      </c>
      <c r="T117" s="495">
        <v>15116</v>
      </c>
      <c r="U117" s="496">
        <v>11701</v>
      </c>
      <c r="V117" s="640">
        <f t="shared" si="40"/>
        <v>156238</v>
      </c>
      <c r="W117" s="641">
        <f t="shared" si="41"/>
        <v>145785</v>
      </c>
      <c r="X117" s="495"/>
      <c r="Y117" s="496"/>
      <c r="Z117" s="495"/>
      <c r="AA117" s="496"/>
      <c r="AB117" s="495"/>
      <c r="AC117" s="496"/>
      <c r="AD117" s="495"/>
      <c r="AE117" s="496"/>
      <c r="AF117" s="640">
        <f t="shared" si="42"/>
        <v>0</v>
      </c>
      <c r="AG117" s="640">
        <f t="shared" si="43"/>
        <v>0</v>
      </c>
      <c r="AH117" s="641">
        <f t="shared" si="44"/>
        <v>0</v>
      </c>
      <c r="AI117" s="641">
        <f t="shared" si="45"/>
        <v>0</v>
      </c>
      <c r="AJ117" s="495"/>
      <c r="AK117" s="496"/>
      <c r="AL117" s="640">
        <f t="shared" si="46"/>
        <v>0</v>
      </c>
      <c r="AM117" s="641">
        <f t="shared" si="47"/>
        <v>0</v>
      </c>
      <c r="AN117" s="495"/>
      <c r="AO117" s="496"/>
      <c r="AP117" s="495">
        <v>4081</v>
      </c>
      <c r="AQ117" s="496">
        <v>5543</v>
      </c>
      <c r="AR117" s="495">
        <v>1884</v>
      </c>
      <c r="AS117" s="496">
        <v>2309</v>
      </c>
      <c r="AT117" s="495">
        <v>5431</v>
      </c>
      <c r="AU117" s="496">
        <v>5049</v>
      </c>
      <c r="AV117" s="640">
        <f t="shared" si="48"/>
        <v>11396</v>
      </c>
      <c r="AW117" s="640">
        <f t="shared" si="49"/>
        <v>474.83333333333331</v>
      </c>
      <c r="AX117" s="641">
        <f t="shared" si="50"/>
        <v>12901</v>
      </c>
      <c r="AY117" s="641">
        <f t="shared" si="51"/>
        <v>537.54166666666663</v>
      </c>
      <c r="AZ117" s="640">
        <f t="shared" si="52"/>
        <v>5682.7666666666664</v>
      </c>
      <c r="BA117" s="641">
        <f t="shared" si="53"/>
        <v>5397.041666666667</v>
      </c>
    </row>
    <row r="118" spans="1:53" s="365" customFormat="1" ht="12.6" customHeight="1">
      <c r="A118" s="418" t="s">
        <v>158</v>
      </c>
      <c r="B118" s="419" t="s">
        <v>167</v>
      </c>
      <c r="C118" s="505" t="s">
        <v>889</v>
      </c>
      <c r="D118" s="622">
        <v>139366</v>
      </c>
      <c r="E118" s="502">
        <v>4</v>
      </c>
      <c r="F118" s="495"/>
      <c r="G118" s="496"/>
      <c r="H118" s="495"/>
      <c r="I118" s="496"/>
      <c r="J118" s="495">
        <v>72906</v>
      </c>
      <c r="K118" s="496">
        <v>73618</v>
      </c>
      <c r="L118" s="495">
        <v>19205</v>
      </c>
      <c r="M118" s="496">
        <v>17053</v>
      </c>
      <c r="N118" s="495">
        <v>82191</v>
      </c>
      <c r="O118" s="496">
        <v>75467</v>
      </c>
      <c r="P118" s="640">
        <f t="shared" si="36"/>
        <v>174302</v>
      </c>
      <c r="Q118" s="640">
        <f t="shared" si="37"/>
        <v>5810.0666666666666</v>
      </c>
      <c r="R118" s="641">
        <f t="shared" si="38"/>
        <v>166138</v>
      </c>
      <c r="S118" s="641">
        <f t="shared" si="39"/>
        <v>5537.9333333333334</v>
      </c>
      <c r="T118" s="495">
        <v>5391</v>
      </c>
      <c r="U118" s="496">
        <v>5386</v>
      </c>
      <c r="V118" s="640">
        <f t="shared" si="40"/>
        <v>174302</v>
      </c>
      <c r="W118" s="641">
        <f t="shared" si="41"/>
        <v>166138</v>
      </c>
      <c r="X118" s="495"/>
      <c r="Y118" s="496"/>
      <c r="Z118" s="495"/>
      <c r="AA118" s="496"/>
      <c r="AB118" s="495"/>
      <c r="AC118" s="496"/>
      <c r="AD118" s="495"/>
      <c r="AE118" s="496"/>
      <c r="AF118" s="640">
        <f t="shared" si="42"/>
        <v>0</v>
      </c>
      <c r="AG118" s="640">
        <f t="shared" si="43"/>
        <v>0</v>
      </c>
      <c r="AH118" s="641">
        <f t="shared" si="44"/>
        <v>0</v>
      </c>
      <c r="AI118" s="641">
        <f t="shared" si="45"/>
        <v>0</v>
      </c>
      <c r="AJ118" s="495"/>
      <c r="AK118" s="496"/>
      <c r="AL118" s="640">
        <f t="shared" si="46"/>
        <v>0</v>
      </c>
      <c r="AM118" s="641">
        <f t="shared" si="47"/>
        <v>0</v>
      </c>
      <c r="AN118" s="495"/>
      <c r="AO118" s="496"/>
      <c r="AP118" s="495">
        <v>8917</v>
      </c>
      <c r="AQ118" s="496">
        <v>9952</v>
      </c>
      <c r="AR118" s="495">
        <v>5784</v>
      </c>
      <c r="AS118" s="496">
        <v>5530</v>
      </c>
      <c r="AT118" s="495">
        <v>9925</v>
      </c>
      <c r="AU118" s="496">
        <v>9840</v>
      </c>
      <c r="AV118" s="640">
        <f t="shared" si="48"/>
        <v>24626</v>
      </c>
      <c r="AW118" s="640">
        <f t="shared" si="49"/>
        <v>1026.0833333333333</v>
      </c>
      <c r="AX118" s="641">
        <f t="shared" si="50"/>
        <v>25322</v>
      </c>
      <c r="AY118" s="641">
        <f t="shared" si="51"/>
        <v>1055.0833333333333</v>
      </c>
      <c r="AZ118" s="640">
        <f t="shared" si="52"/>
        <v>6836.15</v>
      </c>
      <c r="BA118" s="641">
        <f t="shared" si="53"/>
        <v>6593.0166666666664</v>
      </c>
    </row>
    <row r="119" spans="1:53" s="365" customFormat="1" ht="12.6" customHeight="1">
      <c r="A119" s="418" t="s">
        <v>158</v>
      </c>
      <c r="B119" s="419" t="s">
        <v>168</v>
      </c>
      <c r="C119" s="503"/>
      <c r="D119" s="622">
        <v>139719</v>
      </c>
      <c r="E119" s="504">
        <v>5</v>
      </c>
      <c r="F119" s="495"/>
      <c r="G119" s="496"/>
      <c r="H119" s="495"/>
      <c r="I119" s="496"/>
      <c r="J119" s="495">
        <v>29115</v>
      </c>
      <c r="K119" s="496">
        <v>31005</v>
      </c>
      <c r="L119" s="495">
        <v>6608</v>
      </c>
      <c r="M119" s="496">
        <v>6144</v>
      </c>
      <c r="N119" s="495">
        <v>34115</v>
      </c>
      <c r="O119" s="496">
        <v>32937</v>
      </c>
      <c r="P119" s="640">
        <f t="shared" si="36"/>
        <v>69838</v>
      </c>
      <c r="Q119" s="640">
        <f t="shared" si="37"/>
        <v>2327.9333333333334</v>
      </c>
      <c r="R119" s="641">
        <f t="shared" si="38"/>
        <v>70086</v>
      </c>
      <c r="S119" s="641">
        <f t="shared" si="39"/>
        <v>2336.1999999999998</v>
      </c>
      <c r="T119" s="495">
        <v>506</v>
      </c>
      <c r="U119" s="496">
        <v>364</v>
      </c>
      <c r="V119" s="640">
        <f t="shared" si="40"/>
        <v>69838</v>
      </c>
      <c r="W119" s="641">
        <f t="shared" si="41"/>
        <v>70086</v>
      </c>
      <c r="X119" s="495"/>
      <c r="Y119" s="496"/>
      <c r="Z119" s="495"/>
      <c r="AA119" s="496"/>
      <c r="AB119" s="495"/>
      <c r="AC119" s="496"/>
      <c r="AD119" s="495"/>
      <c r="AE119" s="496"/>
      <c r="AF119" s="640">
        <f t="shared" si="42"/>
        <v>0</v>
      </c>
      <c r="AG119" s="640">
        <f t="shared" si="43"/>
        <v>0</v>
      </c>
      <c r="AH119" s="641">
        <f t="shared" si="44"/>
        <v>0</v>
      </c>
      <c r="AI119" s="641">
        <f t="shared" si="45"/>
        <v>0</v>
      </c>
      <c r="AJ119" s="495"/>
      <c r="AK119" s="496"/>
      <c r="AL119" s="640">
        <f t="shared" si="46"/>
        <v>0</v>
      </c>
      <c r="AM119" s="641">
        <f t="shared" si="47"/>
        <v>0</v>
      </c>
      <c r="AN119" s="495"/>
      <c r="AO119" s="496"/>
      <c r="AP119" s="495">
        <v>2231</v>
      </c>
      <c r="AQ119" s="496">
        <v>1695</v>
      </c>
      <c r="AR119" s="495">
        <v>1056</v>
      </c>
      <c r="AS119" s="496">
        <v>1155</v>
      </c>
      <c r="AT119" s="495">
        <v>1896</v>
      </c>
      <c r="AU119" s="496">
        <v>1858</v>
      </c>
      <c r="AV119" s="640">
        <f t="shared" si="48"/>
        <v>5183</v>
      </c>
      <c r="AW119" s="640">
        <f t="shared" si="49"/>
        <v>215.95833333333334</v>
      </c>
      <c r="AX119" s="641">
        <f t="shared" si="50"/>
        <v>4708</v>
      </c>
      <c r="AY119" s="641">
        <f t="shared" si="51"/>
        <v>196.16666666666666</v>
      </c>
      <c r="AZ119" s="640">
        <f t="shared" si="52"/>
        <v>2543.8916666666669</v>
      </c>
      <c r="BA119" s="641">
        <f t="shared" si="53"/>
        <v>2532.3666666666663</v>
      </c>
    </row>
    <row r="120" spans="1:53" s="365" customFormat="1" ht="12.6" customHeight="1">
      <c r="A120" s="418" t="s">
        <v>158</v>
      </c>
      <c r="B120" s="419" t="s">
        <v>169</v>
      </c>
      <c r="C120" s="420"/>
      <c r="D120" s="622">
        <v>139861</v>
      </c>
      <c r="E120" s="502">
        <v>4</v>
      </c>
      <c r="F120" s="495"/>
      <c r="G120" s="496"/>
      <c r="H120" s="495"/>
      <c r="I120" s="496"/>
      <c r="J120" s="495">
        <v>74524</v>
      </c>
      <c r="K120" s="496">
        <v>69187</v>
      </c>
      <c r="L120" s="495">
        <v>17617</v>
      </c>
      <c r="M120" s="496">
        <v>16574</v>
      </c>
      <c r="N120" s="495">
        <v>77021</v>
      </c>
      <c r="O120" s="496">
        <v>75771.5</v>
      </c>
      <c r="P120" s="640">
        <f t="shared" si="36"/>
        <v>169162</v>
      </c>
      <c r="Q120" s="640">
        <f t="shared" si="37"/>
        <v>5638.7333333333336</v>
      </c>
      <c r="R120" s="641">
        <f t="shared" si="38"/>
        <v>161532.5</v>
      </c>
      <c r="S120" s="641">
        <f t="shared" si="39"/>
        <v>5384.416666666667</v>
      </c>
      <c r="T120" s="495">
        <v>594</v>
      </c>
      <c r="U120" s="496">
        <v>629</v>
      </c>
      <c r="V120" s="640">
        <f t="shared" si="40"/>
        <v>169162</v>
      </c>
      <c r="W120" s="641">
        <f t="shared" si="41"/>
        <v>161532.5</v>
      </c>
      <c r="X120" s="495"/>
      <c r="Y120" s="496"/>
      <c r="Z120" s="495"/>
      <c r="AA120" s="496"/>
      <c r="AB120" s="495"/>
      <c r="AC120" s="496"/>
      <c r="AD120" s="495"/>
      <c r="AE120" s="496"/>
      <c r="AF120" s="640">
        <f t="shared" si="42"/>
        <v>0</v>
      </c>
      <c r="AG120" s="640">
        <f t="shared" si="43"/>
        <v>0</v>
      </c>
      <c r="AH120" s="641">
        <f t="shared" si="44"/>
        <v>0</v>
      </c>
      <c r="AI120" s="641">
        <f t="shared" si="45"/>
        <v>0</v>
      </c>
      <c r="AJ120" s="495"/>
      <c r="AK120" s="496"/>
      <c r="AL120" s="640">
        <f t="shared" si="46"/>
        <v>0</v>
      </c>
      <c r="AM120" s="641">
        <f t="shared" si="47"/>
        <v>0</v>
      </c>
      <c r="AN120" s="495"/>
      <c r="AO120" s="496"/>
      <c r="AP120" s="495">
        <v>8338</v>
      </c>
      <c r="AQ120" s="496">
        <v>8851</v>
      </c>
      <c r="AR120" s="495">
        <v>8364</v>
      </c>
      <c r="AS120" s="496">
        <v>8477</v>
      </c>
      <c r="AT120" s="495">
        <v>9005</v>
      </c>
      <c r="AU120" s="496">
        <v>8200</v>
      </c>
      <c r="AV120" s="640">
        <f t="shared" si="48"/>
        <v>25707</v>
      </c>
      <c r="AW120" s="640">
        <f t="shared" si="49"/>
        <v>1071.125</v>
      </c>
      <c r="AX120" s="641">
        <f t="shared" si="50"/>
        <v>25528</v>
      </c>
      <c r="AY120" s="641">
        <f t="shared" si="51"/>
        <v>1063.6666666666667</v>
      </c>
      <c r="AZ120" s="640">
        <f t="shared" si="52"/>
        <v>6709.8583333333336</v>
      </c>
      <c r="BA120" s="641">
        <f t="shared" si="53"/>
        <v>6448.0833333333339</v>
      </c>
    </row>
    <row r="121" spans="1:53" s="365" customFormat="1" ht="12.6" customHeight="1">
      <c r="A121" s="418" t="s">
        <v>158</v>
      </c>
      <c r="B121" s="419" t="s">
        <v>171</v>
      </c>
      <c r="C121" s="420"/>
      <c r="D121" s="622">
        <v>139764</v>
      </c>
      <c r="E121" s="502">
        <v>4</v>
      </c>
      <c r="F121" s="495"/>
      <c r="G121" s="496"/>
      <c r="H121" s="495"/>
      <c r="I121" s="496"/>
      <c r="J121" s="495">
        <v>26236</v>
      </c>
      <c r="K121" s="496">
        <v>26076</v>
      </c>
      <c r="L121" s="495">
        <v>7961</v>
      </c>
      <c r="M121" s="496">
        <v>7904</v>
      </c>
      <c r="N121" s="495">
        <v>29121</v>
      </c>
      <c r="O121" s="496">
        <v>26656</v>
      </c>
      <c r="P121" s="640">
        <f t="shared" si="36"/>
        <v>63318</v>
      </c>
      <c r="Q121" s="640">
        <f t="shared" si="37"/>
        <v>2110.6</v>
      </c>
      <c r="R121" s="641">
        <f t="shared" si="38"/>
        <v>60636</v>
      </c>
      <c r="S121" s="641">
        <f t="shared" si="39"/>
        <v>2021.2</v>
      </c>
      <c r="T121" s="495">
        <v>3066</v>
      </c>
      <c r="U121" s="496">
        <v>3048</v>
      </c>
      <c r="V121" s="640">
        <f t="shared" si="40"/>
        <v>63318</v>
      </c>
      <c r="W121" s="641">
        <f t="shared" si="41"/>
        <v>60636</v>
      </c>
      <c r="X121" s="495"/>
      <c r="Y121" s="496"/>
      <c r="Z121" s="495"/>
      <c r="AA121" s="496"/>
      <c r="AB121" s="495"/>
      <c r="AC121" s="496"/>
      <c r="AD121" s="495"/>
      <c r="AE121" s="496"/>
      <c r="AF121" s="640">
        <f t="shared" si="42"/>
        <v>0</v>
      </c>
      <c r="AG121" s="640">
        <f t="shared" si="43"/>
        <v>0</v>
      </c>
      <c r="AH121" s="641">
        <f t="shared" si="44"/>
        <v>0</v>
      </c>
      <c r="AI121" s="641">
        <f t="shared" si="45"/>
        <v>0</v>
      </c>
      <c r="AJ121" s="495"/>
      <c r="AK121" s="496"/>
      <c r="AL121" s="640">
        <f t="shared" si="46"/>
        <v>0</v>
      </c>
      <c r="AM121" s="641">
        <f t="shared" si="47"/>
        <v>0</v>
      </c>
      <c r="AN121" s="495"/>
      <c r="AO121" s="496"/>
      <c r="AP121" s="495">
        <v>3137</v>
      </c>
      <c r="AQ121" s="496">
        <v>3826</v>
      </c>
      <c r="AR121" s="495">
        <v>4486</v>
      </c>
      <c r="AS121" s="496">
        <v>5672</v>
      </c>
      <c r="AT121" s="495">
        <v>3890</v>
      </c>
      <c r="AU121" s="496">
        <v>5246</v>
      </c>
      <c r="AV121" s="640">
        <f t="shared" si="48"/>
        <v>11513</v>
      </c>
      <c r="AW121" s="640">
        <f t="shared" si="49"/>
        <v>479.70833333333331</v>
      </c>
      <c r="AX121" s="641">
        <f t="shared" si="50"/>
        <v>14744</v>
      </c>
      <c r="AY121" s="641">
        <f t="shared" si="51"/>
        <v>614.33333333333337</v>
      </c>
      <c r="AZ121" s="640">
        <f t="shared" si="52"/>
        <v>2590.3083333333334</v>
      </c>
      <c r="BA121" s="641">
        <f t="shared" si="53"/>
        <v>2635.5333333333333</v>
      </c>
    </row>
    <row r="122" spans="1:53" s="365" customFormat="1" ht="12.6" customHeight="1">
      <c r="A122" s="418" t="s">
        <v>158</v>
      </c>
      <c r="B122" s="419" t="s">
        <v>170</v>
      </c>
      <c r="C122" s="420"/>
      <c r="D122" s="623">
        <v>482680</v>
      </c>
      <c r="E122" s="502">
        <v>4</v>
      </c>
      <c r="F122" s="495"/>
      <c r="G122" s="496"/>
      <c r="H122" s="495"/>
      <c r="I122" s="496"/>
      <c r="J122" s="495">
        <v>198841</v>
      </c>
      <c r="K122" s="496">
        <v>188274</v>
      </c>
      <c r="L122" s="495">
        <v>48643</v>
      </c>
      <c r="M122" s="496">
        <v>45281</v>
      </c>
      <c r="N122" s="495">
        <v>219432</v>
      </c>
      <c r="O122" s="496">
        <v>206296</v>
      </c>
      <c r="P122" s="640">
        <f t="shared" si="36"/>
        <v>466916</v>
      </c>
      <c r="Q122" s="640">
        <f t="shared" si="37"/>
        <v>15563.866666666667</v>
      </c>
      <c r="R122" s="641">
        <f t="shared" si="38"/>
        <v>439851</v>
      </c>
      <c r="S122" s="641">
        <f t="shared" si="39"/>
        <v>14661.7</v>
      </c>
      <c r="T122" s="495">
        <v>21184</v>
      </c>
      <c r="U122" s="496">
        <v>19020</v>
      </c>
      <c r="V122" s="640">
        <f t="shared" si="40"/>
        <v>466916</v>
      </c>
      <c r="W122" s="641">
        <f t="shared" si="41"/>
        <v>439851</v>
      </c>
      <c r="X122" s="495"/>
      <c r="Y122" s="496"/>
      <c r="Z122" s="495"/>
      <c r="AA122" s="496"/>
      <c r="AB122" s="495"/>
      <c r="AC122" s="496"/>
      <c r="AD122" s="495"/>
      <c r="AE122" s="496"/>
      <c r="AF122" s="640">
        <f t="shared" si="42"/>
        <v>0</v>
      </c>
      <c r="AG122" s="640">
        <f t="shared" si="43"/>
        <v>0</v>
      </c>
      <c r="AH122" s="641">
        <f t="shared" si="44"/>
        <v>0</v>
      </c>
      <c r="AI122" s="641">
        <f t="shared" si="45"/>
        <v>0</v>
      </c>
      <c r="AJ122" s="495"/>
      <c r="AK122" s="496"/>
      <c r="AL122" s="640">
        <f t="shared" si="46"/>
        <v>0</v>
      </c>
      <c r="AM122" s="641">
        <f t="shared" si="47"/>
        <v>0</v>
      </c>
      <c r="AN122" s="495"/>
      <c r="AO122" s="496"/>
      <c r="AP122" s="495">
        <v>5434</v>
      </c>
      <c r="AQ122" s="496">
        <v>5846</v>
      </c>
      <c r="AR122" s="495">
        <v>4498</v>
      </c>
      <c r="AS122" s="496">
        <v>4783</v>
      </c>
      <c r="AT122" s="495">
        <v>6014</v>
      </c>
      <c r="AU122" s="496">
        <v>6312</v>
      </c>
      <c r="AV122" s="640">
        <f t="shared" si="48"/>
        <v>15946</v>
      </c>
      <c r="AW122" s="640">
        <f t="shared" si="49"/>
        <v>664.41666666666663</v>
      </c>
      <c r="AX122" s="641">
        <f t="shared" si="50"/>
        <v>16941</v>
      </c>
      <c r="AY122" s="641">
        <f t="shared" si="51"/>
        <v>705.875</v>
      </c>
      <c r="AZ122" s="640">
        <f t="shared" si="52"/>
        <v>16228.283333333333</v>
      </c>
      <c r="BA122" s="641">
        <f t="shared" si="53"/>
        <v>15367.575000000001</v>
      </c>
    </row>
    <row r="123" spans="1:53" s="365" customFormat="1" ht="12.6" customHeight="1">
      <c r="A123" s="418" t="s">
        <v>158</v>
      </c>
      <c r="B123" s="419" t="s">
        <v>172</v>
      </c>
      <c r="C123" s="505"/>
      <c r="D123" s="622">
        <v>140960</v>
      </c>
      <c r="E123" s="502">
        <v>5</v>
      </c>
      <c r="F123" s="495"/>
      <c r="G123" s="496"/>
      <c r="H123" s="495"/>
      <c r="I123" s="496"/>
      <c r="J123" s="495">
        <v>41787</v>
      </c>
      <c r="K123" s="496">
        <v>36044</v>
      </c>
      <c r="L123" s="495">
        <v>9058</v>
      </c>
      <c r="M123" s="496">
        <v>6913</v>
      </c>
      <c r="N123" s="495">
        <v>42382</v>
      </c>
      <c r="O123" s="496">
        <v>40530</v>
      </c>
      <c r="P123" s="640">
        <f t="shared" si="36"/>
        <v>93227</v>
      </c>
      <c r="Q123" s="640">
        <f t="shared" si="37"/>
        <v>3107.5666666666666</v>
      </c>
      <c r="R123" s="641">
        <f t="shared" si="38"/>
        <v>83487</v>
      </c>
      <c r="S123" s="641">
        <f t="shared" si="39"/>
        <v>2782.9</v>
      </c>
      <c r="T123" s="495">
        <v>1709</v>
      </c>
      <c r="U123" s="496">
        <v>1490</v>
      </c>
      <c r="V123" s="640">
        <f t="shared" si="40"/>
        <v>93227</v>
      </c>
      <c r="W123" s="641">
        <f t="shared" si="41"/>
        <v>83487</v>
      </c>
      <c r="X123" s="495"/>
      <c r="Y123" s="496"/>
      <c r="Z123" s="495"/>
      <c r="AA123" s="496"/>
      <c r="AB123" s="495"/>
      <c r="AC123" s="496"/>
      <c r="AD123" s="495"/>
      <c r="AE123" s="496"/>
      <c r="AF123" s="640">
        <f t="shared" si="42"/>
        <v>0</v>
      </c>
      <c r="AG123" s="640">
        <f t="shared" si="43"/>
        <v>0</v>
      </c>
      <c r="AH123" s="641">
        <f t="shared" si="44"/>
        <v>0</v>
      </c>
      <c r="AI123" s="641">
        <f t="shared" si="45"/>
        <v>0</v>
      </c>
      <c r="AJ123" s="495"/>
      <c r="AK123" s="496"/>
      <c r="AL123" s="640">
        <f t="shared" si="46"/>
        <v>0</v>
      </c>
      <c r="AM123" s="641">
        <f t="shared" si="47"/>
        <v>0</v>
      </c>
      <c r="AN123" s="495"/>
      <c r="AO123" s="496"/>
      <c r="AP123" s="495">
        <v>1689</v>
      </c>
      <c r="AQ123" s="496">
        <v>2101</v>
      </c>
      <c r="AR123" s="495">
        <v>607</v>
      </c>
      <c r="AS123" s="496">
        <v>612</v>
      </c>
      <c r="AT123" s="495">
        <v>2244</v>
      </c>
      <c r="AU123" s="496">
        <v>2102</v>
      </c>
      <c r="AV123" s="640">
        <f t="shared" si="48"/>
        <v>4540</v>
      </c>
      <c r="AW123" s="640">
        <f t="shared" si="49"/>
        <v>189.16666666666666</v>
      </c>
      <c r="AX123" s="641">
        <f t="shared" si="50"/>
        <v>4815</v>
      </c>
      <c r="AY123" s="641">
        <f t="shared" si="51"/>
        <v>200.625</v>
      </c>
      <c r="AZ123" s="640">
        <f t="shared" si="52"/>
        <v>3296.7333333333331</v>
      </c>
      <c r="BA123" s="641">
        <f t="shared" si="53"/>
        <v>2983.5250000000001</v>
      </c>
    </row>
    <row r="124" spans="1:53" s="365" customFormat="1" ht="12.6" customHeight="1">
      <c r="A124" s="418" t="s">
        <v>158</v>
      </c>
      <c r="B124" s="419" t="s">
        <v>176</v>
      </c>
      <c r="C124" s="419"/>
      <c r="D124" s="622">
        <v>138558</v>
      </c>
      <c r="E124" s="502">
        <v>6</v>
      </c>
      <c r="F124" s="495"/>
      <c r="G124" s="496"/>
      <c r="H124" s="495"/>
      <c r="I124" s="496"/>
      <c r="J124" s="495">
        <v>39190</v>
      </c>
      <c r="K124" s="496">
        <v>39266</v>
      </c>
      <c r="L124" s="495">
        <v>8370</v>
      </c>
      <c r="M124" s="496">
        <v>9208</v>
      </c>
      <c r="N124" s="495">
        <v>45710</v>
      </c>
      <c r="O124" s="496">
        <v>43545</v>
      </c>
      <c r="P124" s="640">
        <f t="shared" si="36"/>
        <v>93270</v>
      </c>
      <c r="Q124" s="640">
        <f t="shared" si="37"/>
        <v>3109</v>
      </c>
      <c r="R124" s="641">
        <f t="shared" si="38"/>
        <v>92019</v>
      </c>
      <c r="S124" s="641">
        <f t="shared" si="39"/>
        <v>3067.3</v>
      </c>
      <c r="T124" s="495">
        <v>5926</v>
      </c>
      <c r="U124" s="496">
        <v>5015</v>
      </c>
      <c r="V124" s="640">
        <f t="shared" si="40"/>
        <v>93270</v>
      </c>
      <c r="W124" s="641">
        <f t="shared" si="41"/>
        <v>92019</v>
      </c>
      <c r="X124" s="495"/>
      <c r="Y124" s="496"/>
      <c r="Z124" s="495"/>
      <c r="AA124" s="496"/>
      <c r="AB124" s="495"/>
      <c r="AC124" s="496"/>
      <c r="AD124" s="495"/>
      <c r="AE124" s="496"/>
      <c r="AF124" s="640">
        <f t="shared" si="42"/>
        <v>0</v>
      </c>
      <c r="AG124" s="640">
        <f t="shared" si="43"/>
        <v>0</v>
      </c>
      <c r="AH124" s="641">
        <f t="shared" si="44"/>
        <v>0</v>
      </c>
      <c r="AI124" s="641">
        <f t="shared" si="45"/>
        <v>0</v>
      </c>
      <c r="AJ124" s="495"/>
      <c r="AK124" s="496"/>
      <c r="AL124" s="640">
        <f t="shared" si="46"/>
        <v>0</v>
      </c>
      <c r="AM124" s="641">
        <f t="shared" si="47"/>
        <v>0</v>
      </c>
      <c r="AN124" s="495"/>
      <c r="AO124" s="496"/>
      <c r="AP124" s="495"/>
      <c r="AQ124" s="496"/>
      <c r="AR124" s="495"/>
      <c r="AS124" s="496"/>
      <c r="AT124" s="495"/>
      <c r="AU124" s="496"/>
      <c r="AV124" s="640">
        <f t="shared" si="48"/>
        <v>0</v>
      </c>
      <c r="AW124" s="640">
        <f t="shared" si="49"/>
        <v>0</v>
      </c>
      <c r="AX124" s="641">
        <f t="shared" si="50"/>
        <v>0</v>
      </c>
      <c r="AY124" s="641">
        <f t="shared" si="51"/>
        <v>0</v>
      </c>
      <c r="AZ124" s="640">
        <f t="shared" si="52"/>
        <v>3109</v>
      </c>
      <c r="BA124" s="641">
        <f t="shared" si="53"/>
        <v>3067.3</v>
      </c>
    </row>
    <row r="125" spans="1:53" s="365" customFormat="1" ht="12.6" customHeight="1">
      <c r="A125" s="418" t="s">
        <v>158</v>
      </c>
      <c r="B125" s="419" t="s">
        <v>177</v>
      </c>
      <c r="C125" s="422"/>
      <c r="D125" s="622">
        <v>139250</v>
      </c>
      <c r="E125" s="502">
        <v>6</v>
      </c>
      <c r="F125" s="495"/>
      <c r="G125" s="496"/>
      <c r="H125" s="495"/>
      <c r="I125" s="496"/>
      <c r="J125" s="495">
        <v>35488</v>
      </c>
      <c r="K125" s="496">
        <v>32284</v>
      </c>
      <c r="L125" s="495">
        <v>9214</v>
      </c>
      <c r="M125" s="496">
        <v>8420</v>
      </c>
      <c r="N125" s="495">
        <v>36862</v>
      </c>
      <c r="O125" s="496">
        <v>34040</v>
      </c>
      <c r="P125" s="640">
        <f t="shared" si="36"/>
        <v>81564</v>
      </c>
      <c r="Q125" s="640">
        <f t="shared" si="37"/>
        <v>2718.8</v>
      </c>
      <c r="R125" s="641">
        <f t="shared" si="38"/>
        <v>74744</v>
      </c>
      <c r="S125" s="641">
        <f t="shared" si="39"/>
        <v>2491.4666666666667</v>
      </c>
      <c r="T125" s="495">
        <v>6624</v>
      </c>
      <c r="U125" s="496">
        <v>5938</v>
      </c>
      <c r="V125" s="640">
        <f t="shared" si="40"/>
        <v>81564</v>
      </c>
      <c r="W125" s="641">
        <f t="shared" si="41"/>
        <v>74744</v>
      </c>
      <c r="X125" s="495"/>
      <c r="Y125" s="496"/>
      <c r="Z125" s="495"/>
      <c r="AA125" s="496"/>
      <c r="AB125" s="495"/>
      <c r="AC125" s="496"/>
      <c r="AD125" s="495"/>
      <c r="AE125" s="496"/>
      <c r="AF125" s="640">
        <f t="shared" si="42"/>
        <v>0</v>
      </c>
      <c r="AG125" s="640">
        <f t="shared" si="43"/>
        <v>0</v>
      </c>
      <c r="AH125" s="641">
        <f t="shared" si="44"/>
        <v>0</v>
      </c>
      <c r="AI125" s="641">
        <f t="shared" si="45"/>
        <v>0</v>
      </c>
      <c r="AJ125" s="495"/>
      <c r="AK125" s="496"/>
      <c r="AL125" s="640">
        <f t="shared" si="46"/>
        <v>0</v>
      </c>
      <c r="AM125" s="641">
        <f t="shared" si="47"/>
        <v>0</v>
      </c>
      <c r="AN125" s="495"/>
      <c r="AO125" s="496"/>
      <c r="AP125" s="495"/>
      <c r="AQ125" s="496"/>
      <c r="AR125" s="495"/>
      <c r="AS125" s="496"/>
      <c r="AT125" s="495"/>
      <c r="AU125" s="496"/>
      <c r="AV125" s="640">
        <f t="shared" si="48"/>
        <v>0</v>
      </c>
      <c r="AW125" s="640">
        <f t="shared" si="49"/>
        <v>0</v>
      </c>
      <c r="AX125" s="641">
        <f t="shared" si="50"/>
        <v>0</v>
      </c>
      <c r="AY125" s="641">
        <f t="shared" si="51"/>
        <v>0</v>
      </c>
      <c r="AZ125" s="640">
        <f t="shared" si="52"/>
        <v>2718.8</v>
      </c>
      <c r="BA125" s="641">
        <f t="shared" si="53"/>
        <v>2491.4666666666667</v>
      </c>
    </row>
    <row r="126" spans="1:53" s="365" customFormat="1" ht="12.6" customHeight="1">
      <c r="A126" s="418" t="s">
        <v>158</v>
      </c>
      <c r="B126" s="419" t="s">
        <v>173</v>
      </c>
      <c r="C126" s="422"/>
      <c r="D126" s="622">
        <v>139463</v>
      </c>
      <c r="E126" s="502">
        <v>6</v>
      </c>
      <c r="F126" s="495"/>
      <c r="G126" s="496"/>
      <c r="H126" s="495"/>
      <c r="I126" s="496"/>
      <c r="J126" s="495">
        <v>49176</v>
      </c>
      <c r="K126" s="496">
        <v>45881</v>
      </c>
      <c r="L126" s="495">
        <v>11492</v>
      </c>
      <c r="M126" s="496">
        <v>10710</v>
      </c>
      <c r="N126" s="495">
        <v>53945</v>
      </c>
      <c r="O126" s="496">
        <v>50797</v>
      </c>
      <c r="P126" s="640">
        <f t="shared" si="36"/>
        <v>114613</v>
      </c>
      <c r="Q126" s="640">
        <f t="shared" si="37"/>
        <v>3820.4333333333334</v>
      </c>
      <c r="R126" s="641">
        <f t="shared" si="38"/>
        <v>107388</v>
      </c>
      <c r="S126" s="641">
        <f t="shared" si="39"/>
        <v>3579.6</v>
      </c>
      <c r="T126" s="495">
        <v>5497</v>
      </c>
      <c r="U126" s="496">
        <v>4688</v>
      </c>
      <c r="V126" s="640">
        <f t="shared" si="40"/>
        <v>114613</v>
      </c>
      <c r="W126" s="641">
        <f t="shared" si="41"/>
        <v>107388</v>
      </c>
      <c r="X126" s="495"/>
      <c r="Y126" s="496"/>
      <c r="Z126" s="495"/>
      <c r="AA126" s="496"/>
      <c r="AB126" s="495"/>
      <c r="AC126" s="496"/>
      <c r="AD126" s="495"/>
      <c r="AE126" s="496"/>
      <c r="AF126" s="640">
        <f t="shared" si="42"/>
        <v>0</v>
      </c>
      <c r="AG126" s="640">
        <f t="shared" si="43"/>
        <v>0</v>
      </c>
      <c r="AH126" s="641">
        <f t="shared" si="44"/>
        <v>0</v>
      </c>
      <c r="AI126" s="641">
        <f t="shared" si="45"/>
        <v>0</v>
      </c>
      <c r="AJ126" s="495"/>
      <c r="AK126" s="496"/>
      <c r="AL126" s="640">
        <f t="shared" si="46"/>
        <v>0</v>
      </c>
      <c r="AM126" s="641">
        <f t="shared" si="47"/>
        <v>0</v>
      </c>
      <c r="AN126" s="495"/>
      <c r="AO126" s="496"/>
      <c r="AP126" s="495"/>
      <c r="AQ126" s="496"/>
      <c r="AR126" s="495"/>
      <c r="AS126" s="496"/>
      <c r="AT126" s="495"/>
      <c r="AU126" s="496"/>
      <c r="AV126" s="640">
        <f t="shared" si="48"/>
        <v>0</v>
      </c>
      <c r="AW126" s="640">
        <f t="shared" si="49"/>
        <v>0</v>
      </c>
      <c r="AX126" s="641">
        <f t="shared" si="50"/>
        <v>0</v>
      </c>
      <c r="AY126" s="641">
        <f t="shared" si="51"/>
        <v>0</v>
      </c>
      <c r="AZ126" s="640">
        <f t="shared" si="52"/>
        <v>3820.4333333333334</v>
      </c>
      <c r="BA126" s="641">
        <f t="shared" si="53"/>
        <v>3579.6</v>
      </c>
    </row>
    <row r="127" spans="1:53" s="365" customFormat="1" ht="12.6" customHeight="1">
      <c r="A127" s="418" t="s">
        <v>158</v>
      </c>
      <c r="B127" s="419" t="s">
        <v>174</v>
      </c>
      <c r="C127" s="422"/>
      <c r="D127" s="622">
        <v>447689</v>
      </c>
      <c r="E127" s="502">
        <v>6</v>
      </c>
      <c r="F127" s="495"/>
      <c r="G127" s="496"/>
      <c r="H127" s="495"/>
      <c r="I127" s="496"/>
      <c r="J127" s="495">
        <v>135738</v>
      </c>
      <c r="K127" s="496">
        <v>123097</v>
      </c>
      <c r="L127" s="495">
        <v>32797</v>
      </c>
      <c r="M127" s="496">
        <v>27563</v>
      </c>
      <c r="N127" s="495">
        <v>136317</v>
      </c>
      <c r="O127" s="496">
        <v>125561</v>
      </c>
      <c r="P127" s="640">
        <f t="shared" si="36"/>
        <v>304852</v>
      </c>
      <c r="Q127" s="640">
        <f t="shared" si="37"/>
        <v>10161.733333333334</v>
      </c>
      <c r="R127" s="641">
        <f t="shared" si="38"/>
        <v>276221</v>
      </c>
      <c r="S127" s="641">
        <f t="shared" si="39"/>
        <v>9207.3666666666668</v>
      </c>
      <c r="T127" s="495">
        <v>9397</v>
      </c>
      <c r="U127" s="496">
        <v>6401</v>
      </c>
      <c r="V127" s="640">
        <f t="shared" si="40"/>
        <v>304852</v>
      </c>
      <c r="W127" s="641">
        <f t="shared" si="41"/>
        <v>276221</v>
      </c>
      <c r="X127" s="495"/>
      <c r="Y127" s="496"/>
      <c r="Z127" s="495"/>
      <c r="AA127" s="496"/>
      <c r="AB127" s="495"/>
      <c r="AC127" s="496"/>
      <c r="AD127" s="495"/>
      <c r="AE127" s="496"/>
      <c r="AF127" s="640">
        <f t="shared" si="42"/>
        <v>0</v>
      </c>
      <c r="AG127" s="640">
        <f t="shared" si="43"/>
        <v>0</v>
      </c>
      <c r="AH127" s="641">
        <f t="shared" si="44"/>
        <v>0</v>
      </c>
      <c r="AI127" s="641">
        <f t="shared" si="45"/>
        <v>0</v>
      </c>
      <c r="AJ127" s="495"/>
      <c r="AK127" s="496"/>
      <c r="AL127" s="640">
        <f t="shared" si="46"/>
        <v>0</v>
      </c>
      <c r="AM127" s="641">
        <f t="shared" si="47"/>
        <v>0</v>
      </c>
      <c r="AN127" s="495"/>
      <c r="AO127" s="496"/>
      <c r="AP127" s="495"/>
      <c r="AQ127" s="496"/>
      <c r="AR127" s="495"/>
      <c r="AS127" s="496"/>
      <c r="AT127" s="495"/>
      <c r="AU127" s="496"/>
      <c r="AV127" s="640">
        <f t="shared" si="48"/>
        <v>0</v>
      </c>
      <c r="AW127" s="640">
        <f t="shared" si="49"/>
        <v>0</v>
      </c>
      <c r="AX127" s="641">
        <f t="shared" si="50"/>
        <v>0</v>
      </c>
      <c r="AY127" s="641">
        <f t="shared" si="51"/>
        <v>0</v>
      </c>
      <c r="AZ127" s="640">
        <f t="shared" si="52"/>
        <v>10161.733333333334</v>
      </c>
      <c r="BA127" s="641">
        <f t="shared" si="53"/>
        <v>9207.3666666666668</v>
      </c>
    </row>
    <row r="128" spans="1:53" s="365" customFormat="1" ht="12.6" customHeight="1">
      <c r="A128" s="418" t="s">
        <v>158</v>
      </c>
      <c r="B128" s="419" t="s">
        <v>178</v>
      </c>
      <c r="C128" s="420"/>
      <c r="D128" s="622">
        <v>139968</v>
      </c>
      <c r="E128" s="502">
        <v>6</v>
      </c>
      <c r="F128" s="495"/>
      <c r="G128" s="496"/>
      <c r="H128" s="495"/>
      <c r="I128" s="496"/>
      <c r="J128" s="495">
        <v>35631</v>
      </c>
      <c r="K128" s="496">
        <v>30238</v>
      </c>
      <c r="L128" s="495">
        <v>6452</v>
      </c>
      <c r="M128" s="496">
        <v>6701</v>
      </c>
      <c r="N128" s="495">
        <v>35552</v>
      </c>
      <c r="O128" s="496">
        <v>32605</v>
      </c>
      <c r="P128" s="640">
        <f t="shared" si="36"/>
        <v>77635</v>
      </c>
      <c r="Q128" s="640">
        <f t="shared" si="37"/>
        <v>2587.8333333333335</v>
      </c>
      <c r="R128" s="641">
        <f t="shared" si="38"/>
        <v>69544</v>
      </c>
      <c r="S128" s="641">
        <f t="shared" si="39"/>
        <v>2318.1333333333332</v>
      </c>
      <c r="T128" s="495">
        <v>6863</v>
      </c>
      <c r="U128" s="496">
        <v>5777</v>
      </c>
      <c r="V128" s="640">
        <f t="shared" si="40"/>
        <v>77635</v>
      </c>
      <c r="W128" s="641">
        <f t="shared" si="41"/>
        <v>69544</v>
      </c>
      <c r="X128" s="495"/>
      <c r="Y128" s="496"/>
      <c r="Z128" s="495"/>
      <c r="AA128" s="496"/>
      <c r="AB128" s="495"/>
      <c r="AC128" s="496"/>
      <c r="AD128" s="495"/>
      <c r="AE128" s="496"/>
      <c r="AF128" s="640">
        <f t="shared" si="42"/>
        <v>0</v>
      </c>
      <c r="AG128" s="640">
        <f t="shared" si="43"/>
        <v>0</v>
      </c>
      <c r="AH128" s="641">
        <f t="shared" si="44"/>
        <v>0</v>
      </c>
      <c r="AI128" s="641">
        <f t="shared" si="45"/>
        <v>0</v>
      </c>
      <c r="AJ128" s="495"/>
      <c r="AK128" s="496"/>
      <c r="AL128" s="640">
        <f t="shared" si="46"/>
        <v>0</v>
      </c>
      <c r="AM128" s="641">
        <f t="shared" si="47"/>
        <v>0</v>
      </c>
      <c r="AN128" s="495"/>
      <c r="AO128" s="496"/>
      <c r="AP128" s="495"/>
      <c r="AQ128" s="496"/>
      <c r="AR128" s="495"/>
      <c r="AS128" s="496"/>
      <c r="AT128" s="495"/>
      <c r="AU128" s="496"/>
      <c r="AV128" s="640">
        <f t="shared" si="48"/>
        <v>0</v>
      </c>
      <c r="AW128" s="640">
        <f t="shared" si="49"/>
        <v>0</v>
      </c>
      <c r="AX128" s="641">
        <f t="shared" si="50"/>
        <v>0</v>
      </c>
      <c r="AY128" s="641">
        <f t="shared" si="51"/>
        <v>0</v>
      </c>
      <c r="AZ128" s="640">
        <f t="shared" si="52"/>
        <v>2587.8333333333335</v>
      </c>
      <c r="BA128" s="641">
        <f t="shared" si="53"/>
        <v>2318.1333333333332</v>
      </c>
    </row>
    <row r="129" spans="1:53" s="365" customFormat="1" ht="12.6" customHeight="1">
      <c r="A129" s="418" t="s">
        <v>158</v>
      </c>
      <c r="B129" s="419" t="s">
        <v>175</v>
      </c>
      <c r="C129" s="503"/>
      <c r="D129" s="506">
        <v>482158</v>
      </c>
      <c r="E129" s="507">
        <v>5</v>
      </c>
      <c r="F129" s="495"/>
      <c r="G129" s="496"/>
      <c r="H129" s="495"/>
      <c r="I129" s="496"/>
      <c r="J129" s="495">
        <v>80927</v>
      </c>
      <c r="K129" s="496">
        <v>79182</v>
      </c>
      <c r="L129" s="495">
        <v>25127</v>
      </c>
      <c r="M129" s="496">
        <v>24969</v>
      </c>
      <c r="N129" s="495">
        <v>89079</v>
      </c>
      <c r="O129" s="496">
        <v>80947</v>
      </c>
      <c r="P129" s="640">
        <f t="shared" si="36"/>
        <v>195133</v>
      </c>
      <c r="Q129" s="640">
        <f t="shared" si="37"/>
        <v>6504.4333333333334</v>
      </c>
      <c r="R129" s="641">
        <f t="shared" si="38"/>
        <v>185098</v>
      </c>
      <c r="S129" s="641">
        <f t="shared" si="39"/>
        <v>6169.9333333333334</v>
      </c>
      <c r="T129" s="495">
        <v>7546</v>
      </c>
      <c r="U129" s="496">
        <v>6292</v>
      </c>
      <c r="V129" s="640">
        <f t="shared" si="40"/>
        <v>195133</v>
      </c>
      <c r="W129" s="641">
        <f t="shared" si="41"/>
        <v>185098</v>
      </c>
      <c r="X129" s="495"/>
      <c r="Y129" s="496"/>
      <c r="Z129" s="495"/>
      <c r="AA129" s="496"/>
      <c r="AB129" s="495"/>
      <c r="AC129" s="496"/>
      <c r="AD129" s="495"/>
      <c r="AE129" s="496"/>
      <c r="AF129" s="640">
        <f t="shared" si="42"/>
        <v>0</v>
      </c>
      <c r="AG129" s="640">
        <f t="shared" si="43"/>
        <v>0</v>
      </c>
      <c r="AH129" s="641">
        <f t="shared" si="44"/>
        <v>0</v>
      </c>
      <c r="AI129" s="641">
        <f t="shared" si="45"/>
        <v>0</v>
      </c>
      <c r="AJ129" s="495"/>
      <c r="AK129" s="496"/>
      <c r="AL129" s="640">
        <f t="shared" si="46"/>
        <v>0</v>
      </c>
      <c r="AM129" s="641">
        <f t="shared" si="47"/>
        <v>0</v>
      </c>
      <c r="AN129" s="495"/>
      <c r="AO129" s="496"/>
      <c r="AP129" s="495">
        <v>2194</v>
      </c>
      <c r="AQ129" s="496">
        <v>2996</v>
      </c>
      <c r="AR129" s="495">
        <v>1227</v>
      </c>
      <c r="AS129" s="496">
        <v>1551</v>
      </c>
      <c r="AT129" s="495">
        <v>3019</v>
      </c>
      <c r="AU129" s="496">
        <v>3002</v>
      </c>
      <c r="AV129" s="640">
        <f t="shared" si="48"/>
        <v>6440</v>
      </c>
      <c r="AW129" s="640">
        <f t="shared" si="49"/>
        <v>268.33333333333331</v>
      </c>
      <c r="AX129" s="641">
        <f t="shared" si="50"/>
        <v>7549</v>
      </c>
      <c r="AY129" s="641">
        <f t="shared" si="51"/>
        <v>314.54166666666669</v>
      </c>
      <c r="AZ129" s="640">
        <f t="shared" si="52"/>
        <v>6772.7666666666664</v>
      </c>
      <c r="BA129" s="641">
        <f t="shared" si="53"/>
        <v>6484.4750000000004</v>
      </c>
    </row>
    <row r="130" spans="1:53" s="365" customFormat="1" ht="12.6" customHeight="1">
      <c r="A130" s="418" t="s">
        <v>158</v>
      </c>
      <c r="B130" s="419" t="s">
        <v>179</v>
      </c>
      <c r="C130" s="422"/>
      <c r="D130" s="622">
        <v>138901</v>
      </c>
      <c r="E130" s="502">
        <v>7</v>
      </c>
      <c r="F130" s="495"/>
      <c r="G130" s="496"/>
      <c r="H130" s="495"/>
      <c r="I130" s="496"/>
      <c r="J130" s="495">
        <v>16128</v>
      </c>
      <c r="K130" s="496">
        <v>14388</v>
      </c>
      <c r="L130" s="495">
        <v>5644</v>
      </c>
      <c r="M130" s="496">
        <v>6529</v>
      </c>
      <c r="N130" s="495">
        <v>16441</v>
      </c>
      <c r="O130" s="496">
        <v>15226</v>
      </c>
      <c r="P130" s="640">
        <f t="shared" si="36"/>
        <v>38213</v>
      </c>
      <c r="Q130" s="640">
        <f t="shared" si="37"/>
        <v>1273.7666666666667</v>
      </c>
      <c r="R130" s="641">
        <f t="shared" si="38"/>
        <v>36143</v>
      </c>
      <c r="S130" s="641">
        <f t="shared" si="39"/>
        <v>1204.7666666666667</v>
      </c>
      <c r="T130" s="495">
        <v>2030</v>
      </c>
      <c r="U130" s="496">
        <v>1380</v>
      </c>
      <c r="V130" s="640">
        <f t="shared" si="40"/>
        <v>38213</v>
      </c>
      <c r="W130" s="641">
        <f t="shared" si="41"/>
        <v>36143</v>
      </c>
      <c r="X130" s="495"/>
      <c r="Y130" s="496"/>
      <c r="Z130" s="495"/>
      <c r="AA130" s="496"/>
      <c r="AB130" s="495"/>
      <c r="AC130" s="496"/>
      <c r="AD130" s="495"/>
      <c r="AE130" s="496"/>
      <c r="AF130" s="640">
        <f t="shared" si="42"/>
        <v>0</v>
      </c>
      <c r="AG130" s="640">
        <f t="shared" si="43"/>
        <v>0</v>
      </c>
      <c r="AH130" s="641">
        <f t="shared" si="44"/>
        <v>0</v>
      </c>
      <c r="AI130" s="641">
        <f t="shared" si="45"/>
        <v>0</v>
      </c>
      <c r="AJ130" s="495"/>
      <c r="AK130" s="496"/>
      <c r="AL130" s="640">
        <f t="shared" si="46"/>
        <v>0</v>
      </c>
      <c r="AM130" s="641">
        <f t="shared" si="47"/>
        <v>0</v>
      </c>
      <c r="AN130" s="495"/>
      <c r="AO130" s="496"/>
      <c r="AP130" s="495"/>
      <c r="AQ130" s="496"/>
      <c r="AR130" s="495"/>
      <c r="AS130" s="496"/>
      <c r="AT130" s="495"/>
      <c r="AU130" s="496"/>
      <c r="AV130" s="640">
        <f t="shared" si="48"/>
        <v>0</v>
      </c>
      <c r="AW130" s="640">
        <f t="shared" si="49"/>
        <v>0</v>
      </c>
      <c r="AX130" s="641">
        <f t="shared" si="50"/>
        <v>0</v>
      </c>
      <c r="AY130" s="641">
        <f t="shared" si="51"/>
        <v>0</v>
      </c>
      <c r="AZ130" s="640">
        <f t="shared" si="52"/>
        <v>1273.7666666666667</v>
      </c>
      <c r="BA130" s="641">
        <f t="shared" si="53"/>
        <v>1204.7666666666667</v>
      </c>
    </row>
    <row r="131" spans="1:53" s="365" customFormat="1" ht="12.6" customHeight="1">
      <c r="A131" s="418" t="s">
        <v>158</v>
      </c>
      <c r="B131" s="419" t="s">
        <v>180</v>
      </c>
      <c r="C131" s="422"/>
      <c r="D131" s="622">
        <v>139621</v>
      </c>
      <c r="E131" s="502">
        <v>7</v>
      </c>
      <c r="F131" s="495"/>
      <c r="G131" s="496"/>
      <c r="H131" s="495"/>
      <c r="I131" s="496"/>
      <c r="J131" s="495">
        <v>26122</v>
      </c>
      <c r="K131" s="496">
        <v>19100</v>
      </c>
      <c r="L131" s="495">
        <v>5769</v>
      </c>
      <c r="M131" s="496">
        <v>4377</v>
      </c>
      <c r="N131" s="495">
        <v>25811</v>
      </c>
      <c r="O131" s="496">
        <v>22581</v>
      </c>
      <c r="P131" s="640">
        <f t="shared" si="36"/>
        <v>57702</v>
      </c>
      <c r="Q131" s="640">
        <f t="shared" si="37"/>
        <v>1923.4</v>
      </c>
      <c r="R131" s="641">
        <f t="shared" si="38"/>
        <v>46058</v>
      </c>
      <c r="S131" s="641">
        <f t="shared" si="39"/>
        <v>1535.2666666666667</v>
      </c>
      <c r="T131" s="495">
        <v>3855</v>
      </c>
      <c r="U131" s="496">
        <v>3287</v>
      </c>
      <c r="V131" s="640">
        <f t="shared" si="40"/>
        <v>57702</v>
      </c>
      <c r="W131" s="641">
        <f t="shared" si="41"/>
        <v>46058</v>
      </c>
      <c r="X131" s="495"/>
      <c r="Y131" s="496"/>
      <c r="Z131" s="495"/>
      <c r="AA131" s="496"/>
      <c r="AB131" s="495"/>
      <c r="AC131" s="496"/>
      <c r="AD131" s="495"/>
      <c r="AE131" s="496"/>
      <c r="AF131" s="640">
        <f t="shared" si="42"/>
        <v>0</v>
      </c>
      <c r="AG131" s="640">
        <f t="shared" si="43"/>
        <v>0</v>
      </c>
      <c r="AH131" s="641">
        <f t="shared" si="44"/>
        <v>0</v>
      </c>
      <c r="AI131" s="641">
        <f t="shared" si="45"/>
        <v>0</v>
      </c>
      <c r="AJ131" s="495"/>
      <c r="AK131" s="496"/>
      <c r="AL131" s="640">
        <f t="shared" si="46"/>
        <v>0</v>
      </c>
      <c r="AM131" s="641">
        <f t="shared" si="47"/>
        <v>0</v>
      </c>
      <c r="AN131" s="495"/>
      <c r="AO131" s="496"/>
      <c r="AP131" s="495"/>
      <c r="AQ131" s="496"/>
      <c r="AR131" s="495"/>
      <c r="AS131" s="496"/>
      <c r="AT131" s="495"/>
      <c r="AU131" s="496"/>
      <c r="AV131" s="640">
        <f t="shared" si="48"/>
        <v>0</v>
      </c>
      <c r="AW131" s="640">
        <f t="shared" si="49"/>
        <v>0</v>
      </c>
      <c r="AX131" s="641">
        <f t="shared" si="50"/>
        <v>0</v>
      </c>
      <c r="AY131" s="641">
        <f t="shared" si="51"/>
        <v>0</v>
      </c>
      <c r="AZ131" s="640">
        <f t="shared" si="52"/>
        <v>1923.4</v>
      </c>
      <c r="BA131" s="641">
        <f t="shared" si="53"/>
        <v>1535.2666666666667</v>
      </c>
    </row>
    <row r="132" spans="1:53" s="365" customFormat="1" ht="12.6" customHeight="1">
      <c r="A132" s="418" t="s">
        <v>158</v>
      </c>
      <c r="B132" s="419" t="s">
        <v>181</v>
      </c>
      <c r="C132" s="422"/>
      <c r="D132" s="622">
        <v>139700</v>
      </c>
      <c r="E132" s="502">
        <v>7</v>
      </c>
      <c r="F132" s="495"/>
      <c r="G132" s="496"/>
      <c r="H132" s="495"/>
      <c r="I132" s="496"/>
      <c r="J132" s="495">
        <v>55957</v>
      </c>
      <c r="K132" s="496">
        <v>48412</v>
      </c>
      <c r="L132" s="495">
        <v>16355</v>
      </c>
      <c r="M132" s="496">
        <v>13960</v>
      </c>
      <c r="N132" s="495">
        <v>54578</v>
      </c>
      <c r="O132" s="496">
        <v>49449</v>
      </c>
      <c r="P132" s="640">
        <f t="shared" si="36"/>
        <v>126890</v>
      </c>
      <c r="Q132" s="640">
        <f t="shared" si="37"/>
        <v>4229.666666666667</v>
      </c>
      <c r="R132" s="641">
        <f t="shared" si="38"/>
        <v>111821</v>
      </c>
      <c r="S132" s="641">
        <f t="shared" si="39"/>
        <v>3727.3666666666668</v>
      </c>
      <c r="T132" s="495">
        <v>6101</v>
      </c>
      <c r="U132" s="496">
        <v>5747</v>
      </c>
      <c r="V132" s="640">
        <f t="shared" si="40"/>
        <v>126890</v>
      </c>
      <c r="W132" s="641">
        <f t="shared" si="41"/>
        <v>111821</v>
      </c>
      <c r="X132" s="495"/>
      <c r="Y132" s="496"/>
      <c r="Z132" s="495"/>
      <c r="AA132" s="496"/>
      <c r="AB132" s="495"/>
      <c r="AC132" s="496"/>
      <c r="AD132" s="495"/>
      <c r="AE132" s="496"/>
      <c r="AF132" s="640">
        <f t="shared" si="42"/>
        <v>0</v>
      </c>
      <c r="AG132" s="640">
        <f t="shared" si="43"/>
        <v>0</v>
      </c>
      <c r="AH132" s="641">
        <f t="shared" si="44"/>
        <v>0</v>
      </c>
      <c r="AI132" s="641">
        <f t="shared" si="45"/>
        <v>0</v>
      </c>
      <c r="AJ132" s="495"/>
      <c r="AK132" s="496"/>
      <c r="AL132" s="640">
        <f t="shared" si="46"/>
        <v>0</v>
      </c>
      <c r="AM132" s="641">
        <f t="shared" si="47"/>
        <v>0</v>
      </c>
      <c r="AN132" s="495"/>
      <c r="AO132" s="496"/>
      <c r="AP132" s="495"/>
      <c r="AQ132" s="496"/>
      <c r="AR132" s="495"/>
      <c r="AS132" s="496"/>
      <c r="AT132" s="495"/>
      <c r="AU132" s="496"/>
      <c r="AV132" s="640">
        <f t="shared" si="48"/>
        <v>0</v>
      </c>
      <c r="AW132" s="640">
        <f t="shared" si="49"/>
        <v>0</v>
      </c>
      <c r="AX132" s="641">
        <f t="shared" si="50"/>
        <v>0</v>
      </c>
      <c r="AY132" s="641">
        <f t="shared" si="51"/>
        <v>0</v>
      </c>
      <c r="AZ132" s="640">
        <f t="shared" si="52"/>
        <v>4229.666666666667</v>
      </c>
      <c r="BA132" s="641">
        <f t="shared" si="53"/>
        <v>3727.3666666666668</v>
      </c>
    </row>
    <row r="133" spans="1:53" s="365" customFormat="1" ht="12.6" customHeight="1">
      <c r="A133" s="418" t="s">
        <v>158</v>
      </c>
      <c r="B133" s="419" t="s">
        <v>182</v>
      </c>
      <c r="C133" s="422"/>
      <c r="D133" s="623">
        <v>482699</v>
      </c>
      <c r="E133" s="502">
        <v>7</v>
      </c>
      <c r="F133" s="495"/>
      <c r="G133" s="496"/>
      <c r="H133" s="495"/>
      <c r="I133" s="496"/>
      <c r="J133" s="495">
        <v>24417</v>
      </c>
      <c r="K133" s="496">
        <v>18711</v>
      </c>
      <c r="L133" s="495">
        <v>7813</v>
      </c>
      <c r="M133" s="496">
        <v>5857</v>
      </c>
      <c r="N133" s="495">
        <v>21898</v>
      </c>
      <c r="O133" s="496">
        <v>19138</v>
      </c>
      <c r="P133" s="640">
        <f t="shared" si="36"/>
        <v>54128</v>
      </c>
      <c r="Q133" s="640">
        <f t="shared" si="37"/>
        <v>1804.2666666666667</v>
      </c>
      <c r="R133" s="641">
        <f t="shared" si="38"/>
        <v>43706</v>
      </c>
      <c r="S133" s="641">
        <f t="shared" si="39"/>
        <v>1456.8666666666666</v>
      </c>
      <c r="T133" s="495">
        <v>5742</v>
      </c>
      <c r="U133" s="496">
        <v>4177</v>
      </c>
      <c r="V133" s="640">
        <f t="shared" si="40"/>
        <v>54128</v>
      </c>
      <c r="W133" s="641">
        <f t="shared" si="41"/>
        <v>43706</v>
      </c>
      <c r="X133" s="495"/>
      <c r="Y133" s="496"/>
      <c r="Z133" s="495"/>
      <c r="AA133" s="496"/>
      <c r="AB133" s="495"/>
      <c r="AC133" s="496"/>
      <c r="AD133" s="495"/>
      <c r="AE133" s="496"/>
      <c r="AF133" s="640">
        <f t="shared" si="42"/>
        <v>0</v>
      </c>
      <c r="AG133" s="640">
        <f t="shared" si="43"/>
        <v>0</v>
      </c>
      <c r="AH133" s="641">
        <f t="shared" si="44"/>
        <v>0</v>
      </c>
      <c r="AI133" s="641">
        <f t="shared" si="45"/>
        <v>0</v>
      </c>
      <c r="AJ133" s="495"/>
      <c r="AK133" s="496"/>
      <c r="AL133" s="640">
        <f t="shared" si="46"/>
        <v>0</v>
      </c>
      <c r="AM133" s="641">
        <f t="shared" si="47"/>
        <v>0</v>
      </c>
      <c r="AN133" s="495"/>
      <c r="AO133" s="496"/>
      <c r="AP133" s="495"/>
      <c r="AQ133" s="496"/>
      <c r="AR133" s="495"/>
      <c r="AS133" s="496"/>
      <c r="AT133" s="495"/>
      <c r="AU133" s="496"/>
      <c r="AV133" s="640">
        <f t="shared" si="48"/>
        <v>0</v>
      </c>
      <c r="AW133" s="640">
        <f t="shared" si="49"/>
        <v>0</v>
      </c>
      <c r="AX133" s="641">
        <f t="shared" si="50"/>
        <v>0</v>
      </c>
      <c r="AY133" s="641">
        <f t="shared" si="51"/>
        <v>0</v>
      </c>
      <c r="AZ133" s="640">
        <f t="shared" si="52"/>
        <v>1804.2666666666667</v>
      </c>
      <c r="BA133" s="641">
        <f t="shared" si="53"/>
        <v>1456.8666666666666</v>
      </c>
    </row>
    <row r="134" spans="1:53" s="365" customFormat="1" ht="12.6" customHeight="1">
      <c r="A134" s="399" t="s">
        <v>158</v>
      </c>
      <c r="B134" s="400" t="s">
        <v>183</v>
      </c>
      <c r="C134" s="398"/>
      <c r="D134" s="616">
        <v>138682</v>
      </c>
      <c r="E134" s="493">
        <v>12</v>
      </c>
      <c r="F134" s="500" t="s">
        <v>74</v>
      </c>
      <c r="G134" s="496" t="s">
        <v>74</v>
      </c>
      <c r="H134" s="500"/>
      <c r="I134" s="496"/>
      <c r="J134" s="500">
        <v>29119</v>
      </c>
      <c r="K134" s="496">
        <v>25662</v>
      </c>
      <c r="L134" s="500">
        <v>13007</v>
      </c>
      <c r="M134" s="496">
        <v>13863</v>
      </c>
      <c r="N134" s="500">
        <v>28638</v>
      </c>
      <c r="O134" s="496">
        <v>22157</v>
      </c>
      <c r="P134" s="640">
        <f t="shared" si="36"/>
        <v>70764</v>
      </c>
      <c r="Q134" s="640">
        <f t="shared" si="37"/>
        <v>2358.8000000000002</v>
      </c>
      <c r="R134" s="641">
        <f t="shared" si="38"/>
        <v>61682</v>
      </c>
      <c r="S134" s="641">
        <f t="shared" si="39"/>
        <v>2056.0666666666666</v>
      </c>
      <c r="T134" s="500">
        <v>10674</v>
      </c>
      <c r="U134" s="496">
        <v>6833</v>
      </c>
      <c r="V134" s="640">
        <f t="shared" si="40"/>
        <v>70764</v>
      </c>
      <c r="W134" s="641">
        <f t="shared" si="41"/>
        <v>61682</v>
      </c>
      <c r="X134" s="500"/>
      <c r="Y134" s="496"/>
      <c r="Z134" s="500"/>
      <c r="AA134" s="496"/>
      <c r="AB134" s="500"/>
      <c r="AC134" s="496"/>
      <c r="AD134" s="500"/>
      <c r="AE134" s="496"/>
      <c r="AF134" s="640">
        <f t="shared" si="42"/>
        <v>0</v>
      </c>
      <c r="AG134" s="640">
        <f t="shared" si="43"/>
        <v>0</v>
      </c>
      <c r="AH134" s="641">
        <f t="shared" si="44"/>
        <v>0</v>
      </c>
      <c r="AI134" s="641">
        <f t="shared" si="45"/>
        <v>0</v>
      </c>
      <c r="AJ134" s="500"/>
      <c r="AK134" s="496"/>
      <c r="AL134" s="640">
        <f t="shared" si="46"/>
        <v>0</v>
      </c>
      <c r="AM134" s="641">
        <f t="shared" si="47"/>
        <v>0</v>
      </c>
      <c r="AN134" s="500"/>
      <c r="AO134" s="496"/>
      <c r="AP134" s="500"/>
      <c r="AQ134" s="496"/>
      <c r="AR134" s="500"/>
      <c r="AS134" s="496"/>
      <c r="AT134" s="500"/>
      <c r="AU134" s="496"/>
      <c r="AV134" s="640">
        <f t="shared" si="48"/>
        <v>0</v>
      </c>
      <c r="AW134" s="640">
        <f t="shared" si="49"/>
        <v>0</v>
      </c>
      <c r="AX134" s="641">
        <f t="shared" si="50"/>
        <v>0</v>
      </c>
      <c r="AY134" s="641">
        <f t="shared" si="51"/>
        <v>0</v>
      </c>
      <c r="AZ134" s="640">
        <f t="shared" si="52"/>
        <v>2358.8000000000002</v>
      </c>
      <c r="BA134" s="641">
        <f t="shared" si="53"/>
        <v>2056.0666666666666</v>
      </c>
    </row>
    <row r="135" spans="1:53" s="365" customFormat="1" ht="12.6" customHeight="1">
      <c r="A135" s="399" t="s">
        <v>158</v>
      </c>
      <c r="B135" s="400" t="s">
        <v>184</v>
      </c>
      <c r="C135" s="398"/>
      <c r="D135" s="616">
        <v>246813</v>
      </c>
      <c r="E135" s="493">
        <v>12</v>
      </c>
      <c r="F135" s="500" t="s">
        <v>74</v>
      </c>
      <c r="G135" s="496" t="s">
        <v>74</v>
      </c>
      <c r="H135" s="500"/>
      <c r="I135" s="496"/>
      <c r="J135" s="500">
        <v>32973</v>
      </c>
      <c r="K135" s="496">
        <v>28014</v>
      </c>
      <c r="L135" s="500">
        <v>13092</v>
      </c>
      <c r="M135" s="496">
        <v>11240</v>
      </c>
      <c r="N135" s="500">
        <v>33018</v>
      </c>
      <c r="O135" s="496">
        <v>30020</v>
      </c>
      <c r="P135" s="640">
        <f t="shared" si="36"/>
        <v>79083</v>
      </c>
      <c r="Q135" s="640">
        <f t="shared" si="37"/>
        <v>2636.1</v>
      </c>
      <c r="R135" s="641">
        <f t="shared" si="38"/>
        <v>69274</v>
      </c>
      <c r="S135" s="641">
        <f t="shared" si="39"/>
        <v>2309.1333333333332</v>
      </c>
      <c r="T135" s="500">
        <v>11217</v>
      </c>
      <c r="U135" s="496">
        <v>8351</v>
      </c>
      <c r="V135" s="640">
        <f t="shared" si="40"/>
        <v>79083</v>
      </c>
      <c r="W135" s="641">
        <f t="shared" si="41"/>
        <v>69274</v>
      </c>
      <c r="X135" s="500"/>
      <c r="Y135" s="496"/>
      <c r="Z135" s="500"/>
      <c r="AA135" s="496"/>
      <c r="AB135" s="500"/>
      <c r="AC135" s="496"/>
      <c r="AD135" s="500"/>
      <c r="AE135" s="496"/>
      <c r="AF135" s="640">
        <f t="shared" si="42"/>
        <v>0</v>
      </c>
      <c r="AG135" s="640">
        <f t="shared" si="43"/>
        <v>0</v>
      </c>
      <c r="AH135" s="641">
        <f t="shared" si="44"/>
        <v>0</v>
      </c>
      <c r="AI135" s="641">
        <f t="shared" si="45"/>
        <v>0</v>
      </c>
      <c r="AJ135" s="500"/>
      <c r="AK135" s="496"/>
      <c r="AL135" s="640">
        <f t="shared" si="46"/>
        <v>0</v>
      </c>
      <c r="AM135" s="641">
        <f t="shared" si="47"/>
        <v>0</v>
      </c>
      <c r="AN135" s="500"/>
      <c r="AO135" s="496"/>
      <c r="AP135" s="500"/>
      <c r="AQ135" s="496"/>
      <c r="AR135" s="500"/>
      <c r="AS135" s="496"/>
      <c r="AT135" s="500"/>
      <c r="AU135" s="496"/>
      <c r="AV135" s="640">
        <f t="shared" si="48"/>
        <v>0</v>
      </c>
      <c r="AW135" s="640">
        <f t="shared" si="49"/>
        <v>0</v>
      </c>
      <c r="AX135" s="641">
        <f t="shared" si="50"/>
        <v>0</v>
      </c>
      <c r="AY135" s="641">
        <f t="shared" si="51"/>
        <v>0</v>
      </c>
      <c r="AZ135" s="640">
        <f t="shared" si="52"/>
        <v>2636.1</v>
      </c>
      <c r="BA135" s="641">
        <f t="shared" si="53"/>
        <v>2309.1333333333332</v>
      </c>
    </row>
    <row r="136" spans="1:53" s="365" customFormat="1" ht="12.6" customHeight="1">
      <c r="A136" s="399" t="s">
        <v>158</v>
      </c>
      <c r="B136" s="400" t="s">
        <v>185</v>
      </c>
      <c r="C136" s="398"/>
      <c r="D136" s="616">
        <v>138840</v>
      </c>
      <c r="E136" s="493">
        <v>12</v>
      </c>
      <c r="F136" s="500" t="s">
        <v>74</v>
      </c>
      <c r="G136" s="496" t="s">
        <v>74</v>
      </c>
      <c r="H136" s="500"/>
      <c r="I136" s="496"/>
      <c r="J136" s="500">
        <v>35461</v>
      </c>
      <c r="K136" s="496">
        <v>28041</v>
      </c>
      <c r="L136" s="500">
        <v>17655</v>
      </c>
      <c r="M136" s="496">
        <v>17006</v>
      </c>
      <c r="N136" s="500">
        <v>26787</v>
      </c>
      <c r="O136" s="496">
        <v>30483</v>
      </c>
      <c r="P136" s="640">
        <f t="shared" ref="P136:P199" si="54">SUM(H136,J136,L136,N136)</f>
        <v>79903</v>
      </c>
      <c r="Q136" s="640">
        <f t="shared" ref="Q136:Q199" si="55">+P136/30</f>
        <v>2663.4333333333334</v>
      </c>
      <c r="R136" s="641">
        <f t="shared" ref="R136:R199" si="56">SUM(I136,K136,M136,O136)</f>
        <v>75530</v>
      </c>
      <c r="S136" s="641">
        <f t="shared" ref="S136:S199" si="57">+R136/30</f>
        <v>2517.6666666666665</v>
      </c>
      <c r="T136" s="500">
        <v>3673</v>
      </c>
      <c r="U136" s="496">
        <v>2308</v>
      </c>
      <c r="V136" s="640">
        <f t="shared" ref="V136:V199" si="58">IF(ISBLANK(T136),0,P136)</f>
        <v>79903</v>
      </c>
      <c r="W136" s="641">
        <f t="shared" ref="W136:W199" si="59">IF(ISBLANK(U136),0,R136)</f>
        <v>75530</v>
      </c>
      <c r="X136" s="500"/>
      <c r="Y136" s="496"/>
      <c r="Z136" s="500"/>
      <c r="AA136" s="496"/>
      <c r="AB136" s="500"/>
      <c r="AC136" s="496"/>
      <c r="AD136" s="500"/>
      <c r="AE136" s="496"/>
      <c r="AF136" s="640">
        <f t="shared" ref="AF136:AF199" si="60">SUM(X136,Z136,AB136,AD136)</f>
        <v>0</v>
      </c>
      <c r="AG136" s="640">
        <f t="shared" ref="AG136:AG199" si="61">+AF136/900</f>
        <v>0</v>
      </c>
      <c r="AH136" s="641">
        <f t="shared" ref="AH136:AH199" si="62">SUM(Y136,AA136,AC136,AE136)</f>
        <v>0</v>
      </c>
      <c r="AI136" s="641">
        <f t="shared" ref="AI136:AI199" si="63">+AH136/900</f>
        <v>0</v>
      </c>
      <c r="AJ136" s="500"/>
      <c r="AK136" s="496"/>
      <c r="AL136" s="640">
        <f t="shared" ref="AL136:AL199" si="64">IF(ISBLANK(AJ136),0,AF136)</f>
        <v>0</v>
      </c>
      <c r="AM136" s="641">
        <f t="shared" ref="AM136:AM199" si="65">IF(ISBLANK(AK136),0,AH136)</f>
        <v>0</v>
      </c>
      <c r="AN136" s="500"/>
      <c r="AO136" s="496"/>
      <c r="AP136" s="500"/>
      <c r="AQ136" s="496"/>
      <c r="AR136" s="500"/>
      <c r="AS136" s="496"/>
      <c r="AT136" s="500"/>
      <c r="AU136" s="496"/>
      <c r="AV136" s="640">
        <f t="shared" ref="AV136:AV199" si="66">SUM(AN136,AP136,AR136,AT136)</f>
        <v>0</v>
      </c>
      <c r="AW136" s="640">
        <f t="shared" ref="AW136:AW199" si="67">+AV136/24</f>
        <v>0</v>
      </c>
      <c r="AX136" s="641">
        <f t="shared" ref="AX136:AX199" si="68">SUM(AO136,AQ136,AS136,AU136)</f>
        <v>0</v>
      </c>
      <c r="AY136" s="641">
        <f t="shared" ref="AY136:AY199" si="69">+AX136/24</f>
        <v>0</v>
      </c>
      <c r="AZ136" s="640">
        <f t="shared" ref="AZ136:AZ199" si="70">SUM(Q136,AG136,AW136)</f>
        <v>2663.4333333333334</v>
      </c>
      <c r="BA136" s="641">
        <f t="shared" ref="BA136:BA199" si="71">SUM(S136,AI136,AY136)</f>
        <v>2517.6666666666665</v>
      </c>
    </row>
    <row r="137" spans="1:53" s="365" customFormat="1" ht="12.6" customHeight="1">
      <c r="A137" s="399" t="s">
        <v>158</v>
      </c>
      <c r="B137" s="400" t="s">
        <v>186</v>
      </c>
      <c r="C137" s="400"/>
      <c r="D137" s="616">
        <v>138956</v>
      </c>
      <c r="E137" s="493">
        <v>12</v>
      </c>
      <c r="F137" s="500" t="s">
        <v>74</v>
      </c>
      <c r="G137" s="496" t="s">
        <v>74</v>
      </c>
      <c r="H137" s="500"/>
      <c r="I137" s="496"/>
      <c r="J137" s="500">
        <v>36493</v>
      </c>
      <c r="K137" s="496">
        <v>31019</v>
      </c>
      <c r="L137" s="500">
        <v>16661</v>
      </c>
      <c r="M137" s="496">
        <v>14174</v>
      </c>
      <c r="N137" s="500">
        <v>35152</v>
      </c>
      <c r="O137" s="496">
        <v>32667</v>
      </c>
      <c r="P137" s="640">
        <f t="shared" si="54"/>
        <v>88306</v>
      </c>
      <c r="Q137" s="640">
        <f t="shared" si="55"/>
        <v>2943.5333333333333</v>
      </c>
      <c r="R137" s="641">
        <f t="shared" si="56"/>
        <v>77860</v>
      </c>
      <c r="S137" s="641">
        <f t="shared" si="57"/>
        <v>2595.3333333333335</v>
      </c>
      <c r="T137" s="500">
        <v>7116</v>
      </c>
      <c r="U137" s="496">
        <v>4484</v>
      </c>
      <c r="V137" s="640">
        <f t="shared" si="58"/>
        <v>88306</v>
      </c>
      <c r="W137" s="641">
        <f t="shared" si="59"/>
        <v>77860</v>
      </c>
      <c r="X137" s="500"/>
      <c r="Y137" s="496"/>
      <c r="Z137" s="500"/>
      <c r="AA137" s="496"/>
      <c r="AB137" s="500"/>
      <c r="AC137" s="496"/>
      <c r="AD137" s="500"/>
      <c r="AE137" s="496"/>
      <c r="AF137" s="640">
        <f t="shared" si="60"/>
        <v>0</v>
      </c>
      <c r="AG137" s="640">
        <f t="shared" si="61"/>
        <v>0</v>
      </c>
      <c r="AH137" s="641">
        <f t="shared" si="62"/>
        <v>0</v>
      </c>
      <c r="AI137" s="641">
        <f t="shared" si="63"/>
        <v>0</v>
      </c>
      <c r="AJ137" s="500"/>
      <c r="AK137" s="496"/>
      <c r="AL137" s="640">
        <f t="shared" si="64"/>
        <v>0</v>
      </c>
      <c r="AM137" s="641">
        <f t="shared" si="65"/>
        <v>0</v>
      </c>
      <c r="AN137" s="500"/>
      <c r="AO137" s="496"/>
      <c r="AP137" s="500"/>
      <c r="AQ137" s="496"/>
      <c r="AR137" s="500"/>
      <c r="AS137" s="496"/>
      <c r="AT137" s="500"/>
      <c r="AU137" s="496"/>
      <c r="AV137" s="640">
        <f t="shared" si="66"/>
        <v>0</v>
      </c>
      <c r="AW137" s="640">
        <f t="shared" si="67"/>
        <v>0</v>
      </c>
      <c r="AX137" s="641">
        <f t="shared" si="68"/>
        <v>0</v>
      </c>
      <c r="AY137" s="641">
        <f t="shared" si="69"/>
        <v>0</v>
      </c>
      <c r="AZ137" s="640">
        <f t="shared" si="70"/>
        <v>2943.5333333333333</v>
      </c>
      <c r="BA137" s="641">
        <f t="shared" si="71"/>
        <v>2595.3333333333335</v>
      </c>
    </row>
    <row r="138" spans="1:53" s="365" customFormat="1" ht="12.6" customHeight="1">
      <c r="A138" s="399" t="s">
        <v>158</v>
      </c>
      <c r="B138" s="400" t="s">
        <v>187</v>
      </c>
      <c r="C138" s="400"/>
      <c r="D138" s="616">
        <v>483045</v>
      </c>
      <c r="E138" s="493">
        <v>12</v>
      </c>
      <c r="F138" s="500" t="s">
        <v>74</v>
      </c>
      <c r="G138" s="496" t="s">
        <v>74</v>
      </c>
      <c r="H138" s="500"/>
      <c r="I138" s="496"/>
      <c r="J138" s="500">
        <v>63217</v>
      </c>
      <c r="K138" s="496">
        <v>58122</v>
      </c>
      <c r="L138" s="500">
        <v>26185</v>
      </c>
      <c r="M138" s="496">
        <v>28798</v>
      </c>
      <c r="N138" s="500">
        <v>64637</v>
      </c>
      <c r="O138" s="496">
        <v>68505</v>
      </c>
      <c r="P138" s="640">
        <f t="shared" si="54"/>
        <v>154039</v>
      </c>
      <c r="Q138" s="640">
        <f t="shared" si="55"/>
        <v>5134.6333333333332</v>
      </c>
      <c r="R138" s="641">
        <f t="shared" si="56"/>
        <v>155425</v>
      </c>
      <c r="S138" s="641">
        <f t="shared" si="57"/>
        <v>5180.833333333333</v>
      </c>
      <c r="T138" s="500">
        <v>27107</v>
      </c>
      <c r="U138" s="496">
        <v>30261</v>
      </c>
      <c r="V138" s="640">
        <f t="shared" si="58"/>
        <v>154039</v>
      </c>
      <c r="W138" s="641">
        <f t="shared" si="59"/>
        <v>155425</v>
      </c>
      <c r="X138" s="500"/>
      <c r="Y138" s="496"/>
      <c r="Z138" s="500"/>
      <c r="AA138" s="496"/>
      <c r="AB138" s="500"/>
      <c r="AC138" s="496"/>
      <c r="AD138" s="500"/>
      <c r="AE138" s="496"/>
      <c r="AF138" s="640">
        <f t="shared" si="60"/>
        <v>0</v>
      </c>
      <c r="AG138" s="640">
        <f t="shared" si="61"/>
        <v>0</v>
      </c>
      <c r="AH138" s="641">
        <f t="shared" si="62"/>
        <v>0</v>
      </c>
      <c r="AI138" s="641">
        <f t="shared" si="63"/>
        <v>0</v>
      </c>
      <c r="AJ138" s="500"/>
      <c r="AK138" s="496"/>
      <c r="AL138" s="640">
        <f t="shared" si="64"/>
        <v>0</v>
      </c>
      <c r="AM138" s="641">
        <f t="shared" si="65"/>
        <v>0</v>
      </c>
      <c r="AN138" s="500"/>
      <c r="AO138" s="496"/>
      <c r="AP138" s="500"/>
      <c r="AQ138" s="496"/>
      <c r="AR138" s="500"/>
      <c r="AS138" s="496"/>
      <c r="AT138" s="500"/>
      <c r="AU138" s="496"/>
      <c r="AV138" s="640">
        <f t="shared" si="66"/>
        <v>0</v>
      </c>
      <c r="AW138" s="640">
        <f t="shared" si="67"/>
        <v>0</v>
      </c>
      <c r="AX138" s="641">
        <f t="shared" si="68"/>
        <v>0</v>
      </c>
      <c r="AY138" s="641">
        <f t="shared" si="69"/>
        <v>0</v>
      </c>
      <c r="AZ138" s="640">
        <f t="shared" si="70"/>
        <v>5134.6333333333332</v>
      </c>
      <c r="BA138" s="641">
        <f t="shared" si="71"/>
        <v>5180.833333333333</v>
      </c>
    </row>
    <row r="139" spans="1:53" s="365" customFormat="1" ht="12.6" customHeight="1">
      <c r="A139" s="399" t="s">
        <v>158</v>
      </c>
      <c r="B139" s="400" t="s">
        <v>188</v>
      </c>
      <c r="C139" s="400"/>
      <c r="D139" s="616">
        <v>140331</v>
      </c>
      <c r="E139" s="493">
        <v>12</v>
      </c>
      <c r="F139" s="500" t="s">
        <v>74</v>
      </c>
      <c r="G139" s="496" t="s">
        <v>74</v>
      </c>
      <c r="H139" s="500"/>
      <c r="I139" s="496"/>
      <c r="J139" s="500">
        <v>82462</v>
      </c>
      <c r="K139" s="496">
        <v>72094</v>
      </c>
      <c r="L139" s="500">
        <v>29925</v>
      </c>
      <c r="M139" s="496">
        <v>26113</v>
      </c>
      <c r="N139" s="500">
        <v>78587</v>
      </c>
      <c r="O139" s="496">
        <v>74983</v>
      </c>
      <c r="P139" s="640">
        <f t="shared" si="54"/>
        <v>190974</v>
      </c>
      <c r="Q139" s="640">
        <f t="shared" si="55"/>
        <v>6365.8</v>
      </c>
      <c r="R139" s="641">
        <f t="shared" si="56"/>
        <v>173190</v>
      </c>
      <c r="S139" s="641">
        <f t="shared" si="57"/>
        <v>5773</v>
      </c>
      <c r="T139" s="500">
        <v>25147</v>
      </c>
      <c r="U139" s="496">
        <v>18141.099999999999</v>
      </c>
      <c r="V139" s="640">
        <f t="shared" si="58"/>
        <v>190974</v>
      </c>
      <c r="W139" s="641">
        <f t="shared" si="59"/>
        <v>173190</v>
      </c>
      <c r="X139" s="500"/>
      <c r="Y139" s="496"/>
      <c r="Z139" s="500"/>
      <c r="AA139" s="496"/>
      <c r="AB139" s="500"/>
      <c r="AC139" s="496"/>
      <c r="AD139" s="500"/>
      <c r="AE139" s="496"/>
      <c r="AF139" s="640">
        <f t="shared" si="60"/>
        <v>0</v>
      </c>
      <c r="AG139" s="640">
        <f t="shared" si="61"/>
        <v>0</v>
      </c>
      <c r="AH139" s="641">
        <f t="shared" si="62"/>
        <v>0</v>
      </c>
      <c r="AI139" s="641">
        <f t="shared" si="63"/>
        <v>0</v>
      </c>
      <c r="AJ139" s="500"/>
      <c r="AK139" s="496"/>
      <c r="AL139" s="640">
        <f t="shared" si="64"/>
        <v>0</v>
      </c>
      <c r="AM139" s="641">
        <f t="shared" si="65"/>
        <v>0</v>
      </c>
      <c r="AN139" s="500"/>
      <c r="AO139" s="496"/>
      <c r="AP139" s="500"/>
      <c r="AQ139" s="496"/>
      <c r="AR139" s="500"/>
      <c r="AS139" s="496"/>
      <c r="AT139" s="500"/>
      <c r="AU139" s="496"/>
      <c r="AV139" s="640">
        <f t="shared" si="66"/>
        <v>0</v>
      </c>
      <c r="AW139" s="640">
        <f t="shared" si="67"/>
        <v>0</v>
      </c>
      <c r="AX139" s="641">
        <f t="shared" si="68"/>
        <v>0</v>
      </c>
      <c r="AY139" s="641">
        <f t="shared" si="69"/>
        <v>0</v>
      </c>
      <c r="AZ139" s="640">
        <f t="shared" si="70"/>
        <v>6365.8</v>
      </c>
      <c r="BA139" s="641">
        <f t="shared" si="71"/>
        <v>5773</v>
      </c>
    </row>
    <row r="140" spans="1:53" s="365" customFormat="1" ht="12.6" customHeight="1">
      <c r="A140" s="401" t="s">
        <v>158</v>
      </c>
      <c r="B140" s="402" t="s">
        <v>189</v>
      </c>
      <c r="C140" s="400"/>
      <c r="D140" s="624">
        <v>485458</v>
      </c>
      <c r="E140" s="493">
        <v>12</v>
      </c>
      <c r="F140" s="500" t="s">
        <v>74</v>
      </c>
      <c r="G140" s="496" t="s">
        <v>74</v>
      </c>
      <c r="H140" s="500"/>
      <c r="I140" s="496"/>
      <c r="J140" s="500">
        <v>31363</v>
      </c>
      <c r="K140" s="496">
        <v>27133</v>
      </c>
      <c r="L140" s="500">
        <v>10768</v>
      </c>
      <c r="M140" s="496">
        <v>10830</v>
      </c>
      <c r="N140" s="500">
        <v>26551</v>
      </c>
      <c r="O140" s="496">
        <v>30015</v>
      </c>
      <c r="P140" s="640">
        <f t="shared" si="54"/>
        <v>68682</v>
      </c>
      <c r="Q140" s="640">
        <f t="shared" si="55"/>
        <v>2289.4</v>
      </c>
      <c r="R140" s="641">
        <f t="shared" si="56"/>
        <v>67978</v>
      </c>
      <c r="S140" s="641">
        <f t="shared" si="57"/>
        <v>2265.9333333333334</v>
      </c>
      <c r="T140" s="500">
        <v>27850</v>
      </c>
      <c r="U140" s="496">
        <v>25896</v>
      </c>
      <c r="V140" s="640">
        <f t="shared" si="58"/>
        <v>68682</v>
      </c>
      <c r="W140" s="641">
        <f t="shared" si="59"/>
        <v>67978</v>
      </c>
      <c r="X140" s="500"/>
      <c r="Y140" s="496"/>
      <c r="Z140" s="500"/>
      <c r="AA140" s="496"/>
      <c r="AB140" s="500"/>
      <c r="AC140" s="496"/>
      <c r="AD140" s="500"/>
      <c r="AE140" s="496"/>
      <c r="AF140" s="640">
        <f t="shared" si="60"/>
        <v>0</v>
      </c>
      <c r="AG140" s="640">
        <f t="shared" si="61"/>
        <v>0</v>
      </c>
      <c r="AH140" s="641">
        <f t="shared" si="62"/>
        <v>0</v>
      </c>
      <c r="AI140" s="641">
        <f t="shared" si="63"/>
        <v>0</v>
      </c>
      <c r="AJ140" s="500"/>
      <c r="AK140" s="496"/>
      <c r="AL140" s="640">
        <f t="shared" si="64"/>
        <v>0</v>
      </c>
      <c r="AM140" s="641">
        <f t="shared" si="65"/>
        <v>0</v>
      </c>
      <c r="AN140" s="500"/>
      <c r="AO140" s="496"/>
      <c r="AP140" s="500"/>
      <c r="AQ140" s="496"/>
      <c r="AR140" s="500"/>
      <c r="AS140" s="496"/>
      <c r="AT140" s="500"/>
      <c r="AU140" s="496"/>
      <c r="AV140" s="640">
        <f t="shared" si="66"/>
        <v>0</v>
      </c>
      <c r="AW140" s="640">
        <f t="shared" si="67"/>
        <v>0</v>
      </c>
      <c r="AX140" s="641">
        <f t="shared" si="68"/>
        <v>0</v>
      </c>
      <c r="AY140" s="641">
        <f t="shared" si="69"/>
        <v>0</v>
      </c>
      <c r="AZ140" s="640">
        <f t="shared" si="70"/>
        <v>2289.4</v>
      </c>
      <c r="BA140" s="641">
        <f t="shared" si="71"/>
        <v>2265.9333333333334</v>
      </c>
    </row>
    <row r="141" spans="1:53" s="365" customFormat="1" ht="12.6" customHeight="1">
      <c r="A141" s="399" t="s">
        <v>158</v>
      </c>
      <c r="B141" s="400" t="s">
        <v>190</v>
      </c>
      <c r="C141" s="400"/>
      <c r="D141" s="616">
        <v>139357</v>
      </c>
      <c r="E141" s="493">
        <v>12</v>
      </c>
      <c r="F141" s="500" t="s">
        <v>74</v>
      </c>
      <c r="G141" s="496" t="s">
        <v>74</v>
      </c>
      <c r="H141" s="500"/>
      <c r="I141" s="496"/>
      <c r="J141" s="500">
        <v>29210</v>
      </c>
      <c r="K141" s="496">
        <v>25032</v>
      </c>
      <c r="L141" s="500">
        <v>13111</v>
      </c>
      <c r="M141" s="496">
        <v>13381</v>
      </c>
      <c r="N141" s="500">
        <v>26172</v>
      </c>
      <c r="O141" s="496">
        <v>24663</v>
      </c>
      <c r="P141" s="640">
        <f t="shared" si="54"/>
        <v>68493</v>
      </c>
      <c r="Q141" s="640">
        <f t="shared" si="55"/>
        <v>2283.1</v>
      </c>
      <c r="R141" s="641">
        <f t="shared" si="56"/>
        <v>63076</v>
      </c>
      <c r="S141" s="641">
        <f t="shared" si="57"/>
        <v>2102.5333333333333</v>
      </c>
      <c r="T141" s="500">
        <v>7619</v>
      </c>
      <c r="U141" s="496">
        <v>4342</v>
      </c>
      <c r="V141" s="640">
        <f t="shared" si="58"/>
        <v>68493</v>
      </c>
      <c r="W141" s="641">
        <f t="shared" si="59"/>
        <v>63076</v>
      </c>
      <c r="X141" s="500"/>
      <c r="Y141" s="496"/>
      <c r="Z141" s="500"/>
      <c r="AA141" s="496"/>
      <c r="AB141" s="500"/>
      <c r="AC141" s="496"/>
      <c r="AD141" s="500"/>
      <c r="AE141" s="496"/>
      <c r="AF141" s="640">
        <f t="shared" si="60"/>
        <v>0</v>
      </c>
      <c r="AG141" s="640">
        <f t="shared" si="61"/>
        <v>0</v>
      </c>
      <c r="AH141" s="641">
        <f t="shared" si="62"/>
        <v>0</v>
      </c>
      <c r="AI141" s="641">
        <f t="shared" si="63"/>
        <v>0</v>
      </c>
      <c r="AJ141" s="500"/>
      <c r="AK141" s="496"/>
      <c r="AL141" s="640">
        <f t="shared" si="64"/>
        <v>0</v>
      </c>
      <c r="AM141" s="641">
        <f t="shared" si="65"/>
        <v>0</v>
      </c>
      <c r="AN141" s="500"/>
      <c r="AO141" s="496"/>
      <c r="AP141" s="500"/>
      <c r="AQ141" s="496"/>
      <c r="AR141" s="500"/>
      <c r="AS141" s="496"/>
      <c r="AT141" s="500"/>
      <c r="AU141" s="496"/>
      <c r="AV141" s="640">
        <f t="shared" si="66"/>
        <v>0</v>
      </c>
      <c r="AW141" s="640">
        <f t="shared" si="67"/>
        <v>0</v>
      </c>
      <c r="AX141" s="641">
        <f t="shared" si="68"/>
        <v>0</v>
      </c>
      <c r="AY141" s="641">
        <f t="shared" si="69"/>
        <v>0</v>
      </c>
      <c r="AZ141" s="640">
        <f t="shared" si="70"/>
        <v>2283.1</v>
      </c>
      <c r="BA141" s="641">
        <f t="shared" si="71"/>
        <v>2102.5333333333333</v>
      </c>
    </row>
    <row r="142" spans="1:53" s="365" customFormat="1" ht="12.6" customHeight="1">
      <c r="A142" s="399" t="s">
        <v>158</v>
      </c>
      <c r="B142" s="400" t="s">
        <v>191</v>
      </c>
      <c r="C142" s="400"/>
      <c r="D142" s="616">
        <v>139384</v>
      </c>
      <c r="E142" s="493">
        <v>12</v>
      </c>
      <c r="F142" s="500" t="s">
        <v>74</v>
      </c>
      <c r="G142" s="496" t="s">
        <v>74</v>
      </c>
      <c r="H142" s="500"/>
      <c r="I142" s="496"/>
      <c r="J142" s="500">
        <v>51946</v>
      </c>
      <c r="K142" s="496">
        <v>49035</v>
      </c>
      <c r="L142" s="500">
        <v>20070</v>
      </c>
      <c r="M142" s="496">
        <v>20086</v>
      </c>
      <c r="N142" s="500">
        <v>55324</v>
      </c>
      <c r="O142" s="496">
        <v>50969</v>
      </c>
      <c r="P142" s="640">
        <f t="shared" si="54"/>
        <v>127340</v>
      </c>
      <c r="Q142" s="640">
        <f t="shared" si="55"/>
        <v>4244.666666666667</v>
      </c>
      <c r="R142" s="641">
        <f t="shared" si="56"/>
        <v>120090</v>
      </c>
      <c r="S142" s="641">
        <f t="shared" si="57"/>
        <v>4003</v>
      </c>
      <c r="T142" s="500">
        <v>26412</v>
      </c>
      <c r="U142" s="496">
        <v>22005</v>
      </c>
      <c r="V142" s="640">
        <f t="shared" si="58"/>
        <v>127340</v>
      </c>
      <c r="W142" s="641">
        <f t="shared" si="59"/>
        <v>120090</v>
      </c>
      <c r="X142" s="500"/>
      <c r="Y142" s="496"/>
      <c r="Z142" s="500"/>
      <c r="AA142" s="496"/>
      <c r="AB142" s="500"/>
      <c r="AC142" s="496"/>
      <c r="AD142" s="500"/>
      <c r="AE142" s="496"/>
      <c r="AF142" s="640">
        <f t="shared" si="60"/>
        <v>0</v>
      </c>
      <c r="AG142" s="640">
        <f t="shared" si="61"/>
        <v>0</v>
      </c>
      <c r="AH142" s="641">
        <f t="shared" si="62"/>
        <v>0</v>
      </c>
      <c r="AI142" s="641">
        <f t="shared" si="63"/>
        <v>0</v>
      </c>
      <c r="AJ142" s="500"/>
      <c r="AK142" s="496"/>
      <c r="AL142" s="640">
        <f t="shared" si="64"/>
        <v>0</v>
      </c>
      <c r="AM142" s="641">
        <f t="shared" si="65"/>
        <v>0</v>
      </c>
      <c r="AN142" s="500"/>
      <c r="AO142" s="496"/>
      <c r="AP142" s="500"/>
      <c r="AQ142" s="496"/>
      <c r="AR142" s="500"/>
      <c r="AS142" s="496"/>
      <c r="AT142" s="500"/>
      <c r="AU142" s="496"/>
      <c r="AV142" s="640">
        <f t="shared" si="66"/>
        <v>0</v>
      </c>
      <c r="AW142" s="640">
        <f t="shared" si="67"/>
        <v>0</v>
      </c>
      <c r="AX142" s="641">
        <f t="shared" si="68"/>
        <v>0</v>
      </c>
      <c r="AY142" s="641">
        <f t="shared" si="69"/>
        <v>0</v>
      </c>
      <c r="AZ142" s="640">
        <f t="shared" si="70"/>
        <v>4244.666666666667</v>
      </c>
      <c r="BA142" s="641">
        <f t="shared" si="71"/>
        <v>4003</v>
      </c>
    </row>
    <row r="143" spans="1:53" s="365" customFormat="1" ht="12.6" customHeight="1">
      <c r="A143" s="399" t="s">
        <v>158</v>
      </c>
      <c r="B143" s="400" t="s">
        <v>192</v>
      </c>
      <c r="C143" s="400"/>
      <c r="D143" s="616">
        <v>244446</v>
      </c>
      <c r="E143" s="493">
        <v>12</v>
      </c>
      <c r="F143" s="500" t="s">
        <v>74</v>
      </c>
      <c r="G143" s="496" t="s">
        <v>74</v>
      </c>
      <c r="H143" s="500"/>
      <c r="I143" s="496"/>
      <c r="J143" s="500">
        <v>27791.5</v>
      </c>
      <c r="K143" s="496">
        <v>18844</v>
      </c>
      <c r="L143" s="500">
        <v>12043</v>
      </c>
      <c r="M143" s="496">
        <v>10315</v>
      </c>
      <c r="N143" s="500">
        <v>21083</v>
      </c>
      <c r="O143" s="496">
        <v>20527.5</v>
      </c>
      <c r="P143" s="640">
        <f t="shared" si="54"/>
        <v>60917.5</v>
      </c>
      <c r="Q143" s="640">
        <f t="shared" si="55"/>
        <v>2030.5833333333333</v>
      </c>
      <c r="R143" s="641">
        <f t="shared" si="56"/>
        <v>49686.5</v>
      </c>
      <c r="S143" s="641">
        <f t="shared" si="57"/>
        <v>1656.2166666666667</v>
      </c>
      <c r="T143" s="500">
        <v>11902.5</v>
      </c>
      <c r="U143" s="496">
        <v>7058.5</v>
      </c>
      <c r="V143" s="640">
        <f t="shared" si="58"/>
        <v>60917.5</v>
      </c>
      <c r="W143" s="641">
        <f t="shared" si="59"/>
        <v>49686.5</v>
      </c>
      <c r="X143" s="500"/>
      <c r="Y143" s="496"/>
      <c r="Z143" s="500"/>
      <c r="AA143" s="496"/>
      <c r="AB143" s="500"/>
      <c r="AC143" s="496"/>
      <c r="AD143" s="500"/>
      <c r="AE143" s="496"/>
      <c r="AF143" s="640">
        <f t="shared" si="60"/>
        <v>0</v>
      </c>
      <c r="AG143" s="640">
        <f t="shared" si="61"/>
        <v>0</v>
      </c>
      <c r="AH143" s="641">
        <f t="shared" si="62"/>
        <v>0</v>
      </c>
      <c r="AI143" s="641">
        <f t="shared" si="63"/>
        <v>0</v>
      </c>
      <c r="AJ143" s="500"/>
      <c r="AK143" s="496"/>
      <c r="AL143" s="640">
        <f t="shared" si="64"/>
        <v>0</v>
      </c>
      <c r="AM143" s="641">
        <f t="shared" si="65"/>
        <v>0</v>
      </c>
      <c r="AN143" s="500"/>
      <c r="AO143" s="496"/>
      <c r="AP143" s="500"/>
      <c r="AQ143" s="496"/>
      <c r="AR143" s="500"/>
      <c r="AS143" s="496"/>
      <c r="AT143" s="500"/>
      <c r="AU143" s="496"/>
      <c r="AV143" s="640">
        <f t="shared" si="66"/>
        <v>0</v>
      </c>
      <c r="AW143" s="640">
        <f t="shared" si="67"/>
        <v>0</v>
      </c>
      <c r="AX143" s="641">
        <f t="shared" si="68"/>
        <v>0</v>
      </c>
      <c r="AY143" s="641">
        <f t="shared" si="69"/>
        <v>0</v>
      </c>
      <c r="AZ143" s="640">
        <f t="shared" si="70"/>
        <v>2030.5833333333333</v>
      </c>
      <c r="BA143" s="641">
        <f t="shared" si="71"/>
        <v>1656.2166666666667</v>
      </c>
    </row>
    <row r="144" spans="1:53" s="365" customFormat="1" ht="12.6" customHeight="1">
      <c r="A144" s="399" t="s">
        <v>158</v>
      </c>
      <c r="B144" s="400" t="s">
        <v>193</v>
      </c>
      <c r="C144" s="400"/>
      <c r="D144" s="616">
        <v>140012</v>
      </c>
      <c r="E144" s="493">
        <v>12</v>
      </c>
      <c r="F144" s="500" t="s">
        <v>74</v>
      </c>
      <c r="G144" s="496" t="s">
        <v>74</v>
      </c>
      <c r="H144" s="500"/>
      <c r="I144" s="496"/>
      <c r="J144" s="500">
        <v>75208</v>
      </c>
      <c r="K144" s="496">
        <v>66063</v>
      </c>
      <c r="L144" s="500">
        <v>23404</v>
      </c>
      <c r="M144" s="496">
        <v>20654</v>
      </c>
      <c r="N144" s="500">
        <v>68037</v>
      </c>
      <c r="O144" s="496">
        <v>64071</v>
      </c>
      <c r="P144" s="640">
        <f t="shared" si="54"/>
        <v>166649</v>
      </c>
      <c r="Q144" s="640">
        <f t="shared" si="55"/>
        <v>5554.9666666666662</v>
      </c>
      <c r="R144" s="641">
        <f t="shared" si="56"/>
        <v>150788</v>
      </c>
      <c r="S144" s="641">
        <f t="shared" si="57"/>
        <v>5026.2666666666664</v>
      </c>
      <c r="T144" s="500">
        <v>24675</v>
      </c>
      <c r="U144" s="496">
        <v>17448</v>
      </c>
      <c r="V144" s="640">
        <f t="shared" si="58"/>
        <v>166649</v>
      </c>
      <c r="W144" s="641">
        <f t="shared" si="59"/>
        <v>150788</v>
      </c>
      <c r="X144" s="500"/>
      <c r="Y144" s="496"/>
      <c r="Z144" s="500"/>
      <c r="AA144" s="496"/>
      <c r="AB144" s="500"/>
      <c r="AC144" s="496"/>
      <c r="AD144" s="500"/>
      <c r="AE144" s="496"/>
      <c r="AF144" s="640">
        <f t="shared" si="60"/>
        <v>0</v>
      </c>
      <c r="AG144" s="640">
        <f t="shared" si="61"/>
        <v>0</v>
      </c>
      <c r="AH144" s="641">
        <f t="shared" si="62"/>
        <v>0</v>
      </c>
      <c r="AI144" s="641">
        <f t="shared" si="63"/>
        <v>0</v>
      </c>
      <c r="AJ144" s="500"/>
      <c r="AK144" s="496"/>
      <c r="AL144" s="640">
        <f t="shared" si="64"/>
        <v>0</v>
      </c>
      <c r="AM144" s="641">
        <f t="shared" si="65"/>
        <v>0</v>
      </c>
      <c r="AN144" s="500"/>
      <c r="AO144" s="496"/>
      <c r="AP144" s="500"/>
      <c r="AQ144" s="496"/>
      <c r="AR144" s="500"/>
      <c r="AS144" s="496"/>
      <c r="AT144" s="500"/>
      <c r="AU144" s="496"/>
      <c r="AV144" s="640">
        <f t="shared" si="66"/>
        <v>0</v>
      </c>
      <c r="AW144" s="640">
        <f t="shared" si="67"/>
        <v>0</v>
      </c>
      <c r="AX144" s="641">
        <f t="shared" si="68"/>
        <v>0</v>
      </c>
      <c r="AY144" s="641">
        <f t="shared" si="69"/>
        <v>0</v>
      </c>
      <c r="AZ144" s="640">
        <f t="shared" si="70"/>
        <v>5554.9666666666662</v>
      </c>
      <c r="BA144" s="641">
        <f t="shared" si="71"/>
        <v>5026.2666666666664</v>
      </c>
    </row>
    <row r="145" spans="1:53" s="365" customFormat="1" ht="12.6" customHeight="1">
      <c r="A145" s="399" t="s">
        <v>158</v>
      </c>
      <c r="B145" s="400" t="s">
        <v>194</v>
      </c>
      <c r="C145" s="400"/>
      <c r="D145" s="616">
        <v>140243</v>
      </c>
      <c r="E145" s="493">
        <v>12</v>
      </c>
      <c r="F145" s="500" t="s">
        <v>74</v>
      </c>
      <c r="G145" s="496" t="s">
        <v>74</v>
      </c>
      <c r="H145" s="500"/>
      <c r="I145" s="496"/>
      <c r="J145" s="500">
        <v>37624</v>
      </c>
      <c r="K145" s="496">
        <v>37330</v>
      </c>
      <c r="L145" s="500">
        <v>14745</v>
      </c>
      <c r="M145" s="496">
        <v>14415</v>
      </c>
      <c r="N145" s="500">
        <v>40793</v>
      </c>
      <c r="O145" s="496">
        <v>41488</v>
      </c>
      <c r="P145" s="640">
        <f t="shared" si="54"/>
        <v>93162</v>
      </c>
      <c r="Q145" s="640">
        <f t="shared" si="55"/>
        <v>3105.4</v>
      </c>
      <c r="R145" s="641">
        <f t="shared" si="56"/>
        <v>93233</v>
      </c>
      <c r="S145" s="641">
        <f t="shared" si="57"/>
        <v>3107.7666666666669</v>
      </c>
      <c r="T145" s="500">
        <v>16131</v>
      </c>
      <c r="U145" s="496">
        <v>15003</v>
      </c>
      <c r="V145" s="640">
        <f t="shared" si="58"/>
        <v>93162</v>
      </c>
      <c r="W145" s="641">
        <f t="shared" si="59"/>
        <v>93233</v>
      </c>
      <c r="X145" s="500"/>
      <c r="Y145" s="496"/>
      <c r="Z145" s="500"/>
      <c r="AA145" s="496"/>
      <c r="AB145" s="500"/>
      <c r="AC145" s="496"/>
      <c r="AD145" s="500"/>
      <c r="AE145" s="496"/>
      <c r="AF145" s="640">
        <f t="shared" si="60"/>
        <v>0</v>
      </c>
      <c r="AG145" s="640">
        <f t="shared" si="61"/>
        <v>0</v>
      </c>
      <c r="AH145" s="641">
        <f t="shared" si="62"/>
        <v>0</v>
      </c>
      <c r="AI145" s="641">
        <f t="shared" si="63"/>
        <v>0</v>
      </c>
      <c r="AJ145" s="500"/>
      <c r="AK145" s="496"/>
      <c r="AL145" s="640">
        <f t="shared" si="64"/>
        <v>0</v>
      </c>
      <c r="AM145" s="641">
        <f t="shared" si="65"/>
        <v>0</v>
      </c>
      <c r="AN145" s="500"/>
      <c r="AO145" s="496"/>
      <c r="AP145" s="500"/>
      <c r="AQ145" s="496"/>
      <c r="AR145" s="500"/>
      <c r="AS145" s="496"/>
      <c r="AT145" s="500"/>
      <c r="AU145" s="496"/>
      <c r="AV145" s="640">
        <f t="shared" si="66"/>
        <v>0</v>
      </c>
      <c r="AW145" s="640">
        <f t="shared" si="67"/>
        <v>0</v>
      </c>
      <c r="AX145" s="641">
        <f t="shared" si="68"/>
        <v>0</v>
      </c>
      <c r="AY145" s="641">
        <f t="shared" si="69"/>
        <v>0</v>
      </c>
      <c r="AZ145" s="640">
        <f t="shared" si="70"/>
        <v>3105.4</v>
      </c>
      <c r="BA145" s="641">
        <f t="shared" si="71"/>
        <v>3107.7666666666669</v>
      </c>
    </row>
    <row r="146" spans="1:53" s="365" customFormat="1" ht="12.6" customHeight="1">
      <c r="A146" s="399" t="s">
        <v>158</v>
      </c>
      <c r="B146" s="400" t="s">
        <v>195</v>
      </c>
      <c r="C146" s="400"/>
      <c r="D146" s="616">
        <v>140678</v>
      </c>
      <c r="E146" s="493">
        <v>12</v>
      </c>
      <c r="F146" s="500" t="s">
        <v>74</v>
      </c>
      <c r="G146" s="496" t="s">
        <v>74</v>
      </c>
      <c r="H146" s="500"/>
      <c r="I146" s="496"/>
      <c r="J146" s="500">
        <v>23018</v>
      </c>
      <c r="K146" s="496">
        <v>19690</v>
      </c>
      <c r="L146" s="500">
        <v>9754</v>
      </c>
      <c r="M146" s="496">
        <v>9414</v>
      </c>
      <c r="N146" s="500">
        <v>22209</v>
      </c>
      <c r="O146" s="496">
        <v>22339</v>
      </c>
      <c r="P146" s="640">
        <f t="shared" si="54"/>
        <v>54981</v>
      </c>
      <c r="Q146" s="640">
        <f t="shared" si="55"/>
        <v>1832.7</v>
      </c>
      <c r="R146" s="641">
        <f t="shared" si="56"/>
        <v>51443</v>
      </c>
      <c r="S146" s="641">
        <f t="shared" si="57"/>
        <v>1714.7666666666667</v>
      </c>
      <c r="T146" s="500">
        <v>6448</v>
      </c>
      <c r="U146" s="496">
        <v>5882</v>
      </c>
      <c r="V146" s="640">
        <f t="shared" si="58"/>
        <v>54981</v>
      </c>
      <c r="W146" s="641">
        <f t="shared" si="59"/>
        <v>51443</v>
      </c>
      <c r="X146" s="500"/>
      <c r="Y146" s="496"/>
      <c r="Z146" s="500"/>
      <c r="AA146" s="496"/>
      <c r="AB146" s="500"/>
      <c r="AC146" s="496"/>
      <c r="AD146" s="500"/>
      <c r="AE146" s="496"/>
      <c r="AF146" s="640">
        <f t="shared" si="60"/>
        <v>0</v>
      </c>
      <c r="AG146" s="640">
        <f t="shared" si="61"/>
        <v>0</v>
      </c>
      <c r="AH146" s="641">
        <f t="shared" si="62"/>
        <v>0</v>
      </c>
      <c r="AI146" s="641">
        <f t="shared" si="63"/>
        <v>0</v>
      </c>
      <c r="AJ146" s="500"/>
      <c r="AK146" s="496"/>
      <c r="AL146" s="640">
        <f t="shared" si="64"/>
        <v>0</v>
      </c>
      <c r="AM146" s="641">
        <f t="shared" si="65"/>
        <v>0</v>
      </c>
      <c r="AN146" s="500"/>
      <c r="AO146" s="496"/>
      <c r="AP146" s="500"/>
      <c r="AQ146" s="496"/>
      <c r="AR146" s="500"/>
      <c r="AS146" s="496"/>
      <c r="AT146" s="500"/>
      <c r="AU146" s="496"/>
      <c r="AV146" s="640">
        <f t="shared" si="66"/>
        <v>0</v>
      </c>
      <c r="AW146" s="640">
        <f t="shared" si="67"/>
        <v>0</v>
      </c>
      <c r="AX146" s="641">
        <f t="shared" si="68"/>
        <v>0</v>
      </c>
      <c r="AY146" s="641">
        <f t="shared" si="69"/>
        <v>0</v>
      </c>
      <c r="AZ146" s="640">
        <f t="shared" si="70"/>
        <v>1832.7</v>
      </c>
      <c r="BA146" s="641">
        <f t="shared" si="71"/>
        <v>1714.7666666666667</v>
      </c>
    </row>
    <row r="147" spans="1:53" s="365" customFormat="1" ht="12.6" customHeight="1">
      <c r="A147" s="401" t="s">
        <v>158</v>
      </c>
      <c r="B147" s="400" t="s">
        <v>196</v>
      </c>
      <c r="C147" s="398"/>
      <c r="D147" s="616">
        <v>420431</v>
      </c>
      <c r="E147" s="493">
        <v>12</v>
      </c>
      <c r="F147" s="500" t="s">
        <v>74</v>
      </c>
      <c r="G147" s="496" t="s">
        <v>74</v>
      </c>
      <c r="H147" s="500"/>
      <c r="I147" s="496"/>
      <c r="J147" s="500">
        <v>14403</v>
      </c>
      <c r="K147" s="496">
        <v>12429</v>
      </c>
      <c r="L147" s="500">
        <v>7254</v>
      </c>
      <c r="M147" s="496">
        <v>6967</v>
      </c>
      <c r="N147" s="500">
        <v>14203</v>
      </c>
      <c r="O147" s="496">
        <v>12940</v>
      </c>
      <c r="P147" s="640">
        <f t="shared" si="54"/>
        <v>35860</v>
      </c>
      <c r="Q147" s="640">
        <f t="shared" si="55"/>
        <v>1195.3333333333333</v>
      </c>
      <c r="R147" s="641">
        <f t="shared" si="56"/>
        <v>32336</v>
      </c>
      <c r="S147" s="641">
        <f t="shared" si="57"/>
        <v>1077.8666666666666</v>
      </c>
      <c r="T147" s="500">
        <v>3697</v>
      </c>
      <c r="U147" s="496">
        <v>3242</v>
      </c>
      <c r="V147" s="640">
        <f t="shared" si="58"/>
        <v>35860</v>
      </c>
      <c r="W147" s="641">
        <f t="shared" si="59"/>
        <v>32336</v>
      </c>
      <c r="X147" s="500"/>
      <c r="Y147" s="496"/>
      <c r="Z147" s="500"/>
      <c r="AA147" s="496"/>
      <c r="AB147" s="500"/>
      <c r="AC147" s="496"/>
      <c r="AD147" s="500"/>
      <c r="AE147" s="496"/>
      <c r="AF147" s="640">
        <f t="shared" si="60"/>
        <v>0</v>
      </c>
      <c r="AG147" s="640">
        <f t="shared" si="61"/>
        <v>0</v>
      </c>
      <c r="AH147" s="641">
        <f t="shared" si="62"/>
        <v>0</v>
      </c>
      <c r="AI147" s="641">
        <f t="shared" si="63"/>
        <v>0</v>
      </c>
      <c r="AJ147" s="500"/>
      <c r="AK147" s="496"/>
      <c r="AL147" s="640">
        <f t="shared" si="64"/>
        <v>0</v>
      </c>
      <c r="AM147" s="641">
        <f t="shared" si="65"/>
        <v>0</v>
      </c>
      <c r="AN147" s="500"/>
      <c r="AO147" s="496"/>
      <c r="AP147" s="500"/>
      <c r="AQ147" s="496"/>
      <c r="AR147" s="500"/>
      <c r="AS147" s="496"/>
      <c r="AT147" s="500"/>
      <c r="AU147" s="496"/>
      <c r="AV147" s="640">
        <f t="shared" si="66"/>
        <v>0</v>
      </c>
      <c r="AW147" s="640">
        <f t="shared" si="67"/>
        <v>0</v>
      </c>
      <c r="AX147" s="641">
        <f t="shared" si="68"/>
        <v>0</v>
      </c>
      <c r="AY147" s="641">
        <f t="shared" si="69"/>
        <v>0</v>
      </c>
      <c r="AZ147" s="640">
        <f t="shared" si="70"/>
        <v>1195.3333333333333</v>
      </c>
      <c r="BA147" s="641">
        <f t="shared" si="71"/>
        <v>1077.8666666666666</v>
      </c>
    </row>
    <row r="148" spans="1:53" s="365" customFormat="1" ht="12.6" customHeight="1">
      <c r="A148" s="401" t="s">
        <v>158</v>
      </c>
      <c r="B148" s="400" t="s">
        <v>197</v>
      </c>
      <c r="C148" s="400"/>
      <c r="D148" s="616">
        <v>366465</v>
      </c>
      <c r="E148" s="493">
        <v>12</v>
      </c>
      <c r="F148" s="500" t="s">
        <v>74</v>
      </c>
      <c r="G148" s="496" t="s">
        <v>74</v>
      </c>
      <c r="H148" s="500"/>
      <c r="I148" s="496"/>
      <c r="J148" s="500">
        <v>19373</v>
      </c>
      <c r="K148" s="496">
        <v>18728</v>
      </c>
      <c r="L148" s="500">
        <v>9918</v>
      </c>
      <c r="M148" s="496">
        <v>10093</v>
      </c>
      <c r="N148" s="500">
        <v>20188</v>
      </c>
      <c r="O148" s="496">
        <v>20057</v>
      </c>
      <c r="P148" s="640">
        <f t="shared" si="54"/>
        <v>49479</v>
      </c>
      <c r="Q148" s="640">
        <f t="shared" si="55"/>
        <v>1649.3</v>
      </c>
      <c r="R148" s="641">
        <f t="shared" si="56"/>
        <v>48878</v>
      </c>
      <c r="S148" s="641">
        <f t="shared" si="57"/>
        <v>1629.2666666666667</v>
      </c>
      <c r="T148" s="500">
        <v>4768</v>
      </c>
      <c r="U148" s="496">
        <v>4143</v>
      </c>
      <c r="V148" s="640">
        <f t="shared" si="58"/>
        <v>49479</v>
      </c>
      <c r="W148" s="641">
        <f t="shared" si="59"/>
        <v>48878</v>
      </c>
      <c r="X148" s="500"/>
      <c r="Y148" s="496"/>
      <c r="Z148" s="500"/>
      <c r="AA148" s="496"/>
      <c r="AB148" s="500"/>
      <c r="AC148" s="496"/>
      <c r="AD148" s="500"/>
      <c r="AE148" s="496"/>
      <c r="AF148" s="640">
        <f t="shared" si="60"/>
        <v>0</v>
      </c>
      <c r="AG148" s="640">
        <f t="shared" si="61"/>
        <v>0</v>
      </c>
      <c r="AH148" s="641">
        <f t="shared" si="62"/>
        <v>0</v>
      </c>
      <c r="AI148" s="641">
        <f t="shared" si="63"/>
        <v>0</v>
      </c>
      <c r="AJ148" s="500"/>
      <c r="AK148" s="496"/>
      <c r="AL148" s="640">
        <f t="shared" si="64"/>
        <v>0</v>
      </c>
      <c r="AM148" s="641">
        <f t="shared" si="65"/>
        <v>0</v>
      </c>
      <c r="AN148" s="500"/>
      <c r="AO148" s="496"/>
      <c r="AP148" s="500"/>
      <c r="AQ148" s="496"/>
      <c r="AR148" s="500"/>
      <c r="AS148" s="496"/>
      <c r="AT148" s="500"/>
      <c r="AU148" s="496"/>
      <c r="AV148" s="640">
        <f t="shared" si="66"/>
        <v>0</v>
      </c>
      <c r="AW148" s="640">
        <f t="shared" si="67"/>
        <v>0</v>
      </c>
      <c r="AX148" s="641">
        <f t="shared" si="68"/>
        <v>0</v>
      </c>
      <c r="AY148" s="641">
        <f t="shared" si="69"/>
        <v>0</v>
      </c>
      <c r="AZ148" s="640">
        <f t="shared" si="70"/>
        <v>1649.3</v>
      </c>
      <c r="BA148" s="641">
        <f t="shared" si="71"/>
        <v>1629.2666666666667</v>
      </c>
    </row>
    <row r="149" spans="1:53" s="365" customFormat="1" ht="12.6" customHeight="1">
      <c r="A149" s="401" t="s">
        <v>158</v>
      </c>
      <c r="B149" s="400" t="s">
        <v>198</v>
      </c>
      <c r="C149" s="400"/>
      <c r="D149" s="616">
        <v>140942</v>
      </c>
      <c r="E149" s="493">
        <v>12</v>
      </c>
      <c r="F149" s="500" t="s">
        <v>74</v>
      </c>
      <c r="G149" s="496" t="s">
        <v>74</v>
      </c>
      <c r="H149" s="500"/>
      <c r="I149" s="496"/>
      <c r="J149" s="500">
        <v>37047</v>
      </c>
      <c r="K149" s="496">
        <v>32973</v>
      </c>
      <c r="L149" s="500">
        <v>14136</v>
      </c>
      <c r="M149" s="496">
        <v>13994</v>
      </c>
      <c r="N149" s="500">
        <v>33744</v>
      </c>
      <c r="O149" s="496">
        <v>32197</v>
      </c>
      <c r="P149" s="640">
        <f t="shared" si="54"/>
        <v>84927</v>
      </c>
      <c r="Q149" s="640">
        <f t="shared" si="55"/>
        <v>2830.9</v>
      </c>
      <c r="R149" s="641">
        <f t="shared" si="56"/>
        <v>79164</v>
      </c>
      <c r="S149" s="641">
        <f t="shared" si="57"/>
        <v>2638.8</v>
      </c>
      <c r="T149" s="500">
        <v>7575</v>
      </c>
      <c r="U149" s="496">
        <v>5786</v>
      </c>
      <c r="V149" s="640">
        <f t="shared" si="58"/>
        <v>84927</v>
      </c>
      <c r="W149" s="641">
        <f t="shared" si="59"/>
        <v>79164</v>
      </c>
      <c r="X149" s="500"/>
      <c r="Y149" s="496"/>
      <c r="Z149" s="500"/>
      <c r="AA149" s="496"/>
      <c r="AB149" s="500"/>
      <c r="AC149" s="496"/>
      <c r="AD149" s="500"/>
      <c r="AE149" s="496"/>
      <c r="AF149" s="640">
        <f t="shared" si="60"/>
        <v>0</v>
      </c>
      <c r="AG149" s="640">
        <f t="shared" si="61"/>
        <v>0</v>
      </c>
      <c r="AH149" s="641">
        <f t="shared" si="62"/>
        <v>0</v>
      </c>
      <c r="AI149" s="641">
        <f t="shared" si="63"/>
        <v>0</v>
      </c>
      <c r="AJ149" s="500"/>
      <c r="AK149" s="496"/>
      <c r="AL149" s="640">
        <f t="shared" si="64"/>
        <v>0</v>
      </c>
      <c r="AM149" s="641">
        <f t="shared" si="65"/>
        <v>0</v>
      </c>
      <c r="AN149" s="500"/>
      <c r="AO149" s="496"/>
      <c r="AP149" s="500"/>
      <c r="AQ149" s="496"/>
      <c r="AR149" s="500"/>
      <c r="AS149" s="496"/>
      <c r="AT149" s="500"/>
      <c r="AU149" s="496"/>
      <c r="AV149" s="640">
        <f t="shared" si="66"/>
        <v>0</v>
      </c>
      <c r="AW149" s="640">
        <f t="shared" si="67"/>
        <v>0</v>
      </c>
      <c r="AX149" s="641">
        <f t="shared" si="68"/>
        <v>0</v>
      </c>
      <c r="AY149" s="641">
        <f t="shared" si="69"/>
        <v>0</v>
      </c>
      <c r="AZ149" s="640">
        <f t="shared" si="70"/>
        <v>2830.9</v>
      </c>
      <c r="BA149" s="641">
        <f t="shared" si="71"/>
        <v>2638.8</v>
      </c>
    </row>
    <row r="150" spans="1:53" s="365" customFormat="1" ht="12.6" customHeight="1">
      <c r="A150" s="401" t="s">
        <v>158</v>
      </c>
      <c r="B150" s="400" t="s">
        <v>199</v>
      </c>
      <c r="C150" s="400"/>
      <c r="D150" s="616">
        <v>141006</v>
      </c>
      <c r="E150" s="493">
        <v>12</v>
      </c>
      <c r="F150" s="500" t="s">
        <v>74</v>
      </c>
      <c r="G150" s="496" t="s">
        <v>74</v>
      </c>
      <c r="H150" s="500"/>
      <c r="I150" s="496"/>
      <c r="J150" s="500">
        <v>19745</v>
      </c>
      <c r="K150" s="496">
        <v>16243</v>
      </c>
      <c r="L150" s="500">
        <v>8383</v>
      </c>
      <c r="M150" s="496">
        <v>7730</v>
      </c>
      <c r="N150" s="500">
        <v>17816</v>
      </c>
      <c r="O150" s="496">
        <v>15740</v>
      </c>
      <c r="P150" s="640">
        <f t="shared" si="54"/>
        <v>45944</v>
      </c>
      <c r="Q150" s="640">
        <f t="shared" si="55"/>
        <v>1531.4666666666667</v>
      </c>
      <c r="R150" s="641">
        <f t="shared" si="56"/>
        <v>39713</v>
      </c>
      <c r="S150" s="641">
        <f t="shared" si="57"/>
        <v>1323.7666666666667</v>
      </c>
      <c r="T150" s="500">
        <v>5471</v>
      </c>
      <c r="U150" s="496">
        <v>3682</v>
      </c>
      <c r="V150" s="640">
        <f t="shared" si="58"/>
        <v>45944</v>
      </c>
      <c r="W150" s="641">
        <f t="shared" si="59"/>
        <v>39713</v>
      </c>
      <c r="X150" s="500"/>
      <c r="Y150" s="496"/>
      <c r="Z150" s="500"/>
      <c r="AA150" s="496"/>
      <c r="AB150" s="500"/>
      <c r="AC150" s="496"/>
      <c r="AD150" s="500"/>
      <c r="AE150" s="496"/>
      <c r="AF150" s="640">
        <f t="shared" si="60"/>
        <v>0</v>
      </c>
      <c r="AG150" s="640">
        <f t="shared" si="61"/>
        <v>0</v>
      </c>
      <c r="AH150" s="641">
        <f t="shared" si="62"/>
        <v>0</v>
      </c>
      <c r="AI150" s="641">
        <f t="shared" si="63"/>
        <v>0</v>
      </c>
      <c r="AJ150" s="500"/>
      <c r="AK150" s="496"/>
      <c r="AL150" s="640">
        <f t="shared" si="64"/>
        <v>0</v>
      </c>
      <c r="AM150" s="641">
        <f t="shared" si="65"/>
        <v>0</v>
      </c>
      <c r="AN150" s="500"/>
      <c r="AO150" s="496"/>
      <c r="AP150" s="500"/>
      <c r="AQ150" s="496"/>
      <c r="AR150" s="500"/>
      <c r="AS150" s="496"/>
      <c r="AT150" s="500"/>
      <c r="AU150" s="496"/>
      <c r="AV150" s="640">
        <f t="shared" si="66"/>
        <v>0</v>
      </c>
      <c r="AW150" s="640">
        <f t="shared" si="67"/>
        <v>0</v>
      </c>
      <c r="AX150" s="641">
        <f t="shared" si="68"/>
        <v>0</v>
      </c>
      <c r="AY150" s="641">
        <f t="shared" si="69"/>
        <v>0</v>
      </c>
      <c r="AZ150" s="640">
        <f t="shared" si="70"/>
        <v>1531.4666666666667</v>
      </c>
      <c r="BA150" s="641">
        <f t="shared" si="71"/>
        <v>1323.7666666666667</v>
      </c>
    </row>
    <row r="151" spans="1:53" s="365" customFormat="1" ht="12.6" customHeight="1">
      <c r="A151" s="401" t="s">
        <v>158</v>
      </c>
      <c r="B151" s="400" t="s">
        <v>200</v>
      </c>
      <c r="C151" s="605" t="s">
        <v>909</v>
      </c>
      <c r="D151" s="616">
        <v>368911</v>
      </c>
      <c r="E151" s="493">
        <v>12</v>
      </c>
      <c r="F151" s="500" t="s">
        <v>74</v>
      </c>
      <c r="G151" s="496" t="s">
        <v>74</v>
      </c>
      <c r="H151" s="500"/>
      <c r="I151" s="496"/>
      <c r="J151" s="500">
        <v>13711</v>
      </c>
      <c r="K151" s="496">
        <v>11665</v>
      </c>
      <c r="L151" s="500">
        <v>4956</v>
      </c>
      <c r="M151" s="496">
        <v>5423</v>
      </c>
      <c r="N151" s="500">
        <v>13708</v>
      </c>
      <c r="O151" s="496">
        <v>12633</v>
      </c>
      <c r="P151" s="640">
        <f t="shared" si="54"/>
        <v>32375</v>
      </c>
      <c r="Q151" s="640">
        <f t="shared" si="55"/>
        <v>1079.1666666666667</v>
      </c>
      <c r="R151" s="641">
        <f t="shared" si="56"/>
        <v>29721</v>
      </c>
      <c r="S151" s="641">
        <f t="shared" si="57"/>
        <v>990.7</v>
      </c>
      <c r="T151" s="500">
        <v>7721</v>
      </c>
      <c r="U151" s="496">
        <v>7166</v>
      </c>
      <c r="V151" s="640">
        <f t="shared" si="58"/>
        <v>32375</v>
      </c>
      <c r="W151" s="641">
        <f t="shared" si="59"/>
        <v>29721</v>
      </c>
      <c r="X151" s="500"/>
      <c r="Y151" s="496"/>
      <c r="Z151" s="500"/>
      <c r="AA151" s="496"/>
      <c r="AB151" s="500"/>
      <c r="AC151" s="496"/>
      <c r="AD151" s="500"/>
      <c r="AE151" s="496"/>
      <c r="AF151" s="640">
        <f t="shared" si="60"/>
        <v>0</v>
      </c>
      <c r="AG151" s="640">
        <f t="shared" si="61"/>
        <v>0</v>
      </c>
      <c r="AH151" s="641">
        <f t="shared" si="62"/>
        <v>0</v>
      </c>
      <c r="AI151" s="641">
        <f t="shared" si="63"/>
        <v>0</v>
      </c>
      <c r="AJ151" s="500"/>
      <c r="AK151" s="496"/>
      <c r="AL151" s="640">
        <f t="shared" si="64"/>
        <v>0</v>
      </c>
      <c r="AM151" s="641">
        <f t="shared" si="65"/>
        <v>0</v>
      </c>
      <c r="AN151" s="500"/>
      <c r="AO151" s="496"/>
      <c r="AP151" s="500"/>
      <c r="AQ151" s="496"/>
      <c r="AR151" s="500"/>
      <c r="AS151" s="496"/>
      <c r="AT151" s="500"/>
      <c r="AU151" s="496"/>
      <c r="AV151" s="640">
        <f t="shared" si="66"/>
        <v>0</v>
      </c>
      <c r="AW151" s="640">
        <f t="shared" si="67"/>
        <v>0</v>
      </c>
      <c r="AX151" s="641">
        <f t="shared" si="68"/>
        <v>0</v>
      </c>
      <c r="AY151" s="641">
        <f t="shared" si="69"/>
        <v>0</v>
      </c>
      <c r="AZ151" s="640">
        <f t="shared" si="70"/>
        <v>1079.1666666666667</v>
      </c>
      <c r="BA151" s="641">
        <f t="shared" si="71"/>
        <v>990.7</v>
      </c>
    </row>
    <row r="152" spans="1:53" s="365" customFormat="1" ht="12.6" customHeight="1">
      <c r="A152" s="401" t="s">
        <v>158</v>
      </c>
      <c r="B152" s="400" t="s">
        <v>201</v>
      </c>
      <c r="C152" s="400"/>
      <c r="D152" s="616">
        <v>139986</v>
      </c>
      <c r="E152" s="493">
        <v>12</v>
      </c>
      <c r="F152" s="500" t="s">
        <v>74</v>
      </c>
      <c r="G152" s="496" t="s">
        <v>74</v>
      </c>
      <c r="H152" s="500"/>
      <c r="I152" s="496"/>
      <c r="J152" s="500">
        <v>43936</v>
      </c>
      <c r="K152" s="496">
        <v>41812</v>
      </c>
      <c r="L152" s="500">
        <v>19785</v>
      </c>
      <c r="M152" s="496">
        <v>19183</v>
      </c>
      <c r="N152" s="500">
        <v>43996</v>
      </c>
      <c r="O152" s="496">
        <v>41340</v>
      </c>
      <c r="P152" s="640">
        <f t="shared" si="54"/>
        <v>107717</v>
      </c>
      <c r="Q152" s="640">
        <f t="shared" si="55"/>
        <v>3590.5666666666666</v>
      </c>
      <c r="R152" s="641">
        <f t="shared" si="56"/>
        <v>102335</v>
      </c>
      <c r="S152" s="641">
        <f t="shared" si="57"/>
        <v>3411.1666666666665</v>
      </c>
      <c r="T152" s="500">
        <v>16442</v>
      </c>
      <c r="U152" s="496">
        <v>13002</v>
      </c>
      <c r="V152" s="640">
        <f t="shared" si="58"/>
        <v>107717</v>
      </c>
      <c r="W152" s="641">
        <f t="shared" si="59"/>
        <v>102335</v>
      </c>
      <c r="X152" s="500"/>
      <c r="Y152" s="496"/>
      <c r="Z152" s="500"/>
      <c r="AA152" s="496"/>
      <c r="AB152" s="500"/>
      <c r="AC152" s="496"/>
      <c r="AD152" s="500"/>
      <c r="AE152" s="496"/>
      <c r="AF152" s="640">
        <f t="shared" si="60"/>
        <v>0</v>
      </c>
      <c r="AG152" s="640">
        <f t="shared" si="61"/>
        <v>0</v>
      </c>
      <c r="AH152" s="641">
        <f t="shared" si="62"/>
        <v>0</v>
      </c>
      <c r="AI152" s="641">
        <f t="shared" si="63"/>
        <v>0</v>
      </c>
      <c r="AJ152" s="500"/>
      <c r="AK152" s="496"/>
      <c r="AL152" s="640">
        <f t="shared" si="64"/>
        <v>0</v>
      </c>
      <c r="AM152" s="641">
        <f t="shared" si="65"/>
        <v>0</v>
      </c>
      <c r="AN152" s="500"/>
      <c r="AO152" s="496"/>
      <c r="AP152" s="500"/>
      <c r="AQ152" s="496"/>
      <c r="AR152" s="500"/>
      <c r="AS152" s="496"/>
      <c r="AT152" s="500"/>
      <c r="AU152" s="496"/>
      <c r="AV152" s="640">
        <f t="shared" si="66"/>
        <v>0</v>
      </c>
      <c r="AW152" s="640">
        <f t="shared" si="67"/>
        <v>0</v>
      </c>
      <c r="AX152" s="641">
        <f t="shared" si="68"/>
        <v>0</v>
      </c>
      <c r="AY152" s="641">
        <f t="shared" si="69"/>
        <v>0</v>
      </c>
      <c r="AZ152" s="640">
        <f t="shared" si="70"/>
        <v>3590.5666666666666</v>
      </c>
      <c r="BA152" s="641">
        <f t="shared" si="71"/>
        <v>3411.1666666666665</v>
      </c>
    </row>
    <row r="153" spans="1:53" s="365" customFormat="1" ht="12.6" customHeight="1">
      <c r="A153" s="401" t="s">
        <v>158</v>
      </c>
      <c r="B153" s="402" t="s">
        <v>202</v>
      </c>
      <c r="C153" s="400"/>
      <c r="D153" s="624">
        <v>487162</v>
      </c>
      <c r="E153" s="493">
        <v>12</v>
      </c>
      <c r="F153" s="500" t="s">
        <v>74</v>
      </c>
      <c r="G153" s="496" t="s">
        <v>74</v>
      </c>
      <c r="H153" s="500"/>
      <c r="I153" s="496"/>
      <c r="J153" s="500">
        <v>41784</v>
      </c>
      <c r="K153" s="496">
        <v>32753</v>
      </c>
      <c r="L153" s="500">
        <v>16868</v>
      </c>
      <c r="M153" s="496">
        <v>17577</v>
      </c>
      <c r="N153" s="500">
        <v>35632</v>
      </c>
      <c r="O153" s="496">
        <v>35762</v>
      </c>
      <c r="P153" s="640">
        <f t="shared" si="54"/>
        <v>94284</v>
      </c>
      <c r="Q153" s="640">
        <f t="shared" si="55"/>
        <v>3142.8</v>
      </c>
      <c r="R153" s="641">
        <f t="shared" si="56"/>
        <v>86092</v>
      </c>
      <c r="S153" s="641">
        <f t="shared" si="57"/>
        <v>2869.7333333333331</v>
      </c>
      <c r="T153" s="500">
        <v>22666</v>
      </c>
      <c r="U153" s="496">
        <v>16528</v>
      </c>
      <c r="V153" s="640">
        <f t="shared" si="58"/>
        <v>94284</v>
      </c>
      <c r="W153" s="641">
        <f t="shared" si="59"/>
        <v>86092</v>
      </c>
      <c r="X153" s="500"/>
      <c r="Y153" s="496"/>
      <c r="Z153" s="500"/>
      <c r="AA153" s="496"/>
      <c r="AB153" s="500"/>
      <c r="AC153" s="496"/>
      <c r="AD153" s="500"/>
      <c r="AE153" s="496"/>
      <c r="AF153" s="640">
        <f t="shared" si="60"/>
        <v>0</v>
      </c>
      <c r="AG153" s="640">
        <f t="shared" si="61"/>
        <v>0</v>
      </c>
      <c r="AH153" s="641">
        <f t="shared" si="62"/>
        <v>0</v>
      </c>
      <c r="AI153" s="641">
        <f t="shared" si="63"/>
        <v>0</v>
      </c>
      <c r="AJ153" s="500"/>
      <c r="AK153" s="496"/>
      <c r="AL153" s="640">
        <f t="shared" si="64"/>
        <v>0</v>
      </c>
      <c r="AM153" s="641">
        <f t="shared" si="65"/>
        <v>0</v>
      </c>
      <c r="AN153" s="500"/>
      <c r="AO153" s="496"/>
      <c r="AP153" s="500"/>
      <c r="AQ153" s="496"/>
      <c r="AR153" s="500"/>
      <c r="AS153" s="496"/>
      <c r="AT153" s="500"/>
      <c r="AU153" s="496"/>
      <c r="AV153" s="640">
        <f t="shared" si="66"/>
        <v>0</v>
      </c>
      <c r="AW153" s="640">
        <f t="shared" si="67"/>
        <v>0</v>
      </c>
      <c r="AX153" s="641">
        <f t="shared" si="68"/>
        <v>0</v>
      </c>
      <c r="AY153" s="641">
        <f t="shared" si="69"/>
        <v>0</v>
      </c>
      <c r="AZ153" s="640">
        <f t="shared" si="70"/>
        <v>3142.8</v>
      </c>
      <c r="BA153" s="641">
        <f t="shared" si="71"/>
        <v>2869.7333333333331</v>
      </c>
    </row>
    <row r="154" spans="1:53" s="365" customFormat="1" ht="12.6" customHeight="1">
      <c r="A154" s="401" t="s">
        <v>158</v>
      </c>
      <c r="B154" s="400" t="s">
        <v>203</v>
      </c>
      <c r="C154" s="400"/>
      <c r="D154" s="616">
        <v>139278</v>
      </c>
      <c r="E154" s="493">
        <v>12</v>
      </c>
      <c r="F154" s="500" t="s">
        <v>74</v>
      </c>
      <c r="G154" s="496" t="s">
        <v>74</v>
      </c>
      <c r="H154" s="500"/>
      <c r="I154" s="496"/>
      <c r="J154" s="500">
        <v>54321</v>
      </c>
      <c r="K154" s="496">
        <v>46013</v>
      </c>
      <c r="L154" s="500">
        <v>19948</v>
      </c>
      <c r="M154" s="496">
        <v>18833</v>
      </c>
      <c r="N154" s="500">
        <v>53630</v>
      </c>
      <c r="O154" s="496">
        <v>52410</v>
      </c>
      <c r="P154" s="640">
        <f t="shared" si="54"/>
        <v>127899</v>
      </c>
      <c r="Q154" s="640">
        <f t="shared" si="55"/>
        <v>4263.3</v>
      </c>
      <c r="R154" s="641">
        <f t="shared" si="56"/>
        <v>117256</v>
      </c>
      <c r="S154" s="641">
        <f t="shared" si="57"/>
        <v>3908.5333333333333</v>
      </c>
      <c r="T154" s="500">
        <v>23893</v>
      </c>
      <c r="U154" s="496">
        <v>18414</v>
      </c>
      <c r="V154" s="640">
        <f t="shared" si="58"/>
        <v>127899</v>
      </c>
      <c r="W154" s="641">
        <f t="shared" si="59"/>
        <v>117256</v>
      </c>
      <c r="X154" s="500"/>
      <c r="Y154" s="496"/>
      <c r="Z154" s="500"/>
      <c r="AA154" s="496"/>
      <c r="AB154" s="500"/>
      <c r="AC154" s="496"/>
      <c r="AD154" s="500"/>
      <c r="AE154" s="496"/>
      <c r="AF154" s="640">
        <f t="shared" si="60"/>
        <v>0</v>
      </c>
      <c r="AG154" s="640">
        <f t="shared" si="61"/>
        <v>0</v>
      </c>
      <c r="AH154" s="641">
        <f t="shared" si="62"/>
        <v>0</v>
      </c>
      <c r="AI154" s="641">
        <f t="shared" si="63"/>
        <v>0</v>
      </c>
      <c r="AJ154" s="500"/>
      <c r="AK154" s="496"/>
      <c r="AL154" s="640">
        <f t="shared" si="64"/>
        <v>0</v>
      </c>
      <c r="AM154" s="641">
        <f t="shared" si="65"/>
        <v>0</v>
      </c>
      <c r="AN154" s="500"/>
      <c r="AO154" s="496"/>
      <c r="AP154" s="500"/>
      <c r="AQ154" s="496"/>
      <c r="AR154" s="500"/>
      <c r="AS154" s="496"/>
      <c r="AT154" s="500"/>
      <c r="AU154" s="496"/>
      <c r="AV154" s="640">
        <f t="shared" si="66"/>
        <v>0</v>
      </c>
      <c r="AW154" s="640">
        <f t="shared" si="67"/>
        <v>0</v>
      </c>
      <c r="AX154" s="641">
        <f t="shared" si="68"/>
        <v>0</v>
      </c>
      <c r="AY154" s="641">
        <f t="shared" si="69"/>
        <v>0</v>
      </c>
      <c r="AZ154" s="640">
        <f t="shared" si="70"/>
        <v>4263.3</v>
      </c>
      <c r="BA154" s="641">
        <f t="shared" si="71"/>
        <v>3908.5333333333333</v>
      </c>
    </row>
    <row r="155" spans="1:53" s="365" customFormat="1" ht="12.6" customHeight="1">
      <c r="A155" s="401" t="s">
        <v>158</v>
      </c>
      <c r="B155" s="400" t="s">
        <v>204</v>
      </c>
      <c r="C155" s="400"/>
      <c r="D155" s="616">
        <v>141255</v>
      </c>
      <c r="E155" s="493">
        <v>12</v>
      </c>
      <c r="F155" s="500" t="s">
        <v>74</v>
      </c>
      <c r="G155" s="496" t="s">
        <v>74</v>
      </c>
      <c r="H155" s="500"/>
      <c r="I155" s="496"/>
      <c r="J155" s="500">
        <v>33759</v>
      </c>
      <c r="K155" s="501">
        <v>26173</v>
      </c>
      <c r="L155" s="500">
        <v>12252</v>
      </c>
      <c r="M155" s="496">
        <v>12806</v>
      </c>
      <c r="N155" s="500">
        <v>28581</v>
      </c>
      <c r="O155" s="496">
        <v>27824</v>
      </c>
      <c r="P155" s="640">
        <f t="shared" si="54"/>
        <v>74592</v>
      </c>
      <c r="Q155" s="640">
        <f t="shared" si="55"/>
        <v>2486.4</v>
      </c>
      <c r="R155" s="641">
        <f t="shared" si="56"/>
        <v>66803</v>
      </c>
      <c r="S155" s="641">
        <f t="shared" si="57"/>
        <v>2226.7666666666669</v>
      </c>
      <c r="T155" s="500">
        <v>21147</v>
      </c>
      <c r="U155" s="496">
        <v>14231</v>
      </c>
      <c r="V155" s="640">
        <f t="shared" si="58"/>
        <v>74592</v>
      </c>
      <c r="W155" s="641">
        <f t="shared" si="59"/>
        <v>66803</v>
      </c>
      <c r="X155" s="500"/>
      <c r="Y155" s="496"/>
      <c r="Z155" s="500"/>
      <c r="AA155" s="496"/>
      <c r="AB155" s="500"/>
      <c r="AC155" s="496"/>
      <c r="AD155" s="500"/>
      <c r="AE155" s="496"/>
      <c r="AF155" s="640">
        <f t="shared" si="60"/>
        <v>0</v>
      </c>
      <c r="AG155" s="640">
        <f t="shared" si="61"/>
        <v>0</v>
      </c>
      <c r="AH155" s="641">
        <f t="shared" si="62"/>
        <v>0</v>
      </c>
      <c r="AI155" s="641">
        <f t="shared" si="63"/>
        <v>0</v>
      </c>
      <c r="AJ155" s="500"/>
      <c r="AK155" s="496"/>
      <c r="AL155" s="640">
        <f t="shared" si="64"/>
        <v>0</v>
      </c>
      <c r="AM155" s="641">
        <f t="shared" si="65"/>
        <v>0</v>
      </c>
      <c r="AN155" s="500"/>
      <c r="AO155" s="496"/>
      <c r="AP155" s="500"/>
      <c r="AQ155" s="496"/>
      <c r="AR155" s="500"/>
      <c r="AS155" s="496"/>
      <c r="AT155" s="500"/>
      <c r="AU155" s="496"/>
      <c r="AV155" s="640">
        <f t="shared" si="66"/>
        <v>0</v>
      </c>
      <c r="AW155" s="640">
        <f t="shared" si="67"/>
        <v>0</v>
      </c>
      <c r="AX155" s="641">
        <f t="shared" si="68"/>
        <v>0</v>
      </c>
      <c r="AY155" s="641">
        <f t="shared" si="69"/>
        <v>0</v>
      </c>
      <c r="AZ155" s="640">
        <f t="shared" si="70"/>
        <v>2486.4</v>
      </c>
      <c r="BA155" s="641">
        <f t="shared" si="71"/>
        <v>2226.7666666666669</v>
      </c>
    </row>
    <row r="156" spans="1:53" s="365" customFormat="1" ht="12.6" customHeight="1">
      <c r="A156" s="409" t="s">
        <v>205</v>
      </c>
      <c r="B156" s="407" t="s">
        <v>206</v>
      </c>
      <c r="C156" s="408"/>
      <c r="D156" s="618">
        <v>157085</v>
      </c>
      <c r="E156" s="520">
        <v>1</v>
      </c>
      <c r="F156" s="613"/>
      <c r="G156" s="614"/>
      <c r="H156" s="613"/>
      <c r="I156" s="614"/>
      <c r="J156" s="521">
        <v>275771</v>
      </c>
      <c r="K156" s="522">
        <v>280217</v>
      </c>
      <c r="L156" s="613">
        <v>30247</v>
      </c>
      <c r="M156" s="614">
        <v>22738</v>
      </c>
      <c r="N156" s="613">
        <v>299390</v>
      </c>
      <c r="O156" s="488">
        <v>290515</v>
      </c>
      <c r="P156" s="640">
        <f t="shared" si="54"/>
        <v>605408</v>
      </c>
      <c r="Q156" s="640">
        <f t="shared" si="55"/>
        <v>20180.266666666666</v>
      </c>
      <c r="R156" s="641">
        <f t="shared" si="56"/>
        <v>593470</v>
      </c>
      <c r="S156" s="641">
        <f t="shared" si="57"/>
        <v>19782.333333333332</v>
      </c>
      <c r="T156" s="613">
        <v>1620</v>
      </c>
      <c r="U156" s="489">
        <v>2462</v>
      </c>
      <c r="V156" s="640">
        <f t="shared" si="58"/>
        <v>605408</v>
      </c>
      <c r="W156" s="641">
        <f t="shared" si="59"/>
        <v>593470</v>
      </c>
      <c r="X156" s="613"/>
      <c r="Y156" s="614"/>
      <c r="Z156" s="613"/>
      <c r="AA156" s="614"/>
      <c r="AB156" s="613"/>
      <c r="AC156" s="614"/>
      <c r="AD156" s="613"/>
      <c r="AE156" s="614"/>
      <c r="AF156" s="640">
        <f t="shared" si="60"/>
        <v>0</v>
      </c>
      <c r="AG156" s="640">
        <f t="shared" si="61"/>
        <v>0</v>
      </c>
      <c r="AH156" s="641">
        <f t="shared" si="62"/>
        <v>0</v>
      </c>
      <c r="AI156" s="641">
        <f t="shared" si="63"/>
        <v>0</v>
      </c>
      <c r="AJ156" s="613"/>
      <c r="AK156" s="614"/>
      <c r="AL156" s="640">
        <f t="shared" si="64"/>
        <v>0</v>
      </c>
      <c r="AM156" s="641">
        <f t="shared" si="65"/>
        <v>0</v>
      </c>
      <c r="AN156" s="613"/>
      <c r="AO156" s="614"/>
      <c r="AP156" s="487">
        <v>37086</v>
      </c>
      <c r="AQ156" s="615">
        <v>43306</v>
      </c>
      <c r="AR156" s="613">
        <v>7637</v>
      </c>
      <c r="AS156" s="488">
        <v>9936</v>
      </c>
      <c r="AT156" s="613">
        <v>42473</v>
      </c>
      <c r="AU156" s="488">
        <v>49880</v>
      </c>
      <c r="AV156" s="640">
        <f t="shared" si="66"/>
        <v>87196</v>
      </c>
      <c r="AW156" s="640">
        <f t="shared" si="67"/>
        <v>3633.1666666666665</v>
      </c>
      <c r="AX156" s="641">
        <f t="shared" si="68"/>
        <v>103122</v>
      </c>
      <c r="AY156" s="641">
        <f t="shared" si="69"/>
        <v>4296.75</v>
      </c>
      <c r="AZ156" s="640">
        <f t="shared" si="70"/>
        <v>23813.433333333334</v>
      </c>
      <c r="BA156" s="641">
        <f t="shared" si="71"/>
        <v>24079.083333333332</v>
      </c>
    </row>
    <row r="157" spans="1:53" s="365" customFormat="1" ht="12.6" customHeight="1">
      <c r="A157" s="409" t="s">
        <v>205</v>
      </c>
      <c r="B157" s="407" t="s">
        <v>207</v>
      </c>
      <c r="C157" s="408"/>
      <c r="D157" s="618">
        <v>157289</v>
      </c>
      <c r="E157" s="520">
        <v>1</v>
      </c>
      <c r="F157" s="613"/>
      <c r="G157" s="614"/>
      <c r="H157" s="613"/>
      <c r="I157" s="614"/>
      <c r="J157" s="521">
        <v>166769</v>
      </c>
      <c r="K157" s="522">
        <v>166686</v>
      </c>
      <c r="L157" s="613">
        <v>36751</v>
      </c>
      <c r="M157" s="614">
        <v>31431</v>
      </c>
      <c r="N157" s="613">
        <v>183918</v>
      </c>
      <c r="O157" s="488">
        <v>178438</v>
      </c>
      <c r="P157" s="640">
        <f t="shared" si="54"/>
        <v>387438</v>
      </c>
      <c r="Q157" s="640">
        <f t="shared" si="55"/>
        <v>12914.6</v>
      </c>
      <c r="R157" s="641">
        <f t="shared" si="56"/>
        <v>376555</v>
      </c>
      <c r="S157" s="641">
        <f t="shared" si="57"/>
        <v>12551.833333333334</v>
      </c>
      <c r="T157" s="613">
        <v>6797</v>
      </c>
      <c r="U157" s="489">
        <v>7309</v>
      </c>
      <c r="V157" s="640">
        <f t="shared" si="58"/>
        <v>387438</v>
      </c>
      <c r="W157" s="641">
        <f t="shared" si="59"/>
        <v>376555</v>
      </c>
      <c r="X157" s="613"/>
      <c r="Y157" s="614"/>
      <c r="Z157" s="613"/>
      <c r="AA157" s="614"/>
      <c r="AB157" s="613"/>
      <c r="AC157" s="614"/>
      <c r="AD157" s="613"/>
      <c r="AE157" s="614"/>
      <c r="AF157" s="640">
        <f t="shared" si="60"/>
        <v>0</v>
      </c>
      <c r="AG157" s="640">
        <f t="shared" si="61"/>
        <v>0</v>
      </c>
      <c r="AH157" s="641">
        <f t="shared" si="62"/>
        <v>0</v>
      </c>
      <c r="AI157" s="641">
        <f t="shared" si="63"/>
        <v>0</v>
      </c>
      <c r="AJ157" s="613"/>
      <c r="AK157" s="614"/>
      <c r="AL157" s="640">
        <f t="shared" si="64"/>
        <v>0</v>
      </c>
      <c r="AM157" s="641">
        <f t="shared" si="65"/>
        <v>0</v>
      </c>
      <c r="AN157" s="613"/>
      <c r="AO157" s="614"/>
      <c r="AP157" s="487">
        <v>32691</v>
      </c>
      <c r="AQ157" s="615">
        <v>38896</v>
      </c>
      <c r="AR157" s="613">
        <v>14539</v>
      </c>
      <c r="AS157" s="488">
        <v>16856</v>
      </c>
      <c r="AT157" s="613">
        <v>37705</v>
      </c>
      <c r="AU157" s="488">
        <v>39155</v>
      </c>
      <c r="AV157" s="640">
        <f t="shared" si="66"/>
        <v>84935</v>
      </c>
      <c r="AW157" s="640">
        <f t="shared" si="67"/>
        <v>3538.9583333333335</v>
      </c>
      <c r="AX157" s="641">
        <f t="shared" si="68"/>
        <v>94907</v>
      </c>
      <c r="AY157" s="641">
        <f t="shared" si="69"/>
        <v>3954.4583333333335</v>
      </c>
      <c r="AZ157" s="640">
        <f t="shared" si="70"/>
        <v>16453.558333333334</v>
      </c>
      <c r="BA157" s="641">
        <f t="shared" si="71"/>
        <v>16506.291666666668</v>
      </c>
    </row>
    <row r="158" spans="1:53" s="365" customFormat="1" ht="12.6" customHeight="1">
      <c r="A158" s="409" t="s">
        <v>205</v>
      </c>
      <c r="B158" s="407" t="s">
        <v>208</v>
      </c>
      <c r="C158" s="408"/>
      <c r="D158" s="618">
        <v>156620</v>
      </c>
      <c r="E158" s="520">
        <v>3</v>
      </c>
      <c r="F158" s="613"/>
      <c r="G158" s="614"/>
      <c r="H158" s="613"/>
      <c r="I158" s="614"/>
      <c r="J158" s="521">
        <v>141295</v>
      </c>
      <c r="K158" s="522">
        <v>135599</v>
      </c>
      <c r="L158" s="613">
        <v>16651</v>
      </c>
      <c r="M158" s="614">
        <v>16520</v>
      </c>
      <c r="N158" s="613">
        <v>152426</v>
      </c>
      <c r="O158" s="488">
        <v>146737</v>
      </c>
      <c r="P158" s="640">
        <f t="shared" si="54"/>
        <v>310372</v>
      </c>
      <c r="Q158" s="640">
        <f t="shared" si="55"/>
        <v>10345.733333333334</v>
      </c>
      <c r="R158" s="641">
        <f t="shared" si="56"/>
        <v>298856</v>
      </c>
      <c r="S158" s="641">
        <f t="shared" si="57"/>
        <v>9961.8666666666668</v>
      </c>
      <c r="T158" s="613">
        <v>7642</v>
      </c>
      <c r="U158" s="489">
        <v>5698</v>
      </c>
      <c r="V158" s="640">
        <f t="shared" si="58"/>
        <v>310372</v>
      </c>
      <c r="W158" s="641">
        <f t="shared" si="59"/>
        <v>298856</v>
      </c>
      <c r="X158" s="613"/>
      <c r="Y158" s="614"/>
      <c r="Z158" s="613"/>
      <c r="AA158" s="614"/>
      <c r="AB158" s="613"/>
      <c r="AC158" s="614"/>
      <c r="AD158" s="613"/>
      <c r="AE158" s="614"/>
      <c r="AF158" s="640">
        <f t="shared" si="60"/>
        <v>0</v>
      </c>
      <c r="AG158" s="640">
        <f t="shared" si="61"/>
        <v>0</v>
      </c>
      <c r="AH158" s="641">
        <f t="shared" si="62"/>
        <v>0</v>
      </c>
      <c r="AI158" s="641">
        <f t="shared" si="63"/>
        <v>0</v>
      </c>
      <c r="AJ158" s="613"/>
      <c r="AK158" s="614"/>
      <c r="AL158" s="640">
        <f t="shared" si="64"/>
        <v>0</v>
      </c>
      <c r="AM158" s="641">
        <f t="shared" si="65"/>
        <v>0</v>
      </c>
      <c r="AN158" s="613"/>
      <c r="AO158" s="614"/>
      <c r="AP158" s="487">
        <v>15295</v>
      </c>
      <c r="AQ158" s="615">
        <v>17063</v>
      </c>
      <c r="AR158" s="613">
        <v>9177</v>
      </c>
      <c r="AS158" s="488">
        <v>8527</v>
      </c>
      <c r="AT158" s="613">
        <v>15926</v>
      </c>
      <c r="AU158" s="488">
        <v>15310</v>
      </c>
      <c r="AV158" s="640">
        <f t="shared" si="66"/>
        <v>40398</v>
      </c>
      <c r="AW158" s="640">
        <f t="shared" si="67"/>
        <v>1683.25</v>
      </c>
      <c r="AX158" s="641">
        <f t="shared" si="68"/>
        <v>40900</v>
      </c>
      <c r="AY158" s="641">
        <f t="shared" si="69"/>
        <v>1704.1666666666667</v>
      </c>
      <c r="AZ158" s="640">
        <f t="shared" si="70"/>
        <v>12028.983333333334</v>
      </c>
      <c r="BA158" s="641">
        <f t="shared" si="71"/>
        <v>11666.033333333333</v>
      </c>
    </row>
    <row r="159" spans="1:53" s="365" customFormat="1" ht="12.6" customHeight="1">
      <c r="A159" s="409" t="s">
        <v>205</v>
      </c>
      <c r="B159" s="407" t="s">
        <v>209</v>
      </c>
      <c r="C159" s="408"/>
      <c r="D159" s="618">
        <v>157386</v>
      </c>
      <c r="E159" s="520">
        <v>3</v>
      </c>
      <c r="F159" s="613"/>
      <c r="G159" s="614"/>
      <c r="H159" s="613"/>
      <c r="I159" s="614"/>
      <c r="J159" s="521">
        <v>87269</v>
      </c>
      <c r="K159" s="522">
        <v>82989</v>
      </c>
      <c r="L159" s="613">
        <v>5859</v>
      </c>
      <c r="M159" s="614">
        <v>5475</v>
      </c>
      <c r="N159" s="613">
        <v>93643</v>
      </c>
      <c r="O159" s="488">
        <v>86048</v>
      </c>
      <c r="P159" s="640">
        <f t="shared" si="54"/>
        <v>186771</v>
      </c>
      <c r="Q159" s="640">
        <f t="shared" si="55"/>
        <v>6225.7</v>
      </c>
      <c r="R159" s="641">
        <f t="shared" si="56"/>
        <v>174512</v>
      </c>
      <c r="S159" s="641">
        <f t="shared" si="57"/>
        <v>5817.0666666666666</v>
      </c>
      <c r="T159" s="613">
        <v>25179</v>
      </c>
      <c r="U159" s="489">
        <v>24778</v>
      </c>
      <c r="V159" s="640">
        <f t="shared" si="58"/>
        <v>186771</v>
      </c>
      <c r="W159" s="641">
        <f t="shared" si="59"/>
        <v>174512</v>
      </c>
      <c r="X159" s="613"/>
      <c r="Y159" s="614"/>
      <c r="Z159" s="613"/>
      <c r="AA159" s="614"/>
      <c r="AB159" s="613"/>
      <c r="AC159" s="614"/>
      <c r="AD159" s="613"/>
      <c r="AE159" s="614"/>
      <c r="AF159" s="640">
        <f t="shared" si="60"/>
        <v>0</v>
      </c>
      <c r="AG159" s="640">
        <f t="shared" si="61"/>
        <v>0</v>
      </c>
      <c r="AH159" s="641">
        <f t="shared" si="62"/>
        <v>0</v>
      </c>
      <c r="AI159" s="641">
        <f t="shared" si="63"/>
        <v>0</v>
      </c>
      <c r="AJ159" s="613"/>
      <c r="AK159" s="614"/>
      <c r="AL159" s="640">
        <f t="shared" si="64"/>
        <v>0</v>
      </c>
      <c r="AM159" s="641">
        <f t="shared" si="65"/>
        <v>0</v>
      </c>
      <c r="AN159" s="613"/>
      <c r="AO159" s="614"/>
      <c r="AP159" s="487">
        <v>4201</v>
      </c>
      <c r="AQ159" s="615">
        <v>4714</v>
      </c>
      <c r="AR159" s="613">
        <v>2422</v>
      </c>
      <c r="AS159" s="488">
        <v>2146</v>
      </c>
      <c r="AT159" s="613">
        <v>4395</v>
      </c>
      <c r="AU159" s="488">
        <v>4369</v>
      </c>
      <c r="AV159" s="640">
        <f t="shared" si="66"/>
        <v>11018</v>
      </c>
      <c r="AW159" s="640">
        <f t="shared" si="67"/>
        <v>459.08333333333331</v>
      </c>
      <c r="AX159" s="641">
        <f t="shared" si="68"/>
        <v>11229</v>
      </c>
      <c r="AY159" s="641">
        <f t="shared" si="69"/>
        <v>467.875</v>
      </c>
      <c r="AZ159" s="640">
        <f t="shared" si="70"/>
        <v>6684.7833333333328</v>
      </c>
      <c r="BA159" s="641">
        <f t="shared" si="71"/>
        <v>6284.9416666666666</v>
      </c>
    </row>
    <row r="160" spans="1:53" s="365" customFormat="1" ht="12.6" customHeight="1">
      <c r="A160" s="409" t="s">
        <v>205</v>
      </c>
      <c r="B160" s="407" t="s">
        <v>210</v>
      </c>
      <c r="C160" s="408"/>
      <c r="D160" s="618">
        <v>157401</v>
      </c>
      <c r="E160" s="520">
        <v>3</v>
      </c>
      <c r="F160" s="613"/>
      <c r="G160" s="614"/>
      <c r="H160" s="613"/>
      <c r="I160" s="614"/>
      <c r="J160" s="521">
        <v>90962</v>
      </c>
      <c r="K160" s="522">
        <v>87619</v>
      </c>
      <c r="L160" s="613">
        <v>9957</v>
      </c>
      <c r="M160" s="614">
        <v>10868</v>
      </c>
      <c r="N160" s="613">
        <v>98947</v>
      </c>
      <c r="O160" s="488">
        <v>95625</v>
      </c>
      <c r="P160" s="640">
        <f t="shared" si="54"/>
        <v>199866</v>
      </c>
      <c r="Q160" s="640">
        <f t="shared" si="55"/>
        <v>6662.2</v>
      </c>
      <c r="R160" s="641">
        <f t="shared" si="56"/>
        <v>194112</v>
      </c>
      <c r="S160" s="641">
        <f t="shared" si="57"/>
        <v>6470.4</v>
      </c>
      <c r="T160" s="613">
        <v>7946</v>
      </c>
      <c r="U160" s="489">
        <v>6825</v>
      </c>
      <c r="V160" s="640">
        <f t="shared" si="58"/>
        <v>199866</v>
      </c>
      <c r="W160" s="641">
        <f t="shared" si="59"/>
        <v>194112</v>
      </c>
      <c r="X160" s="613"/>
      <c r="Y160" s="614"/>
      <c r="Z160" s="613"/>
      <c r="AA160" s="614"/>
      <c r="AB160" s="613"/>
      <c r="AC160" s="614"/>
      <c r="AD160" s="613"/>
      <c r="AE160" s="614"/>
      <c r="AF160" s="640">
        <f t="shared" si="60"/>
        <v>0</v>
      </c>
      <c r="AG160" s="640">
        <f t="shared" si="61"/>
        <v>0</v>
      </c>
      <c r="AH160" s="641">
        <f t="shared" si="62"/>
        <v>0</v>
      </c>
      <c r="AI160" s="641">
        <f t="shared" si="63"/>
        <v>0</v>
      </c>
      <c r="AJ160" s="613"/>
      <c r="AK160" s="614"/>
      <c r="AL160" s="640">
        <f t="shared" si="64"/>
        <v>0</v>
      </c>
      <c r="AM160" s="641">
        <f t="shared" si="65"/>
        <v>0</v>
      </c>
      <c r="AN160" s="613"/>
      <c r="AO160" s="614"/>
      <c r="AP160" s="487">
        <v>8760</v>
      </c>
      <c r="AQ160" s="615">
        <v>9685</v>
      </c>
      <c r="AR160" s="613">
        <v>4821</v>
      </c>
      <c r="AS160" s="488">
        <v>5164</v>
      </c>
      <c r="AT160" s="613">
        <v>9499</v>
      </c>
      <c r="AU160" s="488">
        <v>10236</v>
      </c>
      <c r="AV160" s="640">
        <f t="shared" si="66"/>
        <v>23080</v>
      </c>
      <c r="AW160" s="640">
        <f t="shared" si="67"/>
        <v>961.66666666666663</v>
      </c>
      <c r="AX160" s="641">
        <f t="shared" si="68"/>
        <v>25085</v>
      </c>
      <c r="AY160" s="641">
        <f t="shared" si="69"/>
        <v>1045.2083333333333</v>
      </c>
      <c r="AZ160" s="640">
        <f t="shared" si="70"/>
        <v>7623.8666666666668</v>
      </c>
      <c r="BA160" s="641">
        <f t="shared" si="71"/>
        <v>7515.6083333333327</v>
      </c>
    </row>
    <row r="161" spans="1:53" s="365" customFormat="1" ht="12.6" customHeight="1">
      <c r="A161" s="409" t="s">
        <v>205</v>
      </c>
      <c r="B161" s="407" t="s">
        <v>211</v>
      </c>
      <c r="C161" s="410"/>
      <c r="D161" s="618">
        <v>157447</v>
      </c>
      <c r="E161" s="520">
        <v>3</v>
      </c>
      <c r="F161" s="613"/>
      <c r="G161" s="614"/>
      <c r="H161" s="613"/>
      <c r="I161" s="614"/>
      <c r="J161" s="521">
        <v>130198</v>
      </c>
      <c r="K161" s="522">
        <v>121557</v>
      </c>
      <c r="L161" s="613">
        <v>13441</v>
      </c>
      <c r="M161" s="614">
        <v>13068</v>
      </c>
      <c r="N161" s="613">
        <v>138589</v>
      </c>
      <c r="O161" s="490">
        <v>129854</v>
      </c>
      <c r="P161" s="640">
        <f t="shared" si="54"/>
        <v>282228</v>
      </c>
      <c r="Q161" s="640">
        <f t="shared" si="55"/>
        <v>9407.6</v>
      </c>
      <c r="R161" s="641">
        <f t="shared" si="56"/>
        <v>264479</v>
      </c>
      <c r="S161" s="641">
        <f t="shared" si="57"/>
        <v>8815.9666666666672</v>
      </c>
      <c r="T161" s="613">
        <v>15782</v>
      </c>
      <c r="U161" s="489">
        <v>14607</v>
      </c>
      <c r="V161" s="640">
        <f t="shared" si="58"/>
        <v>282228</v>
      </c>
      <c r="W161" s="641">
        <f t="shared" si="59"/>
        <v>264479</v>
      </c>
      <c r="X161" s="613"/>
      <c r="Y161" s="614"/>
      <c r="Z161" s="613"/>
      <c r="AA161" s="614"/>
      <c r="AB161" s="613"/>
      <c r="AC161" s="614"/>
      <c r="AD161" s="613"/>
      <c r="AE161" s="614"/>
      <c r="AF161" s="640">
        <f t="shared" si="60"/>
        <v>0</v>
      </c>
      <c r="AG161" s="640">
        <f t="shared" si="61"/>
        <v>0</v>
      </c>
      <c r="AH161" s="641">
        <f t="shared" si="62"/>
        <v>0</v>
      </c>
      <c r="AI161" s="641">
        <f t="shared" si="63"/>
        <v>0</v>
      </c>
      <c r="AJ161" s="613"/>
      <c r="AK161" s="614"/>
      <c r="AL161" s="640">
        <f t="shared" si="64"/>
        <v>0</v>
      </c>
      <c r="AM161" s="641">
        <f t="shared" si="65"/>
        <v>0</v>
      </c>
      <c r="AN161" s="613"/>
      <c r="AO161" s="614"/>
      <c r="AP161" s="491">
        <v>26985</v>
      </c>
      <c r="AQ161" s="615">
        <v>30056</v>
      </c>
      <c r="AR161" s="613">
        <v>17449</v>
      </c>
      <c r="AS161" s="490">
        <v>20389</v>
      </c>
      <c r="AT161" s="613">
        <v>29069</v>
      </c>
      <c r="AU161" s="490">
        <v>31503</v>
      </c>
      <c r="AV161" s="640">
        <f t="shared" si="66"/>
        <v>73503</v>
      </c>
      <c r="AW161" s="640">
        <f t="shared" si="67"/>
        <v>3062.625</v>
      </c>
      <c r="AX161" s="641">
        <f t="shared" si="68"/>
        <v>81948</v>
      </c>
      <c r="AY161" s="641">
        <f t="shared" si="69"/>
        <v>3414.5</v>
      </c>
      <c r="AZ161" s="640">
        <f t="shared" si="70"/>
        <v>12470.225</v>
      </c>
      <c r="BA161" s="641">
        <f t="shared" si="71"/>
        <v>12230.466666666667</v>
      </c>
    </row>
    <row r="162" spans="1:53" s="365" customFormat="1" ht="12.6" customHeight="1">
      <c r="A162" s="409" t="s">
        <v>205</v>
      </c>
      <c r="B162" s="407" t="s">
        <v>212</v>
      </c>
      <c r="C162" s="408"/>
      <c r="D162" s="618">
        <v>157951</v>
      </c>
      <c r="E162" s="520">
        <v>3</v>
      </c>
      <c r="F162" s="613"/>
      <c r="G162" s="614"/>
      <c r="H162" s="613"/>
      <c r="I162" s="614"/>
      <c r="J162" s="521">
        <v>173682</v>
      </c>
      <c r="K162" s="522">
        <v>173066</v>
      </c>
      <c r="L162" s="613">
        <v>16979</v>
      </c>
      <c r="M162" s="614">
        <v>17836</v>
      </c>
      <c r="N162" s="613">
        <v>190497</v>
      </c>
      <c r="O162" s="488">
        <v>182956</v>
      </c>
      <c r="P162" s="640">
        <f t="shared" si="54"/>
        <v>381158</v>
      </c>
      <c r="Q162" s="640">
        <f t="shared" si="55"/>
        <v>12705.266666666666</v>
      </c>
      <c r="R162" s="641">
        <f t="shared" si="56"/>
        <v>373858</v>
      </c>
      <c r="S162" s="641">
        <f t="shared" si="57"/>
        <v>12461.933333333332</v>
      </c>
      <c r="T162" s="613">
        <v>20757</v>
      </c>
      <c r="U162" s="489">
        <v>18605</v>
      </c>
      <c r="V162" s="640">
        <f t="shared" si="58"/>
        <v>381158</v>
      </c>
      <c r="W162" s="641">
        <f t="shared" si="59"/>
        <v>373858</v>
      </c>
      <c r="X162" s="613"/>
      <c r="Y162" s="614"/>
      <c r="Z162" s="613"/>
      <c r="AA162" s="614"/>
      <c r="AB162" s="613"/>
      <c r="AC162" s="614"/>
      <c r="AD162" s="613"/>
      <c r="AE162" s="614"/>
      <c r="AF162" s="640">
        <f t="shared" si="60"/>
        <v>0</v>
      </c>
      <c r="AG162" s="640">
        <f t="shared" si="61"/>
        <v>0</v>
      </c>
      <c r="AH162" s="641">
        <f t="shared" si="62"/>
        <v>0</v>
      </c>
      <c r="AI162" s="641">
        <f t="shared" si="63"/>
        <v>0</v>
      </c>
      <c r="AJ162" s="613"/>
      <c r="AK162" s="614"/>
      <c r="AL162" s="640">
        <f t="shared" si="64"/>
        <v>0</v>
      </c>
      <c r="AM162" s="641">
        <f t="shared" si="65"/>
        <v>0</v>
      </c>
      <c r="AN162" s="613"/>
      <c r="AO162" s="614"/>
      <c r="AP162" s="487">
        <v>14136</v>
      </c>
      <c r="AQ162" s="615">
        <v>14531</v>
      </c>
      <c r="AR162" s="613">
        <v>6726</v>
      </c>
      <c r="AS162" s="488">
        <v>6196</v>
      </c>
      <c r="AT162" s="613">
        <v>13723</v>
      </c>
      <c r="AU162" s="488">
        <v>12549</v>
      </c>
      <c r="AV162" s="640">
        <f t="shared" si="66"/>
        <v>34585</v>
      </c>
      <c r="AW162" s="640">
        <f t="shared" si="67"/>
        <v>1441.0416666666667</v>
      </c>
      <c r="AX162" s="641">
        <f t="shared" si="68"/>
        <v>33276</v>
      </c>
      <c r="AY162" s="641">
        <f t="shared" si="69"/>
        <v>1386.5</v>
      </c>
      <c r="AZ162" s="640">
        <f t="shared" si="70"/>
        <v>14146.308333333332</v>
      </c>
      <c r="BA162" s="641">
        <f t="shared" si="71"/>
        <v>13848.433333333332</v>
      </c>
    </row>
    <row r="163" spans="1:53" s="365" customFormat="1" ht="12.6" customHeight="1">
      <c r="A163" s="409" t="s">
        <v>205</v>
      </c>
      <c r="B163" s="407" t="s">
        <v>213</v>
      </c>
      <c r="C163" s="523" t="s">
        <v>922</v>
      </c>
      <c r="D163" s="618">
        <v>157058</v>
      </c>
      <c r="E163" s="520">
        <v>4</v>
      </c>
      <c r="F163" s="613"/>
      <c r="G163" s="614"/>
      <c r="H163" s="613"/>
      <c r="I163" s="614"/>
      <c r="J163" s="521">
        <v>21887</v>
      </c>
      <c r="K163" s="522">
        <v>24125</v>
      </c>
      <c r="L163" s="613">
        <v>2277</v>
      </c>
      <c r="M163" s="614">
        <v>2296</v>
      </c>
      <c r="N163" s="613">
        <v>25449</v>
      </c>
      <c r="O163" s="488">
        <v>23972</v>
      </c>
      <c r="P163" s="640">
        <f t="shared" si="54"/>
        <v>49613</v>
      </c>
      <c r="Q163" s="640">
        <f t="shared" si="55"/>
        <v>1653.7666666666667</v>
      </c>
      <c r="R163" s="641">
        <f t="shared" si="56"/>
        <v>50393</v>
      </c>
      <c r="S163" s="641">
        <f t="shared" si="57"/>
        <v>1679.7666666666667</v>
      </c>
      <c r="T163" s="613">
        <v>6607</v>
      </c>
      <c r="U163" s="489">
        <v>5530</v>
      </c>
      <c r="V163" s="640">
        <f t="shared" si="58"/>
        <v>49613</v>
      </c>
      <c r="W163" s="641">
        <f t="shared" si="59"/>
        <v>50393</v>
      </c>
      <c r="X163" s="613"/>
      <c r="Y163" s="614"/>
      <c r="Z163" s="613"/>
      <c r="AA163" s="614"/>
      <c r="AB163" s="613"/>
      <c r="AC163" s="614"/>
      <c r="AD163" s="613"/>
      <c r="AE163" s="614"/>
      <c r="AF163" s="640">
        <f t="shared" si="60"/>
        <v>0</v>
      </c>
      <c r="AG163" s="640">
        <f t="shared" si="61"/>
        <v>0</v>
      </c>
      <c r="AH163" s="641">
        <f t="shared" si="62"/>
        <v>0</v>
      </c>
      <c r="AI163" s="641">
        <f t="shared" si="63"/>
        <v>0</v>
      </c>
      <c r="AJ163" s="613"/>
      <c r="AK163" s="614"/>
      <c r="AL163" s="640">
        <f t="shared" si="64"/>
        <v>0</v>
      </c>
      <c r="AM163" s="641">
        <f t="shared" si="65"/>
        <v>0</v>
      </c>
      <c r="AN163" s="613"/>
      <c r="AO163" s="614"/>
      <c r="AP163" s="487">
        <v>857</v>
      </c>
      <c r="AQ163" s="615">
        <v>861</v>
      </c>
      <c r="AR163" s="613">
        <v>126</v>
      </c>
      <c r="AS163" s="488">
        <v>194</v>
      </c>
      <c r="AT163" s="613">
        <v>931</v>
      </c>
      <c r="AU163" s="488">
        <v>919</v>
      </c>
      <c r="AV163" s="640">
        <f t="shared" si="66"/>
        <v>1914</v>
      </c>
      <c r="AW163" s="640">
        <f t="shared" si="67"/>
        <v>79.75</v>
      </c>
      <c r="AX163" s="641">
        <f t="shared" si="68"/>
        <v>1974</v>
      </c>
      <c r="AY163" s="641">
        <f t="shared" si="69"/>
        <v>82.25</v>
      </c>
      <c r="AZ163" s="640">
        <f t="shared" si="70"/>
        <v>1733.5166666666667</v>
      </c>
      <c r="BA163" s="641">
        <f t="shared" si="71"/>
        <v>1762.0166666666667</v>
      </c>
    </row>
    <row r="164" spans="1:53" s="365" customFormat="1" ht="12.6" customHeight="1">
      <c r="A164" s="409" t="s">
        <v>205</v>
      </c>
      <c r="B164" s="407" t="s">
        <v>214</v>
      </c>
      <c r="C164" s="408"/>
      <c r="D164" s="618">
        <v>156392</v>
      </c>
      <c r="E164" s="520">
        <v>8</v>
      </c>
      <c r="F164" s="613"/>
      <c r="G164" s="614"/>
      <c r="H164" s="613"/>
      <c r="I164" s="614"/>
      <c r="J164" s="521">
        <v>88616</v>
      </c>
      <c r="K164" s="522">
        <v>81590</v>
      </c>
      <c r="L164" s="613">
        <v>18071</v>
      </c>
      <c r="M164" s="614">
        <v>16141</v>
      </c>
      <c r="N164" s="613">
        <v>95310</v>
      </c>
      <c r="O164" s="489">
        <v>88301</v>
      </c>
      <c r="P164" s="640">
        <f t="shared" si="54"/>
        <v>201997</v>
      </c>
      <c r="Q164" s="640">
        <f t="shared" si="55"/>
        <v>6733.2333333333336</v>
      </c>
      <c r="R164" s="641">
        <f t="shared" si="56"/>
        <v>186032</v>
      </c>
      <c r="S164" s="641">
        <f t="shared" si="57"/>
        <v>6201.0666666666666</v>
      </c>
      <c r="T164" s="613">
        <v>14713</v>
      </c>
      <c r="U164" s="614">
        <v>15480</v>
      </c>
      <c r="V164" s="640">
        <f t="shared" si="58"/>
        <v>201997</v>
      </c>
      <c r="W164" s="641">
        <f t="shared" si="59"/>
        <v>186032</v>
      </c>
      <c r="X164" s="613"/>
      <c r="Y164" s="614"/>
      <c r="Z164" s="613"/>
      <c r="AA164" s="614"/>
      <c r="AB164" s="613"/>
      <c r="AC164" s="614"/>
      <c r="AD164" s="613"/>
      <c r="AE164" s="614"/>
      <c r="AF164" s="640">
        <f t="shared" si="60"/>
        <v>0</v>
      </c>
      <c r="AG164" s="640">
        <f t="shared" si="61"/>
        <v>0</v>
      </c>
      <c r="AH164" s="641">
        <f t="shared" si="62"/>
        <v>0</v>
      </c>
      <c r="AI164" s="641">
        <f t="shared" si="63"/>
        <v>0</v>
      </c>
      <c r="AJ164" s="613"/>
      <c r="AK164" s="614"/>
      <c r="AL164" s="640">
        <f t="shared" si="64"/>
        <v>0</v>
      </c>
      <c r="AM164" s="641">
        <f t="shared" si="65"/>
        <v>0</v>
      </c>
      <c r="AN164" s="613"/>
      <c r="AO164" s="614"/>
      <c r="AP164" s="613"/>
      <c r="AQ164" s="614"/>
      <c r="AR164" s="613"/>
      <c r="AS164" s="614"/>
      <c r="AT164" s="613"/>
      <c r="AU164" s="614"/>
      <c r="AV164" s="640">
        <f t="shared" si="66"/>
        <v>0</v>
      </c>
      <c r="AW164" s="640">
        <f t="shared" si="67"/>
        <v>0</v>
      </c>
      <c r="AX164" s="641">
        <f t="shared" si="68"/>
        <v>0</v>
      </c>
      <c r="AY164" s="641">
        <f t="shared" si="69"/>
        <v>0</v>
      </c>
      <c r="AZ164" s="640">
        <f t="shared" si="70"/>
        <v>6733.2333333333336</v>
      </c>
      <c r="BA164" s="641">
        <f t="shared" si="71"/>
        <v>6201.0666666666666</v>
      </c>
    </row>
    <row r="165" spans="1:53" s="365" customFormat="1" ht="12.6" customHeight="1">
      <c r="A165" s="409" t="s">
        <v>205</v>
      </c>
      <c r="B165" s="407" t="s">
        <v>215</v>
      </c>
      <c r="C165" s="408"/>
      <c r="D165" s="618">
        <v>156921</v>
      </c>
      <c r="E165" s="520">
        <v>8</v>
      </c>
      <c r="F165" s="613"/>
      <c r="G165" s="614"/>
      <c r="H165" s="613"/>
      <c r="I165" s="614"/>
      <c r="J165" s="521">
        <v>85730</v>
      </c>
      <c r="K165" s="522">
        <v>76036</v>
      </c>
      <c r="L165" s="613">
        <v>11348</v>
      </c>
      <c r="M165" s="614">
        <v>10325</v>
      </c>
      <c r="N165" s="613">
        <v>91709</v>
      </c>
      <c r="O165" s="614">
        <v>86778</v>
      </c>
      <c r="P165" s="640">
        <f t="shared" si="54"/>
        <v>188787</v>
      </c>
      <c r="Q165" s="640">
        <f t="shared" si="55"/>
        <v>6292.9</v>
      </c>
      <c r="R165" s="641">
        <f t="shared" si="56"/>
        <v>173139</v>
      </c>
      <c r="S165" s="641">
        <f t="shared" si="57"/>
        <v>5771.3</v>
      </c>
      <c r="T165" s="613">
        <v>32851</v>
      </c>
      <c r="U165" s="614">
        <v>34419</v>
      </c>
      <c r="V165" s="640">
        <f t="shared" si="58"/>
        <v>188787</v>
      </c>
      <c r="W165" s="641">
        <f t="shared" si="59"/>
        <v>173139</v>
      </c>
      <c r="X165" s="613"/>
      <c r="Y165" s="614"/>
      <c r="Z165" s="613"/>
      <c r="AA165" s="614"/>
      <c r="AB165" s="613"/>
      <c r="AC165" s="614"/>
      <c r="AD165" s="613"/>
      <c r="AE165" s="614"/>
      <c r="AF165" s="640">
        <f t="shared" si="60"/>
        <v>0</v>
      </c>
      <c r="AG165" s="640">
        <f t="shared" si="61"/>
        <v>0</v>
      </c>
      <c r="AH165" s="641">
        <f t="shared" si="62"/>
        <v>0</v>
      </c>
      <c r="AI165" s="641">
        <f t="shared" si="63"/>
        <v>0</v>
      </c>
      <c r="AJ165" s="613"/>
      <c r="AK165" s="614"/>
      <c r="AL165" s="640">
        <f t="shared" si="64"/>
        <v>0</v>
      </c>
      <c r="AM165" s="641">
        <f t="shared" si="65"/>
        <v>0</v>
      </c>
      <c r="AN165" s="613"/>
      <c r="AO165" s="614"/>
      <c r="AP165" s="613"/>
      <c r="AQ165" s="614"/>
      <c r="AR165" s="613"/>
      <c r="AS165" s="614"/>
      <c r="AT165" s="613"/>
      <c r="AU165" s="614"/>
      <c r="AV165" s="640">
        <f t="shared" si="66"/>
        <v>0</v>
      </c>
      <c r="AW165" s="640">
        <f t="shared" si="67"/>
        <v>0</v>
      </c>
      <c r="AX165" s="641">
        <f t="shared" si="68"/>
        <v>0</v>
      </c>
      <c r="AY165" s="641">
        <f t="shared" si="69"/>
        <v>0</v>
      </c>
      <c r="AZ165" s="640">
        <f t="shared" si="70"/>
        <v>6292.9</v>
      </c>
      <c r="BA165" s="641">
        <f t="shared" si="71"/>
        <v>5771.3</v>
      </c>
    </row>
    <row r="166" spans="1:53" s="365" customFormat="1" ht="12.6" customHeight="1">
      <c r="A166" s="409" t="s">
        <v>205</v>
      </c>
      <c r="B166" s="589" t="s">
        <v>217</v>
      </c>
      <c r="C166" s="584" t="s">
        <v>910</v>
      </c>
      <c r="D166" s="625">
        <v>157553</v>
      </c>
      <c r="E166" s="590">
        <v>10</v>
      </c>
      <c r="F166" s="613"/>
      <c r="G166" s="614"/>
      <c r="H166" s="613"/>
      <c r="I166" s="614"/>
      <c r="J166" s="521">
        <v>24953</v>
      </c>
      <c r="K166" s="522">
        <v>21881</v>
      </c>
      <c r="L166" s="613">
        <v>2908</v>
      </c>
      <c r="M166" s="614">
        <v>2461</v>
      </c>
      <c r="N166" s="613">
        <v>25611</v>
      </c>
      <c r="O166" s="614">
        <v>23110</v>
      </c>
      <c r="P166" s="640">
        <f t="shared" si="54"/>
        <v>53472</v>
      </c>
      <c r="Q166" s="640">
        <f t="shared" si="55"/>
        <v>1782.4</v>
      </c>
      <c r="R166" s="641">
        <f t="shared" si="56"/>
        <v>47452</v>
      </c>
      <c r="S166" s="641">
        <f t="shared" si="57"/>
        <v>1581.7333333333333</v>
      </c>
      <c r="T166" s="613">
        <v>3929</v>
      </c>
      <c r="U166" s="614">
        <v>3784</v>
      </c>
      <c r="V166" s="640">
        <f t="shared" si="58"/>
        <v>53472</v>
      </c>
      <c r="W166" s="641">
        <f t="shared" si="59"/>
        <v>47452</v>
      </c>
      <c r="X166" s="613"/>
      <c r="Y166" s="614"/>
      <c r="Z166" s="613"/>
      <c r="AA166" s="614"/>
      <c r="AB166" s="613"/>
      <c r="AC166" s="614"/>
      <c r="AD166" s="613"/>
      <c r="AE166" s="614"/>
      <c r="AF166" s="640">
        <f t="shared" si="60"/>
        <v>0</v>
      </c>
      <c r="AG166" s="640">
        <f t="shared" si="61"/>
        <v>0</v>
      </c>
      <c r="AH166" s="641">
        <f t="shared" si="62"/>
        <v>0</v>
      </c>
      <c r="AI166" s="641">
        <f t="shared" si="63"/>
        <v>0</v>
      </c>
      <c r="AJ166" s="613"/>
      <c r="AK166" s="614"/>
      <c r="AL166" s="640">
        <f t="shared" si="64"/>
        <v>0</v>
      </c>
      <c r="AM166" s="641">
        <f t="shared" si="65"/>
        <v>0</v>
      </c>
      <c r="AN166" s="613"/>
      <c r="AO166" s="614"/>
      <c r="AP166" s="613"/>
      <c r="AQ166" s="614"/>
      <c r="AR166" s="613"/>
      <c r="AS166" s="614"/>
      <c r="AT166" s="613"/>
      <c r="AU166" s="614"/>
      <c r="AV166" s="640">
        <f t="shared" si="66"/>
        <v>0</v>
      </c>
      <c r="AW166" s="640">
        <f t="shared" si="67"/>
        <v>0</v>
      </c>
      <c r="AX166" s="641">
        <f t="shared" si="68"/>
        <v>0</v>
      </c>
      <c r="AY166" s="641">
        <f t="shared" si="69"/>
        <v>0</v>
      </c>
      <c r="AZ166" s="640">
        <f t="shared" si="70"/>
        <v>1782.4</v>
      </c>
      <c r="BA166" s="641">
        <f t="shared" si="71"/>
        <v>1581.7333333333333</v>
      </c>
    </row>
    <row r="167" spans="1:53" s="365" customFormat="1" ht="12.6" customHeight="1">
      <c r="A167" s="409" t="s">
        <v>205</v>
      </c>
      <c r="B167" s="407" t="s">
        <v>218</v>
      </c>
      <c r="C167" s="408"/>
      <c r="D167" s="618">
        <v>156648</v>
      </c>
      <c r="E167" s="520">
        <v>9</v>
      </c>
      <c r="F167" s="613"/>
      <c r="G167" s="614"/>
      <c r="H167" s="613"/>
      <c r="I167" s="614"/>
      <c r="J167" s="521">
        <v>44961</v>
      </c>
      <c r="K167" s="501">
        <v>40513</v>
      </c>
      <c r="L167" s="613">
        <v>7595</v>
      </c>
      <c r="M167" s="614">
        <v>7379</v>
      </c>
      <c r="N167" s="613">
        <v>48880</v>
      </c>
      <c r="O167" s="614">
        <v>48292</v>
      </c>
      <c r="P167" s="640">
        <f t="shared" si="54"/>
        <v>101436</v>
      </c>
      <c r="Q167" s="640">
        <f t="shared" si="55"/>
        <v>3381.2</v>
      </c>
      <c r="R167" s="641">
        <f t="shared" si="56"/>
        <v>96184</v>
      </c>
      <c r="S167" s="641">
        <f t="shared" si="57"/>
        <v>3206.1333333333332</v>
      </c>
      <c r="T167" s="613">
        <v>16064</v>
      </c>
      <c r="U167" s="614">
        <v>18091</v>
      </c>
      <c r="V167" s="640">
        <f t="shared" si="58"/>
        <v>101436</v>
      </c>
      <c r="W167" s="641">
        <f t="shared" si="59"/>
        <v>96184</v>
      </c>
      <c r="X167" s="613"/>
      <c r="Y167" s="614"/>
      <c r="Z167" s="613"/>
      <c r="AA167" s="614"/>
      <c r="AB167" s="613"/>
      <c r="AC167" s="614"/>
      <c r="AD167" s="613"/>
      <c r="AE167" s="614"/>
      <c r="AF167" s="640">
        <f t="shared" si="60"/>
        <v>0</v>
      </c>
      <c r="AG167" s="640">
        <f t="shared" si="61"/>
        <v>0</v>
      </c>
      <c r="AH167" s="641">
        <f t="shared" si="62"/>
        <v>0</v>
      </c>
      <c r="AI167" s="641">
        <f t="shared" si="63"/>
        <v>0</v>
      </c>
      <c r="AJ167" s="613"/>
      <c r="AK167" s="614"/>
      <c r="AL167" s="640">
        <f t="shared" si="64"/>
        <v>0</v>
      </c>
      <c r="AM167" s="641">
        <f t="shared" si="65"/>
        <v>0</v>
      </c>
      <c r="AN167" s="613"/>
      <c r="AO167" s="614"/>
      <c r="AP167" s="613"/>
      <c r="AQ167" s="614"/>
      <c r="AR167" s="613"/>
      <c r="AS167" s="614"/>
      <c r="AT167" s="613"/>
      <c r="AU167" s="614"/>
      <c r="AV167" s="640">
        <f t="shared" si="66"/>
        <v>0</v>
      </c>
      <c r="AW167" s="640">
        <f t="shared" si="67"/>
        <v>0</v>
      </c>
      <c r="AX167" s="641">
        <f t="shared" si="68"/>
        <v>0</v>
      </c>
      <c r="AY167" s="641">
        <f t="shared" si="69"/>
        <v>0</v>
      </c>
      <c r="AZ167" s="640">
        <f t="shared" si="70"/>
        <v>3381.2</v>
      </c>
      <c r="BA167" s="641">
        <f t="shared" si="71"/>
        <v>3206.1333333333332</v>
      </c>
    </row>
    <row r="168" spans="1:53" s="365" customFormat="1" ht="12.6" customHeight="1">
      <c r="A168" s="409" t="s">
        <v>205</v>
      </c>
      <c r="B168" s="407" t="s">
        <v>222</v>
      </c>
      <c r="C168" s="408" t="s">
        <v>911</v>
      </c>
      <c r="D168" s="618">
        <v>157331</v>
      </c>
      <c r="E168" s="520">
        <v>9</v>
      </c>
      <c r="F168" s="613"/>
      <c r="G168" s="614"/>
      <c r="H168" s="613"/>
      <c r="I168" s="614"/>
      <c r="J168" s="521">
        <v>26671</v>
      </c>
      <c r="K168" s="501">
        <v>22588</v>
      </c>
      <c r="L168" s="613">
        <v>4445</v>
      </c>
      <c r="M168" s="614">
        <v>3650</v>
      </c>
      <c r="N168" s="613">
        <v>30874</v>
      </c>
      <c r="O168" s="614">
        <v>28765</v>
      </c>
      <c r="P168" s="640">
        <f t="shared" si="54"/>
        <v>61990</v>
      </c>
      <c r="Q168" s="640">
        <f t="shared" si="55"/>
        <v>2066.3333333333335</v>
      </c>
      <c r="R168" s="641">
        <f t="shared" si="56"/>
        <v>55003</v>
      </c>
      <c r="S168" s="641">
        <f t="shared" si="57"/>
        <v>1833.4333333333334</v>
      </c>
      <c r="T168" s="613">
        <v>9903</v>
      </c>
      <c r="U168" s="614">
        <v>10739</v>
      </c>
      <c r="V168" s="640">
        <f t="shared" si="58"/>
        <v>61990</v>
      </c>
      <c r="W168" s="641">
        <f t="shared" si="59"/>
        <v>55003</v>
      </c>
      <c r="X168" s="613"/>
      <c r="Y168" s="614"/>
      <c r="Z168" s="613"/>
      <c r="AA168" s="614"/>
      <c r="AB168" s="613"/>
      <c r="AC168" s="614"/>
      <c r="AD168" s="613"/>
      <c r="AE168" s="614"/>
      <c r="AF168" s="640">
        <f t="shared" si="60"/>
        <v>0</v>
      </c>
      <c r="AG168" s="640">
        <f t="shared" si="61"/>
        <v>0</v>
      </c>
      <c r="AH168" s="641">
        <f t="shared" si="62"/>
        <v>0</v>
      </c>
      <c r="AI168" s="641">
        <f t="shared" si="63"/>
        <v>0</v>
      </c>
      <c r="AJ168" s="613"/>
      <c r="AK168" s="614"/>
      <c r="AL168" s="640">
        <f t="shared" si="64"/>
        <v>0</v>
      </c>
      <c r="AM168" s="641">
        <f t="shared" si="65"/>
        <v>0</v>
      </c>
      <c r="AN168" s="613"/>
      <c r="AO168" s="614"/>
      <c r="AP168" s="613"/>
      <c r="AQ168" s="614"/>
      <c r="AR168" s="613"/>
      <c r="AS168" s="614"/>
      <c r="AT168" s="613"/>
      <c r="AU168" s="614"/>
      <c r="AV168" s="640">
        <f t="shared" si="66"/>
        <v>0</v>
      </c>
      <c r="AW168" s="640">
        <f t="shared" si="67"/>
        <v>0</v>
      </c>
      <c r="AX168" s="641">
        <f t="shared" si="68"/>
        <v>0</v>
      </c>
      <c r="AY168" s="641">
        <f t="shared" si="69"/>
        <v>0</v>
      </c>
      <c r="AZ168" s="640">
        <f t="shared" si="70"/>
        <v>2066.3333333333335</v>
      </c>
      <c r="BA168" s="641">
        <f t="shared" si="71"/>
        <v>1833.4333333333334</v>
      </c>
    </row>
    <row r="169" spans="1:53" s="365" customFormat="1" ht="12.6" customHeight="1">
      <c r="A169" s="409" t="s">
        <v>205</v>
      </c>
      <c r="B169" s="407" t="s">
        <v>223</v>
      </c>
      <c r="C169" s="408"/>
      <c r="D169" s="618">
        <v>247940</v>
      </c>
      <c r="E169" s="520">
        <v>9</v>
      </c>
      <c r="F169" s="613"/>
      <c r="G169" s="614"/>
      <c r="H169" s="613"/>
      <c r="I169" s="614"/>
      <c r="J169" s="521">
        <v>32509</v>
      </c>
      <c r="K169" s="501">
        <v>26877</v>
      </c>
      <c r="L169" s="613">
        <v>4580</v>
      </c>
      <c r="M169" s="614">
        <v>4866</v>
      </c>
      <c r="N169" s="613">
        <v>32713</v>
      </c>
      <c r="O169" s="614">
        <v>34652</v>
      </c>
      <c r="P169" s="640">
        <f t="shared" si="54"/>
        <v>69802</v>
      </c>
      <c r="Q169" s="640">
        <f t="shared" si="55"/>
        <v>2326.7333333333331</v>
      </c>
      <c r="R169" s="641">
        <f t="shared" si="56"/>
        <v>66395</v>
      </c>
      <c r="S169" s="641">
        <f t="shared" si="57"/>
        <v>2213.1666666666665</v>
      </c>
      <c r="T169" s="613">
        <v>17253</v>
      </c>
      <c r="U169" s="614">
        <v>17049</v>
      </c>
      <c r="V169" s="640">
        <f t="shared" si="58"/>
        <v>69802</v>
      </c>
      <c r="W169" s="641">
        <f t="shared" si="59"/>
        <v>66395</v>
      </c>
      <c r="X169" s="613"/>
      <c r="Y169" s="614"/>
      <c r="Z169" s="613"/>
      <c r="AA169" s="614"/>
      <c r="AB169" s="613"/>
      <c r="AC169" s="614"/>
      <c r="AD169" s="613"/>
      <c r="AE169" s="614"/>
      <c r="AF169" s="640">
        <f t="shared" si="60"/>
        <v>0</v>
      </c>
      <c r="AG169" s="640">
        <f t="shared" si="61"/>
        <v>0</v>
      </c>
      <c r="AH169" s="641">
        <f t="shared" si="62"/>
        <v>0</v>
      </c>
      <c r="AI169" s="641">
        <f t="shared" si="63"/>
        <v>0</v>
      </c>
      <c r="AJ169" s="613"/>
      <c r="AK169" s="614"/>
      <c r="AL169" s="640">
        <f t="shared" si="64"/>
        <v>0</v>
      </c>
      <c r="AM169" s="641">
        <f t="shared" si="65"/>
        <v>0</v>
      </c>
      <c r="AN169" s="613"/>
      <c r="AO169" s="614"/>
      <c r="AP169" s="613"/>
      <c r="AQ169" s="614"/>
      <c r="AR169" s="613"/>
      <c r="AS169" s="614"/>
      <c r="AT169" s="613"/>
      <c r="AU169" s="614"/>
      <c r="AV169" s="640">
        <f t="shared" si="66"/>
        <v>0</v>
      </c>
      <c r="AW169" s="640">
        <f t="shared" si="67"/>
        <v>0</v>
      </c>
      <c r="AX169" s="641">
        <f t="shared" si="68"/>
        <v>0</v>
      </c>
      <c r="AY169" s="641">
        <f t="shared" si="69"/>
        <v>0</v>
      </c>
      <c r="AZ169" s="640">
        <f t="shared" si="70"/>
        <v>2326.7333333333331</v>
      </c>
      <c r="BA169" s="641">
        <f t="shared" si="71"/>
        <v>2213.1666666666665</v>
      </c>
    </row>
    <row r="170" spans="1:53" s="365" customFormat="1" ht="12.6" customHeight="1">
      <c r="A170" s="409" t="s">
        <v>205</v>
      </c>
      <c r="B170" s="407" t="s">
        <v>224</v>
      </c>
      <c r="C170" s="408"/>
      <c r="D170" s="618">
        <v>157711</v>
      </c>
      <c r="E170" s="520">
        <v>9</v>
      </c>
      <c r="F170" s="613"/>
      <c r="G170" s="614"/>
      <c r="H170" s="613"/>
      <c r="I170" s="614"/>
      <c r="J170" s="521">
        <v>41716</v>
      </c>
      <c r="K170" s="522">
        <v>38040</v>
      </c>
      <c r="L170" s="613">
        <v>6989</v>
      </c>
      <c r="M170" s="614">
        <v>6019</v>
      </c>
      <c r="N170" s="613">
        <v>44642</v>
      </c>
      <c r="O170" s="614">
        <v>44439</v>
      </c>
      <c r="P170" s="640">
        <f t="shared" si="54"/>
        <v>93347</v>
      </c>
      <c r="Q170" s="640">
        <f t="shared" si="55"/>
        <v>3111.5666666666666</v>
      </c>
      <c r="R170" s="641">
        <f t="shared" si="56"/>
        <v>88498</v>
      </c>
      <c r="S170" s="641">
        <f t="shared" si="57"/>
        <v>2949.9333333333334</v>
      </c>
      <c r="T170" s="613">
        <v>9267</v>
      </c>
      <c r="U170" s="614">
        <v>11311</v>
      </c>
      <c r="V170" s="640">
        <f t="shared" si="58"/>
        <v>93347</v>
      </c>
      <c r="W170" s="641">
        <f t="shared" si="59"/>
        <v>88498</v>
      </c>
      <c r="X170" s="613"/>
      <c r="Y170" s="614"/>
      <c r="Z170" s="613"/>
      <c r="AA170" s="614"/>
      <c r="AB170" s="613"/>
      <c r="AC170" s="614"/>
      <c r="AD170" s="613"/>
      <c r="AE170" s="614"/>
      <c r="AF170" s="640">
        <f t="shared" si="60"/>
        <v>0</v>
      </c>
      <c r="AG170" s="640">
        <f t="shared" si="61"/>
        <v>0</v>
      </c>
      <c r="AH170" s="641">
        <f t="shared" si="62"/>
        <v>0</v>
      </c>
      <c r="AI170" s="641">
        <f t="shared" si="63"/>
        <v>0</v>
      </c>
      <c r="AJ170" s="613"/>
      <c r="AK170" s="614"/>
      <c r="AL170" s="640">
        <f t="shared" si="64"/>
        <v>0</v>
      </c>
      <c r="AM170" s="641">
        <f t="shared" si="65"/>
        <v>0</v>
      </c>
      <c r="AN170" s="613"/>
      <c r="AO170" s="614"/>
      <c r="AP170" s="613"/>
      <c r="AQ170" s="614"/>
      <c r="AR170" s="613"/>
      <c r="AS170" s="614"/>
      <c r="AT170" s="613"/>
      <c r="AU170" s="614"/>
      <c r="AV170" s="640">
        <f t="shared" si="66"/>
        <v>0</v>
      </c>
      <c r="AW170" s="640">
        <f t="shared" si="67"/>
        <v>0</v>
      </c>
      <c r="AX170" s="641">
        <f t="shared" si="68"/>
        <v>0</v>
      </c>
      <c r="AY170" s="641">
        <f t="shared" si="69"/>
        <v>0</v>
      </c>
      <c r="AZ170" s="640">
        <f t="shared" si="70"/>
        <v>3111.5666666666666</v>
      </c>
      <c r="BA170" s="641">
        <f t="shared" si="71"/>
        <v>2949.9333333333334</v>
      </c>
    </row>
    <row r="171" spans="1:53" s="365" customFormat="1" ht="12.6" customHeight="1">
      <c r="A171" s="409" t="s">
        <v>205</v>
      </c>
      <c r="B171" s="407" t="s">
        <v>226</v>
      </c>
      <c r="C171" s="408"/>
      <c r="D171" s="618">
        <v>157483</v>
      </c>
      <c r="E171" s="520">
        <v>9</v>
      </c>
      <c r="F171" s="613"/>
      <c r="G171" s="614"/>
      <c r="H171" s="613"/>
      <c r="I171" s="614"/>
      <c r="J171" s="521">
        <v>39758</v>
      </c>
      <c r="K171" s="501">
        <v>33103</v>
      </c>
      <c r="L171" s="613">
        <v>5990</v>
      </c>
      <c r="M171" s="614">
        <v>5194</v>
      </c>
      <c r="N171" s="613">
        <v>40072</v>
      </c>
      <c r="O171" s="614">
        <v>36813</v>
      </c>
      <c r="P171" s="640">
        <f t="shared" si="54"/>
        <v>85820</v>
      </c>
      <c r="Q171" s="640">
        <f t="shared" si="55"/>
        <v>2860.6666666666665</v>
      </c>
      <c r="R171" s="641">
        <f t="shared" si="56"/>
        <v>75110</v>
      </c>
      <c r="S171" s="641">
        <f t="shared" si="57"/>
        <v>2503.6666666666665</v>
      </c>
      <c r="T171" s="613">
        <v>7738</v>
      </c>
      <c r="U171" s="614">
        <v>7366</v>
      </c>
      <c r="V171" s="640">
        <f t="shared" si="58"/>
        <v>85820</v>
      </c>
      <c r="W171" s="641">
        <f t="shared" si="59"/>
        <v>75110</v>
      </c>
      <c r="X171" s="613"/>
      <c r="Y171" s="614"/>
      <c r="Z171" s="613"/>
      <c r="AA171" s="614"/>
      <c r="AB171" s="613"/>
      <c r="AC171" s="614"/>
      <c r="AD171" s="613"/>
      <c r="AE171" s="614"/>
      <c r="AF171" s="640">
        <f t="shared" si="60"/>
        <v>0</v>
      </c>
      <c r="AG171" s="640">
        <f t="shared" si="61"/>
        <v>0</v>
      </c>
      <c r="AH171" s="641">
        <f t="shared" si="62"/>
        <v>0</v>
      </c>
      <c r="AI171" s="641">
        <f t="shared" si="63"/>
        <v>0</v>
      </c>
      <c r="AJ171" s="613"/>
      <c r="AK171" s="614"/>
      <c r="AL171" s="640">
        <f t="shared" si="64"/>
        <v>0</v>
      </c>
      <c r="AM171" s="641">
        <f t="shared" si="65"/>
        <v>0</v>
      </c>
      <c r="AN171" s="613"/>
      <c r="AO171" s="614"/>
      <c r="AP171" s="613"/>
      <c r="AQ171" s="614"/>
      <c r="AR171" s="613"/>
      <c r="AS171" s="614"/>
      <c r="AT171" s="613"/>
      <c r="AU171" s="614"/>
      <c r="AV171" s="640">
        <f t="shared" si="66"/>
        <v>0</v>
      </c>
      <c r="AW171" s="640">
        <f t="shared" si="67"/>
        <v>0</v>
      </c>
      <c r="AX171" s="641">
        <f t="shared" si="68"/>
        <v>0</v>
      </c>
      <c r="AY171" s="641">
        <f t="shared" si="69"/>
        <v>0</v>
      </c>
      <c r="AZ171" s="640">
        <f t="shared" si="70"/>
        <v>2860.6666666666665</v>
      </c>
      <c r="BA171" s="641">
        <f t="shared" si="71"/>
        <v>2503.6666666666665</v>
      </c>
    </row>
    <row r="172" spans="1:53" s="365" customFormat="1" ht="12.6" customHeight="1">
      <c r="A172" s="409" t="s">
        <v>205</v>
      </c>
      <c r="B172" s="407" t="s">
        <v>216</v>
      </c>
      <c r="C172" s="408"/>
      <c r="D172" s="618">
        <v>156231</v>
      </c>
      <c r="E172" s="520">
        <v>10</v>
      </c>
      <c r="F172" s="613"/>
      <c r="G172" s="614"/>
      <c r="H172" s="613"/>
      <c r="I172" s="614"/>
      <c r="J172" s="521">
        <v>24315</v>
      </c>
      <c r="K172" s="501">
        <v>21257</v>
      </c>
      <c r="L172" s="613">
        <v>4606</v>
      </c>
      <c r="M172" s="614">
        <v>4475</v>
      </c>
      <c r="N172" s="613">
        <v>24256</v>
      </c>
      <c r="O172" s="614">
        <v>24198</v>
      </c>
      <c r="P172" s="640">
        <f t="shared" si="54"/>
        <v>53177</v>
      </c>
      <c r="Q172" s="640">
        <f t="shared" si="55"/>
        <v>1772.5666666666666</v>
      </c>
      <c r="R172" s="641">
        <f t="shared" si="56"/>
        <v>49930</v>
      </c>
      <c r="S172" s="641">
        <f t="shared" si="57"/>
        <v>1664.3333333333333</v>
      </c>
      <c r="T172" s="613">
        <v>4137</v>
      </c>
      <c r="U172" s="489">
        <v>4854</v>
      </c>
      <c r="V172" s="640">
        <f t="shared" si="58"/>
        <v>53177</v>
      </c>
      <c r="W172" s="641">
        <f t="shared" si="59"/>
        <v>49930</v>
      </c>
      <c r="X172" s="613"/>
      <c r="Y172" s="614"/>
      <c r="Z172" s="613"/>
      <c r="AA172" s="614"/>
      <c r="AB172" s="613"/>
      <c r="AC172" s="614"/>
      <c r="AD172" s="613"/>
      <c r="AE172" s="614"/>
      <c r="AF172" s="640">
        <f t="shared" si="60"/>
        <v>0</v>
      </c>
      <c r="AG172" s="640">
        <f t="shared" si="61"/>
        <v>0</v>
      </c>
      <c r="AH172" s="641">
        <f t="shared" si="62"/>
        <v>0</v>
      </c>
      <c r="AI172" s="641">
        <f t="shared" si="63"/>
        <v>0</v>
      </c>
      <c r="AJ172" s="613"/>
      <c r="AK172" s="614"/>
      <c r="AL172" s="640">
        <f t="shared" si="64"/>
        <v>0</v>
      </c>
      <c r="AM172" s="641">
        <f t="shared" si="65"/>
        <v>0</v>
      </c>
      <c r="AN172" s="613"/>
      <c r="AO172" s="614"/>
      <c r="AP172" s="613"/>
      <c r="AQ172" s="614"/>
      <c r="AR172" s="613"/>
      <c r="AS172" s="614"/>
      <c r="AT172" s="613"/>
      <c r="AU172" s="614"/>
      <c r="AV172" s="640">
        <f t="shared" si="66"/>
        <v>0</v>
      </c>
      <c r="AW172" s="640">
        <f t="shared" si="67"/>
        <v>0</v>
      </c>
      <c r="AX172" s="641">
        <f t="shared" si="68"/>
        <v>0</v>
      </c>
      <c r="AY172" s="641">
        <f t="shared" si="69"/>
        <v>0</v>
      </c>
      <c r="AZ172" s="640">
        <f t="shared" si="70"/>
        <v>1772.5666666666666</v>
      </c>
      <c r="BA172" s="641">
        <f t="shared" si="71"/>
        <v>1664.3333333333333</v>
      </c>
    </row>
    <row r="173" spans="1:53" s="365" customFormat="1" ht="12.6" customHeight="1">
      <c r="A173" s="409" t="s">
        <v>205</v>
      </c>
      <c r="B173" s="407" t="s">
        <v>219</v>
      </c>
      <c r="C173" s="410"/>
      <c r="D173" s="618">
        <v>156790</v>
      </c>
      <c r="E173" s="520">
        <v>10</v>
      </c>
      <c r="F173" s="613"/>
      <c r="G173" s="614"/>
      <c r="H173" s="613"/>
      <c r="I173" s="614"/>
      <c r="J173" s="521">
        <v>23361</v>
      </c>
      <c r="K173" s="522">
        <v>19440</v>
      </c>
      <c r="L173" s="613">
        <v>4702</v>
      </c>
      <c r="M173" s="614">
        <v>4670</v>
      </c>
      <c r="N173" s="613">
        <v>23406</v>
      </c>
      <c r="O173" s="614">
        <v>23896</v>
      </c>
      <c r="P173" s="640">
        <f t="shared" si="54"/>
        <v>51469</v>
      </c>
      <c r="Q173" s="640">
        <f t="shared" si="55"/>
        <v>1715.6333333333334</v>
      </c>
      <c r="R173" s="641">
        <f t="shared" si="56"/>
        <v>48006</v>
      </c>
      <c r="S173" s="641">
        <f t="shared" si="57"/>
        <v>1600.2</v>
      </c>
      <c r="T173" s="613">
        <v>7608</v>
      </c>
      <c r="U173" s="614">
        <v>8444</v>
      </c>
      <c r="V173" s="640">
        <f t="shared" si="58"/>
        <v>51469</v>
      </c>
      <c r="W173" s="641">
        <f t="shared" si="59"/>
        <v>48006</v>
      </c>
      <c r="X173" s="613"/>
      <c r="Y173" s="614"/>
      <c r="Z173" s="613"/>
      <c r="AA173" s="614"/>
      <c r="AB173" s="613"/>
      <c r="AC173" s="614"/>
      <c r="AD173" s="613"/>
      <c r="AE173" s="614"/>
      <c r="AF173" s="640">
        <f t="shared" si="60"/>
        <v>0</v>
      </c>
      <c r="AG173" s="640">
        <f t="shared" si="61"/>
        <v>0</v>
      </c>
      <c r="AH173" s="641">
        <f t="shared" si="62"/>
        <v>0</v>
      </c>
      <c r="AI173" s="641">
        <f t="shared" si="63"/>
        <v>0</v>
      </c>
      <c r="AJ173" s="613"/>
      <c r="AK173" s="614"/>
      <c r="AL173" s="640">
        <f t="shared" si="64"/>
        <v>0</v>
      </c>
      <c r="AM173" s="641">
        <f t="shared" si="65"/>
        <v>0</v>
      </c>
      <c r="AN173" s="613"/>
      <c r="AO173" s="614"/>
      <c r="AP173" s="613"/>
      <c r="AQ173" s="614"/>
      <c r="AR173" s="613"/>
      <c r="AS173" s="614"/>
      <c r="AT173" s="613"/>
      <c r="AU173" s="614"/>
      <c r="AV173" s="640">
        <f t="shared" si="66"/>
        <v>0</v>
      </c>
      <c r="AW173" s="640">
        <f t="shared" si="67"/>
        <v>0</v>
      </c>
      <c r="AX173" s="641">
        <f t="shared" si="68"/>
        <v>0</v>
      </c>
      <c r="AY173" s="641">
        <f t="shared" si="69"/>
        <v>0</v>
      </c>
      <c r="AZ173" s="640">
        <f t="shared" si="70"/>
        <v>1715.6333333333334</v>
      </c>
      <c r="BA173" s="641">
        <f t="shared" si="71"/>
        <v>1600.2</v>
      </c>
    </row>
    <row r="174" spans="1:53" s="365" customFormat="1" ht="12.6" customHeight="1">
      <c r="A174" s="409" t="s">
        <v>205</v>
      </c>
      <c r="B174" s="407" t="s">
        <v>227</v>
      </c>
      <c r="C174" s="408"/>
      <c r="D174" s="618">
        <v>156851</v>
      </c>
      <c r="E174" s="520">
        <v>10</v>
      </c>
      <c r="F174" s="613"/>
      <c r="G174" s="614"/>
      <c r="H174" s="613"/>
      <c r="I174" s="614"/>
      <c r="J174" s="521">
        <v>10242</v>
      </c>
      <c r="K174" s="522">
        <v>8722</v>
      </c>
      <c r="L174" s="613">
        <v>1610</v>
      </c>
      <c r="M174" s="614">
        <v>1497</v>
      </c>
      <c r="N174" s="613">
        <v>11426</v>
      </c>
      <c r="O174" s="614">
        <v>10936</v>
      </c>
      <c r="P174" s="640">
        <f t="shared" si="54"/>
        <v>23278</v>
      </c>
      <c r="Q174" s="640">
        <f t="shared" si="55"/>
        <v>775.93333333333328</v>
      </c>
      <c r="R174" s="641">
        <f t="shared" si="56"/>
        <v>21155</v>
      </c>
      <c r="S174" s="641">
        <f t="shared" si="57"/>
        <v>705.16666666666663</v>
      </c>
      <c r="T174" s="613">
        <v>3700</v>
      </c>
      <c r="U174" s="614">
        <v>3744</v>
      </c>
      <c r="V174" s="640">
        <f t="shared" si="58"/>
        <v>23278</v>
      </c>
      <c r="W174" s="641">
        <f t="shared" si="59"/>
        <v>21155</v>
      </c>
      <c r="X174" s="613"/>
      <c r="Y174" s="614"/>
      <c r="Z174" s="613"/>
      <c r="AA174" s="614"/>
      <c r="AB174" s="613"/>
      <c r="AC174" s="614"/>
      <c r="AD174" s="613"/>
      <c r="AE174" s="614"/>
      <c r="AF174" s="640">
        <f t="shared" si="60"/>
        <v>0</v>
      </c>
      <c r="AG174" s="640">
        <f t="shared" si="61"/>
        <v>0</v>
      </c>
      <c r="AH174" s="641">
        <f t="shared" si="62"/>
        <v>0</v>
      </c>
      <c r="AI174" s="641">
        <f t="shared" si="63"/>
        <v>0</v>
      </c>
      <c r="AJ174" s="613"/>
      <c r="AK174" s="614"/>
      <c r="AL174" s="640">
        <f t="shared" si="64"/>
        <v>0</v>
      </c>
      <c r="AM174" s="641">
        <f t="shared" si="65"/>
        <v>0</v>
      </c>
      <c r="AN174" s="613"/>
      <c r="AO174" s="614"/>
      <c r="AP174" s="613"/>
      <c r="AQ174" s="614"/>
      <c r="AR174" s="613"/>
      <c r="AS174" s="614"/>
      <c r="AT174" s="613"/>
      <c r="AU174" s="614"/>
      <c r="AV174" s="640">
        <f t="shared" si="66"/>
        <v>0</v>
      </c>
      <c r="AW174" s="640">
        <f t="shared" si="67"/>
        <v>0</v>
      </c>
      <c r="AX174" s="641">
        <f t="shared" si="68"/>
        <v>0</v>
      </c>
      <c r="AY174" s="641">
        <f t="shared" si="69"/>
        <v>0</v>
      </c>
      <c r="AZ174" s="640">
        <f t="shared" si="70"/>
        <v>775.93333333333328</v>
      </c>
      <c r="BA174" s="641">
        <f t="shared" si="71"/>
        <v>705.16666666666663</v>
      </c>
    </row>
    <row r="175" spans="1:53" s="365" customFormat="1" ht="12.6" customHeight="1">
      <c r="A175" s="409" t="s">
        <v>205</v>
      </c>
      <c r="B175" s="407" t="s">
        <v>220</v>
      </c>
      <c r="C175" s="410"/>
      <c r="D175" s="618">
        <v>156860</v>
      </c>
      <c r="E175" s="520">
        <v>10</v>
      </c>
      <c r="F175" s="613"/>
      <c r="G175" s="614"/>
      <c r="H175" s="613"/>
      <c r="I175" s="614"/>
      <c r="J175" s="521">
        <v>19380</v>
      </c>
      <c r="K175" s="522">
        <v>15192</v>
      </c>
      <c r="L175" s="613">
        <v>3800</v>
      </c>
      <c r="M175" s="614">
        <v>3131</v>
      </c>
      <c r="N175" s="613">
        <v>17929</v>
      </c>
      <c r="O175" s="614">
        <v>16815</v>
      </c>
      <c r="P175" s="640">
        <f t="shared" si="54"/>
        <v>41109</v>
      </c>
      <c r="Q175" s="640">
        <f t="shared" si="55"/>
        <v>1370.3</v>
      </c>
      <c r="R175" s="641">
        <f t="shared" si="56"/>
        <v>35138</v>
      </c>
      <c r="S175" s="641">
        <f t="shared" si="57"/>
        <v>1171.2666666666667</v>
      </c>
      <c r="T175" s="613">
        <v>4213</v>
      </c>
      <c r="U175" s="614">
        <v>4815</v>
      </c>
      <c r="V175" s="640">
        <f t="shared" si="58"/>
        <v>41109</v>
      </c>
      <c r="W175" s="641">
        <f t="shared" si="59"/>
        <v>35138</v>
      </c>
      <c r="X175" s="613"/>
      <c r="Y175" s="614"/>
      <c r="Z175" s="613"/>
      <c r="AA175" s="614"/>
      <c r="AB175" s="613"/>
      <c r="AC175" s="614"/>
      <c r="AD175" s="613"/>
      <c r="AE175" s="614"/>
      <c r="AF175" s="640">
        <f t="shared" si="60"/>
        <v>0</v>
      </c>
      <c r="AG175" s="640">
        <f t="shared" si="61"/>
        <v>0</v>
      </c>
      <c r="AH175" s="641">
        <f t="shared" si="62"/>
        <v>0</v>
      </c>
      <c r="AI175" s="641">
        <f t="shared" si="63"/>
        <v>0</v>
      </c>
      <c r="AJ175" s="613"/>
      <c r="AK175" s="614"/>
      <c r="AL175" s="640">
        <f t="shared" si="64"/>
        <v>0</v>
      </c>
      <c r="AM175" s="641">
        <f t="shared" si="65"/>
        <v>0</v>
      </c>
      <c r="AN175" s="613"/>
      <c r="AO175" s="614"/>
      <c r="AP175" s="613"/>
      <c r="AQ175" s="614"/>
      <c r="AR175" s="613"/>
      <c r="AS175" s="614"/>
      <c r="AT175" s="613"/>
      <c r="AU175" s="614"/>
      <c r="AV175" s="640">
        <f t="shared" si="66"/>
        <v>0</v>
      </c>
      <c r="AW175" s="640">
        <f t="shared" si="67"/>
        <v>0</v>
      </c>
      <c r="AX175" s="641">
        <f t="shared" si="68"/>
        <v>0</v>
      </c>
      <c r="AY175" s="641">
        <f t="shared" si="69"/>
        <v>0</v>
      </c>
      <c r="AZ175" s="640">
        <f t="shared" si="70"/>
        <v>1370.3</v>
      </c>
      <c r="BA175" s="641">
        <f t="shared" si="71"/>
        <v>1171.2666666666667</v>
      </c>
    </row>
    <row r="176" spans="1:53" s="365" customFormat="1" ht="12.6" customHeight="1">
      <c r="A176" s="409" t="s">
        <v>205</v>
      </c>
      <c r="B176" s="407" t="s">
        <v>221</v>
      </c>
      <c r="C176" s="410"/>
      <c r="D176" s="618">
        <v>157304</v>
      </c>
      <c r="E176" s="520">
        <v>10</v>
      </c>
      <c r="F176" s="613"/>
      <c r="G176" s="614"/>
      <c r="H176" s="613"/>
      <c r="I176" s="614"/>
      <c r="J176" s="521">
        <v>21936</v>
      </c>
      <c r="K176" s="501">
        <v>20966</v>
      </c>
      <c r="L176" s="613">
        <v>3202</v>
      </c>
      <c r="M176" s="614">
        <v>3516</v>
      </c>
      <c r="N176" s="613">
        <v>27602</v>
      </c>
      <c r="O176" s="614">
        <v>25779</v>
      </c>
      <c r="P176" s="640">
        <f t="shared" si="54"/>
        <v>52740</v>
      </c>
      <c r="Q176" s="640">
        <f t="shared" si="55"/>
        <v>1758</v>
      </c>
      <c r="R176" s="641">
        <f t="shared" si="56"/>
        <v>50261</v>
      </c>
      <c r="S176" s="641">
        <f t="shared" si="57"/>
        <v>1675.3666666666666</v>
      </c>
      <c r="T176" s="613">
        <v>11235</v>
      </c>
      <c r="U176" s="614">
        <v>9773</v>
      </c>
      <c r="V176" s="640">
        <f t="shared" si="58"/>
        <v>52740</v>
      </c>
      <c r="W176" s="641">
        <f t="shared" si="59"/>
        <v>50261</v>
      </c>
      <c r="X176" s="613"/>
      <c r="Y176" s="614"/>
      <c r="Z176" s="613"/>
      <c r="AA176" s="614"/>
      <c r="AB176" s="613"/>
      <c r="AC176" s="614"/>
      <c r="AD176" s="613"/>
      <c r="AE176" s="614"/>
      <c r="AF176" s="640">
        <f t="shared" si="60"/>
        <v>0</v>
      </c>
      <c r="AG176" s="640">
        <f t="shared" si="61"/>
        <v>0</v>
      </c>
      <c r="AH176" s="641">
        <f t="shared" si="62"/>
        <v>0</v>
      </c>
      <c r="AI176" s="641">
        <f t="shared" si="63"/>
        <v>0</v>
      </c>
      <c r="AJ176" s="613"/>
      <c r="AK176" s="614"/>
      <c r="AL176" s="640">
        <f t="shared" si="64"/>
        <v>0</v>
      </c>
      <c r="AM176" s="641">
        <f t="shared" si="65"/>
        <v>0</v>
      </c>
      <c r="AN176" s="613"/>
      <c r="AO176" s="614"/>
      <c r="AP176" s="613"/>
      <c r="AQ176" s="614"/>
      <c r="AR176" s="613"/>
      <c r="AS176" s="614"/>
      <c r="AT176" s="613"/>
      <c r="AU176" s="614"/>
      <c r="AV176" s="640">
        <f t="shared" si="66"/>
        <v>0</v>
      </c>
      <c r="AW176" s="640">
        <f t="shared" si="67"/>
        <v>0</v>
      </c>
      <c r="AX176" s="641">
        <f t="shared" si="68"/>
        <v>0</v>
      </c>
      <c r="AY176" s="641">
        <f t="shared" si="69"/>
        <v>0</v>
      </c>
      <c r="AZ176" s="640">
        <f t="shared" si="70"/>
        <v>1758</v>
      </c>
      <c r="BA176" s="641">
        <f t="shared" si="71"/>
        <v>1675.3666666666666</v>
      </c>
    </row>
    <row r="177" spans="1:53" s="365" customFormat="1" ht="12.6" customHeight="1">
      <c r="A177" s="409" t="s">
        <v>205</v>
      </c>
      <c r="B177" s="407" t="s">
        <v>225</v>
      </c>
      <c r="C177" s="410"/>
      <c r="D177" s="618">
        <v>157739</v>
      </c>
      <c r="E177" s="520">
        <v>10</v>
      </c>
      <c r="F177" s="613"/>
      <c r="G177" s="614"/>
      <c r="H177" s="613"/>
      <c r="I177" s="614"/>
      <c r="J177" s="521">
        <v>21919</v>
      </c>
      <c r="K177" s="501">
        <v>18224</v>
      </c>
      <c r="L177" s="613">
        <v>3797</v>
      </c>
      <c r="M177" s="614">
        <v>3615</v>
      </c>
      <c r="N177" s="613">
        <v>22190</v>
      </c>
      <c r="O177" s="614">
        <v>22508</v>
      </c>
      <c r="P177" s="640">
        <f t="shared" si="54"/>
        <v>47906</v>
      </c>
      <c r="Q177" s="640">
        <f t="shared" si="55"/>
        <v>1596.8666666666666</v>
      </c>
      <c r="R177" s="641">
        <f t="shared" si="56"/>
        <v>44347</v>
      </c>
      <c r="S177" s="641">
        <f t="shared" si="57"/>
        <v>1478.2333333333333</v>
      </c>
      <c r="T177" s="613">
        <v>6372</v>
      </c>
      <c r="U177" s="614">
        <v>8849</v>
      </c>
      <c r="V177" s="640">
        <f t="shared" si="58"/>
        <v>47906</v>
      </c>
      <c r="W177" s="641">
        <f t="shared" si="59"/>
        <v>44347</v>
      </c>
      <c r="X177" s="613"/>
      <c r="Y177" s="614"/>
      <c r="Z177" s="613"/>
      <c r="AA177" s="614"/>
      <c r="AB177" s="613"/>
      <c r="AC177" s="614"/>
      <c r="AD177" s="613"/>
      <c r="AE177" s="614"/>
      <c r="AF177" s="640">
        <f t="shared" si="60"/>
        <v>0</v>
      </c>
      <c r="AG177" s="640">
        <f t="shared" si="61"/>
        <v>0</v>
      </c>
      <c r="AH177" s="641">
        <f t="shared" si="62"/>
        <v>0</v>
      </c>
      <c r="AI177" s="641">
        <f t="shared" si="63"/>
        <v>0</v>
      </c>
      <c r="AJ177" s="613"/>
      <c r="AK177" s="614"/>
      <c r="AL177" s="640">
        <f t="shared" si="64"/>
        <v>0</v>
      </c>
      <c r="AM177" s="641">
        <f t="shared" si="65"/>
        <v>0</v>
      </c>
      <c r="AN177" s="613"/>
      <c r="AO177" s="614"/>
      <c r="AP177" s="613"/>
      <c r="AQ177" s="614"/>
      <c r="AR177" s="613"/>
      <c r="AS177" s="614"/>
      <c r="AT177" s="613"/>
      <c r="AU177" s="614"/>
      <c r="AV177" s="640">
        <f t="shared" si="66"/>
        <v>0</v>
      </c>
      <c r="AW177" s="640">
        <f t="shared" si="67"/>
        <v>0</v>
      </c>
      <c r="AX177" s="641">
        <f t="shared" si="68"/>
        <v>0</v>
      </c>
      <c r="AY177" s="641">
        <f t="shared" si="69"/>
        <v>0</v>
      </c>
      <c r="AZ177" s="640">
        <f t="shared" si="70"/>
        <v>1596.8666666666666</v>
      </c>
      <c r="BA177" s="641">
        <f t="shared" si="71"/>
        <v>1478.2333333333333</v>
      </c>
    </row>
    <row r="178" spans="1:53" s="365" customFormat="1" ht="12.6" customHeight="1">
      <c r="A178" s="406" t="s">
        <v>205</v>
      </c>
      <c r="B178" s="407" t="s">
        <v>228</v>
      </c>
      <c r="C178" s="408"/>
      <c r="D178" s="618">
        <v>157438</v>
      </c>
      <c r="E178" s="520">
        <v>12</v>
      </c>
      <c r="F178" s="613"/>
      <c r="G178" s="614"/>
      <c r="H178" s="613"/>
      <c r="I178" s="614"/>
      <c r="J178" s="521">
        <v>32838</v>
      </c>
      <c r="K178" s="522">
        <v>31315</v>
      </c>
      <c r="L178" s="613">
        <v>5869</v>
      </c>
      <c r="M178" s="614">
        <v>5999</v>
      </c>
      <c r="N178" s="613">
        <v>35605</v>
      </c>
      <c r="O178" s="614">
        <v>34132</v>
      </c>
      <c r="P178" s="640">
        <f t="shared" si="54"/>
        <v>74312</v>
      </c>
      <c r="Q178" s="640">
        <f t="shared" si="55"/>
        <v>2477.0666666666666</v>
      </c>
      <c r="R178" s="641">
        <f t="shared" si="56"/>
        <v>71446</v>
      </c>
      <c r="S178" s="641">
        <f t="shared" si="57"/>
        <v>2381.5333333333333</v>
      </c>
      <c r="T178" s="613">
        <v>16192</v>
      </c>
      <c r="U178" s="614">
        <v>18603</v>
      </c>
      <c r="V178" s="640">
        <f t="shared" si="58"/>
        <v>74312</v>
      </c>
      <c r="W178" s="641">
        <f t="shared" si="59"/>
        <v>71446</v>
      </c>
      <c r="X178" s="613"/>
      <c r="Y178" s="614"/>
      <c r="Z178" s="613"/>
      <c r="AA178" s="614"/>
      <c r="AB178" s="613"/>
      <c r="AC178" s="614"/>
      <c r="AD178" s="613"/>
      <c r="AE178" s="614"/>
      <c r="AF178" s="640">
        <f t="shared" si="60"/>
        <v>0</v>
      </c>
      <c r="AG178" s="640">
        <f t="shared" si="61"/>
        <v>0</v>
      </c>
      <c r="AH178" s="641">
        <f t="shared" si="62"/>
        <v>0</v>
      </c>
      <c r="AI178" s="641">
        <f t="shared" si="63"/>
        <v>0</v>
      </c>
      <c r="AJ178" s="613"/>
      <c r="AK178" s="614"/>
      <c r="AL178" s="640">
        <f t="shared" si="64"/>
        <v>0</v>
      </c>
      <c r="AM178" s="641">
        <f t="shared" si="65"/>
        <v>0</v>
      </c>
      <c r="AN178" s="613"/>
      <c r="AO178" s="614"/>
      <c r="AP178" s="613"/>
      <c r="AQ178" s="614"/>
      <c r="AR178" s="613"/>
      <c r="AS178" s="614"/>
      <c r="AT178" s="613"/>
      <c r="AU178" s="614"/>
      <c r="AV178" s="640">
        <f t="shared" si="66"/>
        <v>0</v>
      </c>
      <c r="AW178" s="640">
        <f t="shared" si="67"/>
        <v>0</v>
      </c>
      <c r="AX178" s="641">
        <f t="shared" si="68"/>
        <v>0</v>
      </c>
      <c r="AY178" s="641">
        <f t="shared" si="69"/>
        <v>0</v>
      </c>
      <c r="AZ178" s="640">
        <f t="shared" si="70"/>
        <v>2477.0666666666666</v>
      </c>
      <c r="BA178" s="641">
        <f t="shared" si="71"/>
        <v>2381.5333333333333</v>
      </c>
    </row>
    <row r="179" spans="1:53" s="365" customFormat="1" ht="12" customHeight="1">
      <c r="A179" s="406" t="s">
        <v>205</v>
      </c>
      <c r="B179" s="407" t="s">
        <v>229</v>
      </c>
      <c r="C179" s="408"/>
      <c r="D179" s="618">
        <v>156338</v>
      </c>
      <c r="E179" s="520">
        <v>12</v>
      </c>
      <c r="F179" s="613"/>
      <c r="G179" s="614"/>
      <c r="H179" s="613"/>
      <c r="I179" s="614"/>
      <c r="J179" s="521">
        <v>35020</v>
      </c>
      <c r="K179" s="522">
        <v>33015</v>
      </c>
      <c r="L179" s="613">
        <v>5423</v>
      </c>
      <c r="M179" s="614">
        <v>5907</v>
      </c>
      <c r="N179" s="613">
        <v>36466</v>
      </c>
      <c r="O179" s="614">
        <v>37491</v>
      </c>
      <c r="P179" s="640">
        <f t="shared" si="54"/>
        <v>76909</v>
      </c>
      <c r="Q179" s="640">
        <f t="shared" si="55"/>
        <v>2563.6333333333332</v>
      </c>
      <c r="R179" s="641">
        <f t="shared" si="56"/>
        <v>76413</v>
      </c>
      <c r="S179" s="641">
        <f t="shared" si="57"/>
        <v>2547.1</v>
      </c>
      <c r="T179" s="613">
        <v>8568</v>
      </c>
      <c r="U179" s="614">
        <v>11207</v>
      </c>
      <c r="V179" s="640">
        <f t="shared" si="58"/>
        <v>76909</v>
      </c>
      <c r="W179" s="641">
        <f t="shared" si="59"/>
        <v>76413</v>
      </c>
      <c r="X179" s="613"/>
      <c r="Y179" s="614"/>
      <c r="Z179" s="613"/>
      <c r="AA179" s="614"/>
      <c r="AB179" s="613"/>
      <c r="AC179" s="614"/>
      <c r="AD179" s="613"/>
      <c r="AE179" s="614"/>
      <c r="AF179" s="640">
        <f t="shared" si="60"/>
        <v>0</v>
      </c>
      <c r="AG179" s="640">
        <f t="shared" si="61"/>
        <v>0</v>
      </c>
      <c r="AH179" s="641">
        <f t="shared" si="62"/>
        <v>0</v>
      </c>
      <c r="AI179" s="641">
        <f t="shared" si="63"/>
        <v>0</v>
      </c>
      <c r="AJ179" s="613"/>
      <c r="AK179" s="614"/>
      <c r="AL179" s="640">
        <f t="shared" si="64"/>
        <v>0</v>
      </c>
      <c r="AM179" s="641">
        <f t="shared" si="65"/>
        <v>0</v>
      </c>
      <c r="AN179" s="613"/>
      <c r="AO179" s="614"/>
      <c r="AP179" s="613"/>
      <c r="AQ179" s="614"/>
      <c r="AR179" s="613"/>
      <c r="AS179" s="614"/>
      <c r="AT179" s="613"/>
      <c r="AU179" s="614"/>
      <c r="AV179" s="640">
        <f t="shared" si="66"/>
        <v>0</v>
      </c>
      <c r="AW179" s="640">
        <f t="shared" si="67"/>
        <v>0</v>
      </c>
      <c r="AX179" s="641">
        <f t="shared" si="68"/>
        <v>0</v>
      </c>
      <c r="AY179" s="641">
        <f t="shared" si="69"/>
        <v>0</v>
      </c>
      <c r="AZ179" s="640">
        <f t="shared" si="70"/>
        <v>2563.6333333333332</v>
      </c>
      <c r="BA179" s="641">
        <f t="shared" si="71"/>
        <v>2547.1</v>
      </c>
    </row>
    <row r="180" spans="1:53" s="365" customFormat="1" ht="12.6" customHeight="1">
      <c r="A180" s="423" t="s">
        <v>433</v>
      </c>
      <c r="B180" s="424" t="s">
        <v>434</v>
      </c>
      <c r="C180" s="425"/>
      <c r="D180" s="626">
        <v>159391</v>
      </c>
      <c r="E180" s="524">
        <v>1</v>
      </c>
      <c r="F180" s="495"/>
      <c r="G180" s="496"/>
      <c r="H180" s="495"/>
      <c r="I180" s="496"/>
      <c r="J180" s="495">
        <v>326452</v>
      </c>
      <c r="K180" s="492">
        <v>351739</v>
      </c>
      <c r="L180" s="495">
        <v>35899</v>
      </c>
      <c r="M180" s="492">
        <v>37232</v>
      </c>
      <c r="N180" s="495">
        <v>383012</v>
      </c>
      <c r="O180" s="492">
        <v>401265</v>
      </c>
      <c r="P180" s="640">
        <f t="shared" si="54"/>
        <v>745363</v>
      </c>
      <c r="Q180" s="640">
        <f t="shared" si="55"/>
        <v>24845.433333333334</v>
      </c>
      <c r="R180" s="641">
        <f t="shared" si="56"/>
        <v>790236</v>
      </c>
      <c r="S180" s="641">
        <f t="shared" si="57"/>
        <v>26341.200000000001</v>
      </c>
      <c r="T180" s="495">
        <v>18051</v>
      </c>
      <c r="U180" s="492">
        <v>18813</v>
      </c>
      <c r="V180" s="640">
        <f t="shared" si="58"/>
        <v>745363</v>
      </c>
      <c r="W180" s="641">
        <f t="shared" si="59"/>
        <v>790236</v>
      </c>
      <c r="X180" s="495"/>
      <c r="Y180" s="496"/>
      <c r="Z180" s="495"/>
      <c r="AA180" s="496"/>
      <c r="AB180" s="495"/>
      <c r="AC180" s="496"/>
      <c r="AD180" s="495"/>
      <c r="AE180" s="496"/>
      <c r="AF180" s="640">
        <f t="shared" si="60"/>
        <v>0</v>
      </c>
      <c r="AG180" s="640">
        <f t="shared" si="61"/>
        <v>0</v>
      </c>
      <c r="AH180" s="641">
        <f t="shared" si="62"/>
        <v>0</v>
      </c>
      <c r="AI180" s="641">
        <f t="shared" si="63"/>
        <v>0</v>
      </c>
      <c r="AJ180" s="495"/>
      <c r="AK180" s="496"/>
      <c r="AL180" s="640">
        <f t="shared" si="64"/>
        <v>0</v>
      </c>
      <c r="AM180" s="641">
        <f t="shared" si="65"/>
        <v>0</v>
      </c>
      <c r="AN180" s="495"/>
      <c r="AO180" s="496"/>
      <c r="AP180" s="495">
        <v>61894</v>
      </c>
      <c r="AQ180" s="492">
        <v>68829.5</v>
      </c>
      <c r="AR180" s="495">
        <v>15907</v>
      </c>
      <c r="AS180" s="492">
        <v>23723.5</v>
      </c>
      <c r="AT180" s="495">
        <v>72436</v>
      </c>
      <c r="AU180" s="492">
        <v>69419.5</v>
      </c>
      <c r="AV180" s="640">
        <f t="shared" si="66"/>
        <v>150237</v>
      </c>
      <c r="AW180" s="640">
        <f t="shared" si="67"/>
        <v>6259.875</v>
      </c>
      <c r="AX180" s="641">
        <f t="shared" si="68"/>
        <v>161972.5</v>
      </c>
      <c r="AY180" s="641">
        <f t="shared" si="69"/>
        <v>6748.854166666667</v>
      </c>
      <c r="AZ180" s="640">
        <f t="shared" si="70"/>
        <v>31105.308333333334</v>
      </c>
      <c r="BA180" s="641">
        <f t="shared" si="71"/>
        <v>33090.054166666669</v>
      </c>
    </row>
    <row r="181" spans="1:53" s="365" customFormat="1" ht="12.6" customHeight="1">
      <c r="A181" s="423" t="s">
        <v>433</v>
      </c>
      <c r="B181" s="424" t="s">
        <v>435</v>
      </c>
      <c r="C181" s="425"/>
      <c r="D181" s="626">
        <v>159647</v>
      </c>
      <c r="E181" s="524">
        <v>2</v>
      </c>
      <c r="F181" s="495"/>
      <c r="G181" s="496"/>
      <c r="H181" s="495">
        <v>78275</v>
      </c>
      <c r="I181" s="492">
        <v>75548</v>
      </c>
      <c r="J181" s="495">
        <v>79379</v>
      </c>
      <c r="K181" s="492">
        <v>78520</v>
      </c>
      <c r="L181" s="495">
        <v>16240</v>
      </c>
      <c r="M181" s="492">
        <v>15047</v>
      </c>
      <c r="N181" s="495">
        <v>88743</v>
      </c>
      <c r="O181" s="492">
        <v>87364</v>
      </c>
      <c r="P181" s="640">
        <f t="shared" si="54"/>
        <v>262637</v>
      </c>
      <c r="Q181" s="640">
        <f t="shared" si="55"/>
        <v>8754.5666666666675</v>
      </c>
      <c r="R181" s="641">
        <f t="shared" si="56"/>
        <v>256479</v>
      </c>
      <c r="S181" s="641">
        <f t="shared" si="57"/>
        <v>8549.2999999999993</v>
      </c>
      <c r="T181" s="495">
        <v>18263</v>
      </c>
      <c r="U181" s="492">
        <v>20208</v>
      </c>
      <c r="V181" s="640">
        <f t="shared" si="58"/>
        <v>262637</v>
      </c>
      <c r="W181" s="641">
        <f t="shared" si="59"/>
        <v>256479</v>
      </c>
      <c r="X181" s="495"/>
      <c r="Y181" s="496"/>
      <c r="Z181" s="495"/>
      <c r="AA181" s="496"/>
      <c r="AB181" s="495"/>
      <c r="AC181" s="496"/>
      <c r="AD181" s="495"/>
      <c r="AE181" s="496"/>
      <c r="AF181" s="640">
        <f t="shared" si="60"/>
        <v>0</v>
      </c>
      <c r="AG181" s="640">
        <f t="shared" si="61"/>
        <v>0</v>
      </c>
      <c r="AH181" s="641">
        <f t="shared" si="62"/>
        <v>0</v>
      </c>
      <c r="AI181" s="641">
        <f t="shared" si="63"/>
        <v>0</v>
      </c>
      <c r="AJ181" s="495"/>
      <c r="AK181" s="496"/>
      <c r="AL181" s="640">
        <f t="shared" si="64"/>
        <v>0</v>
      </c>
      <c r="AM181" s="641">
        <f t="shared" si="65"/>
        <v>0</v>
      </c>
      <c r="AN181" s="495">
        <v>5933</v>
      </c>
      <c r="AO181" s="492">
        <v>5957</v>
      </c>
      <c r="AP181" s="495">
        <v>5693</v>
      </c>
      <c r="AQ181" s="492">
        <v>5631</v>
      </c>
      <c r="AR181" s="495">
        <v>4402</v>
      </c>
      <c r="AS181" s="492">
        <v>3568</v>
      </c>
      <c r="AT181" s="495">
        <v>6060</v>
      </c>
      <c r="AU181" s="492">
        <v>5347</v>
      </c>
      <c r="AV181" s="640">
        <f t="shared" si="66"/>
        <v>22088</v>
      </c>
      <c r="AW181" s="640">
        <f t="shared" si="67"/>
        <v>920.33333333333337</v>
      </c>
      <c r="AX181" s="641">
        <f t="shared" si="68"/>
        <v>20503</v>
      </c>
      <c r="AY181" s="641">
        <f t="shared" si="69"/>
        <v>854.29166666666663</v>
      </c>
      <c r="AZ181" s="640">
        <f t="shared" si="70"/>
        <v>9674.9000000000015</v>
      </c>
      <c r="BA181" s="641">
        <f t="shared" si="71"/>
        <v>9403.5916666666653</v>
      </c>
    </row>
    <row r="182" spans="1:53" s="365" customFormat="1" ht="12.6" customHeight="1">
      <c r="A182" s="423" t="s">
        <v>433</v>
      </c>
      <c r="B182" s="424" t="s">
        <v>436</v>
      </c>
      <c r="C182" s="425"/>
      <c r="D182" s="626">
        <v>160658</v>
      </c>
      <c r="E182" s="524">
        <v>2</v>
      </c>
      <c r="F182" s="495"/>
      <c r="G182" s="496"/>
      <c r="H182" s="495"/>
      <c r="I182" s="501"/>
      <c r="J182" s="495">
        <v>170777</v>
      </c>
      <c r="K182" s="492">
        <v>159574</v>
      </c>
      <c r="L182" s="495">
        <v>17674</v>
      </c>
      <c r="M182" s="492">
        <v>16463</v>
      </c>
      <c r="N182" s="495">
        <v>179915</v>
      </c>
      <c r="O182" s="492">
        <v>173391</v>
      </c>
      <c r="P182" s="640">
        <f t="shared" si="54"/>
        <v>368366</v>
      </c>
      <c r="Q182" s="640">
        <f t="shared" si="55"/>
        <v>12278.866666666667</v>
      </c>
      <c r="R182" s="641">
        <f t="shared" si="56"/>
        <v>349428</v>
      </c>
      <c r="S182" s="641">
        <f t="shared" si="57"/>
        <v>11647.6</v>
      </c>
      <c r="T182" s="495">
        <v>5666</v>
      </c>
      <c r="U182" s="492">
        <v>6147</v>
      </c>
      <c r="V182" s="640">
        <f t="shared" si="58"/>
        <v>368366</v>
      </c>
      <c r="W182" s="641">
        <f t="shared" si="59"/>
        <v>349428</v>
      </c>
      <c r="X182" s="495"/>
      <c r="Y182" s="496"/>
      <c r="Z182" s="495"/>
      <c r="AA182" s="496"/>
      <c r="AB182" s="495"/>
      <c r="AC182" s="496"/>
      <c r="AD182" s="495"/>
      <c r="AE182" s="496"/>
      <c r="AF182" s="640">
        <f t="shared" si="60"/>
        <v>0</v>
      </c>
      <c r="AG182" s="640">
        <f t="shared" si="61"/>
        <v>0</v>
      </c>
      <c r="AH182" s="641">
        <f t="shared" si="62"/>
        <v>0</v>
      </c>
      <c r="AI182" s="641">
        <f t="shared" si="63"/>
        <v>0</v>
      </c>
      <c r="AJ182" s="495"/>
      <c r="AK182" s="496"/>
      <c r="AL182" s="640">
        <f t="shared" si="64"/>
        <v>0</v>
      </c>
      <c r="AM182" s="641">
        <f t="shared" si="65"/>
        <v>0</v>
      </c>
      <c r="AN182" s="495"/>
      <c r="AO182" s="496"/>
      <c r="AP182" s="495">
        <v>17250</v>
      </c>
      <c r="AQ182" s="492">
        <v>18316</v>
      </c>
      <c r="AR182" s="495">
        <v>5566</v>
      </c>
      <c r="AS182" s="492">
        <v>5487</v>
      </c>
      <c r="AT182" s="495">
        <v>18139</v>
      </c>
      <c r="AU182" s="492">
        <v>18686</v>
      </c>
      <c r="AV182" s="640">
        <f t="shared" si="66"/>
        <v>40955</v>
      </c>
      <c r="AW182" s="640">
        <f t="shared" si="67"/>
        <v>1706.4583333333333</v>
      </c>
      <c r="AX182" s="641">
        <f t="shared" si="68"/>
        <v>42489</v>
      </c>
      <c r="AY182" s="641">
        <f t="shared" si="69"/>
        <v>1770.375</v>
      </c>
      <c r="AZ182" s="640">
        <f t="shared" si="70"/>
        <v>13985.325000000001</v>
      </c>
      <c r="BA182" s="641">
        <f t="shared" si="71"/>
        <v>13417.975</v>
      </c>
    </row>
    <row r="183" spans="1:53" s="365" customFormat="1" ht="12.6" customHeight="1">
      <c r="A183" s="423" t="s">
        <v>433</v>
      </c>
      <c r="B183" s="424" t="s">
        <v>437</v>
      </c>
      <c r="C183" s="425"/>
      <c r="D183" s="626">
        <v>159939</v>
      </c>
      <c r="E183" s="524">
        <v>2</v>
      </c>
      <c r="F183" s="495"/>
      <c r="G183" s="496"/>
      <c r="H183" s="495"/>
      <c r="I183" s="496"/>
      <c r="J183" s="495">
        <v>70359</v>
      </c>
      <c r="K183" s="492">
        <v>70272</v>
      </c>
      <c r="L183" s="495">
        <v>12645</v>
      </c>
      <c r="M183" s="492">
        <v>10229</v>
      </c>
      <c r="N183" s="495">
        <v>81430</v>
      </c>
      <c r="O183" s="492">
        <v>75996</v>
      </c>
      <c r="P183" s="640">
        <f t="shared" si="54"/>
        <v>164434</v>
      </c>
      <c r="Q183" s="640">
        <f t="shared" si="55"/>
        <v>5481.1333333333332</v>
      </c>
      <c r="R183" s="641">
        <f t="shared" si="56"/>
        <v>156497</v>
      </c>
      <c r="S183" s="641">
        <f t="shared" si="57"/>
        <v>5216.5666666666666</v>
      </c>
      <c r="T183" s="495">
        <v>5721</v>
      </c>
      <c r="U183" s="492">
        <v>6138</v>
      </c>
      <c r="V183" s="640">
        <f t="shared" si="58"/>
        <v>164434</v>
      </c>
      <c r="W183" s="641">
        <f t="shared" si="59"/>
        <v>156497</v>
      </c>
      <c r="X183" s="495"/>
      <c r="Y183" s="496"/>
      <c r="Z183" s="495"/>
      <c r="AA183" s="496"/>
      <c r="AB183" s="495"/>
      <c r="AC183" s="496"/>
      <c r="AD183" s="495"/>
      <c r="AE183" s="496"/>
      <c r="AF183" s="640">
        <f t="shared" si="60"/>
        <v>0</v>
      </c>
      <c r="AG183" s="640">
        <f t="shared" si="61"/>
        <v>0</v>
      </c>
      <c r="AH183" s="641">
        <f t="shared" si="62"/>
        <v>0</v>
      </c>
      <c r="AI183" s="641">
        <f t="shared" si="63"/>
        <v>0</v>
      </c>
      <c r="AJ183" s="495"/>
      <c r="AK183" s="496"/>
      <c r="AL183" s="640">
        <f t="shared" si="64"/>
        <v>0</v>
      </c>
      <c r="AM183" s="641">
        <f t="shared" si="65"/>
        <v>0</v>
      </c>
      <c r="AN183" s="495"/>
      <c r="AO183" s="496"/>
      <c r="AP183" s="495">
        <v>9733</v>
      </c>
      <c r="AQ183" s="492">
        <v>9370</v>
      </c>
      <c r="AR183" s="495">
        <v>2462</v>
      </c>
      <c r="AS183" s="492">
        <v>2178</v>
      </c>
      <c r="AT183" s="495">
        <v>10909</v>
      </c>
      <c r="AU183" s="492">
        <v>10212</v>
      </c>
      <c r="AV183" s="640">
        <f t="shared" si="66"/>
        <v>23104</v>
      </c>
      <c r="AW183" s="640">
        <f t="shared" si="67"/>
        <v>962.66666666666663</v>
      </c>
      <c r="AX183" s="641">
        <f t="shared" si="68"/>
        <v>21760</v>
      </c>
      <c r="AY183" s="641">
        <f t="shared" si="69"/>
        <v>906.66666666666663</v>
      </c>
      <c r="AZ183" s="640">
        <f t="shared" si="70"/>
        <v>6443.8</v>
      </c>
      <c r="BA183" s="641">
        <f t="shared" si="71"/>
        <v>6123.2333333333336</v>
      </c>
    </row>
    <row r="184" spans="1:53" s="365" customFormat="1" ht="12.6" customHeight="1">
      <c r="A184" s="423" t="s">
        <v>433</v>
      </c>
      <c r="B184" s="424" t="s">
        <v>443</v>
      </c>
      <c r="C184" s="427"/>
      <c r="D184" s="626">
        <v>159717</v>
      </c>
      <c r="E184" s="524">
        <v>3</v>
      </c>
      <c r="F184" s="495"/>
      <c r="G184" s="496"/>
      <c r="H184" s="495"/>
      <c r="I184" s="496"/>
      <c r="J184" s="495">
        <v>80099</v>
      </c>
      <c r="K184" s="492">
        <v>76611</v>
      </c>
      <c r="L184" s="495">
        <v>9788</v>
      </c>
      <c r="M184" s="492">
        <v>7324</v>
      </c>
      <c r="N184" s="495">
        <v>88621</v>
      </c>
      <c r="O184" s="492">
        <v>77722</v>
      </c>
      <c r="P184" s="640">
        <f t="shared" si="54"/>
        <v>178508</v>
      </c>
      <c r="Q184" s="640">
        <f t="shared" si="55"/>
        <v>5950.2666666666664</v>
      </c>
      <c r="R184" s="641">
        <f t="shared" si="56"/>
        <v>161657</v>
      </c>
      <c r="S184" s="641">
        <f t="shared" si="57"/>
        <v>5388.5666666666666</v>
      </c>
      <c r="T184" s="495">
        <v>10383</v>
      </c>
      <c r="U184" s="492">
        <v>8622</v>
      </c>
      <c r="V184" s="640">
        <f t="shared" si="58"/>
        <v>178508</v>
      </c>
      <c r="W184" s="641">
        <f t="shared" si="59"/>
        <v>161657</v>
      </c>
      <c r="X184" s="495"/>
      <c r="Y184" s="496"/>
      <c r="Z184" s="495"/>
      <c r="AA184" s="496"/>
      <c r="AB184" s="495"/>
      <c r="AC184" s="496"/>
      <c r="AD184" s="495"/>
      <c r="AE184" s="496"/>
      <c r="AF184" s="640">
        <f t="shared" si="60"/>
        <v>0</v>
      </c>
      <c r="AG184" s="640">
        <f t="shared" si="61"/>
        <v>0</v>
      </c>
      <c r="AH184" s="641">
        <f t="shared" si="62"/>
        <v>0</v>
      </c>
      <c r="AI184" s="641">
        <f t="shared" si="63"/>
        <v>0</v>
      </c>
      <c r="AJ184" s="495"/>
      <c r="AK184" s="496"/>
      <c r="AL184" s="640">
        <f t="shared" si="64"/>
        <v>0</v>
      </c>
      <c r="AM184" s="641">
        <f t="shared" si="65"/>
        <v>0</v>
      </c>
      <c r="AN184" s="495"/>
      <c r="AO184" s="496"/>
      <c r="AP184" s="495">
        <v>4822</v>
      </c>
      <c r="AQ184" s="492">
        <v>4367</v>
      </c>
      <c r="AR184" s="495">
        <v>1128</v>
      </c>
      <c r="AS184" s="492">
        <v>938</v>
      </c>
      <c r="AT184" s="495">
        <v>4844</v>
      </c>
      <c r="AU184" s="492">
        <v>4386</v>
      </c>
      <c r="AV184" s="640">
        <f t="shared" si="66"/>
        <v>10794</v>
      </c>
      <c r="AW184" s="640">
        <f t="shared" si="67"/>
        <v>449.75</v>
      </c>
      <c r="AX184" s="641">
        <f t="shared" si="68"/>
        <v>9691</v>
      </c>
      <c r="AY184" s="641">
        <f t="shared" si="69"/>
        <v>403.79166666666669</v>
      </c>
      <c r="AZ184" s="640">
        <f t="shared" si="70"/>
        <v>6400.0166666666664</v>
      </c>
      <c r="BA184" s="641">
        <f t="shared" si="71"/>
        <v>5792.3583333333336</v>
      </c>
    </row>
    <row r="185" spans="1:53" s="365" customFormat="1" ht="12.6" customHeight="1">
      <c r="A185" s="423" t="s">
        <v>433</v>
      </c>
      <c r="B185" s="424" t="s">
        <v>438</v>
      </c>
      <c r="C185" s="425"/>
      <c r="D185" s="626">
        <v>160612</v>
      </c>
      <c r="E185" s="524">
        <v>3</v>
      </c>
      <c r="F185" s="495"/>
      <c r="G185" s="496"/>
      <c r="H185" s="495"/>
      <c r="I185" s="496"/>
      <c r="J185" s="495">
        <v>148193</v>
      </c>
      <c r="K185" s="492">
        <v>142510</v>
      </c>
      <c r="L185" s="495">
        <v>20271</v>
      </c>
      <c r="M185" s="492">
        <v>18483</v>
      </c>
      <c r="N185" s="495">
        <v>159852</v>
      </c>
      <c r="O185" s="492">
        <v>144960</v>
      </c>
      <c r="P185" s="640">
        <f t="shared" si="54"/>
        <v>328316</v>
      </c>
      <c r="Q185" s="640">
        <f t="shared" si="55"/>
        <v>10943.866666666667</v>
      </c>
      <c r="R185" s="641">
        <f t="shared" si="56"/>
        <v>305953</v>
      </c>
      <c r="S185" s="641">
        <f t="shared" si="57"/>
        <v>10198.433333333332</v>
      </c>
      <c r="T185" s="495">
        <v>21118</v>
      </c>
      <c r="U185" s="492">
        <v>21882</v>
      </c>
      <c r="V185" s="640">
        <f t="shared" si="58"/>
        <v>328316</v>
      </c>
      <c r="W185" s="641">
        <f t="shared" si="59"/>
        <v>305953</v>
      </c>
      <c r="X185" s="495"/>
      <c r="Y185" s="496"/>
      <c r="Z185" s="495"/>
      <c r="AA185" s="496"/>
      <c r="AB185" s="495"/>
      <c r="AC185" s="496"/>
      <c r="AD185" s="495"/>
      <c r="AE185" s="496"/>
      <c r="AF185" s="640">
        <f t="shared" si="60"/>
        <v>0</v>
      </c>
      <c r="AG185" s="640">
        <f t="shared" si="61"/>
        <v>0</v>
      </c>
      <c r="AH185" s="641">
        <f t="shared" si="62"/>
        <v>0</v>
      </c>
      <c r="AI185" s="641">
        <f t="shared" si="63"/>
        <v>0</v>
      </c>
      <c r="AJ185" s="495"/>
      <c r="AK185" s="496"/>
      <c r="AL185" s="640">
        <f t="shared" si="64"/>
        <v>0</v>
      </c>
      <c r="AM185" s="641">
        <f t="shared" si="65"/>
        <v>0</v>
      </c>
      <c r="AN185" s="495"/>
      <c r="AO185" s="496"/>
      <c r="AP185" s="495">
        <v>6429</v>
      </c>
      <c r="AQ185" s="492">
        <v>6822</v>
      </c>
      <c r="AR185" s="495">
        <v>3257</v>
      </c>
      <c r="AS185" s="492">
        <v>3378</v>
      </c>
      <c r="AT185" s="495">
        <v>6864</v>
      </c>
      <c r="AU185" s="492">
        <v>6992</v>
      </c>
      <c r="AV185" s="640">
        <f t="shared" si="66"/>
        <v>16550</v>
      </c>
      <c r="AW185" s="640">
        <f t="shared" si="67"/>
        <v>689.58333333333337</v>
      </c>
      <c r="AX185" s="641">
        <f t="shared" si="68"/>
        <v>17192</v>
      </c>
      <c r="AY185" s="641">
        <f t="shared" si="69"/>
        <v>716.33333333333337</v>
      </c>
      <c r="AZ185" s="640">
        <f t="shared" si="70"/>
        <v>11633.45</v>
      </c>
      <c r="BA185" s="641">
        <f t="shared" si="71"/>
        <v>10914.766666666666</v>
      </c>
    </row>
    <row r="186" spans="1:53" s="365" customFormat="1" ht="12.6" customHeight="1">
      <c r="A186" s="423" t="s">
        <v>433</v>
      </c>
      <c r="B186" s="424" t="s">
        <v>439</v>
      </c>
      <c r="C186" s="425"/>
      <c r="D186" s="626">
        <v>160621</v>
      </c>
      <c r="E186" s="524">
        <v>3</v>
      </c>
      <c r="F186" s="495"/>
      <c r="G186" s="496"/>
      <c r="H186" s="495"/>
      <c r="I186" s="496"/>
      <c r="J186" s="495">
        <v>71066</v>
      </c>
      <c r="K186" s="492">
        <v>69262</v>
      </c>
      <c r="L186" s="495">
        <v>9929</v>
      </c>
      <c r="M186" s="492">
        <v>9837</v>
      </c>
      <c r="N186" s="495">
        <v>75953</v>
      </c>
      <c r="O186" s="492">
        <v>82485</v>
      </c>
      <c r="P186" s="640">
        <f t="shared" si="54"/>
        <v>156948</v>
      </c>
      <c r="Q186" s="640">
        <f t="shared" si="55"/>
        <v>5231.6000000000004</v>
      </c>
      <c r="R186" s="641">
        <f t="shared" si="56"/>
        <v>161584</v>
      </c>
      <c r="S186" s="641">
        <f t="shared" si="57"/>
        <v>5386.1333333333332</v>
      </c>
      <c r="T186" s="495">
        <v>4646</v>
      </c>
      <c r="U186" s="492">
        <v>4276</v>
      </c>
      <c r="V186" s="640">
        <f t="shared" si="58"/>
        <v>156948</v>
      </c>
      <c r="W186" s="641">
        <f t="shared" si="59"/>
        <v>161584</v>
      </c>
      <c r="X186" s="495"/>
      <c r="Y186" s="496"/>
      <c r="Z186" s="495"/>
      <c r="AA186" s="496"/>
      <c r="AB186" s="495"/>
      <c r="AC186" s="496"/>
      <c r="AD186" s="495"/>
      <c r="AE186" s="496"/>
      <c r="AF186" s="640">
        <f t="shared" si="60"/>
        <v>0</v>
      </c>
      <c r="AG186" s="640">
        <f t="shared" si="61"/>
        <v>0</v>
      </c>
      <c r="AH186" s="641">
        <f t="shared" si="62"/>
        <v>0</v>
      </c>
      <c r="AI186" s="641">
        <f t="shared" si="63"/>
        <v>0</v>
      </c>
      <c r="AJ186" s="495"/>
      <c r="AK186" s="496"/>
      <c r="AL186" s="640">
        <f t="shared" si="64"/>
        <v>0</v>
      </c>
      <c r="AM186" s="641">
        <f t="shared" si="65"/>
        <v>0</v>
      </c>
      <c r="AN186" s="495"/>
      <c r="AO186" s="496"/>
      <c r="AP186" s="495">
        <v>6492</v>
      </c>
      <c r="AQ186" s="492">
        <v>6420</v>
      </c>
      <c r="AR186" s="495">
        <v>1942</v>
      </c>
      <c r="AS186" s="492">
        <v>2060</v>
      </c>
      <c r="AT186" s="495">
        <v>6389</v>
      </c>
      <c r="AU186" s="492">
        <v>19475</v>
      </c>
      <c r="AV186" s="640">
        <f t="shared" si="66"/>
        <v>14823</v>
      </c>
      <c r="AW186" s="640">
        <f t="shared" si="67"/>
        <v>617.625</v>
      </c>
      <c r="AX186" s="641">
        <f t="shared" si="68"/>
        <v>27955</v>
      </c>
      <c r="AY186" s="641">
        <f t="shared" si="69"/>
        <v>1164.7916666666667</v>
      </c>
      <c r="AZ186" s="640">
        <f t="shared" si="70"/>
        <v>5849.2250000000004</v>
      </c>
      <c r="BA186" s="641">
        <f t="shared" si="71"/>
        <v>6550.9250000000002</v>
      </c>
    </row>
    <row r="187" spans="1:53" s="365" customFormat="1" ht="12.6" customHeight="1">
      <c r="A187" s="423" t="s">
        <v>433</v>
      </c>
      <c r="B187" s="424" t="s">
        <v>440</v>
      </c>
      <c r="C187" s="425"/>
      <c r="D187" s="626">
        <v>159993</v>
      </c>
      <c r="E187" s="524">
        <v>3</v>
      </c>
      <c r="F187" s="495"/>
      <c r="G187" s="496"/>
      <c r="H187" s="495"/>
      <c r="I187" s="496"/>
      <c r="J187" s="495">
        <v>81683</v>
      </c>
      <c r="K187" s="492">
        <v>78182</v>
      </c>
      <c r="L187" s="495">
        <v>8060</v>
      </c>
      <c r="M187" s="492">
        <v>7870</v>
      </c>
      <c r="N187" s="495">
        <v>86241</v>
      </c>
      <c r="O187" s="492">
        <v>80890</v>
      </c>
      <c r="P187" s="640">
        <f t="shared" si="54"/>
        <v>175984</v>
      </c>
      <c r="Q187" s="640">
        <f t="shared" si="55"/>
        <v>5866.1333333333332</v>
      </c>
      <c r="R187" s="641">
        <f t="shared" si="56"/>
        <v>166942</v>
      </c>
      <c r="S187" s="641">
        <f t="shared" si="57"/>
        <v>5564.7333333333336</v>
      </c>
      <c r="T187" s="495">
        <v>12536</v>
      </c>
      <c r="U187" s="492">
        <v>13238</v>
      </c>
      <c r="V187" s="640">
        <f t="shared" si="58"/>
        <v>175984</v>
      </c>
      <c r="W187" s="641">
        <f t="shared" si="59"/>
        <v>166942</v>
      </c>
      <c r="X187" s="495"/>
      <c r="Y187" s="496"/>
      <c r="Z187" s="495"/>
      <c r="AA187" s="496"/>
      <c r="AB187" s="495"/>
      <c r="AC187" s="496"/>
      <c r="AD187" s="495"/>
      <c r="AE187" s="496"/>
      <c r="AF187" s="640">
        <f t="shared" si="60"/>
        <v>0</v>
      </c>
      <c r="AG187" s="640">
        <f t="shared" si="61"/>
        <v>0</v>
      </c>
      <c r="AH187" s="641">
        <f t="shared" si="62"/>
        <v>0</v>
      </c>
      <c r="AI187" s="641">
        <f t="shared" si="63"/>
        <v>0</v>
      </c>
      <c r="AJ187" s="495"/>
      <c r="AK187" s="496"/>
      <c r="AL187" s="640">
        <f t="shared" si="64"/>
        <v>0</v>
      </c>
      <c r="AM187" s="641">
        <f t="shared" si="65"/>
        <v>0</v>
      </c>
      <c r="AN187" s="495"/>
      <c r="AO187" s="496"/>
      <c r="AP187" s="495">
        <v>16651</v>
      </c>
      <c r="AQ187" s="492">
        <v>17788</v>
      </c>
      <c r="AR187" s="495">
        <v>6409</v>
      </c>
      <c r="AS187" s="492">
        <v>6982</v>
      </c>
      <c r="AT187" s="495">
        <v>19271</v>
      </c>
      <c r="AU187" s="492">
        <v>19465</v>
      </c>
      <c r="AV187" s="640">
        <f t="shared" si="66"/>
        <v>42331</v>
      </c>
      <c r="AW187" s="640">
        <f t="shared" si="67"/>
        <v>1763.7916666666667</v>
      </c>
      <c r="AX187" s="641">
        <f t="shared" si="68"/>
        <v>44235</v>
      </c>
      <c r="AY187" s="641">
        <f t="shared" si="69"/>
        <v>1843.125</v>
      </c>
      <c r="AZ187" s="640">
        <f t="shared" si="70"/>
        <v>7629.9250000000002</v>
      </c>
      <c r="BA187" s="641">
        <f t="shared" si="71"/>
        <v>7407.8583333333336</v>
      </c>
    </row>
    <row r="188" spans="1:53" s="365" customFormat="1" ht="12.6" customHeight="1">
      <c r="A188" s="423" t="s">
        <v>433</v>
      </c>
      <c r="B188" s="424" t="s">
        <v>441</v>
      </c>
      <c r="C188" s="425"/>
      <c r="D188" s="626">
        <v>159009</v>
      </c>
      <c r="E188" s="524">
        <v>4</v>
      </c>
      <c r="F188" s="495"/>
      <c r="G188" s="496"/>
      <c r="H188" s="495"/>
      <c r="I188" s="496"/>
      <c r="J188" s="495">
        <v>53059</v>
      </c>
      <c r="K188" s="492">
        <v>57129</v>
      </c>
      <c r="L188" s="495">
        <v>10394</v>
      </c>
      <c r="M188" s="492">
        <v>12963</v>
      </c>
      <c r="N188" s="495">
        <v>62849</v>
      </c>
      <c r="O188" s="492">
        <v>60006</v>
      </c>
      <c r="P188" s="640">
        <f t="shared" si="54"/>
        <v>126302</v>
      </c>
      <c r="Q188" s="640">
        <f t="shared" si="55"/>
        <v>4210.0666666666666</v>
      </c>
      <c r="R188" s="641">
        <f t="shared" si="56"/>
        <v>130098</v>
      </c>
      <c r="S188" s="641">
        <f t="shared" si="57"/>
        <v>4336.6000000000004</v>
      </c>
      <c r="T188" s="495">
        <v>318</v>
      </c>
      <c r="U188" s="492">
        <v>321</v>
      </c>
      <c r="V188" s="640">
        <f t="shared" si="58"/>
        <v>126302</v>
      </c>
      <c r="W188" s="641">
        <f t="shared" si="59"/>
        <v>130098</v>
      </c>
      <c r="X188" s="495"/>
      <c r="Y188" s="496"/>
      <c r="Z188" s="495"/>
      <c r="AA188" s="496"/>
      <c r="AB188" s="495"/>
      <c r="AC188" s="496"/>
      <c r="AD188" s="495"/>
      <c r="AE188" s="496"/>
      <c r="AF188" s="640">
        <f t="shared" si="60"/>
        <v>0</v>
      </c>
      <c r="AG188" s="640">
        <f t="shared" si="61"/>
        <v>0</v>
      </c>
      <c r="AH188" s="641">
        <f t="shared" si="62"/>
        <v>0</v>
      </c>
      <c r="AI188" s="641">
        <f t="shared" si="63"/>
        <v>0</v>
      </c>
      <c r="AJ188" s="495"/>
      <c r="AK188" s="496"/>
      <c r="AL188" s="640">
        <f t="shared" si="64"/>
        <v>0</v>
      </c>
      <c r="AM188" s="641">
        <f t="shared" si="65"/>
        <v>0</v>
      </c>
      <c r="AN188" s="495"/>
      <c r="AO188" s="496"/>
      <c r="AP188" s="495">
        <v>6996</v>
      </c>
      <c r="AQ188" s="492">
        <v>6275</v>
      </c>
      <c r="AR188" s="495">
        <v>2957</v>
      </c>
      <c r="AS188" s="492">
        <v>2477</v>
      </c>
      <c r="AT188" s="495">
        <v>6393</v>
      </c>
      <c r="AU188" s="492">
        <v>5908</v>
      </c>
      <c r="AV188" s="640">
        <f t="shared" si="66"/>
        <v>16346</v>
      </c>
      <c r="AW188" s="640">
        <f t="shared" si="67"/>
        <v>681.08333333333337</v>
      </c>
      <c r="AX188" s="641">
        <f t="shared" si="68"/>
        <v>14660</v>
      </c>
      <c r="AY188" s="641">
        <f t="shared" si="69"/>
        <v>610.83333333333337</v>
      </c>
      <c r="AZ188" s="640">
        <f t="shared" si="70"/>
        <v>4891.1499999999996</v>
      </c>
      <c r="BA188" s="641">
        <f t="shared" si="71"/>
        <v>4947.4333333333334</v>
      </c>
    </row>
    <row r="189" spans="1:53" s="365" customFormat="1" ht="12.6" customHeight="1">
      <c r="A189" s="423" t="s">
        <v>433</v>
      </c>
      <c r="B189" s="424" t="s">
        <v>442</v>
      </c>
      <c r="C189" s="591" t="s">
        <v>911</v>
      </c>
      <c r="D189" s="626">
        <v>159416</v>
      </c>
      <c r="E189" s="524">
        <v>4</v>
      </c>
      <c r="F189" s="495"/>
      <c r="G189" s="496"/>
      <c r="H189" s="495"/>
      <c r="I189" s="496"/>
      <c r="J189" s="495">
        <v>26451</v>
      </c>
      <c r="K189" s="492">
        <v>26168</v>
      </c>
      <c r="L189" s="495">
        <v>5165</v>
      </c>
      <c r="M189" s="492">
        <v>4753</v>
      </c>
      <c r="N189" s="495">
        <v>29050</v>
      </c>
      <c r="O189" s="492">
        <v>27895</v>
      </c>
      <c r="P189" s="640">
        <f t="shared" si="54"/>
        <v>60666</v>
      </c>
      <c r="Q189" s="640">
        <f t="shared" si="55"/>
        <v>2022.2</v>
      </c>
      <c r="R189" s="641">
        <f t="shared" si="56"/>
        <v>58816</v>
      </c>
      <c r="S189" s="641">
        <f t="shared" si="57"/>
        <v>1960.5333333333333</v>
      </c>
      <c r="T189" s="495">
        <v>2320</v>
      </c>
      <c r="U189" s="492">
        <v>2342</v>
      </c>
      <c r="V189" s="640">
        <f t="shared" si="58"/>
        <v>60666</v>
      </c>
      <c r="W189" s="641">
        <f t="shared" si="59"/>
        <v>58816</v>
      </c>
      <c r="X189" s="495"/>
      <c r="Y189" s="496"/>
      <c r="Z189" s="495"/>
      <c r="AA189" s="496"/>
      <c r="AB189" s="495"/>
      <c r="AC189" s="496"/>
      <c r="AD189" s="495"/>
      <c r="AE189" s="496"/>
      <c r="AF189" s="640">
        <f t="shared" si="60"/>
        <v>0</v>
      </c>
      <c r="AG189" s="640">
        <f t="shared" si="61"/>
        <v>0</v>
      </c>
      <c r="AH189" s="641">
        <f t="shared" si="62"/>
        <v>0</v>
      </c>
      <c r="AI189" s="641">
        <f t="shared" si="63"/>
        <v>0</v>
      </c>
      <c r="AJ189" s="495"/>
      <c r="AK189" s="496"/>
      <c r="AL189" s="640">
        <f t="shared" si="64"/>
        <v>0</v>
      </c>
      <c r="AM189" s="641">
        <f t="shared" si="65"/>
        <v>0</v>
      </c>
      <c r="AN189" s="495"/>
      <c r="AO189" s="496"/>
      <c r="AP189" s="495">
        <v>39491</v>
      </c>
      <c r="AQ189" s="492">
        <v>47347</v>
      </c>
      <c r="AR189" s="495">
        <v>37946</v>
      </c>
      <c r="AS189" s="492">
        <v>38093</v>
      </c>
      <c r="AT189" s="495">
        <v>47065</v>
      </c>
      <c r="AU189" s="492">
        <v>39325</v>
      </c>
      <c r="AV189" s="640">
        <f t="shared" si="66"/>
        <v>124502</v>
      </c>
      <c r="AW189" s="640">
        <f t="shared" si="67"/>
        <v>5187.583333333333</v>
      </c>
      <c r="AX189" s="641">
        <f t="shared" si="68"/>
        <v>124765</v>
      </c>
      <c r="AY189" s="641">
        <f t="shared" si="69"/>
        <v>5198.541666666667</v>
      </c>
      <c r="AZ189" s="640">
        <f t="shared" si="70"/>
        <v>7209.7833333333328</v>
      </c>
      <c r="BA189" s="641">
        <f t="shared" si="71"/>
        <v>7159.0750000000007</v>
      </c>
    </row>
    <row r="190" spans="1:53" s="365" customFormat="1" ht="12.6" customHeight="1">
      <c r="A190" s="423" t="s">
        <v>433</v>
      </c>
      <c r="B190" s="424" t="s">
        <v>444</v>
      </c>
      <c r="C190" s="425"/>
      <c r="D190" s="626">
        <v>159966</v>
      </c>
      <c r="E190" s="524">
        <v>4</v>
      </c>
      <c r="F190" s="495"/>
      <c r="G190" s="496"/>
      <c r="H190" s="495"/>
      <c r="I190" s="496"/>
      <c r="J190" s="495">
        <v>72441</v>
      </c>
      <c r="K190" s="492">
        <v>71820</v>
      </c>
      <c r="L190" s="495">
        <v>8204</v>
      </c>
      <c r="M190" s="492">
        <v>7903</v>
      </c>
      <c r="N190" s="495">
        <v>80548</v>
      </c>
      <c r="O190" s="492">
        <v>73325</v>
      </c>
      <c r="P190" s="640">
        <f t="shared" si="54"/>
        <v>161193</v>
      </c>
      <c r="Q190" s="640">
        <f t="shared" si="55"/>
        <v>5373.1</v>
      </c>
      <c r="R190" s="641">
        <f t="shared" si="56"/>
        <v>153048</v>
      </c>
      <c r="S190" s="641">
        <f t="shared" si="57"/>
        <v>5101.6000000000004</v>
      </c>
      <c r="T190" s="495">
        <v>2797</v>
      </c>
      <c r="U190" s="492">
        <v>3047</v>
      </c>
      <c r="V190" s="640">
        <f t="shared" si="58"/>
        <v>161193</v>
      </c>
      <c r="W190" s="641">
        <f t="shared" si="59"/>
        <v>153048</v>
      </c>
      <c r="X190" s="495"/>
      <c r="Y190" s="496"/>
      <c r="Z190" s="495"/>
      <c r="AA190" s="496"/>
      <c r="AB190" s="495"/>
      <c r="AC190" s="496"/>
      <c r="AD190" s="495"/>
      <c r="AE190" s="496"/>
      <c r="AF190" s="640">
        <f t="shared" si="60"/>
        <v>0</v>
      </c>
      <c r="AG190" s="640">
        <f t="shared" si="61"/>
        <v>0</v>
      </c>
      <c r="AH190" s="641">
        <f t="shared" si="62"/>
        <v>0</v>
      </c>
      <c r="AI190" s="641">
        <f t="shared" si="63"/>
        <v>0</v>
      </c>
      <c r="AJ190" s="495"/>
      <c r="AK190" s="496"/>
      <c r="AL190" s="640">
        <f t="shared" si="64"/>
        <v>0</v>
      </c>
      <c r="AM190" s="641">
        <f t="shared" si="65"/>
        <v>0</v>
      </c>
      <c r="AN190" s="495"/>
      <c r="AO190" s="496"/>
      <c r="AP190" s="495">
        <v>4521</v>
      </c>
      <c r="AQ190" s="492">
        <v>4814</v>
      </c>
      <c r="AR190" s="495">
        <v>2182</v>
      </c>
      <c r="AS190" s="492">
        <v>1839</v>
      </c>
      <c r="AT190" s="495">
        <v>4810</v>
      </c>
      <c r="AU190" s="492">
        <v>4733</v>
      </c>
      <c r="AV190" s="640">
        <f t="shared" si="66"/>
        <v>11513</v>
      </c>
      <c r="AW190" s="640">
        <f t="shared" si="67"/>
        <v>479.70833333333331</v>
      </c>
      <c r="AX190" s="641">
        <f t="shared" si="68"/>
        <v>11386</v>
      </c>
      <c r="AY190" s="641">
        <f t="shared" si="69"/>
        <v>474.41666666666669</v>
      </c>
      <c r="AZ190" s="640">
        <f t="shared" si="70"/>
        <v>5852.8083333333334</v>
      </c>
      <c r="BA190" s="641">
        <f t="shared" si="71"/>
        <v>5576.0166666666673</v>
      </c>
    </row>
    <row r="191" spans="1:53" s="365" customFormat="1" ht="12.6" customHeight="1">
      <c r="A191" s="423" t="s">
        <v>433</v>
      </c>
      <c r="B191" s="424" t="s">
        <v>445</v>
      </c>
      <c r="C191" s="425"/>
      <c r="D191" s="626">
        <v>160038</v>
      </c>
      <c r="E191" s="524">
        <v>4</v>
      </c>
      <c r="F191" s="495"/>
      <c r="G191" s="496"/>
      <c r="H191" s="495"/>
      <c r="I191" s="496"/>
      <c r="J191" s="495">
        <v>106047</v>
      </c>
      <c r="K191" s="492">
        <v>100696</v>
      </c>
      <c r="L191" s="495">
        <v>16739</v>
      </c>
      <c r="M191" s="492">
        <v>17238</v>
      </c>
      <c r="N191" s="495">
        <v>116028</v>
      </c>
      <c r="O191" s="492">
        <v>108496</v>
      </c>
      <c r="P191" s="640">
        <f t="shared" si="54"/>
        <v>238814</v>
      </c>
      <c r="Q191" s="640">
        <f t="shared" si="55"/>
        <v>7960.4666666666662</v>
      </c>
      <c r="R191" s="641">
        <f t="shared" si="56"/>
        <v>226430</v>
      </c>
      <c r="S191" s="641">
        <f t="shared" si="57"/>
        <v>7547.666666666667</v>
      </c>
      <c r="T191" s="495">
        <v>21156</v>
      </c>
      <c r="U191" s="492">
        <v>23276</v>
      </c>
      <c r="V191" s="640">
        <f t="shared" si="58"/>
        <v>238814</v>
      </c>
      <c r="W191" s="641">
        <f t="shared" si="59"/>
        <v>226430</v>
      </c>
      <c r="X191" s="495"/>
      <c r="Y191" s="496"/>
      <c r="Z191" s="495"/>
      <c r="AA191" s="496"/>
      <c r="AB191" s="495"/>
      <c r="AC191" s="496"/>
      <c r="AD191" s="495"/>
      <c r="AE191" s="496"/>
      <c r="AF191" s="640">
        <f t="shared" si="60"/>
        <v>0</v>
      </c>
      <c r="AG191" s="640">
        <f t="shared" si="61"/>
        <v>0</v>
      </c>
      <c r="AH191" s="641">
        <f t="shared" si="62"/>
        <v>0</v>
      </c>
      <c r="AI191" s="641">
        <f t="shared" si="63"/>
        <v>0</v>
      </c>
      <c r="AJ191" s="495"/>
      <c r="AK191" s="496"/>
      <c r="AL191" s="640">
        <f t="shared" si="64"/>
        <v>0</v>
      </c>
      <c r="AM191" s="641">
        <f t="shared" si="65"/>
        <v>0</v>
      </c>
      <c r="AN191" s="495"/>
      <c r="AO191" s="496"/>
      <c r="AP191" s="495">
        <v>5694</v>
      </c>
      <c r="AQ191" s="492">
        <v>6202</v>
      </c>
      <c r="AR191" s="495">
        <v>3447</v>
      </c>
      <c r="AS191" s="492">
        <v>3403</v>
      </c>
      <c r="AT191" s="495">
        <v>6450</v>
      </c>
      <c r="AU191" s="492">
        <v>6301</v>
      </c>
      <c r="AV191" s="640">
        <f t="shared" si="66"/>
        <v>15591</v>
      </c>
      <c r="AW191" s="640">
        <f t="shared" si="67"/>
        <v>649.625</v>
      </c>
      <c r="AX191" s="641">
        <f t="shared" si="68"/>
        <v>15906</v>
      </c>
      <c r="AY191" s="641">
        <f t="shared" si="69"/>
        <v>662.75</v>
      </c>
      <c r="AZ191" s="640">
        <f t="shared" si="70"/>
        <v>8610.0916666666672</v>
      </c>
      <c r="BA191" s="641">
        <f t="shared" si="71"/>
        <v>8210.4166666666679</v>
      </c>
    </row>
    <row r="192" spans="1:53" s="365" customFormat="1" ht="12.6" customHeight="1">
      <c r="A192" s="426" t="s">
        <v>433</v>
      </c>
      <c r="B192" s="424" t="s">
        <v>446</v>
      </c>
      <c r="C192" s="427"/>
      <c r="D192" s="626">
        <v>160630</v>
      </c>
      <c r="E192" s="524">
        <v>5</v>
      </c>
      <c r="F192" s="495"/>
      <c r="G192" s="496"/>
      <c r="H192" s="495"/>
      <c r="I192" s="496"/>
      <c r="J192" s="495">
        <v>20509</v>
      </c>
      <c r="K192" s="492">
        <v>16531</v>
      </c>
      <c r="L192" s="495">
        <v>1737</v>
      </c>
      <c r="M192" s="492">
        <v>2362</v>
      </c>
      <c r="N192" s="495">
        <v>19350</v>
      </c>
      <c r="O192" s="492">
        <v>17187</v>
      </c>
      <c r="P192" s="640">
        <f t="shared" si="54"/>
        <v>41596</v>
      </c>
      <c r="Q192" s="640">
        <f t="shared" si="55"/>
        <v>1386.5333333333333</v>
      </c>
      <c r="R192" s="641">
        <f t="shared" si="56"/>
        <v>36080</v>
      </c>
      <c r="S192" s="641">
        <f t="shared" si="57"/>
        <v>1202.6666666666667</v>
      </c>
      <c r="T192" s="495">
        <v>2642</v>
      </c>
      <c r="U192" s="492">
        <v>2742</v>
      </c>
      <c r="V192" s="640">
        <f t="shared" si="58"/>
        <v>41596</v>
      </c>
      <c r="W192" s="641">
        <f t="shared" si="59"/>
        <v>36080</v>
      </c>
      <c r="X192" s="495"/>
      <c r="Y192" s="496"/>
      <c r="Z192" s="495"/>
      <c r="AA192" s="496"/>
      <c r="AB192" s="495"/>
      <c r="AC192" s="496"/>
      <c r="AD192" s="495"/>
      <c r="AE192" s="496"/>
      <c r="AF192" s="640">
        <f t="shared" si="60"/>
        <v>0</v>
      </c>
      <c r="AG192" s="640">
        <f t="shared" si="61"/>
        <v>0</v>
      </c>
      <c r="AH192" s="641">
        <f t="shared" si="62"/>
        <v>0</v>
      </c>
      <c r="AI192" s="641">
        <f t="shared" si="63"/>
        <v>0</v>
      </c>
      <c r="AJ192" s="495"/>
      <c r="AK192" s="496"/>
      <c r="AL192" s="640">
        <f t="shared" si="64"/>
        <v>0</v>
      </c>
      <c r="AM192" s="641">
        <f t="shared" si="65"/>
        <v>0</v>
      </c>
      <c r="AN192" s="495"/>
      <c r="AO192" s="496"/>
      <c r="AP192" s="495">
        <v>3594</v>
      </c>
      <c r="AQ192" s="492">
        <v>2928</v>
      </c>
      <c r="AR192" s="495">
        <v>561</v>
      </c>
      <c r="AS192" s="492">
        <v>537</v>
      </c>
      <c r="AT192" s="495">
        <v>2884</v>
      </c>
      <c r="AU192" s="492">
        <v>2634</v>
      </c>
      <c r="AV192" s="640">
        <f t="shared" si="66"/>
        <v>7039</v>
      </c>
      <c r="AW192" s="640">
        <f t="shared" si="67"/>
        <v>293.29166666666669</v>
      </c>
      <c r="AX192" s="641">
        <f t="shared" si="68"/>
        <v>6099</v>
      </c>
      <c r="AY192" s="641">
        <f t="shared" si="69"/>
        <v>254.125</v>
      </c>
      <c r="AZ192" s="640">
        <f t="shared" si="70"/>
        <v>1679.825</v>
      </c>
      <c r="BA192" s="641">
        <f t="shared" si="71"/>
        <v>1456.7916666666667</v>
      </c>
    </row>
    <row r="193" spans="1:53" s="365" customFormat="1" ht="12.6" customHeight="1">
      <c r="A193" s="423" t="s">
        <v>433</v>
      </c>
      <c r="B193" s="424" t="s">
        <v>447</v>
      </c>
      <c r="C193" s="427"/>
      <c r="D193" s="626">
        <v>159382</v>
      </c>
      <c r="E193" s="524">
        <v>6</v>
      </c>
      <c r="F193" s="495"/>
      <c r="G193" s="496"/>
      <c r="H193" s="495"/>
      <c r="I193" s="496"/>
      <c r="J193" s="495">
        <v>32413</v>
      </c>
      <c r="K193" s="492">
        <v>36006</v>
      </c>
      <c r="L193" s="495">
        <v>10183</v>
      </c>
      <c r="M193" s="492">
        <v>13176</v>
      </c>
      <c r="N193" s="495">
        <v>37904</v>
      </c>
      <c r="O193" s="492">
        <v>39285</v>
      </c>
      <c r="P193" s="640">
        <f t="shared" si="54"/>
        <v>80500</v>
      </c>
      <c r="Q193" s="640">
        <f t="shared" si="55"/>
        <v>2683.3333333333335</v>
      </c>
      <c r="R193" s="641">
        <f t="shared" si="56"/>
        <v>88467</v>
      </c>
      <c r="S193" s="641">
        <f t="shared" si="57"/>
        <v>2948.9</v>
      </c>
      <c r="T193" s="495">
        <v>5643</v>
      </c>
      <c r="U193" s="492">
        <v>6788</v>
      </c>
      <c r="V193" s="640">
        <f t="shared" si="58"/>
        <v>80500</v>
      </c>
      <c r="W193" s="641">
        <f t="shared" si="59"/>
        <v>88467</v>
      </c>
      <c r="X193" s="495"/>
      <c r="Y193" s="496"/>
      <c r="Z193" s="495"/>
      <c r="AA193" s="496"/>
      <c r="AB193" s="495"/>
      <c r="AC193" s="496"/>
      <c r="AD193" s="495"/>
      <c r="AE193" s="496"/>
      <c r="AF193" s="640">
        <f t="shared" si="60"/>
        <v>0</v>
      </c>
      <c r="AG193" s="640">
        <f t="shared" si="61"/>
        <v>0</v>
      </c>
      <c r="AH193" s="641">
        <f t="shared" si="62"/>
        <v>0</v>
      </c>
      <c r="AI193" s="641">
        <f t="shared" si="63"/>
        <v>0</v>
      </c>
      <c r="AJ193" s="495"/>
      <c r="AK193" s="496"/>
      <c r="AL193" s="640">
        <f t="shared" si="64"/>
        <v>0</v>
      </c>
      <c r="AM193" s="641">
        <f t="shared" si="65"/>
        <v>0</v>
      </c>
      <c r="AN193" s="495"/>
      <c r="AO193" s="496"/>
      <c r="AP193" s="495">
        <v>0</v>
      </c>
      <c r="AQ193" s="492">
        <v>0</v>
      </c>
      <c r="AR193" s="495">
        <v>0</v>
      </c>
      <c r="AS193" s="492">
        <v>0</v>
      </c>
      <c r="AT193" s="495">
        <v>0</v>
      </c>
      <c r="AU193" s="492">
        <v>0</v>
      </c>
      <c r="AV193" s="640">
        <f t="shared" si="66"/>
        <v>0</v>
      </c>
      <c r="AW193" s="640">
        <f t="shared" si="67"/>
        <v>0</v>
      </c>
      <c r="AX193" s="641">
        <f t="shared" si="68"/>
        <v>0</v>
      </c>
      <c r="AY193" s="641">
        <f t="shared" si="69"/>
        <v>0</v>
      </c>
      <c r="AZ193" s="640">
        <f t="shared" si="70"/>
        <v>2683.3333333333335</v>
      </c>
      <c r="BA193" s="641">
        <f t="shared" si="71"/>
        <v>2948.9</v>
      </c>
    </row>
    <row r="194" spans="1:53" s="365" customFormat="1" ht="12.6" customHeight="1">
      <c r="A194" s="423" t="s">
        <v>433</v>
      </c>
      <c r="B194" s="424" t="s">
        <v>448</v>
      </c>
      <c r="C194" s="425"/>
      <c r="D194" s="626">
        <v>437103</v>
      </c>
      <c r="E194" s="524">
        <v>8</v>
      </c>
      <c r="F194" s="495"/>
      <c r="G194" s="496"/>
      <c r="H194" s="495"/>
      <c r="I194" s="496"/>
      <c r="J194" s="495">
        <v>67303</v>
      </c>
      <c r="K194" s="492">
        <v>64410</v>
      </c>
      <c r="L194" s="495">
        <v>15972</v>
      </c>
      <c r="M194" s="492">
        <v>18791</v>
      </c>
      <c r="N194" s="495">
        <v>71622</v>
      </c>
      <c r="O194" s="492">
        <v>72088</v>
      </c>
      <c r="P194" s="640">
        <f t="shared" si="54"/>
        <v>154897</v>
      </c>
      <c r="Q194" s="640">
        <f t="shared" si="55"/>
        <v>5163.2333333333336</v>
      </c>
      <c r="R194" s="641">
        <f t="shared" si="56"/>
        <v>155289</v>
      </c>
      <c r="S194" s="641">
        <f t="shared" si="57"/>
        <v>5176.3</v>
      </c>
      <c r="T194" s="495">
        <v>3860</v>
      </c>
      <c r="U194" s="492">
        <v>4634</v>
      </c>
      <c r="V194" s="640">
        <f t="shared" si="58"/>
        <v>154897</v>
      </c>
      <c r="W194" s="641">
        <f t="shared" si="59"/>
        <v>155289</v>
      </c>
      <c r="X194" s="495"/>
      <c r="Y194" s="496"/>
      <c r="Z194" s="495"/>
      <c r="AA194" s="496"/>
      <c r="AB194" s="495"/>
      <c r="AC194" s="496"/>
      <c r="AD194" s="495"/>
      <c r="AE194" s="496"/>
      <c r="AF194" s="640">
        <f t="shared" si="60"/>
        <v>0</v>
      </c>
      <c r="AG194" s="640">
        <f t="shared" si="61"/>
        <v>0</v>
      </c>
      <c r="AH194" s="641">
        <f t="shared" si="62"/>
        <v>0</v>
      </c>
      <c r="AI194" s="641">
        <f t="shared" si="63"/>
        <v>0</v>
      </c>
      <c r="AJ194" s="495"/>
      <c r="AK194" s="496"/>
      <c r="AL194" s="640">
        <f t="shared" si="64"/>
        <v>0</v>
      </c>
      <c r="AM194" s="641">
        <f t="shared" si="65"/>
        <v>0</v>
      </c>
      <c r="AN194" s="495"/>
      <c r="AO194" s="496"/>
      <c r="AP194" s="495">
        <v>0</v>
      </c>
      <c r="AQ194" s="492">
        <v>0</v>
      </c>
      <c r="AR194" s="495">
        <v>0</v>
      </c>
      <c r="AS194" s="492">
        <v>0</v>
      </c>
      <c r="AT194" s="495">
        <v>0</v>
      </c>
      <c r="AU194" s="492">
        <v>0</v>
      </c>
      <c r="AV194" s="640">
        <f t="shared" si="66"/>
        <v>0</v>
      </c>
      <c r="AW194" s="640">
        <f t="shared" si="67"/>
        <v>0</v>
      </c>
      <c r="AX194" s="641">
        <f t="shared" si="68"/>
        <v>0</v>
      </c>
      <c r="AY194" s="641">
        <f t="shared" si="69"/>
        <v>0</v>
      </c>
      <c r="AZ194" s="640">
        <f t="shared" si="70"/>
        <v>5163.2333333333336</v>
      </c>
      <c r="BA194" s="641">
        <f t="shared" si="71"/>
        <v>5176.3</v>
      </c>
    </row>
    <row r="195" spans="1:53" s="365" customFormat="1" ht="12.6" customHeight="1">
      <c r="A195" s="423" t="s">
        <v>433</v>
      </c>
      <c r="B195" s="424" t="s">
        <v>450</v>
      </c>
      <c r="C195" s="425"/>
      <c r="D195" s="626">
        <v>158662</v>
      </c>
      <c r="E195" s="524">
        <v>8</v>
      </c>
      <c r="F195" s="495"/>
      <c r="G195" s="496"/>
      <c r="H195" s="495"/>
      <c r="I195" s="496"/>
      <c r="J195" s="495">
        <v>122980</v>
      </c>
      <c r="K195" s="492">
        <v>113421</v>
      </c>
      <c r="L195" s="495">
        <v>29222</v>
      </c>
      <c r="M195" s="492">
        <v>23612</v>
      </c>
      <c r="N195" s="495">
        <v>123416</v>
      </c>
      <c r="O195" s="492">
        <v>111941</v>
      </c>
      <c r="P195" s="640">
        <f t="shared" si="54"/>
        <v>275618</v>
      </c>
      <c r="Q195" s="640">
        <f t="shared" si="55"/>
        <v>9187.2666666666664</v>
      </c>
      <c r="R195" s="641">
        <f t="shared" si="56"/>
        <v>248974</v>
      </c>
      <c r="S195" s="641">
        <f t="shared" si="57"/>
        <v>8299.1333333333332</v>
      </c>
      <c r="T195" s="495">
        <v>4595</v>
      </c>
      <c r="U195" s="492">
        <v>5153</v>
      </c>
      <c r="V195" s="640">
        <f t="shared" si="58"/>
        <v>275618</v>
      </c>
      <c r="W195" s="641">
        <f t="shared" si="59"/>
        <v>248974</v>
      </c>
      <c r="X195" s="495"/>
      <c r="Y195" s="496"/>
      <c r="Z195" s="495"/>
      <c r="AA195" s="496"/>
      <c r="AB195" s="495"/>
      <c r="AC195" s="496"/>
      <c r="AD195" s="495"/>
      <c r="AE195" s="496"/>
      <c r="AF195" s="640">
        <f t="shared" si="60"/>
        <v>0</v>
      </c>
      <c r="AG195" s="640">
        <f t="shared" si="61"/>
        <v>0</v>
      </c>
      <c r="AH195" s="641">
        <f t="shared" si="62"/>
        <v>0</v>
      </c>
      <c r="AI195" s="641">
        <f t="shared" si="63"/>
        <v>0</v>
      </c>
      <c r="AJ195" s="495"/>
      <c r="AK195" s="496"/>
      <c r="AL195" s="640">
        <f t="shared" si="64"/>
        <v>0</v>
      </c>
      <c r="AM195" s="641">
        <f t="shared" si="65"/>
        <v>0</v>
      </c>
      <c r="AN195" s="495"/>
      <c r="AO195" s="496"/>
      <c r="AP195" s="495">
        <v>0</v>
      </c>
      <c r="AQ195" s="492">
        <v>0</v>
      </c>
      <c r="AR195" s="495">
        <v>0</v>
      </c>
      <c r="AS195" s="492">
        <v>0</v>
      </c>
      <c r="AT195" s="495">
        <v>0</v>
      </c>
      <c r="AU195" s="492">
        <v>0</v>
      </c>
      <c r="AV195" s="640">
        <f t="shared" si="66"/>
        <v>0</v>
      </c>
      <c r="AW195" s="640">
        <f t="shared" si="67"/>
        <v>0</v>
      </c>
      <c r="AX195" s="641">
        <f t="shared" si="68"/>
        <v>0</v>
      </c>
      <c r="AY195" s="641">
        <f t="shared" si="69"/>
        <v>0</v>
      </c>
      <c r="AZ195" s="640">
        <f t="shared" si="70"/>
        <v>9187.2666666666664</v>
      </c>
      <c r="BA195" s="641">
        <f t="shared" si="71"/>
        <v>8299.1333333333332</v>
      </c>
    </row>
    <row r="196" spans="1:53" s="365" customFormat="1" ht="12.6" customHeight="1">
      <c r="A196" s="423" t="s">
        <v>433</v>
      </c>
      <c r="B196" s="424" t="s">
        <v>449</v>
      </c>
      <c r="C196" s="425"/>
      <c r="D196" s="626">
        <v>158431</v>
      </c>
      <c r="E196" s="524">
        <v>9</v>
      </c>
      <c r="F196" s="495"/>
      <c r="G196" s="496"/>
      <c r="H196" s="495">
        <v>1474</v>
      </c>
      <c r="I196" s="496"/>
      <c r="J196" s="495">
        <v>57052</v>
      </c>
      <c r="K196" s="492">
        <v>49519.5</v>
      </c>
      <c r="L196" s="495">
        <v>12045</v>
      </c>
      <c r="M196" s="492">
        <v>11915</v>
      </c>
      <c r="N196" s="495">
        <v>59479</v>
      </c>
      <c r="O196" s="492">
        <v>53952</v>
      </c>
      <c r="P196" s="640">
        <f t="shared" si="54"/>
        <v>130050</v>
      </c>
      <c r="Q196" s="640">
        <f t="shared" si="55"/>
        <v>4335</v>
      </c>
      <c r="R196" s="641">
        <f t="shared" si="56"/>
        <v>115386.5</v>
      </c>
      <c r="S196" s="641">
        <f t="shared" si="57"/>
        <v>3846.2166666666667</v>
      </c>
      <c r="T196" s="495">
        <v>5015</v>
      </c>
      <c r="U196" s="492">
        <v>5583</v>
      </c>
      <c r="V196" s="640">
        <f t="shared" si="58"/>
        <v>130050</v>
      </c>
      <c r="W196" s="641">
        <f t="shared" si="59"/>
        <v>115386.5</v>
      </c>
      <c r="X196" s="495"/>
      <c r="Y196" s="496"/>
      <c r="Z196" s="495"/>
      <c r="AA196" s="496"/>
      <c r="AB196" s="495"/>
      <c r="AC196" s="496"/>
      <c r="AD196" s="495"/>
      <c r="AE196" s="496"/>
      <c r="AF196" s="640">
        <f t="shared" si="60"/>
        <v>0</v>
      </c>
      <c r="AG196" s="640">
        <f t="shared" si="61"/>
        <v>0</v>
      </c>
      <c r="AH196" s="641">
        <f t="shared" si="62"/>
        <v>0</v>
      </c>
      <c r="AI196" s="641">
        <f t="shared" si="63"/>
        <v>0</v>
      </c>
      <c r="AJ196" s="495"/>
      <c r="AK196" s="496"/>
      <c r="AL196" s="640">
        <f t="shared" si="64"/>
        <v>0</v>
      </c>
      <c r="AM196" s="641">
        <f t="shared" si="65"/>
        <v>0</v>
      </c>
      <c r="AN196" s="495"/>
      <c r="AO196" s="496"/>
      <c r="AP196" s="495">
        <v>0</v>
      </c>
      <c r="AQ196" s="492">
        <v>0</v>
      </c>
      <c r="AR196" s="495">
        <v>0</v>
      </c>
      <c r="AS196" s="492">
        <v>0</v>
      </c>
      <c r="AT196" s="495">
        <v>0</v>
      </c>
      <c r="AU196" s="492">
        <v>0</v>
      </c>
      <c r="AV196" s="640">
        <f t="shared" si="66"/>
        <v>0</v>
      </c>
      <c r="AW196" s="640">
        <f t="shared" si="67"/>
        <v>0</v>
      </c>
      <c r="AX196" s="641">
        <f t="shared" si="68"/>
        <v>0</v>
      </c>
      <c r="AY196" s="641">
        <f t="shared" si="69"/>
        <v>0</v>
      </c>
      <c r="AZ196" s="640">
        <f t="shared" si="70"/>
        <v>4335</v>
      </c>
      <c r="BA196" s="641">
        <f t="shared" si="71"/>
        <v>3846.2166666666667</v>
      </c>
    </row>
    <row r="197" spans="1:53" s="365" customFormat="1" ht="12.6" customHeight="1">
      <c r="A197" s="423" t="s">
        <v>433</v>
      </c>
      <c r="B197" s="424" t="s">
        <v>451</v>
      </c>
      <c r="C197" s="427"/>
      <c r="D197" s="626">
        <v>483212</v>
      </c>
      <c r="E197" s="524">
        <v>9</v>
      </c>
      <c r="F197" s="495"/>
      <c r="G197" s="496"/>
      <c r="H197" s="495"/>
      <c r="I197" s="496"/>
      <c r="J197" s="495">
        <v>37559.5</v>
      </c>
      <c r="K197" s="492">
        <v>33774</v>
      </c>
      <c r="L197" s="495">
        <v>9550.5</v>
      </c>
      <c r="M197" s="492">
        <v>10776</v>
      </c>
      <c r="N197" s="495">
        <v>37352</v>
      </c>
      <c r="O197" s="492">
        <v>35639.5</v>
      </c>
      <c r="P197" s="640">
        <f t="shared" si="54"/>
        <v>84462</v>
      </c>
      <c r="Q197" s="640">
        <f t="shared" si="55"/>
        <v>2815.4</v>
      </c>
      <c r="R197" s="641">
        <f t="shared" si="56"/>
        <v>80189.5</v>
      </c>
      <c r="S197" s="641">
        <f t="shared" si="57"/>
        <v>2672.9833333333331</v>
      </c>
      <c r="T197" s="495">
        <v>5211</v>
      </c>
      <c r="U197" s="492">
        <v>5235</v>
      </c>
      <c r="V197" s="640">
        <f t="shared" si="58"/>
        <v>84462</v>
      </c>
      <c r="W197" s="641">
        <f t="shared" si="59"/>
        <v>80189.5</v>
      </c>
      <c r="X197" s="495"/>
      <c r="Y197" s="496"/>
      <c r="Z197" s="495"/>
      <c r="AA197" s="496"/>
      <c r="AB197" s="495"/>
      <c r="AC197" s="496"/>
      <c r="AD197" s="495"/>
      <c r="AE197" s="496"/>
      <c r="AF197" s="640">
        <f t="shared" si="60"/>
        <v>0</v>
      </c>
      <c r="AG197" s="640">
        <f t="shared" si="61"/>
        <v>0</v>
      </c>
      <c r="AH197" s="641">
        <f t="shared" si="62"/>
        <v>0</v>
      </c>
      <c r="AI197" s="641">
        <f t="shared" si="63"/>
        <v>0</v>
      </c>
      <c r="AJ197" s="495"/>
      <c r="AK197" s="496"/>
      <c r="AL197" s="640">
        <f t="shared" si="64"/>
        <v>0</v>
      </c>
      <c r="AM197" s="641">
        <f t="shared" si="65"/>
        <v>0</v>
      </c>
      <c r="AN197" s="495"/>
      <c r="AO197" s="496"/>
      <c r="AP197" s="495">
        <v>0</v>
      </c>
      <c r="AQ197" s="492">
        <v>0</v>
      </c>
      <c r="AR197" s="495">
        <v>0</v>
      </c>
      <c r="AS197" s="492">
        <v>0</v>
      </c>
      <c r="AT197" s="495">
        <v>0</v>
      </c>
      <c r="AU197" s="492">
        <v>0</v>
      </c>
      <c r="AV197" s="640">
        <f t="shared" si="66"/>
        <v>0</v>
      </c>
      <c r="AW197" s="640">
        <f t="shared" si="67"/>
        <v>0</v>
      </c>
      <c r="AX197" s="641">
        <f t="shared" si="68"/>
        <v>0</v>
      </c>
      <c r="AY197" s="641">
        <f t="shared" si="69"/>
        <v>0</v>
      </c>
      <c r="AZ197" s="640">
        <f t="shared" si="70"/>
        <v>2815.4</v>
      </c>
      <c r="BA197" s="641">
        <f t="shared" si="71"/>
        <v>2672.9833333333331</v>
      </c>
    </row>
    <row r="198" spans="1:53" s="365" customFormat="1" ht="12.6" customHeight="1">
      <c r="A198" s="423" t="s">
        <v>433</v>
      </c>
      <c r="B198" s="424" t="s">
        <v>452</v>
      </c>
      <c r="C198" s="425"/>
      <c r="D198" s="626">
        <v>434061</v>
      </c>
      <c r="E198" s="524">
        <v>9</v>
      </c>
      <c r="F198" s="495"/>
      <c r="G198" s="496"/>
      <c r="H198" s="495"/>
      <c r="I198" s="496"/>
      <c r="J198" s="495">
        <v>60089</v>
      </c>
      <c r="K198" s="492">
        <v>52053</v>
      </c>
      <c r="L198" s="495">
        <v>15748</v>
      </c>
      <c r="M198" s="492">
        <v>16093</v>
      </c>
      <c r="N198" s="495">
        <v>63628</v>
      </c>
      <c r="O198" s="492">
        <v>60482</v>
      </c>
      <c r="P198" s="640">
        <f t="shared" si="54"/>
        <v>139465</v>
      </c>
      <c r="Q198" s="640">
        <f t="shared" si="55"/>
        <v>4648.833333333333</v>
      </c>
      <c r="R198" s="641">
        <f t="shared" si="56"/>
        <v>128628</v>
      </c>
      <c r="S198" s="641">
        <f t="shared" si="57"/>
        <v>4287.6000000000004</v>
      </c>
      <c r="T198" s="495">
        <v>10223</v>
      </c>
      <c r="U198" s="492">
        <v>11482</v>
      </c>
      <c r="V198" s="640">
        <f t="shared" si="58"/>
        <v>139465</v>
      </c>
      <c r="W198" s="641">
        <f t="shared" si="59"/>
        <v>128628</v>
      </c>
      <c r="X198" s="495"/>
      <c r="Y198" s="496"/>
      <c r="Z198" s="495"/>
      <c r="AA198" s="496"/>
      <c r="AB198" s="495"/>
      <c r="AC198" s="496"/>
      <c r="AD198" s="495"/>
      <c r="AE198" s="496"/>
      <c r="AF198" s="640">
        <f t="shared" si="60"/>
        <v>0</v>
      </c>
      <c r="AG198" s="640">
        <f t="shared" si="61"/>
        <v>0</v>
      </c>
      <c r="AH198" s="641">
        <f t="shared" si="62"/>
        <v>0</v>
      </c>
      <c r="AI198" s="641">
        <f t="shared" si="63"/>
        <v>0</v>
      </c>
      <c r="AJ198" s="495"/>
      <c r="AK198" s="496"/>
      <c r="AL198" s="640">
        <f t="shared" si="64"/>
        <v>0</v>
      </c>
      <c r="AM198" s="641">
        <f t="shared" si="65"/>
        <v>0</v>
      </c>
      <c r="AN198" s="495"/>
      <c r="AO198" s="496"/>
      <c r="AP198" s="495">
        <v>0</v>
      </c>
      <c r="AQ198" s="492">
        <v>0</v>
      </c>
      <c r="AR198" s="495">
        <v>0</v>
      </c>
      <c r="AS198" s="492">
        <v>0</v>
      </c>
      <c r="AT198" s="495">
        <v>0</v>
      </c>
      <c r="AU198" s="492">
        <v>0</v>
      </c>
      <c r="AV198" s="640">
        <f t="shared" si="66"/>
        <v>0</v>
      </c>
      <c r="AW198" s="640">
        <f t="shared" si="67"/>
        <v>0</v>
      </c>
      <c r="AX198" s="641">
        <f t="shared" si="68"/>
        <v>0</v>
      </c>
      <c r="AY198" s="641">
        <f t="shared" si="69"/>
        <v>0</v>
      </c>
      <c r="AZ198" s="640">
        <f t="shared" si="70"/>
        <v>4648.833333333333</v>
      </c>
      <c r="BA198" s="641">
        <f t="shared" si="71"/>
        <v>4287.6000000000004</v>
      </c>
    </row>
    <row r="199" spans="1:53" s="365" customFormat="1" ht="12.6" customHeight="1">
      <c r="A199" s="423" t="s">
        <v>433</v>
      </c>
      <c r="B199" s="424" t="s">
        <v>453</v>
      </c>
      <c r="C199" s="427"/>
      <c r="D199" s="626">
        <v>160649</v>
      </c>
      <c r="E199" s="524">
        <v>9</v>
      </c>
      <c r="F199" s="495"/>
      <c r="G199" s="496"/>
      <c r="H199" s="495"/>
      <c r="I199" s="496"/>
      <c r="J199" s="495">
        <v>27043</v>
      </c>
      <c r="K199" s="492">
        <v>22285</v>
      </c>
      <c r="L199" s="495">
        <v>6980</v>
      </c>
      <c r="M199" s="492">
        <v>7157</v>
      </c>
      <c r="N199" s="495">
        <v>24230</v>
      </c>
      <c r="O199" s="492">
        <v>24704</v>
      </c>
      <c r="P199" s="640">
        <f t="shared" si="54"/>
        <v>58253</v>
      </c>
      <c r="Q199" s="640">
        <f t="shared" si="55"/>
        <v>1941.7666666666667</v>
      </c>
      <c r="R199" s="641">
        <f t="shared" si="56"/>
        <v>54146</v>
      </c>
      <c r="S199" s="641">
        <f t="shared" si="57"/>
        <v>1804.8666666666666</v>
      </c>
      <c r="T199" s="495">
        <v>4186</v>
      </c>
      <c r="U199" s="492">
        <v>6734</v>
      </c>
      <c r="V199" s="640">
        <f t="shared" si="58"/>
        <v>58253</v>
      </c>
      <c r="W199" s="641">
        <f t="shared" si="59"/>
        <v>54146</v>
      </c>
      <c r="X199" s="495"/>
      <c r="Y199" s="496"/>
      <c r="Z199" s="495"/>
      <c r="AA199" s="496"/>
      <c r="AB199" s="495"/>
      <c r="AC199" s="496"/>
      <c r="AD199" s="495"/>
      <c r="AE199" s="496"/>
      <c r="AF199" s="640">
        <f t="shared" si="60"/>
        <v>0</v>
      </c>
      <c r="AG199" s="640">
        <f t="shared" si="61"/>
        <v>0</v>
      </c>
      <c r="AH199" s="641">
        <f t="shared" si="62"/>
        <v>0</v>
      </c>
      <c r="AI199" s="641">
        <f t="shared" si="63"/>
        <v>0</v>
      </c>
      <c r="AJ199" s="495"/>
      <c r="AK199" s="496"/>
      <c r="AL199" s="640">
        <f t="shared" si="64"/>
        <v>0</v>
      </c>
      <c r="AM199" s="641">
        <f t="shared" si="65"/>
        <v>0</v>
      </c>
      <c r="AN199" s="495"/>
      <c r="AO199" s="496"/>
      <c r="AP199" s="495">
        <v>0</v>
      </c>
      <c r="AQ199" s="492">
        <v>0</v>
      </c>
      <c r="AR199" s="495">
        <v>0</v>
      </c>
      <c r="AS199" s="492">
        <v>0</v>
      </c>
      <c r="AT199" s="495">
        <v>0</v>
      </c>
      <c r="AU199" s="492">
        <v>0</v>
      </c>
      <c r="AV199" s="640">
        <f t="shared" si="66"/>
        <v>0</v>
      </c>
      <c r="AW199" s="640">
        <f t="shared" si="67"/>
        <v>0</v>
      </c>
      <c r="AX199" s="641">
        <f t="shared" si="68"/>
        <v>0</v>
      </c>
      <c r="AY199" s="641">
        <f t="shared" si="69"/>
        <v>0</v>
      </c>
      <c r="AZ199" s="640">
        <f t="shared" si="70"/>
        <v>1941.7666666666667</v>
      </c>
      <c r="BA199" s="641">
        <f t="shared" si="71"/>
        <v>1804.8666666666666</v>
      </c>
    </row>
    <row r="200" spans="1:53" s="365" customFormat="1" ht="12.6" customHeight="1">
      <c r="A200" s="423" t="s">
        <v>433</v>
      </c>
      <c r="B200" s="424" t="s">
        <v>454</v>
      </c>
      <c r="C200" s="525"/>
      <c r="D200" s="526">
        <v>159407</v>
      </c>
      <c r="E200" s="527">
        <v>9</v>
      </c>
      <c r="F200" s="495"/>
      <c r="G200" s="496"/>
      <c r="H200" s="495"/>
      <c r="I200" s="496"/>
      <c r="J200" s="495">
        <v>25546</v>
      </c>
      <c r="K200" s="492">
        <v>26646</v>
      </c>
      <c r="L200" s="495">
        <v>3610</v>
      </c>
      <c r="M200" s="492">
        <v>3778</v>
      </c>
      <c r="N200" s="495">
        <v>31649</v>
      </c>
      <c r="O200" s="492">
        <v>30697</v>
      </c>
      <c r="P200" s="640">
        <f t="shared" ref="P200:P263" si="72">SUM(H200,J200,L200,N200)</f>
        <v>60805</v>
      </c>
      <c r="Q200" s="640">
        <f t="shared" ref="Q200:Q263" si="73">+P200/30</f>
        <v>2026.8333333333333</v>
      </c>
      <c r="R200" s="641">
        <f t="shared" ref="R200:R263" si="74">SUM(I200,K200,M200,O200)</f>
        <v>61121</v>
      </c>
      <c r="S200" s="641">
        <f t="shared" ref="S200:S263" si="75">+R200/30</f>
        <v>2037.3666666666666</v>
      </c>
      <c r="T200" s="495">
        <v>5658</v>
      </c>
      <c r="U200" s="492">
        <v>6363</v>
      </c>
      <c r="V200" s="640">
        <f t="shared" ref="V200:V263" si="76">IF(ISBLANK(T200),0,P200)</f>
        <v>60805</v>
      </c>
      <c r="W200" s="641">
        <f t="shared" ref="W200:W263" si="77">IF(ISBLANK(U200),0,R200)</f>
        <v>61121</v>
      </c>
      <c r="X200" s="495"/>
      <c r="Y200" s="496"/>
      <c r="Z200" s="495"/>
      <c r="AA200" s="496"/>
      <c r="AB200" s="495"/>
      <c r="AC200" s="496"/>
      <c r="AD200" s="495"/>
      <c r="AE200" s="496"/>
      <c r="AF200" s="640">
        <f t="shared" ref="AF200:AF263" si="78">SUM(X200,Z200,AB200,AD200)</f>
        <v>0</v>
      </c>
      <c r="AG200" s="640">
        <f t="shared" ref="AG200:AG263" si="79">+AF200/900</f>
        <v>0</v>
      </c>
      <c r="AH200" s="641">
        <f t="shared" ref="AH200:AH263" si="80">SUM(Y200,AA200,AC200,AE200)</f>
        <v>0</v>
      </c>
      <c r="AI200" s="641">
        <f t="shared" ref="AI200:AI263" si="81">+AH200/900</f>
        <v>0</v>
      </c>
      <c r="AJ200" s="495"/>
      <c r="AK200" s="496"/>
      <c r="AL200" s="640">
        <f t="shared" ref="AL200:AL263" si="82">IF(ISBLANK(AJ200),0,AF200)</f>
        <v>0</v>
      </c>
      <c r="AM200" s="641">
        <f t="shared" ref="AM200:AM263" si="83">IF(ISBLANK(AK200),0,AH200)</f>
        <v>0</v>
      </c>
      <c r="AN200" s="495"/>
      <c r="AO200" s="496"/>
      <c r="AP200" s="495">
        <v>0</v>
      </c>
      <c r="AQ200" s="492">
        <v>0</v>
      </c>
      <c r="AR200" s="495">
        <v>0</v>
      </c>
      <c r="AS200" s="492">
        <v>0</v>
      </c>
      <c r="AT200" s="495">
        <v>0</v>
      </c>
      <c r="AU200" s="492">
        <v>0</v>
      </c>
      <c r="AV200" s="640">
        <f t="shared" ref="AV200:AV263" si="84">SUM(AN200,AP200,AR200,AT200)</f>
        <v>0</v>
      </c>
      <c r="AW200" s="640">
        <f t="shared" ref="AW200:AW263" si="85">+AV200/24</f>
        <v>0</v>
      </c>
      <c r="AX200" s="641">
        <f t="shared" ref="AX200:AX263" si="86">SUM(AO200,AQ200,AS200,AU200)</f>
        <v>0</v>
      </c>
      <c r="AY200" s="641">
        <f t="shared" ref="AY200:AY263" si="87">+AX200/24</f>
        <v>0</v>
      </c>
      <c r="AZ200" s="640">
        <f t="shared" ref="AZ200:AZ263" si="88">SUM(Q200,AG200,AW200)</f>
        <v>2026.8333333333333</v>
      </c>
      <c r="BA200" s="641">
        <f t="shared" ref="BA200:BA263" si="89">SUM(S200,AI200,AY200)</f>
        <v>2037.3666666666666</v>
      </c>
    </row>
    <row r="201" spans="1:53" s="365" customFormat="1" ht="12.6" customHeight="1">
      <c r="A201" s="423" t="s">
        <v>433</v>
      </c>
      <c r="B201" s="424" t="s">
        <v>455</v>
      </c>
      <c r="C201" s="425"/>
      <c r="D201" s="626">
        <v>158884</v>
      </c>
      <c r="E201" s="524">
        <v>10</v>
      </c>
      <c r="F201" s="495"/>
      <c r="G201" s="496"/>
      <c r="H201" s="495">
        <v>327</v>
      </c>
      <c r="I201" s="496"/>
      <c r="J201" s="495">
        <v>19595</v>
      </c>
      <c r="K201" s="492">
        <v>18870</v>
      </c>
      <c r="L201" s="495">
        <v>4819</v>
      </c>
      <c r="M201" s="492">
        <v>3939</v>
      </c>
      <c r="N201" s="495">
        <v>19862</v>
      </c>
      <c r="O201" s="492">
        <v>18186</v>
      </c>
      <c r="P201" s="640">
        <f t="shared" si="72"/>
        <v>44603</v>
      </c>
      <c r="Q201" s="640">
        <f t="shared" si="73"/>
        <v>1486.7666666666667</v>
      </c>
      <c r="R201" s="641">
        <f t="shared" si="74"/>
        <v>40995</v>
      </c>
      <c r="S201" s="641">
        <f t="shared" si="75"/>
        <v>1366.5</v>
      </c>
      <c r="T201" s="495">
        <v>4151</v>
      </c>
      <c r="U201" s="492">
        <v>5196</v>
      </c>
      <c r="V201" s="640">
        <f t="shared" si="76"/>
        <v>44603</v>
      </c>
      <c r="W201" s="641">
        <f t="shared" si="77"/>
        <v>40995</v>
      </c>
      <c r="X201" s="495"/>
      <c r="Y201" s="496"/>
      <c r="Z201" s="495"/>
      <c r="AA201" s="496"/>
      <c r="AB201" s="495"/>
      <c r="AC201" s="496"/>
      <c r="AD201" s="495"/>
      <c r="AE201" s="496"/>
      <c r="AF201" s="640">
        <f t="shared" si="78"/>
        <v>0</v>
      </c>
      <c r="AG201" s="640">
        <f t="shared" si="79"/>
        <v>0</v>
      </c>
      <c r="AH201" s="641">
        <f t="shared" si="80"/>
        <v>0</v>
      </c>
      <c r="AI201" s="641">
        <f t="shared" si="81"/>
        <v>0</v>
      </c>
      <c r="AJ201" s="495"/>
      <c r="AK201" s="496"/>
      <c r="AL201" s="640">
        <f t="shared" si="82"/>
        <v>0</v>
      </c>
      <c r="AM201" s="641">
        <f t="shared" si="83"/>
        <v>0</v>
      </c>
      <c r="AN201" s="495"/>
      <c r="AO201" s="496"/>
      <c r="AP201" s="495">
        <v>0</v>
      </c>
      <c r="AQ201" s="492">
        <v>0</v>
      </c>
      <c r="AR201" s="495">
        <v>0</v>
      </c>
      <c r="AS201" s="492">
        <v>0</v>
      </c>
      <c r="AT201" s="495">
        <v>0</v>
      </c>
      <c r="AU201" s="492">
        <v>0</v>
      </c>
      <c r="AV201" s="640">
        <f t="shared" si="84"/>
        <v>0</v>
      </c>
      <c r="AW201" s="640">
        <f t="shared" si="85"/>
        <v>0</v>
      </c>
      <c r="AX201" s="641">
        <f t="shared" si="86"/>
        <v>0</v>
      </c>
      <c r="AY201" s="641">
        <f t="shared" si="87"/>
        <v>0</v>
      </c>
      <c r="AZ201" s="640">
        <f t="shared" si="88"/>
        <v>1486.7666666666667</v>
      </c>
      <c r="BA201" s="641">
        <f t="shared" si="89"/>
        <v>1366.5</v>
      </c>
    </row>
    <row r="202" spans="1:53" s="365" customFormat="1" ht="12.6" customHeight="1">
      <c r="A202" s="426" t="s">
        <v>433</v>
      </c>
      <c r="B202" s="424" t="s">
        <v>456</v>
      </c>
      <c r="C202" s="425"/>
      <c r="D202" s="626">
        <v>436304</v>
      </c>
      <c r="E202" s="524">
        <v>10</v>
      </c>
      <c r="F202" s="495"/>
      <c r="G202" s="496"/>
      <c r="H202" s="495"/>
      <c r="I202" s="496"/>
      <c r="J202" s="495">
        <v>27753</v>
      </c>
      <c r="K202" s="492">
        <v>21746</v>
      </c>
      <c r="L202" s="495">
        <v>4507</v>
      </c>
      <c r="M202" s="492">
        <v>3591</v>
      </c>
      <c r="N202" s="495">
        <v>26308</v>
      </c>
      <c r="O202" s="492">
        <v>22950</v>
      </c>
      <c r="P202" s="640">
        <f t="shared" si="72"/>
        <v>58568</v>
      </c>
      <c r="Q202" s="640">
        <f t="shared" si="73"/>
        <v>1952.2666666666667</v>
      </c>
      <c r="R202" s="641">
        <f t="shared" si="74"/>
        <v>48287</v>
      </c>
      <c r="S202" s="641">
        <f t="shared" si="75"/>
        <v>1609.5666666666666</v>
      </c>
      <c r="T202" s="495">
        <v>9102</v>
      </c>
      <c r="U202" s="492">
        <v>8148</v>
      </c>
      <c r="V202" s="640">
        <f t="shared" si="76"/>
        <v>58568</v>
      </c>
      <c r="W202" s="641">
        <f t="shared" si="77"/>
        <v>48287</v>
      </c>
      <c r="X202" s="495"/>
      <c r="Y202" s="496"/>
      <c r="Z202" s="495"/>
      <c r="AA202" s="496"/>
      <c r="AB202" s="495"/>
      <c r="AC202" s="496"/>
      <c r="AD202" s="495"/>
      <c r="AE202" s="496"/>
      <c r="AF202" s="640">
        <f t="shared" si="78"/>
        <v>0</v>
      </c>
      <c r="AG202" s="640">
        <f t="shared" si="79"/>
        <v>0</v>
      </c>
      <c r="AH202" s="641">
        <f t="shared" si="80"/>
        <v>0</v>
      </c>
      <c r="AI202" s="641">
        <f t="shared" si="81"/>
        <v>0</v>
      </c>
      <c r="AJ202" s="495"/>
      <c r="AK202" s="496"/>
      <c r="AL202" s="640">
        <f t="shared" si="82"/>
        <v>0</v>
      </c>
      <c r="AM202" s="641">
        <f t="shared" si="83"/>
        <v>0</v>
      </c>
      <c r="AN202" s="495"/>
      <c r="AO202" s="496"/>
      <c r="AP202" s="495">
        <v>0</v>
      </c>
      <c r="AQ202" s="492">
        <v>0</v>
      </c>
      <c r="AR202" s="495">
        <v>0</v>
      </c>
      <c r="AS202" s="492">
        <v>0</v>
      </c>
      <c r="AT202" s="495">
        <v>0</v>
      </c>
      <c r="AU202" s="492">
        <v>0</v>
      </c>
      <c r="AV202" s="640">
        <f t="shared" si="84"/>
        <v>0</v>
      </c>
      <c r="AW202" s="640">
        <f t="shared" si="85"/>
        <v>0</v>
      </c>
      <c r="AX202" s="641">
        <f t="shared" si="86"/>
        <v>0</v>
      </c>
      <c r="AY202" s="641">
        <f t="shared" si="87"/>
        <v>0</v>
      </c>
      <c r="AZ202" s="640">
        <f t="shared" si="88"/>
        <v>1952.2666666666667</v>
      </c>
      <c r="BA202" s="641">
        <f t="shared" si="89"/>
        <v>1609.5666666666666</v>
      </c>
    </row>
    <row r="203" spans="1:53" s="365" customFormat="1" ht="12.6" customHeight="1">
      <c r="A203" s="426" t="s">
        <v>433</v>
      </c>
      <c r="B203" s="424" t="s">
        <v>807</v>
      </c>
      <c r="C203" s="425"/>
      <c r="D203" s="626">
        <v>158088</v>
      </c>
      <c r="E203" s="524">
        <v>12</v>
      </c>
      <c r="F203" s="495"/>
      <c r="G203" s="496"/>
      <c r="H203" s="495"/>
      <c r="I203" s="496"/>
      <c r="J203" s="495">
        <v>20470</v>
      </c>
      <c r="K203" s="492">
        <v>16012</v>
      </c>
      <c r="L203" s="495">
        <v>3164</v>
      </c>
      <c r="M203" s="492">
        <v>3557</v>
      </c>
      <c r="N203" s="495">
        <v>19407</v>
      </c>
      <c r="O203" s="492">
        <v>19325</v>
      </c>
      <c r="P203" s="640">
        <f t="shared" si="72"/>
        <v>43041</v>
      </c>
      <c r="Q203" s="640">
        <f t="shared" si="73"/>
        <v>1434.7</v>
      </c>
      <c r="R203" s="641">
        <f t="shared" si="74"/>
        <v>38894</v>
      </c>
      <c r="S203" s="641">
        <f t="shared" si="75"/>
        <v>1296.4666666666667</v>
      </c>
      <c r="T203" s="495">
        <v>7220</v>
      </c>
      <c r="U203" s="492">
        <v>6091</v>
      </c>
      <c r="V203" s="640">
        <f t="shared" si="76"/>
        <v>43041</v>
      </c>
      <c r="W203" s="641">
        <f t="shared" si="77"/>
        <v>38894</v>
      </c>
      <c r="X203" s="495"/>
      <c r="Y203" s="496"/>
      <c r="Z203" s="495"/>
      <c r="AA203" s="496"/>
      <c r="AB203" s="495"/>
      <c r="AC203" s="496"/>
      <c r="AD203" s="495"/>
      <c r="AE203" s="496"/>
      <c r="AF203" s="640">
        <f t="shared" si="78"/>
        <v>0</v>
      </c>
      <c r="AG203" s="640">
        <f t="shared" si="79"/>
        <v>0</v>
      </c>
      <c r="AH203" s="641">
        <f t="shared" si="80"/>
        <v>0</v>
      </c>
      <c r="AI203" s="641">
        <f t="shared" si="81"/>
        <v>0</v>
      </c>
      <c r="AJ203" s="495"/>
      <c r="AK203" s="496"/>
      <c r="AL203" s="640">
        <f t="shared" si="82"/>
        <v>0</v>
      </c>
      <c r="AM203" s="641">
        <f t="shared" si="83"/>
        <v>0</v>
      </c>
      <c r="AN203" s="495"/>
      <c r="AO203" s="496"/>
      <c r="AP203" s="495">
        <v>0</v>
      </c>
      <c r="AQ203" s="492">
        <v>0</v>
      </c>
      <c r="AR203" s="495">
        <v>0</v>
      </c>
      <c r="AS203" s="492">
        <v>0</v>
      </c>
      <c r="AT203" s="495">
        <v>0</v>
      </c>
      <c r="AU203" s="492">
        <v>0</v>
      </c>
      <c r="AV203" s="640">
        <f t="shared" si="84"/>
        <v>0</v>
      </c>
      <c r="AW203" s="640">
        <f t="shared" si="85"/>
        <v>0</v>
      </c>
      <c r="AX203" s="641">
        <f t="shared" si="86"/>
        <v>0</v>
      </c>
      <c r="AY203" s="641">
        <f t="shared" si="87"/>
        <v>0</v>
      </c>
      <c r="AZ203" s="640">
        <f t="shared" si="88"/>
        <v>1434.7</v>
      </c>
      <c r="BA203" s="641">
        <f t="shared" si="89"/>
        <v>1296.4666666666667</v>
      </c>
    </row>
    <row r="204" spans="1:53" s="365" customFormat="1" ht="12.6" customHeight="1">
      <c r="A204" s="426" t="s">
        <v>433</v>
      </c>
      <c r="B204" s="424" t="s">
        <v>457</v>
      </c>
      <c r="C204" s="427"/>
      <c r="D204" s="626">
        <v>160481</v>
      </c>
      <c r="E204" s="524">
        <v>12</v>
      </c>
      <c r="F204" s="495"/>
      <c r="G204" s="496"/>
      <c r="H204" s="495"/>
      <c r="I204" s="496"/>
      <c r="J204" s="495">
        <v>21994</v>
      </c>
      <c r="K204" s="492">
        <v>18687</v>
      </c>
      <c r="L204" s="495">
        <v>3024</v>
      </c>
      <c r="M204" s="492">
        <v>3412</v>
      </c>
      <c r="N204" s="495">
        <v>21844</v>
      </c>
      <c r="O204" s="492">
        <v>17342</v>
      </c>
      <c r="P204" s="640">
        <f t="shared" si="72"/>
        <v>46862</v>
      </c>
      <c r="Q204" s="640">
        <f t="shared" si="73"/>
        <v>1562.0666666666666</v>
      </c>
      <c r="R204" s="641">
        <f t="shared" si="74"/>
        <v>39441</v>
      </c>
      <c r="S204" s="641">
        <f t="shared" si="75"/>
        <v>1314.7</v>
      </c>
      <c r="T204" s="495">
        <v>2096</v>
      </c>
      <c r="U204" s="492">
        <v>2504</v>
      </c>
      <c r="V204" s="640">
        <f t="shared" si="76"/>
        <v>46862</v>
      </c>
      <c r="W204" s="641">
        <f t="shared" si="77"/>
        <v>39441</v>
      </c>
      <c r="X204" s="495"/>
      <c r="Y204" s="496"/>
      <c r="Z204" s="495"/>
      <c r="AA204" s="496"/>
      <c r="AB204" s="495"/>
      <c r="AC204" s="496"/>
      <c r="AD204" s="495"/>
      <c r="AE204" s="496"/>
      <c r="AF204" s="640">
        <f t="shared" si="78"/>
        <v>0</v>
      </c>
      <c r="AG204" s="640">
        <f t="shared" si="79"/>
        <v>0</v>
      </c>
      <c r="AH204" s="641">
        <f t="shared" si="80"/>
        <v>0</v>
      </c>
      <c r="AI204" s="641">
        <f t="shared" si="81"/>
        <v>0</v>
      </c>
      <c r="AJ204" s="495"/>
      <c r="AK204" s="496"/>
      <c r="AL204" s="640">
        <f t="shared" si="82"/>
        <v>0</v>
      </c>
      <c r="AM204" s="641">
        <f t="shared" si="83"/>
        <v>0</v>
      </c>
      <c r="AN204" s="495"/>
      <c r="AO204" s="496"/>
      <c r="AP204" s="495">
        <v>0</v>
      </c>
      <c r="AQ204" s="492">
        <v>0</v>
      </c>
      <c r="AR204" s="495">
        <v>0</v>
      </c>
      <c r="AS204" s="492">
        <v>0</v>
      </c>
      <c r="AT204" s="495">
        <v>0</v>
      </c>
      <c r="AU204" s="492">
        <v>0</v>
      </c>
      <c r="AV204" s="640">
        <f t="shared" si="84"/>
        <v>0</v>
      </c>
      <c r="AW204" s="640">
        <f t="shared" si="85"/>
        <v>0</v>
      </c>
      <c r="AX204" s="641">
        <f t="shared" si="86"/>
        <v>0</v>
      </c>
      <c r="AY204" s="641">
        <f t="shared" si="87"/>
        <v>0</v>
      </c>
      <c r="AZ204" s="640">
        <f t="shared" si="88"/>
        <v>1562.0666666666666</v>
      </c>
      <c r="BA204" s="641">
        <f t="shared" si="89"/>
        <v>1314.7</v>
      </c>
    </row>
    <row r="205" spans="1:53" s="365" customFormat="1" ht="12.6" customHeight="1">
      <c r="A205" s="426" t="s">
        <v>433</v>
      </c>
      <c r="B205" s="424" t="s">
        <v>458</v>
      </c>
      <c r="C205" s="425"/>
      <c r="D205" s="626">
        <v>160667</v>
      </c>
      <c r="E205" s="524">
        <v>12</v>
      </c>
      <c r="F205" s="495"/>
      <c r="G205" s="496"/>
      <c r="H205" s="495"/>
      <c r="I205" s="496"/>
      <c r="J205" s="495">
        <v>30265</v>
      </c>
      <c r="K205" s="492">
        <v>25948</v>
      </c>
      <c r="L205" s="495">
        <v>4747</v>
      </c>
      <c r="M205" s="492">
        <v>5430</v>
      </c>
      <c r="N205" s="495">
        <v>28770</v>
      </c>
      <c r="O205" s="492">
        <v>31394.5</v>
      </c>
      <c r="P205" s="640">
        <f t="shared" si="72"/>
        <v>63782</v>
      </c>
      <c r="Q205" s="640">
        <f t="shared" si="73"/>
        <v>2126.0666666666666</v>
      </c>
      <c r="R205" s="641">
        <f t="shared" si="74"/>
        <v>62772.5</v>
      </c>
      <c r="S205" s="641">
        <f t="shared" si="75"/>
        <v>2092.4166666666665</v>
      </c>
      <c r="T205" s="495">
        <v>5489</v>
      </c>
      <c r="U205" s="492">
        <v>9167</v>
      </c>
      <c r="V205" s="640">
        <f t="shared" si="76"/>
        <v>63782</v>
      </c>
      <c r="W205" s="641">
        <f t="shared" si="77"/>
        <v>62772.5</v>
      </c>
      <c r="X205" s="495"/>
      <c r="Y205" s="496"/>
      <c r="Z205" s="495"/>
      <c r="AA205" s="496"/>
      <c r="AB205" s="495"/>
      <c r="AC205" s="496"/>
      <c r="AD205" s="495"/>
      <c r="AE205" s="496"/>
      <c r="AF205" s="640">
        <f t="shared" si="78"/>
        <v>0</v>
      </c>
      <c r="AG205" s="640">
        <f t="shared" si="79"/>
        <v>0</v>
      </c>
      <c r="AH205" s="641">
        <f t="shared" si="80"/>
        <v>0</v>
      </c>
      <c r="AI205" s="641">
        <f t="shared" si="81"/>
        <v>0</v>
      </c>
      <c r="AJ205" s="495"/>
      <c r="AK205" s="496"/>
      <c r="AL205" s="640">
        <f t="shared" si="82"/>
        <v>0</v>
      </c>
      <c r="AM205" s="641">
        <f t="shared" si="83"/>
        <v>0</v>
      </c>
      <c r="AN205" s="495"/>
      <c r="AO205" s="496"/>
      <c r="AP205" s="495">
        <v>0</v>
      </c>
      <c r="AQ205" s="492">
        <v>0</v>
      </c>
      <c r="AR205" s="495">
        <v>0</v>
      </c>
      <c r="AS205" s="492">
        <v>0</v>
      </c>
      <c r="AT205" s="495">
        <v>0</v>
      </c>
      <c r="AU205" s="492">
        <v>0</v>
      </c>
      <c r="AV205" s="640">
        <f t="shared" si="84"/>
        <v>0</v>
      </c>
      <c r="AW205" s="640">
        <f t="shared" si="85"/>
        <v>0</v>
      </c>
      <c r="AX205" s="641">
        <f t="shared" si="86"/>
        <v>0</v>
      </c>
      <c r="AY205" s="641">
        <f t="shared" si="87"/>
        <v>0</v>
      </c>
      <c r="AZ205" s="640">
        <f t="shared" si="88"/>
        <v>2126.0666666666666</v>
      </c>
      <c r="BA205" s="641">
        <f t="shared" si="89"/>
        <v>2092.4166666666665</v>
      </c>
    </row>
    <row r="206" spans="1:53" s="365" customFormat="1" ht="12.6" customHeight="1">
      <c r="A206" s="426" t="s">
        <v>433</v>
      </c>
      <c r="B206" s="424" t="s">
        <v>460</v>
      </c>
      <c r="C206" s="425"/>
      <c r="D206" s="626">
        <v>160579</v>
      </c>
      <c r="E206" s="524">
        <v>12</v>
      </c>
      <c r="F206" s="495"/>
      <c r="G206" s="496"/>
      <c r="H206" s="495"/>
      <c r="I206" s="496"/>
      <c r="J206" s="495">
        <v>33539.5</v>
      </c>
      <c r="K206" s="492">
        <v>28002</v>
      </c>
      <c r="L206" s="495">
        <v>5671</v>
      </c>
      <c r="M206" s="492">
        <v>5422</v>
      </c>
      <c r="N206" s="495">
        <v>29649.5</v>
      </c>
      <c r="O206" s="492">
        <v>30346.5</v>
      </c>
      <c r="P206" s="640">
        <f t="shared" si="72"/>
        <v>68860</v>
      </c>
      <c r="Q206" s="640">
        <f t="shared" si="73"/>
        <v>2295.3333333333335</v>
      </c>
      <c r="R206" s="641">
        <f t="shared" si="74"/>
        <v>63770.5</v>
      </c>
      <c r="S206" s="641">
        <f t="shared" si="75"/>
        <v>2125.6833333333334</v>
      </c>
      <c r="T206" s="495">
        <v>3937</v>
      </c>
      <c r="U206" s="492">
        <v>3499</v>
      </c>
      <c r="V206" s="640">
        <f t="shared" si="76"/>
        <v>68860</v>
      </c>
      <c r="W206" s="641">
        <f t="shared" si="77"/>
        <v>63770.5</v>
      </c>
      <c r="X206" s="495"/>
      <c r="Y206" s="496"/>
      <c r="Z206" s="495"/>
      <c r="AA206" s="496"/>
      <c r="AB206" s="495"/>
      <c r="AC206" s="496"/>
      <c r="AD206" s="495"/>
      <c r="AE206" s="496"/>
      <c r="AF206" s="640">
        <f t="shared" si="78"/>
        <v>0</v>
      </c>
      <c r="AG206" s="640">
        <f t="shared" si="79"/>
        <v>0</v>
      </c>
      <c r="AH206" s="641">
        <f t="shared" si="80"/>
        <v>0</v>
      </c>
      <c r="AI206" s="641">
        <f t="shared" si="81"/>
        <v>0</v>
      </c>
      <c r="AJ206" s="495"/>
      <c r="AK206" s="496"/>
      <c r="AL206" s="640">
        <f t="shared" si="82"/>
        <v>0</v>
      </c>
      <c r="AM206" s="641">
        <f t="shared" si="83"/>
        <v>0</v>
      </c>
      <c r="AN206" s="495"/>
      <c r="AO206" s="496"/>
      <c r="AP206" s="495">
        <v>0</v>
      </c>
      <c r="AQ206" s="492">
        <v>0</v>
      </c>
      <c r="AR206" s="495">
        <v>0</v>
      </c>
      <c r="AS206" s="492">
        <v>0</v>
      </c>
      <c r="AT206" s="495">
        <v>0</v>
      </c>
      <c r="AU206" s="492">
        <v>0</v>
      </c>
      <c r="AV206" s="640">
        <f t="shared" si="84"/>
        <v>0</v>
      </c>
      <c r="AW206" s="640">
        <f t="shared" si="85"/>
        <v>0</v>
      </c>
      <c r="AX206" s="641">
        <f t="shared" si="86"/>
        <v>0</v>
      </c>
      <c r="AY206" s="641">
        <f t="shared" si="87"/>
        <v>0</v>
      </c>
      <c r="AZ206" s="640">
        <f t="shared" si="88"/>
        <v>2295.3333333333335</v>
      </c>
      <c r="BA206" s="641">
        <f t="shared" si="89"/>
        <v>2125.6833333333334</v>
      </c>
    </row>
    <row r="207" spans="1:53" s="365" customFormat="1" ht="12.6" customHeight="1">
      <c r="A207" s="426" t="s">
        <v>433</v>
      </c>
      <c r="B207" s="424" t="s">
        <v>459</v>
      </c>
      <c r="C207" s="425"/>
      <c r="D207" s="626">
        <v>160010</v>
      </c>
      <c r="E207" s="524">
        <v>13</v>
      </c>
      <c r="F207" s="495"/>
      <c r="G207" s="496"/>
      <c r="H207" s="495"/>
      <c r="I207" s="496"/>
      <c r="J207" s="495">
        <v>10324</v>
      </c>
      <c r="K207" s="492">
        <v>8084</v>
      </c>
      <c r="L207" s="495">
        <v>2720</v>
      </c>
      <c r="M207" s="492">
        <v>3111</v>
      </c>
      <c r="N207" s="495">
        <v>9779</v>
      </c>
      <c r="O207" s="492">
        <v>9341</v>
      </c>
      <c r="P207" s="640">
        <f t="shared" si="72"/>
        <v>22823</v>
      </c>
      <c r="Q207" s="640">
        <f t="shared" si="73"/>
        <v>760.76666666666665</v>
      </c>
      <c r="R207" s="641">
        <f t="shared" si="74"/>
        <v>20536</v>
      </c>
      <c r="S207" s="641">
        <f t="shared" si="75"/>
        <v>684.5333333333333</v>
      </c>
      <c r="T207" s="495">
        <v>1348</v>
      </c>
      <c r="U207" s="492">
        <v>2125</v>
      </c>
      <c r="V207" s="640">
        <f t="shared" si="76"/>
        <v>22823</v>
      </c>
      <c r="W207" s="641">
        <f t="shared" si="77"/>
        <v>20536</v>
      </c>
      <c r="X207" s="495"/>
      <c r="Y207" s="496"/>
      <c r="Z207" s="495"/>
      <c r="AA207" s="496"/>
      <c r="AB207" s="495"/>
      <c r="AC207" s="496"/>
      <c r="AD207" s="495"/>
      <c r="AE207" s="496"/>
      <c r="AF207" s="640">
        <f t="shared" si="78"/>
        <v>0</v>
      </c>
      <c r="AG207" s="640">
        <f t="shared" si="79"/>
        <v>0</v>
      </c>
      <c r="AH207" s="641">
        <f t="shared" si="80"/>
        <v>0</v>
      </c>
      <c r="AI207" s="641">
        <f t="shared" si="81"/>
        <v>0</v>
      </c>
      <c r="AJ207" s="495"/>
      <c r="AK207" s="496"/>
      <c r="AL207" s="640">
        <f t="shared" si="82"/>
        <v>0</v>
      </c>
      <c r="AM207" s="641">
        <f t="shared" si="83"/>
        <v>0</v>
      </c>
      <c r="AN207" s="495"/>
      <c r="AO207" s="496"/>
      <c r="AP207" s="495">
        <v>0</v>
      </c>
      <c r="AQ207" s="492">
        <v>0</v>
      </c>
      <c r="AR207" s="495">
        <v>0</v>
      </c>
      <c r="AS207" s="492">
        <v>0</v>
      </c>
      <c r="AT207" s="495">
        <v>0</v>
      </c>
      <c r="AU207" s="492">
        <v>0</v>
      </c>
      <c r="AV207" s="640">
        <f t="shared" si="84"/>
        <v>0</v>
      </c>
      <c r="AW207" s="640">
        <f t="shared" si="85"/>
        <v>0</v>
      </c>
      <c r="AX207" s="641">
        <f t="shared" si="86"/>
        <v>0</v>
      </c>
      <c r="AY207" s="641">
        <f t="shared" si="87"/>
        <v>0</v>
      </c>
      <c r="AZ207" s="640">
        <f t="shared" si="88"/>
        <v>760.76666666666665</v>
      </c>
      <c r="BA207" s="641">
        <f t="shared" si="89"/>
        <v>684.5333333333333</v>
      </c>
    </row>
    <row r="208" spans="1:53" s="365" customFormat="1" ht="12.6" customHeight="1">
      <c r="A208" s="426" t="s">
        <v>433</v>
      </c>
      <c r="B208" s="428" t="s">
        <v>827</v>
      </c>
      <c r="C208" s="425"/>
      <c r="D208" s="627">
        <v>440916</v>
      </c>
      <c r="E208" s="524">
        <v>15</v>
      </c>
      <c r="F208" s="495"/>
      <c r="G208" s="496"/>
      <c r="H208" s="495"/>
      <c r="I208" s="496"/>
      <c r="J208" s="495">
        <v>0</v>
      </c>
      <c r="K208" s="492">
        <v>0</v>
      </c>
      <c r="L208" s="495">
        <v>0</v>
      </c>
      <c r="M208" s="492">
        <v>0</v>
      </c>
      <c r="N208" s="495">
        <v>0</v>
      </c>
      <c r="O208" s="492">
        <v>0</v>
      </c>
      <c r="P208" s="640">
        <f t="shared" si="72"/>
        <v>0</v>
      </c>
      <c r="Q208" s="640">
        <f t="shared" si="73"/>
        <v>0</v>
      </c>
      <c r="R208" s="641">
        <f t="shared" si="74"/>
        <v>0</v>
      </c>
      <c r="S208" s="641">
        <f t="shared" si="75"/>
        <v>0</v>
      </c>
      <c r="T208" s="495"/>
      <c r="U208" s="496"/>
      <c r="V208" s="640">
        <f t="shared" si="76"/>
        <v>0</v>
      </c>
      <c r="W208" s="641">
        <f t="shared" si="77"/>
        <v>0</v>
      </c>
      <c r="X208" s="495"/>
      <c r="Y208" s="496"/>
      <c r="Z208" s="495"/>
      <c r="AA208" s="496"/>
      <c r="AB208" s="495"/>
      <c r="AC208" s="496"/>
      <c r="AD208" s="495"/>
      <c r="AE208" s="496"/>
      <c r="AF208" s="640">
        <f t="shared" si="78"/>
        <v>0</v>
      </c>
      <c r="AG208" s="640">
        <f t="shared" si="79"/>
        <v>0</v>
      </c>
      <c r="AH208" s="641">
        <f t="shared" si="80"/>
        <v>0</v>
      </c>
      <c r="AI208" s="641">
        <f t="shared" si="81"/>
        <v>0</v>
      </c>
      <c r="AJ208" s="495"/>
      <c r="AK208" s="496"/>
      <c r="AL208" s="640">
        <f t="shared" si="82"/>
        <v>0</v>
      </c>
      <c r="AM208" s="641">
        <f t="shared" si="83"/>
        <v>0</v>
      </c>
      <c r="AN208" s="495"/>
      <c r="AO208" s="496"/>
      <c r="AP208" s="495">
        <v>8126</v>
      </c>
      <c r="AQ208" s="492">
        <v>10571</v>
      </c>
      <c r="AR208" s="495">
        <v>1856</v>
      </c>
      <c r="AS208" s="492">
        <v>2119</v>
      </c>
      <c r="AT208" s="495">
        <v>11238</v>
      </c>
      <c r="AU208" s="492">
        <v>0</v>
      </c>
      <c r="AV208" s="640">
        <f t="shared" si="84"/>
        <v>21220</v>
      </c>
      <c r="AW208" s="640">
        <f t="shared" si="85"/>
        <v>884.16666666666663</v>
      </c>
      <c r="AX208" s="641">
        <f t="shared" si="86"/>
        <v>12690</v>
      </c>
      <c r="AY208" s="641">
        <f t="shared" si="87"/>
        <v>528.75</v>
      </c>
      <c r="AZ208" s="640">
        <f t="shared" si="88"/>
        <v>884.16666666666663</v>
      </c>
      <c r="BA208" s="641">
        <f t="shared" si="89"/>
        <v>528.75</v>
      </c>
    </row>
    <row r="209" spans="1:53" s="365" customFormat="1" ht="12.6" customHeight="1">
      <c r="A209" s="429" t="s">
        <v>461</v>
      </c>
      <c r="B209" s="413" t="s">
        <v>479</v>
      </c>
      <c r="C209" s="415"/>
      <c r="D209" s="619">
        <v>161688</v>
      </c>
      <c r="E209" s="494">
        <v>10</v>
      </c>
      <c r="F209" s="495" t="s">
        <v>74</v>
      </c>
      <c r="G209" s="496" t="s">
        <v>74</v>
      </c>
      <c r="H209" s="528">
        <v>0</v>
      </c>
      <c r="I209" s="496">
        <v>0</v>
      </c>
      <c r="J209" s="528">
        <v>21157</v>
      </c>
      <c r="K209" s="496">
        <v>19128</v>
      </c>
      <c r="L209" s="528">
        <v>3558</v>
      </c>
      <c r="M209" s="496">
        <v>3122</v>
      </c>
      <c r="N209" s="528">
        <v>22222</v>
      </c>
      <c r="O209" s="496">
        <v>20579</v>
      </c>
      <c r="P209" s="640">
        <f t="shared" si="72"/>
        <v>46937</v>
      </c>
      <c r="Q209" s="640">
        <f t="shared" si="73"/>
        <v>1564.5666666666666</v>
      </c>
      <c r="R209" s="641">
        <f t="shared" si="74"/>
        <v>42829</v>
      </c>
      <c r="S209" s="641">
        <f t="shared" si="75"/>
        <v>1427.6333333333334</v>
      </c>
      <c r="T209" s="528"/>
      <c r="U209" s="496"/>
      <c r="V209" s="640">
        <f t="shared" si="76"/>
        <v>0</v>
      </c>
      <c r="W209" s="641">
        <f t="shared" si="77"/>
        <v>0</v>
      </c>
      <c r="X209" s="528"/>
      <c r="Y209" s="496"/>
      <c r="Z209" s="528"/>
      <c r="AA209" s="496"/>
      <c r="AB209" s="528"/>
      <c r="AC209" s="496"/>
      <c r="AD209" s="528"/>
      <c r="AE209" s="496"/>
      <c r="AF209" s="640">
        <f t="shared" si="78"/>
        <v>0</v>
      </c>
      <c r="AG209" s="640">
        <f t="shared" si="79"/>
        <v>0</v>
      </c>
      <c r="AH209" s="641">
        <f t="shared" si="80"/>
        <v>0</v>
      </c>
      <c r="AI209" s="641">
        <f t="shared" si="81"/>
        <v>0</v>
      </c>
      <c r="AJ209" s="528"/>
      <c r="AK209" s="496"/>
      <c r="AL209" s="640">
        <f t="shared" si="82"/>
        <v>0</v>
      </c>
      <c r="AM209" s="641">
        <f t="shared" si="83"/>
        <v>0</v>
      </c>
      <c r="AN209" s="528">
        <v>0</v>
      </c>
      <c r="AO209" s="496">
        <v>0</v>
      </c>
      <c r="AP209" s="528">
        <v>0</v>
      </c>
      <c r="AQ209" s="496"/>
      <c r="AR209" s="528">
        <v>0</v>
      </c>
      <c r="AS209" s="496"/>
      <c r="AT209" s="528">
        <v>0</v>
      </c>
      <c r="AU209" s="496"/>
      <c r="AV209" s="640">
        <f t="shared" si="84"/>
        <v>0</v>
      </c>
      <c r="AW209" s="640">
        <f t="shared" si="85"/>
        <v>0</v>
      </c>
      <c r="AX209" s="641">
        <f t="shared" si="86"/>
        <v>0</v>
      </c>
      <c r="AY209" s="641">
        <f t="shared" si="87"/>
        <v>0</v>
      </c>
      <c r="AZ209" s="640">
        <f t="shared" si="88"/>
        <v>1564.5666666666666</v>
      </c>
      <c r="BA209" s="641">
        <f t="shared" si="89"/>
        <v>1427.6333333333334</v>
      </c>
    </row>
    <row r="210" spans="1:53" s="365" customFormat="1" ht="12.6" customHeight="1">
      <c r="A210" s="429" t="s">
        <v>461</v>
      </c>
      <c r="B210" s="413" t="s">
        <v>473</v>
      </c>
      <c r="C210" s="414"/>
      <c r="D210" s="619">
        <v>161767</v>
      </c>
      <c r="E210" s="494">
        <v>8</v>
      </c>
      <c r="F210" s="495" t="s">
        <v>74</v>
      </c>
      <c r="G210" s="496" t="s">
        <v>74</v>
      </c>
      <c r="H210" s="528">
        <v>5210</v>
      </c>
      <c r="I210" s="496">
        <v>4682</v>
      </c>
      <c r="J210" s="528">
        <v>89281</v>
      </c>
      <c r="K210" s="496">
        <v>81003</v>
      </c>
      <c r="L210" s="528">
        <v>28777</v>
      </c>
      <c r="M210" s="496">
        <v>22975</v>
      </c>
      <c r="N210" s="528">
        <v>98900</v>
      </c>
      <c r="O210" s="496">
        <v>86525</v>
      </c>
      <c r="P210" s="640">
        <f t="shared" si="72"/>
        <v>222168</v>
      </c>
      <c r="Q210" s="640">
        <f t="shared" si="73"/>
        <v>7405.6</v>
      </c>
      <c r="R210" s="641">
        <f t="shared" si="74"/>
        <v>195185</v>
      </c>
      <c r="S210" s="641">
        <f t="shared" si="75"/>
        <v>6506.166666666667</v>
      </c>
      <c r="T210" s="528"/>
      <c r="U210" s="496"/>
      <c r="V210" s="640">
        <f t="shared" si="76"/>
        <v>0</v>
      </c>
      <c r="W210" s="641">
        <f t="shared" si="77"/>
        <v>0</v>
      </c>
      <c r="X210" s="528"/>
      <c r="Y210" s="496"/>
      <c r="Z210" s="528"/>
      <c r="AA210" s="496"/>
      <c r="AB210" s="528"/>
      <c r="AC210" s="496"/>
      <c r="AD210" s="528"/>
      <c r="AE210" s="496"/>
      <c r="AF210" s="640">
        <f t="shared" si="78"/>
        <v>0</v>
      </c>
      <c r="AG210" s="640">
        <f t="shared" si="79"/>
        <v>0</v>
      </c>
      <c r="AH210" s="641">
        <f t="shared" si="80"/>
        <v>0</v>
      </c>
      <c r="AI210" s="641">
        <f t="shared" si="81"/>
        <v>0</v>
      </c>
      <c r="AJ210" s="528"/>
      <c r="AK210" s="496"/>
      <c r="AL210" s="640">
        <f t="shared" si="82"/>
        <v>0</v>
      </c>
      <c r="AM210" s="641">
        <f t="shared" si="83"/>
        <v>0</v>
      </c>
      <c r="AN210" s="528">
        <v>0</v>
      </c>
      <c r="AO210" s="496">
        <v>0</v>
      </c>
      <c r="AP210" s="528">
        <v>0</v>
      </c>
      <c r="AQ210" s="496"/>
      <c r="AR210" s="528">
        <v>0</v>
      </c>
      <c r="AS210" s="496"/>
      <c r="AT210" s="528">
        <v>0</v>
      </c>
      <c r="AU210" s="496"/>
      <c r="AV210" s="640">
        <f t="shared" si="84"/>
        <v>0</v>
      </c>
      <c r="AW210" s="640">
        <f t="shared" si="85"/>
        <v>0</v>
      </c>
      <c r="AX210" s="641">
        <f t="shared" si="86"/>
        <v>0</v>
      </c>
      <c r="AY210" s="641">
        <f t="shared" si="87"/>
        <v>0</v>
      </c>
      <c r="AZ210" s="640">
        <f t="shared" si="88"/>
        <v>7405.6</v>
      </c>
      <c r="BA210" s="641">
        <f t="shared" si="89"/>
        <v>6506.166666666667</v>
      </c>
    </row>
    <row r="211" spans="1:53" s="365" customFormat="1" ht="12.6" customHeight="1">
      <c r="A211" s="429" t="s">
        <v>461</v>
      </c>
      <c r="B211" s="413" t="s">
        <v>480</v>
      </c>
      <c r="C211" s="414"/>
      <c r="D211" s="619">
        <v>161864</v>
      </c>
      <c r="E211" s="494">
        <v>9</v>
      </c>
      <c r="F211" s="495" t="s">
        <v>74</v>
      </c>
      <c r="G211" s="496" t="s">
        <v>74</v>
      </c>
      <c r="H211" s="528">
        <v>68</v>
      </c>
      <c r="I211" s="496">
        <v>886</v>
      </c>
      <c r="J211" s="528">
        <v>36965</v>
      </c>
      <c r="K211" s="496">
        <v>28744</v>
      </c>
      <c r="L211" s="528">
        <v>11036</v>
      </c>
      <c r="M211" s="496">
        <v>10199</v>
      </c>
      <c r="N211" s="528">
        <v>33933</v>
      </c>
      <c r="O211" s="496">
        <v>29480</v>
      </c>
      <c r="P211" s="640">
        <f t="shared" si="72"/>
        <v>82002</v>
      </c>
      <c r="Q211" s="640">
        <f t="shared" si="73"/>
        <v>2733.4</v>
      </c>
      <c r="R211" s="641">
        <f t="shared" si="74"/>
        <v>69309</v>
      </c>
      <c r="S211" s="641">
        <f t="shared" si="75"/>
        <v>2310.3000000000002</v>
      </c>
      <c r="T211" s="528"/>
      <c r="U211" s="496"/>
      <c r="V211" s="640">
        <f t="shared" si="76"/>
        <v>0</v>
      </c>
      <c r="W211" s="641">
        <f t="shared" si="77"/>
        <v>0</v>
      </c>
      <c r="X211" s="528"/>
      <c r="Y211" s="496"/>
      <c r="Z211" s="528"/>
      <c r="AA211" s="496"/>
      <c r="AB211" s="528"/>
      <c r="AC211" s="496"/>
      <c r="AD211" s="528"/>
      <c r="AE211" s="496"/>
      <c r="AF211" s="640">
        <f t="shared" si="78"/>
        <v>0</v>
      </c>
      <c r="AG211" s="640">
        <f t="shared" si="79"/>
        <v>0</v>
      </c>
      <c r="AH211" s="641">
        <f t="shared" si="80"/>
        <v>0</v>
      </c>
      <c r="AI211" s="641">
        <f t="shared" si="81"/>
        <v>0</v>
      </c>
      <c r="AJ211" s="528"/>
      <c r="AK211" s="496"/>
      <c r="AL211" s="640">
        <f t="shared" si="82"/>
        <v>0</v>
      </c>
      <c r="AM211" s="641">
        <f t="shared" si="83"/>
        <v>0</v>
      </c>
      <c r="AN211" s="528">
        <v>0</v>
      </c>
      <c r="AO211" s="496">
        <v>0</v>
      </c>
      <c r="AP211" s="528">
        <v>0</v>
      </c>
      <c r="AQ211" s="496"/>
      <c r="AR211" s="528">
        <v>0</v>
      </c>
      <c r="AS211" s="496"/>
      <c r="AT211" s="528">
        <v>0</v>
      </c>
      <c r="AU211" s="496"/>
      <c r="AV211" s="640">
        <f t="shared" si="84"/>
        <v>0</v>
      </c>
      <c r="AW211" s="640">
        <f t="shared" si="85"/>
        <v>0</v>
      </c>
      <c r="AX211" s="641">
        <f t="shared" si="86"/>
        <v>0</v>
      </c>
      <c r="AY211" s="641">
        <f t="shared" si="87"/>
        <v>0</v>
      </c>
      <c r="AZ211" s="640">
        <f t="shared" si="88"/>
        <v>2733.4</v>
      </c>
      <c r="BA211" s="641">
        <f t="shared" si="89"/>
        <v>2310.3000000000002</v>
      </c>
    </row>
    <row r="212" spans="1:53" s="365" customFormat="1" ht="12.6" customHeight="1">
      <c r="A212" s="429" t="s">
        <v>461</v>
      </c>
      <c r="B212" s="413" t="s">
        <v>481</v>
      </c>
      <c r="C212" s="414"/>
      <c r="D212" s="619">
        <v>405872</v>
      </c>
      <c r="E212" s="494">
        <v>9</v>
      </c>
      <c r="F212" s="495" t="s">
        <v>74</v>
      </c>
      <c r="G212" s="496" t="s">
        <v>74</v>
      </c>
      <c r="H212" s="528">
        <v>1914</v>
      </c>
      <c r="I212" s="496">
        <v>1835</v>
      </c>
      <c r="J212" s="528">
        <v>22153.5</v>
      </c>
      <c r="K212" s="496">
        <v>20308</v>
      </c>
      <c r="L212" s="528">
        <v>4729</v>
      </c>
      <c r="M212" s="496">
        <v>3907</v>
      </c>
      <c r="N212" s="528">
        <v>24396.5</v>
      </c>
      <c r="O212" s="496">
        <v>21536</v>
      </c>
      <c r="P212" s="640">
        <f t="shared" si="72"/>
        <v>53193</v>
      </c>
      <c r="Q212" s="640">
        <f t="shared" si="73"/>
        <v>1773.1</v>
      </c>
      <c r="R212" s="641">
        <f t="shared" si="74"/>
        <v>47586</v>
      </c>
      <c r="S212" s="641">
        <f t="shared" si="75"/>
        <v>1586.2</v>
      </c>
      <c r="T212" s="528"/>
      <c r="U212" s="496"/>
      <c r="V212" s="640">
        <f t="shared" si="76"/>
        <v>0</v>
      </c>
      <c r="W212" s="641">
        <f t="shared" si="77"/>
        <v>0</v>
      </c>
      <c r="X212" s="528"/>
      <c r="Y212" s="496"/>
      <c r="Z212" s="528"/>
      <c r="AA212" s="496"/>
      <c r="AB212" s="528"/>
      <c r="AC212" s="496"/>
      <c r="AD212" s="528"/>
      <c r="AE212" s="496"/>
      <c r="AF212" s="640">
        <f t="shared" si="78"/>
        <v>0</v>
      </c>
      <c r="AG212" s="640">
        <f t="shared" si="79"/>
        <v>0</v>
      </c>
      <c r="AH212" s="641">
        <f t="shared" si="80"/>
        <v>0</v>
      </c>
      <c r="AI212" s="641">
        <f t="shared" si="81"/>
        <v>0</v>
      </c>
      <c r="AJ212" s="528"/>
      <c r="AK212" s="496"/>
      <c r="AL212" s="640">
        <f t="shared" si="82"/>
        <v>0</v>
      </c>
      <c r="AM212" s="641">
        <f t="shared" si="83"/>
        <v>0</v>
      </c>
      <c r="AN212" s="528">
        <v>0</v>
      </c>
      <c r="AO212" s="496">
        <v>0</v>
      </c>
      <c r="AP212" s="528">
        <v>0</v>
      </c>
      <c r="AQ212" s="496"/>
      <c r="AR212" s="528">
        <v>0</v>
      </c>
      <c r="AS212" s="496"/>
      <c r="AT212" s="528">
        <v>0</v>
      </c>
      <c r="AU212" s="496"/>
      <c r="AV212" s="640">
        <f t="shared" si="84"/>
        <v>0</v>
      </c>
      <c r="AW212" s="640">
        <f t="shared" si="85"/>
        <v>0</v>
      </c>
      <c r="AX212" s="641">
        <f t="shared" si="86"/>
        <v>0</v>
      </c>
      <c r="AY212" s="641">
        <f t="shared" si="87"/>
        <v>0</v>
      </c>
      <c r="AZ212" s="640">
        <f t="shared" si="88"/>
        <v>1773.1</v>
      </c>
      <c r="BA212" s="641">
        <f t="shared" si="89"/>
        <v>1586.2</v>
      </c>
    </row>
    <row r="213" spans="1:53" s="365" customFormat="1" ht="12.6" customHeight="1">
      <c r="A213" s="429" t="s">
        <v>461</v>
      </c>
      <c r="B213" s="413" t="s">
        <v>486</v>
      </c>
      <c r="C213" s="414"/>
      <c r="D213" s="619">
        <v>162104</v>
      </c>
      <c r="E213" s="494">
        <v>10</v>
      </c>
      <c r="F213" s="495" t="s">
        <v>74</v>
      </c>
      <c r="G213" s="496" t="s">
        <v>74</v>
      </c>
      <c r="H213" s="528">
        <v>0</v>
      </c>
      <c r="I213" s="496">
        <v>0</v>
      </c>
      <c r="J213" s="528">
        <v>17396</v>
      </c>
      <c r="K213" s="496">
        <v>13253</v>
      </c>
      <c r="L213" s="528">
        <v>2853</v>
      </c>
      <c r="M213" s="496">
        <v>2436</v>
      </c>
      <c r="N213" s="528">
        <v>17487</v>
      </c>
      <c r="O213" s="496">
        <v>14507</v>
      </c>
      <c r="P213" s="640">
        <f t="shared" si="72"/>
        <v>37736</v>
      </c>
      <c r="Q213" s="640">
        <f t="shared" si="73"/>
        <v>1257.8666666666666</v>
      </c>
      <c r="R213" s="641">
        <f t="shared" si="74"/>
        <v>30196</v>
      </c>
      <c r="S213" s="641">
        <f t="shared" si="75"/>
        <v>1006.5333333333333</v>
      </c>
      <c r="T213" s="528"/>
      <c r="U213" s="496"/>
      <c r="V213" s="640">
        <f t="shared" si="76"/>
        <v>0</v>
      </c>
      <c r="W213" s="641">
        <f t="shared" si="77"/>
        <v>0</v>
      </c>
      <c r="X213" s="528"/>
      <c r="Y213" s="496"/>
      <c r="Z213" s="528"/>
      <c r="AA213" s="496"/>
      <c r="AB213" s="528"/>
      <c r="AC213" s="496"/>
      <c r="AD213" s="528"/>
      <c r="AE213" s="496"/>
      <c r="AF213" s="640">
        <f t="shared" si="78"/>
        <v>0</v>
      </c>
      <c r="AG213" s="640">
        <f t="shared" si="79"/>
        <v>0</v>
      </c>
      <c r="AH213" s="641">
        <f t="shared" si="80"/>
        <v>0</v>
      </c>
      <c r="AI213" s="641">
        <f t="shared" si="81"/>
        <v>0</v>
      </c>
      <c r="AJ213" s="528"/>
      <c r="AK213" s="496"/>
      <c r="AL213" s="640">
        <f t="shared" si="82"/>
        <v>0</v>
      </c>
      <c r="AM213" s="641">
        <f t="shared" si="83"/>
        <v>0</v>
      </c>
      <c r="AN213" s="528">
        <v>0</v>
      </c>
      <c r="AO213" s="496">
        <v>0</v>
      </c>
      <c r="AP213" s="528">
        <v>0</v>
      </c>
      <c r="AQ213" s="496"/>
      <c r="AR213" s="528">
        <v>0</v>
      </c>
      <c r="AS213" s="496"/>
      <c r="AT213" s="528">
        <v>0</v>
      </c>
      <c r="AU213" s="496"/>
      <c r="AV213" s="640">
        <f t="shared" si="84"/>
        <v>0</v>
      </c>
      <c r="AW213" s="640">
        <f t="shared" si="85"/>
        <v>0</v>
      </c>
      <c r="AX213" s="641">
        <f t="shared" si="86"/>
        <v>0</v>
      </c>
      <c r="AY213" s="641">
        <f t="shared" si="87"/>
        <v>0</v>
      </c>
      <c r="AZ213" s="640">
        <f t="shared" si="88"/>
        <v>1257.8666666666666</v>
      </c>
      <c r="BA213" s="641">
        <f t="shared" si="89"/>
        <v>1006.5333333333333</v>
      </c>
    </row>
    <row r="214" spans="1:53" s="365" customFormat="1" ht="12.6" customHeight="1">
      <c r="A214" s="429" t="s">
        <v>461</v>
      </c>
      <c r="B214" s="413" t="s">
        <v>487</v>
      </c>
      <c r="C214" s="415"/>
      <c r="D214" s="619">
        <v>162168</v>
      </c>
      <c r="E214" s="494">
        <v>10</v>
      </c>
      <c r="F214" s="495" t="s">
        <v>74</v>
      </c>
      <c r="G214" s="496" t="s">
        <v>74</v>
      </c>
      <c r="H214" s="528">
        <v>436</v>
      </c>
      <c r="I214" s="496">
        <v>494</v>
      </c>
      <c r="J214" s="528">
        <v>14898</v>
      </c>
      <c r="K214" s="496">
        <v>12986</v>
      </c>
      <c r="L214" s="528">
        <v>2476</v>
      </c>
      <c r="M214" s="496">
        <v>2064</v>
      </c>
      <c r="N214" s="528">
        <v>15505</v>
      </c>
      <c r="O214" s="496">
        <v>14034</v>
      </c>
      <c r="P214" s="640">
        <f t="shared" si="72"/>
        <v>33315</v>
      </c>
      <c r="Q214" s="640">
        <f t="shared" si="73"/>
        <v>1110.5</v>
      </c>
      <c r="R214" s="641">
        <f t="shared" si="74"/>
        <v>29578</v>
      </c>
      <c r="S214" s="641">
        <f t="shared" si="75"/>
        <v>985.93333333333328</v>
      </c>
      <c r="T214" s="528"/>
      <c r="U214" s="496"/>
      <c r="V214" s="640">
        <f t="shared" si="76"/>
        <v>0</v>
      </c>
      <c r="W214" s="641">
        <f t="shared" si="77"/>
        <v>0</v>
      </c>
      <c r="X214" s="528"/>
      <c r="Y214" s="496"/>
      <c r="Z214" s="528"/>
      <c r="AA214" s="496"/>
      <c r="AB214" s="528"/>
      <c r="AC214" s="496"/>
      <c r="AD214" s="528"/>
      <c r="AE214" s="496"/>
      <c r="AF214" s="640">
        <f t="shared" si="78"/>
        <v>0</v>
      </c>
      <c r="AG214" s="640">
        <f t="shared" si="79"/>
        <v>0</v>
      </c>
      <c r="AH214" s="641">
        <f t="shared" si="80"/>
        <v>0</v>
      </c>
      <c r="AI214" s="641">
        <f t="shared" si="81"/>
        <v>0</v>
      </c>
      <c r="AJ214" s="528"/>
      <c r="AK214" s="496"/>
      <c r="AL214" s="640">
        <f t="shared" si="82"/>
        <v>0</v>
      </c>
      <c r="AM214" s="641">
        <f t="shared" si="83"/>
        <v>0</v>
      </c>
      <c r="AN214" s="528">
        <v>0</v>
      </c>
      <c r="AO214" s="496">
        <v>0</v>
      </c>
      <c r="AP214" s="528">
        <v>0</v>
      </c>
      <c r="AQ214" s="496"/>
      <c r="AR214" s="528">
        <v>0</v>
      </c>
      <c r="AS214" s="496"/>
      <c r="AT214" s="528">
        <v>0</v>
      </c>
      <c r="AU214" s="496"/>
      <c r="AV214" s="640">
        <f t="shared" si="84"/>
        <v>0</v>
      </c>
      <c r="AW214" s="640">
        <f t="shared" si="85"/>
        <v>0</v>
      </c>
      <c r="AX214" s="641">
        <f t="shared" si="86"/>
        <v>0</v>
      </c>
      <c r="AY214" s="641">
        <f t="shared" si="87"/>
        <v>0</v>
      </c>
      <c r="AZ214" s="640">
        <f t="shared" si="88"/>
        <v>1110.5</v>
      </c>
      <c r="BA214" s="641">
        <f t="shared" si="89"/>
        <v>985.93333333333328</v>
      </c>
    </row>
    <row r="215" spans="1:53" s="365" customFormat="1" ht="12.6" customHeight="1">
      <c r="A215" s="429" t="s">
        <v>461</v>
      </c>
      <c r="B215" s="413" t="s">
        <v>474</v>
      </c>
      <c r="C215" s="414"/>
      <c r="D215" s="619">
        <v>162122</v>
      </c>
      <c r="E215" s="529">
        <v>9</v>
      </c>
      <c r="F215" s="495" t="s">
        <v>74</v>
      </c>
      <c r="G215" s="496" t="s">
        <v>74</v>
      </c>
      <c r="H215" s="528">
        <v>1478</v>
      </c>
      <c r="I215" s="496">
        <v>1779</v>
      </c>
      <c r="J215" s="528">
        <v>53974</v>
      </c>
      <c r="K215" s="496">
        <v>66127</v>
      </c>
      <c r="L215" s="528">
        <v>14091</v>
      </c>
      <c r="M215" s="496">
        <v>14304</v>
      </c>
      <c r="N215" s="528">
        <v>55302</v>
      </c>
      <c r="O215" s="496">
        <v>61960</v>
      </c>
      <c r="P215" s="640">
        <f t="shared" si="72"/>
        <v>124845</v>
      </c>
      <c r="Q215" s="640">
        <f t="shared" si="73"/>
        <v>4161.5</v>
      </c>
      <c r="R215" s="641">
        <f t="shared" si="74"/>
        <v>144170</v>
      </c>
      <c r="S215" s="641">
        <f t="shared" si="75"/>
        <v>4805.666666666667</v>
      </c>
      <c r="T215" s="528"/>
      <c r="U215" s="496"/>
      <c r="V215" s="640">
        <f t="shared" si="76"/>
        <v>0</v>
      </c>
      <c r="W215" s="641">
        <f t="shared" si="77"/>
        <v>0</v>
      </c>
      <c r="X215" s="528"/>
      <c r="Y215" s="496"/>
      <c r="Z215" s="528"/>
      <c r="AA215" s="496"/>
      <c r="AB215" s="528"/>
      <c r="AC215" s="496"/>
      <c r="AD215" s="528"/>
      <c r="AE215" s="496"/>
      <c r="AF215" s="640">
        <f t="shared" si="78"/>
        <v>0</v>
      </c>
      <c r="AG215" s="640">
        <f t="shared" si="79"/>
        <v>0</v>
      </c>
      <c r="AH215" s="641">
        <f t="shared" si="80"/>
        <v>0</v>
      </c>
      <c r="AI215" s="641">
        <f t="shared" si="81"/>
        <v>0</v>
      </c>
      <c r="AJ215" s="528"/>
      <c r="AK215" s="496"/>
      <c r="AL215" s="640">
        <f t="shared" si="82"/>
        <v>0</v>
      </c>
      <c r="AM215" s="641">
        <f t="shared" si="83"/>
        <v>0</v>
      </c>
      <c r="AN215" s="528">
        <v>0</v>
      </c>
      <c r="AO215" s="496">
        <v>0</v>
      </c>
      <c r="AP215" s="528">
        <v>0</v>
      </c>
      <c r="AQ215" s="496"/>
      <c r="AR215" s="528">
        <v>0</v>
      </c>
      <c r="AS215" s="496"/>
      <c r="AT215" s="528">
        <v>0</v>
      </c>
      <c r="AU215" s="496"/>
      <c r="AV215" s="640">
        <f t="shared" si="84"/>
        <v>0</v>
      </c>
      <c r="AW215" s="640">
        <f t="shared" si="85"/>
        <v>0</v>
      </c>
      <c r="AX215" s="641">
        <f t="shared" si="86"/>
        <v>0</v>
      </c>
      <c r="AY215" s="641">
        <f t="shared" si="87"/>
        <v>0</v>
      </c>
      <c r="AZ215" s="640">
        <f t="shared" si="88"/>
        <v>4161.5</v>
      </c>
      <c r="BA215" s="641">
        <f t="shared" si="89"/>
        <v>4805.666666666667</v>
      </c>
    </row>
    <row r="216" spans="1:53" s="365" customFormat="1" ht="12.6" customHeight="1">
      <c r="A216" s="429" t="s">
        <v>461</v>
      </c>
      <c r="B216" s="413" t="s">
        <v>475</v>
      </c>
      <c r="C216" s="414"/>
      <c r="D216" s="619">
        <v>434672</v>
      </c>
      <c r="E216" s="494">
        <v>8</v>
      </c>
      <c r="F216" s="495" t="s">
        <v>74</v>
      </c>
      <c r="G216" s="496" t="s">
        <v>74</v>
      </c>
      <c r="H216" s="528">
        <v>9969</v>
      </c>
      <c r="I216" s="496">
        <v>10141</v>
      </c>
      <c r="J216" s="528">
        <v>126252.5</v>
      </c>
      <c r="K216" s="496">
        <v>122394</v>
      </c>
      <c r="L216" s="528">
        <v>31410</v>
      </c>
      <c r="M216" s="496">
        <v>29876</v>
      </c>
      <c r="N216" s="528">
        <v>145713</v>
      </c>
      <c r="O216" s="496">
        <v>130320</v>
      </c>
      <c r="P216" s="640">
        <f t="shared" si="72"/>
        <v>313344.5</v>
      </c>
      <c r="Q216" s="640">
        <f t="shared" si="73"/>
        <v>10444.816666666668</v>
      </c>
      <c r="R216" s="641">
        <f t="shared" si="74"/>
        <v>292731</v>
      </c>
      <c r="S216" s="641">
        <f t="shared" si="75"/>
        <v>9757.7000000000007</v>
      </c>
      <c r="T216" s="528"/>
      <c r="U216" s="496"/>
      <c r="V216" s="640">
        <f t="shared" si="76"/>
        <v>0</v>
      </c>
      <c r="W216" s="641">
        <f t="shared" si="77"/>
        <v>0</v>
      </c>
      <c r="X216" s="528"/>
      <c r="Y216" s="496"/>
      <c r="Z216" s="528"/>
      <c r="AA216" s="496"/>
      <c r="AB216" s="528"/>
      <c r="AC216" s="496"/>
      <c r="AD216" s="528"/>
      <c r="AE216" s="496"/>
      <c r="AF216" s="640">
        <f t="shared" si="78"/>
        <v>0</v>
      </c>
      <c r="AG216" s="640">
        <f t="shared" si="79"/>
        <v>0</v>
      </c>
      <c r="AH216" s="641">
        <f t="shared" si="80"/>
        <v>0</v>
      </c>
      <c r="AI216" s="641">
        <f t="shared" si="81"/>
        <v>0</v>
      </c>
      <c r="AJ216" s="528"/>
      <c r="AK216" s="496"/>
      <c r="AL216" s="640">
        <f t="shared" si="82"/>
        <v>0</v>
      </c>
      <c r="AM216" s="641">
        <f t="shared" si="83"/>
        <v>0</v>
      </c>
      <c r="AN216" s="528">
        <v>0</v>
      </c>
      <c r="AO216" s="496">
        <v>0</v>
      </c>
      <c r="AP216" s="528">
        <v>0</v>
      </c>
      <c r="AQ216" s="496"/>
      <c r="AR216" s="528">
        <v>0</v>
      </c>
      <c r="AS216" s="496"/>
      <c r="AT216" s="528">
        <v>0</v>
      </c>
      <c r="AU216" s="496"/>
      <c r="AV216" s="640">
        <f t="shared" si="84"/>
        <v>0</v>
      </c>
      <c r="AW216" s="640">
        <f t="shared" si="85"/>
        <v>0</v>
      </c>
      <c r="AX216" s="641">
        <f t="shared" si="86"/>
        <v>0</v>
      </c>
      <c r="AY216" s="641">
        <f t="shared" si="87"/>
        <v>0</v>
      </c>
      <c r="AZ216" s="640">
        <f t="shared" si="88"/>
        <v>10444.816666666668</v>
      </c>
      <c r="BA216" s="641">
        <f t="shared" si="89"/>
        <v>9757.7000000000007</v>
      </c>
    </row>
    <row r="217" spans="1:53" s="365" customFormat="1" ht="12.6" customHeight="1">
      <c r="A217" s="429" t="s">
        <v>461</v>
      </c>
      <c r="B217" s="413" t="s">
        <v>482</v>
      </c>
      <c r="C217" s="414"/>
      <c r="D217" s="619">
        <v>162557</v>
      </c>
      <c r="E217" s="494">
        <v>9</v>
      </c>
      <c r="F217" s="495" t="s">
        <v>74</v>
      </c>
      <c r="G217" s="496" t="s">
        <v>74</v>
      </c>
      <c r="H217" s="528">
        <v>0</v>
      </c>
      <c r="I217" s="496">
        <v>0</v>
      </c>
      <c r="J217" s="528">
        <v>47021</v>
      </c>
      <c r="K217" s="496">
        <v>41747</v>
      </c>
      <c r="L217" s="528">
        <v>9113</v>
      </c>
      <c r="M217" s="496">
        <v>7932</v>
      </c>
      <c r="N217" s="528">
        <v>46640</v>
      </c>
      <c r="O217" s="496">
        <v>44187</v>
      </c>
      <c r="P217" s="640">
        <f t="shared" si="72"/>
        <v>102774</v>
      </c>
      <c r="Q217" s="640">
        <f t="shared" si="73"/>
        <v>3425.8</v>
      </c>
      <c r="R217" s="641">
        <f t="shared" si="74"/>
        <v>93866</v>
      </c>
      <c r="S217" s="641">
        <f t="shared" si="75"/>
        <v>3128.8666666666668</v>
      </c>
      <c r="T217" s="528"/>
      <c r="U217" s="496"/>
      <c r="V217" s="640">
        <f t="shared" si="76"/>
        <v>0</v>
      </c>
      <c r="W217" s="641">
        <f t="shared" si="77"/>
        <v>0</v>
      </c>
      <c r="X217" s="528"/>
      <c r="Y217" s="496"/>
      <c r="Z217" s="528"/>
      <c r="AA217" s="496"/>
      <c r="AB217" s="528"/>
      <c r="AC217" s="496"/>
      <c r="AD217" s="528"/>
      <c r="AE217" s="496"/>
      <c r="AF217" s="640">
        <f t="shared" si="78"/>
        <v>0</v>
      </c>
      <c r="AG217" s="640">
        <f t="shared" si="79"/>
        <v>0</v>
      </c>
      <c r="AH217" s="641">
        <f t="shared" si="80"/>
        <v>0</v>
      </c>
      <c r="AI217" s="641">
        <f t="shared" si="81"/>
        <v>0</v>
      </c>
      <c r="AJ217" s="528"/>
      <c r="AK217" s="496"/>
      <c r="AL217" s="640">
        <f t="shared" si="82"/>
        <v>0</v>
      </c>
      <c r="AM217" s="641">
        <f t="shared" si="83"/>
        <v>0</v>
      </c>
      <c r="AN217" s="528">
        <v>0</v>
      </c>
      <c r="AO217" s="496">
        <v>0</v>
      </c>
      <c r="AP217" s="528">
        <v>0</v>
      </c>
      <c r="AQ217" s="496"/>
      <c r="AR217" s="528">
        <v>0</v>
      </c>
      <c r="AS217" s="496"/>
      <c r="AT217" s="528">
        <v>0</v>
      </c>
      <c r="AU217" s="496"/>
      <c r="AV217" s="640">
        <f t="shared" si="84"/>
        <v>0</v>
      </c>
      <c r="AW217" s="640">
        <f t="shared" si="85"/>
        <v>0</v>
      </c>
      <c r="AX217" s="641">
        <f t="shared" si="86"/>
        <v>0</v>
      </c>
      <c r="AY217" s="641">
        <f t="shared" si="87"/>
        <v>0</v>
      </c>
      <c r="AZ217" s="640">
        <f t="shared" si="88"/>
        <v>3425.8</v>
      </c>
      <c r="BA217" s="641">
        <f t="shared" si="89"/>
        <v>3128.8666666666668</v>
      </c>
    </row>
    <row r="218" spans="1:53" s="365" customFormat="1" ht="12.6" customHeight="1">
      <c r="A218" s="429" t="s">
        <v>461</v>
      </c>
      <c r="B218" s="413" t="s">
        <v>488</v>
      </c>
      <c r="C218" s="414"/>
      <c r="D218" s="619">
        <v>162609</v>
      </c>
      <c r="E218" s="494">
        <v>10</v>
      </c>
      <c r="F218" s="495" t="s">
        <v>74</v>
      </c>
      <c r="G218" s="496" t="s">
        <v>74</v>
      </c>
      <c r="H218" s="528">
        <v>362</v>
      </c>
      <c r="I218" s="496">
        <v>262</v>
      </c>
      <c r="J218" s="528">
        <v>6181</v>
      </c>
      <c r="K218" s="496">
        <v>4982</v>
      </c>
      <c r="L218" s="528">
        <v>539</v>
      </c>
      <c r="M218" s="496">
        <v>575</v>
      </c>
      <c r="N218" s="528">
        <v>6422.25</v>
      </c>
      <c r="O218" s="496">
        <v>5705</v>
      </c>
      <c r="P218" s="640">
        <f t="shared" si="72"/>
        <v>13504.25</v>
      </c>
      <c r="Q218" s="640">
        <f t="shared" si="73"/>
        <v>450.14166666666665</v>
      </c>
      <c r="R218" s="641">
        <f t="shared" si="74"/>
        <v>11524</v>
      </c>
      <c r="S218" s="641">
        <f t="shared" si="75"/>
        <v>384.13333333333333</v>
      </c>
      <c r="T218" s="528"/>
      <c r="U218" s="496"/>
      <c r="V218" s="640">
        <f t="shared" si="76"/>
        <v>0</v>
      </c>
      <c r="W218" s="641">
        <f t="shared" si="77"/>
        <v>0</v>
      </c>
      <c r="X218" s="528"/>
      <c r="Y218" s="496"/>
      <c r="Z218" s="528"/>
      <c r="AA218" s="496"/>
      <c r="AB218" s="528"/>
      <c r="AC218" s="496"/>
      <c r="AD218" s="528"/>
      <c r="AE218" s="496"/>
      <c r="AF218" s="640">
        <f t="shared" si="78"/>
        <v>0</v>
      </c>
      <c r="AG218" s="640">
        <f t="shared" si="79"/>
        <v>0</v>
      </c>
      <c r="AH218" s="641">
        <f t="shared" si="80"/>
        <v>0</v>
      </c>
      <c r="AI218" s="641">
        <f t="shared" si="81"/>
        <v>0</v>
      </c>
      <c r="AJ218" s="528"/>
      <c r="AK218" s="496"/>
      <c r="AL218" s="640">
        <f t="shared" si="82"/>
        <v>0</v>
      </c>
      <c r="AM218" s="641">
        <f t="shared" si="83"/>
        <v>0</v>
      </c>
      <c r="AN218" s="528">
        <v>0</v>
      </c>
      <c r="AO218" s="496">
        <v>0</v>
      </c>
      <c r="AP218" s="528">
        <v>0</v>
      </c>
      <c r="AQ218" s="496"/>
      <c r="AR218" s="528">
        <v>0</v>
      </c>
      <c r="AS218" s="496"/>
      <c r="AT218" s="528">
        <v>0</v>
      </c>
      <c r="AU218" s="496"/>
      <c r="AV218" s="640">
        <f t="shared" si="84"/>
        <v>0</v>
      </c>
      <c r="AW218" s="640">
        <f t="shared" si="85"/>
        <v>0</v>
      </c>
      <c r="AX218" s="641">
        <f t="shared" si="86"/>
        <v>0</v>
      </c>
      <c r="AY218" s="641">
        <f t="shared" si="87"/>
        <v>0</v>
      </c>
      <c r="AZ218" s="640">
        <f t="shared" si="88"/>
        <v>450.14166666666665</v>
      </c>
      <c r="BA218" s="641">
        <f t="shared" si="89"/>
        <v>384.13333333333333</v>
      </c>
    </row>
    <row r="219" spans="1:53" s="365" customFormat="1" ht="12.6" customHeight="1">
      <c r="A219" s="429" t="s">
        <v>461</v>
      </c>
      <c r="B219" s="413" t="s">
        <v>483</v>
      </c>
      <c r="C219" s="414"/>
      <c r="D219" s="619">
        <v>162690</v>
      </c>
      <c r="E219" s="494">
        <v>9</v>
      </c>
      <c r="F219" s="495" t="s">
        <v>74</v>
      </c>
      <c r="G219" s="496" t="s">
        <v>74</v>
      </c>
      <c r="H219" s="528">
        <v>0</v>
      </c>
      <c r="I219" s="496">
        <v>0</v>
      </c>
      <c r="J219" s="528">
        <v>37471</v>
      </c>
      <c r="K219" s="496">
        <v>27118</v>
      </c>
      <c r="L219" s="528">
        <v>9865</v>
      </c>
      <c r="M219" s="496">
        <v>8639</v>
      </c>
      <c r="N219" s="528">
        <v>35234</v>
      </c>
      <c r="O219" s="496">
        <v>31023</v>
      </c>
      <c r="P219" s="640">
        <f t="shared" si="72"/>
        <v>82570</v>
      </c>
      <c r="Q219" s="640">
        <f t="shared" si="73"/>
        <v>2752.3333333333335</v>
      </c>
      <c r="R219" s="641">
        <f t="shared" si="74"/>
        <v>66780</v>
      </c>
      <c r="S219" s="641">
        <f t="shared" si="75"/>
        <v>2226</v>
      </c>
      <c r="T219" s="528"/>
      <c r="U219" s="496"/>
      <c r="V219" s="640">
        <f t="shared" si="76"/>
        <v>0</v>
      </c>
      <c r="W219" s="641">
        <f t="shared" si="77"/>
        <v>0</v>
      </c>
      <c r="X219" s="528"/>
      <c r="Y219" s="496"/>
      <c r="Z219" s="528"/>
      <c r="AA219" s="496"/>
      <c r="AB219" s="528"/>
      <c r="AC219" s="496"/>
      <c r="AD219" s="528"/>
      <c r="AE219" s="496"/>
      <c r="AF219" s="640">
        <f t="shared" si="78"/>
        <v>0</v>
      </c>
      <c r="AG219" s="640">
        <f t="shared" si="79"/>
        <v>0</v>
      </c>
      <c r="AH219" s="641">
        <f t="shared" si="80"/>
        <v>0</v>
      </c>
      <c r="AI219" s="641">
        <f t="shared" si="81"/>
        <v>0</v>
      </c>
      <c r="AJ219" s="528"/>
      <c r="AK219" s="496"/>
      <c r="AL219" s="640">
        <f t="shared" si="82"/>
        <v>0</v>
      </c>
      <c r="AM219" s="641">
        <f t="shared" si="83"/>
        <v>0</v>
      </c>
      <c r="AN219" s="528">
        <v>0</v>
      </c>
      <c r="AO219" s="496">
        <v>0</v>
      </c>
      <c r="AP219" s="528">
        <v>0</v>
      </c>
      <c r="AQ219" s="496"/>
      <c r="AR219" s="528">
        <v>0</v>
      </c>
      <c r="AS219" s="496"/>
      <c r="AT219" s="528">
        <v>0</v>
      </c>
      <c r="AU219" s="496"/>
      <c r="AV219" s="640">
        <f t="shared" si="84"/>
        <v>0</v>
      </c>
      <c r="AW219" s="640">
        <f t="shared" si="85"/>
        <v>0</v>
      </c>
      <c r="AX219" s="641">
        <f t="shared" si="86"/>
        <v>0</v>
      </c>
      <c r="AY219" s="641">
        <f t="shared" si="87"/>
        <v>0</v>
      </c>
      <c r="AZ219" s="640">
        <f t="shared" si="88"/>
        <v>2752.3333333333335</v>
      </c>
      <c r="BA219" s="641">
        <f t="shared" si="89"/>
        <v>2226</v>
      </c>
    </row>
    <row r="220" spans="1:53" s="365" customFormat="1" ht="12.6" customHeight="1">
      <c r="A220" s="429" t="s">
        <v>461</v>
      </c>
      <c r="B220" s="413" t="s">
        <v>484</v>
      </c>
      <c r="C220" s="415"/>
      <c r="D220" s="619">
        <v>162706</v>
      </c>
      <c r="E220" s="494">
        <v>9</v>
      </c>
      <c r="F220" s="495" t="s">
        <v>74</v>
      </c>
      <c r="G220" s="496" t="s">
        <v>74</v>
      </c>
      <c r="H220" s="528">
        <v>3020</v>
      </c>
      <c r="I220" s="496">
        <v>2951</v>
      </c>
      <c r="J220" s="528">
        <v>42627.5</v>
      </c>
      <c r="K220" s="496">
        <v>36197</v>
      </c>
      <c r="L220" s="528">
        <v>9017</v>
      </c>
      <c r="M220" s="496">
        <v>7762</v>
      </c>
      <c r="N220" s="528">
        <v>44853</v>
      </c>
      <c r="O220" s="496">
        <v>38635</v>
      </c>
      <c r="P220" s="640">
        <f t="shared" si="72"/>
        <v>99517.5</v>
      </c>
      <c r="Q220" s="640">
        <f t="shared" si="73"/>
        <v>3317.25</v>
      </c>
      <c r="R220" s="641">
        <f t="shared" si="74"/>
        <v>85545</v>
      </c>
      <c r="S220" s="641">
        <f t="shared" si="75"/>
        <v>2851.5</v>
      </c>
      <c r="T220" s="528"/>
      <c r="U220" s="496"/>
      <c r="V220" s="640">
        <f t="shared" si="76"/>
        <v>0</v>
      </c>
      <c r="W220" s="641">
        <f t="shared" si="77"/>
        <v>0</v>
      </c>
      <c r="X220" s="528"/>
      <c r="Y220" s="496"/>
      <c r="Z220" s="528"/>
      <c r="AA220" s="496"/>
      <c r="AB220" s="528"/>
      <c r="AC220" s="496"/>
      <c r="AD220" s="528"/>
      <c r="AE220" s="496"/>
      <c r="AF220" s="640">
        <f t="shared" si="78"/>
        <v>0</v>
      </c>
      <c r="AG220" s="640">
        <f t="shared" si="79"/>
        <v>0</v>
      </c>
      <c r="AH220" s="641">
        <f t="shared" si="80"/>
        <v>0</v>
      </c>
      <c r="AI220" s="641">
        <f t="shared" si="81"/>
        <v>0</v>
      </c>
      <c r="AJ220" s="528"/>
      <c r="AK220" s="496"/>
      <c r="AL220" s="640">
        <f t="shared" si="82"/>
        <v>0</v>
      </c>
      <c r="AM220" s="641">
        <f t="shared" si="83"/>
        <v>0</v>
      </c>
      <c r="AN220" s="528">
        <v>0</v>
      </c>
      <c r="AO220" s="496">
        <v>0</v>
      </c>
      <c r="AP220" s="528">
        <v>0</v>
      </c>
      <c r="AQ220" s="496"/>
      <c r="AR220" s="528">
        <v>0</v>
      </c>
      <c r="AS220" s="496"/>
      <c r="AT220" s="528">
        <v>0</v>
      </c>
      <c r="AU220" s="496"/>
      <c r="AV220" s="640">
        <f t="shared" si="84"/>
        <v>0</v>
      </c>
      <c r="AW220" s="640">
        <f t="shared" si="85"/>
        <v>0</v>
      </c>
      <c r="AX220" s="641">
        <f t="shared" si="86"/>
        <v>0</v>
      </c>
      <c r="AY220" s="641">
        <f t="shared" si="87"/>
        <v>0</v>
      </c>
      <c r="AZ220" s="640">
        <f t="shared" si="88"/>
        <v>3317.25</v>
      </c>
      <c r="BA220" s="641">
        <f t="shared" si="89"/>
        <v>2851.5</v>
      </c>
    </row>
    <row r="221" spans="1:53" s="365" customFormat="1" ht="12.6" customHeight="1">
      <c r="A221" s="429" t="s">
        <v>461</v>
      </c>
      <c r="B221" s="413" t="s">
        <v>476</v>
      </c>
      <c r="C221" s="414"/>
      <c r="D221" s="619">
        <v>162779</v>
      </c>
      <c r="E221" s="494">
        <v>8</v>
      </c>
      <c r="F221" s="495" t="s">
        <v>74</v>
      </c>
      <c r="G221" s="496" t="s">
        <v>74</v>
      </c>
      <c r="H221" s="528">
        <v>5823</v>
      </c>
      <c r="I221" s="496">
        <v>4224</v>
      </c>
      <c r="J221" s="528">
        <v>63876</v>
      </c>
      <c r="K221" s="496">
        <v>85170</v>
      </c>
      <c r="L221" s="528">
        <v>19706</v>
      </c>
      <c r="M221" s="496">
        <v>21311</v>
      </c>
      <c r="N221" s="528">
        <v>86451</v>
      </c>
      <c r="O221" s="496">
        <v>80268</v>
      </c>
      <c r="P221" s="640">
        <f t="shared" si="72"/>
        <v>175856</v>
      </c>
      <c r="Q221" s="640">
        <f t="shared" si="73"/>
        <v>5861.8666666666668</v>
      </c>
      <c r="R221" s="641">
        <f t="shared" si="74"/>
        <v>190973</v>
      </c>
      <c r="S221" s="641">
        <f t="shared" si="75"/>
        <v>6365.7666666666664</v>
      </c>
      <c r="T221" s="528"/>
      <c r="U221" s="496"/>
      <c r="V221" s="640">
        <f t="shared" si="76"/>
        <v>0</v>
      </c>
      <c r="W221" s="641">
        <f t="shared" si="77"/>
        <v>0</v>
      </c>
      <c r="X221" s="528"/>
      <c r="Y221" s="496"/>
      <c r="Z221" s="528"/>
      <c r="AA221" s="496"/>
      <c r="AB221" s="528"/>
      <c r="AC221" s="496"/>
      <c r="AD221" s="528"/>
      <c r="AE221" s="496"/>
      <c r="AF221" s="640">
        <f t="shared" si="78"/>
        <v>0</v>
      </c>
      <c r="AG221" s="640">
        <f t="shared" si="79"/>
        <v>0</v>
      </c>
      <c r="AH221" s="641">
        <f t="shared" si="80"/>
        <v>0</v>
      </c>
      <c r="AI221" s="641">
        <f t="shared" si="81"/>
        <v>0</v>
      </c>
      <c r="AJ221" s="528"/>
      <c r="AK221" s="496"/>
      <c r="AL221" s="640">
        <f t="shared" si="82"/>
        <v>0</v>
      </c>
      <c r="AM221" s="641">
        <f t="shared" si="83"/>
        <v>0</v>
      </c>
      <c r="AN221" s="528">
        <v>0</v>
      </c>
      <c r="AO221" s="496">
        <v>0</v>
      </c>
      <c r="AP221" s="528">
        <v>0</v>
      </c>
      <c r="AQ221" s="496"/>
      <c r="AR221" s="528">
        <v>0</v>
      </c>
      <c r="AS221" s="496"/>
      <c r="AT221" s="528">
        <v>0</v>
      </c>
      <c r="AU221" s="496"/>
      <c r="AV221" s="640">
        <f t="shared" si="84"/>
        <v>0</v>
      </c>
      <c r="AW221" s="640">
        <f t="shared" si="85"/>
        <v>0</v>
      </c>
      <c r="AX221" s="641">
        <f t="shared" si="86"/>
        <v>0</v>
      </c>
      <c r="AY221" s="641">
        <f t="shared" si="87"/>
        <v>0</v>
      </c>
      <c r="AZ221" s="640">
        <f t="shared" si="88"/>
        <v>5861.8666666666668</v>
      </c>
      <c r="BA221" s="641">
        <f t="shared" si="89"/>
        <v>6365.7666666666664</v>
      </c>
    </row>
    <row r="222" spans="1:53" s="365" customFormat="1" ht="12.6" customHeight="1">
      <c r="A222" s="429" t="s">
        <v>461</v>
      </c>
      <c r="B222" s="413" t="s">
        <v>477</v>
      </c>
      <c r="C222" s="414"/>
      <c r="D222" s="619">
        <v>163426</v>
      </c>
      <c r="E222" s="494">
        <v>8</v>
      </c>
      <c r="F222" s="495" t="s">
        <v>74</v>
      </c>
      <c r="G222" s="496" t="s">
        <v>74</v>
      </c>
      <c r="H222" s="528">
        <v>6244</v>
      </c>
      <c r="I222" s="496">
        <v>8550</v>
      </c>
      <c r="J222" s="528">
        <v>267782</v>
      </c>
      <c r="K222" s="496">
        <v>233149</v>
      </c>
      <c r="L222" s="528">
        <v>125015</v>
      </c>
      <c r="M222" s="496">
        <v>142301</v>
      </c>
      <c r="N222" s="528">
        <v>242579</v>
      </c>
      <c r="O222" s="496">
        <v>224069</v>
      </c>
      <c r="P222" s="640">
        <f t="shared" si="72"/>
        <v>641620</v>
      </c>
      <c r="Q222" s="640">
        <f t="shared" si="73"/>
        <v>21387.333333333332</v>
      </c>
      <c r="R222" s="641">
        <f t="shared" si="74"/>
        <v>608069</v>
      </c>
      <c r="S222" s="641">
        <f t="shared" si="75"/>
        <v>20268.966666666667</v>
      </c>
      <c r="T222" s="528"/>
      <c r="U222" s="496"/>
      <c r="V222" s="640">
        <f t="shared" si="76"/>
        <v>0</v>
      </c>
      <c r="W222" s="641">
        <f t="shared" si="77"/>
        <v>0</v>
      </c>
      <c r="X222" s="528"/>
      <c r="Y222" s="496"/>
      <c r="Z222" s="528"/>
      <c r="AA222" s="496"/>
      <c r="AB222" s="528"/>
      <c r="AC222" s="496"/>
      <c r="AD222" s="528"/>
      <c r="AE222" s="496"/>
      <c r="AF222" s="640">
        <f t="shared" si="78"/>
        <v>0</v>
      </c>
      <c r="AG222" s="640">
        <f t="shared" si="79"/>
        <v>0</v>
      </c>
      <c r="AH222" s="641">
        <f t="shared" si="80"/>
        <v>0</v>
      </c>
      <c r="AI222" s="641">
        <f t="shared" si="81"/>
        <v>0</v>
      </c>
      <c r="AJ222" s="528"/>
      <c r="AK222" s="496"/>
      <c r="AL222" s="640">
        <f t="shared" si="82"/>
        <v>0</v>
      </c>
      <c r="AM222" s="641">
        <f t="shared" si="83"/>
        <v>0</v>
      </c>
      <c r="AN222" s="528">
        <v>0</v>
      </c>
      <c r="AO222" s="496">
        <v>0</v>
      </c>
      <c r="AP222" s="528">
        <v>0</v>
      </c>
      <c r="AQ222" s="496"/>
      <c r="AR222" s="528">
        <v>0</v>
      </c>
      <c r="AS222" s="496"/>
      <c r="AT222" s="528">
        <v>0</v>
      </c>
      <c r="AU222" s="496"/>
      <c r="AV222" s="640">
        <f t="shared" si="84"/>
        <v>0</v>
      </c>
      <c r="AW222" s="640">
        <f t="shared" si="85"/>
        <v>0</v>
      </c>
      <c r="AX222" s="641">
        <f t="shared" si="86"/>
        <v>0</v>
      </c>
      <c r="AY222" s="641">
        <f t="shared" si="87"/>
        <v>0</v>
      </c>
      <c r="AZ222" s="640">
        <f t="shared" si="88"/>
        <v>21387.333333333332</v>
      </c>
      <c r="BA222" s="641">
        <f t="shared" si="89"/>
        <v>20268.966666666667</v>
      </c>
    </row>
    <row r="223" spans="1:53" s="365" customFormat="1" ht="12.6" customHeight="1">
      <c r="A223" s="429" t="s">
        <v>461</v>
      </c>
      <c r="B223" s="413" t="s">
        <v>478</v>
      </c>
      <c r="C223" s="414"/>
      <c r="D223" s="619">
        <v>163657</v>
      </c>
      <c r="E223" s="494">
        <v>8</v>
      </c>
      <c r="F223" s="495" t="s">
        <v>74</v>
      </c>
      <c r="G223" s="496" t="s">
        <v>74</v>
      </c>
      <c r="H223" s="528">
        <v>2500</v>
      </c>
      <c r="I223" s="496">
        <v>2500</v>
      </c>
      <c r="J223" s="528">
        <v>137434</v>
      </c>
      <c r="K223" s="496">
        <v>117739</v>
      </c>
      <c r="L223" s="528">
        <v>35633</v>
      </c>
      <c r="M223" s="496">
        <v>43082</v>
      </c>
      <c r="N223" s="528">
        <v>228704</v>
      </c>
      <c r="O223" s="496">
        <v>131856</v>
      </c>
      <c r="P223" s="640">
        <f t="shared" si="72"/>
        <v>404271</v>
      </c>
      <c r="Q223" s="640">
        <f t="shared" si="73"/>
        <v>13475.7</v>
      </c>
      <c r="R223" s="641">
        <f t="shared" si="74"/>
        <v>295177</v>
      </c>
      <c r="S223" s="641">
        <f t="shared" si="75"/>
        <v>9839.2333333333336</v>
      </c>
      <c r="T223" s="528"/>
      <c r="U223" s="496"/>
      <c r="V223" s="640">
        <f t="shared" si="76"/>
        <v>0</v>
      </c>
      <c r="W223" s="641">
        <f t="shared" si="77"/>
        <v>0</v>
      </c>
      <c r="X223" s="528"/>
      <c r="Y223" s="496"/>
      <c r="Z223" s="528"/>
      <c r="AA223" s="496"/>
      <c r="AB223" s="528"/>
      <c r="AC223" s="496"/>
      <c r="AD223" s="528"/>
      <c r="AE223" s="496"/>
      <c r="AF223" s="640">
        <f t="shared" si="78"/>
        <v>0</v>
      </c>
      <c r="AG223" s="640">
        <f t="shared" si="79"/>
        <v>0</v>
      </c>
      <c r="AH223" s="641">
        <f t="shared" si="80"/>
        <v>0</v>
      </c>
      <c r="AI223" s="641">
        <f t="shared" si="81"/>
        <v>0</v>
      </c>
      <c r="AJ223" s="528"/>
      <c r="AK223" s="496"/>
      <c r="AL223" s="640">
        <f t="shared" si="82"/>
        <v>0</v>
      </c>
      <c r="AM223" s="641">
        <f t="shared" si="83"/>
        <v>0</v>
      </c>
      <c r="AN223" s="528">
        <v>0</v>
      </c>
      <c r="AO223" s="496">
        <v>0</v>
      </c>
      <c r="AP223" s="528">
        <v>0</v>
      </c>
      <c r="AQ223" s="496"/>
      <c r="AR223" s="528">
        <v>0</v>
      </c>
      <c r="AS223" s="496"/>
      <c r="AT223" s="528">
        <v>0</v>
      </c>
      <c r="AU223" s="496"/>
      <c r="AV223" s="640">
        <f t="shared" si="84"/>
        <v>0</v>
      </c>
      <c r="AW223" s="640">
        <f t="shared" si="85"/>
        <v>0</v>
      </c>
      <c r="AX223" s="641">
        <f t="shared" si="86"/>
        <v>0</v>
      </c>
      <c r="AY223" s="641">
        <f t="shared" si="87"/>
        <v>0</v>
      </c>
      <c r="AZ223" s="640">
        <f t="shared" si="88"/>
        <v>13475.7</v>
      </c>
      <c r="BA223" s="641">
        <f t="shared" si="89"/>
        <v>9839.2333333333336</v>
      </c>
    </row>
    <row r="224" spans="1:53" s="365" customFormat="1" ht="12.6" customHeight="1">
      <c r="A224" s="429" t="s">
        <v>461</v>
      </c>
      <c r="B224" s="413" t="s">
        <v>485</v>
      </c>
      <c r="C224" s="415"/>
      <c r="D224" s="619">
        <v>164313</v>
      </c>
      <c r="E224" s="494">
        <v>10</v>
      </c>
      <c r="F224" s="495" t="s">
        <v>74</v>
      </c>
      <c r="G224" s="496" t="s">
        <v>74</v>
      </c>
      <c r="H224" s="528">
        <v>0</v>
      </c>
      <c r="I224" s="496">
        <v>0</v>
      </c>
      <c r="J224" s="528">
        <v>19773.5</v>
      </c>
      <c r="K224" s="496">
        <v>18651</v>
      </c>
      <c r="L224" s="528">
        <v>5354</v>
      </c>
      <c r="M224" s="496">
        <v>4718</v>
      </c>
      <c r="N224" s="528">
        <v>22199.5</v>
      </c>
      <c r="O224" s="496">
        <v>19490</v>
      </c>
      <c r="P224" s="640">
        <f t="shared" si="72"/>
        <v>47327</v>
      </c>
      <c r="Q224" s="640">
        <f t="shared" si="73"/>
        <v>1577.5666666666666</v>
      </c>
      <c r="R224" s="641">
        <f t="shared" si="74"/>
        <v>42859</v>
      </c>
      <c r="S224" s="641">
        <f t="shared" si="75"/>
        <v>1428.6333333333334</v>
      </c>
      <c r="T224" s="528"/>
      <c r="U224" s="496"/>
      <c r="V224" s="640">
        <f t="shared" si="76"/>
        <v>0</v>
      </c>
      <c r="W224" s="641">
        <f t="shared" si="77"/>
        <v>0</v>
      </c>
      <c r="X224" s="528"/>
      <c r="Y224" s="496"/>
      <c r="Z224" s="528"/>
      <c r="AA224" s="496"/>
      <c r="AB224" s="528"/>
      <c r="AC224" s="496"/>
      <c r="AD224" s="528"/>
      <c r="AE224" s="496"/>
      <c r="AF224" s="640">
        <f t="shared" si="78"/>
        <v>0</v>
      </c>
      <c r="AG224" s="640">
        <f t="shared" si="79"/>
        <v>0</v>
      </c>
      <c r="AH224" s="641">
        <f t="shared" si="80"/>
        <v>0</v>
      </c>
      <c r="AI224" s="641">
        <f t="shared" si="81"/>
        <v>0</v>
      </c>
      <c r="AJ224" s="528"/>
      <c r="AK224" s="496"/>
      <c r="AL224" s="640">
        <f t="shared" si="82"/>
        <v>0</v>
      </c>
      <c r="AM224" s="641">
        <f t="shared" si="83"/>
        <v>0</v>
      </c>
      <c r="AN224" s="528">
        <v>0</v>
      </c>
      <c r="AO224" s="496">
        <v>0</v>
      </c>
      <c r="AP224" s="528">
        <v>0</v>
      </c>
      <c r="AQ224" s="496"/>
      <c r="AR224" s="528">
        <v>0</v>
      </c>
      <c r="AS224" s="496"/>
      <c r="AT224" s="528">
        <v>0</v>
      </c>
      <c r="AU224" s="496"/>
      <c r="AV224" s="640">
        <f t="shared" si="84"/>
        <v>0</v>
      </c>
      <c r="AW224" s="640">
        <f t="shared" si="85"/>
        <v>0</v>
      </c>
      <c r="AX224" s="641">
        <f t="shared" si="86"/>
        <v>0</v>
      </c>
      <c r="AY224" s="641">
        <f t="shared" si="87"/>
        <v>0</v>
      </c>
      <c r="AZ224" s="640">
        <f t="shared" si="88"/>
        <v>1577.5666666666666</v>
      </c>
      <c r="BA224" s="641">
        <f t="shared" si="89"/>
        <v>1428.6333333333334</v>
      </c>
    </row>
    <row r="225" spans="1:53" s="365" customFormat="1" ht="12.6" customHeight="1">
      <c r="A225" s="429" t="s">
        <v>461</v>
      </c>
      <c r="B225" s="413" t="s">
        <v>466</v>
      </c>
      <c r="C225" s="414"/>
      <c r="D225" s="619">
        <v>162007</v>
      </c>
      <c r="E225" s="494">
        <v>4</v>
      </c>
      <c r="F225" s="495" t="s">
        <v>74</v>
      </c>
      <c r="G225" s="496" t="s">
        <v>74</v>
      </c>
      <c r="H225" s="528">
        <v>1664</v>
      </c>
      <c r="I225" s="496">
        <v>2800</v>
      </c>
      <c r="J225" s="528">
        <v>63747</v>
      </c>
      <c r="K225" s="496">
        <v>60975</v>
      </c>
      <c r="L225" s="528">
        <v>8716</v>
      </c>
      <c r="M225" s="496">
        <v>8874</v>
      </c>
      <c r="N225" s="528">
        <v>71883</v>
      </c>
      <c r="O225" s="496">
        <v>70197</v>
      </c>
      <c r="P225" s="640">
        <f t="shared" si="72"/>
        <v>146010</v>
      </c>
      <c r="Q225" s="640">
        <f t="shared" si="73"/>
        <v>4867</v>
      </c>
      <c r="R225" s="641">
        <f t="shared" si="74"/>
        <v>142846</v>
      </c>
      <c r="S225" s="641">
        <f t="shared" si="75"/>
        <v>4761.5333333333338</v>
      </c>
      <c r="T225" s="528"/>
      <c r="U225" s="496"/>
      <c r="V225" s="640">
        <f t="shared" si="76"/>
        <v>0</v>
      </c>
      <c r="W225" s="641">
        <f t="shared" si="77"/>
        <v>0</v>
      </c>
      <c r="X225" s="528"/>
      <c r="Y225" s="496"/>
      <c r="Z225" s="528"/>
      <c r="AA225" s="496"/>
      <c r="AB225" s="528"/>
      <c r="AC225" s="496"/>
      <c r="AD225" s="528"/>
      <c r="AE225" s="496"/>
      <c r="AF225" s="640">
        <f t="shared" si="78"/>
        <v>0</v>
      </c>
      <c r="AG225" s="640">
        <f t="shared" si="79"/>
        <v>0</v>
      </c>
      <c r="AH225" s="641">
        <f t="shared" si="80"/>
        <v>0</v>
      </c>
      <c r="AI225" s="641">
        <f t="shared" si="81"/>
        <v>0</v>
      </c>
      <c r="AJ225" s="528"/>
      <c r="AK225" s="496"/>
      <c r="AL225" s="640">
        <f t="shared" si="82"/>
        <v>0</v>
      </c>
      <c r="AM225" s="641">
        <f t="shared" si="83"/>
        <v>0</v>
      </c>
      <c r="AN225" s="500">
        <v>150</v>
      </c>
      <c r="AO225" s="496">
        <v>342</v>
      </c>
      <c r="AP225" s="528">
        <v>6517</v>
      </c>
      <c r="AQ225" s="496">
        <v>6390</v>
      </c>
      <c r="AR225" s="528">
        <v>1848</v>
      </c>
      <c r="AS225" s="496">
        <v>1283</v>
      </c>
      <c r="AT225" s="528">
        <v>6613</v>
      </c>
      <c r="AU225" s="496">
        <v>6850</v>
      </c>
      <c r="AV225" s="640">
        <f t="shared" si="84"/>
        <v>15128</v>
      </c>
      <c r="AW225" s="640">
        <f t="shared" si="85"/>
        <v>630.33333333333337</v>
      </c>
      <c r="AX225" s="641">
        <f t="shared" si="86"/>
        <v>14865</v>
      </c>
      <c r="AY225" s="641">
        <f t="shared" si="87"/>
        <v>619.375</v>
      </c>
      <c r="AZ225" s="640">
        <f t="shared" si="88"/>
        <v>5497.333333333333</v>
      </c>
      <c r="BA225" s="641">
        <f t="shared" si="89"/>
        <v>5380.9083333333338</v>
      </c>
    </row>
    <row r="226" spans="1:53" s="365" customFormat="1" ht="12.6" customHeight="1">
      <c r="A226" s="429" t="s">
        <v>461</v>
      </c>
      <c r="B226" s="413" t="s">
        <v>471</v>
      </c>
      <c r="C226" s="414"/>
      <c r="D226" s="619">
        <v>162283</v>
      </c>
      <c r="E226" s="494">
        <v>5</v>
      </c>
      <c r="F226" s="495" t="s">
        <v>74</v>
      </c>
      <c r="G226" s="496" t="s">
        <v>74</v>
      </c>
      <c r="H226" s="528">
        <v>342</v>
      </c>
      <c r="I226" s="496">
        <v>39</v>
      </c>
      <c r="J226" s="528">
        <v>27154</v>
      </c>
      <c r="K226" s="496">
        <v>22473</v>
      </c>
      <c r="L226" s="528">
        <v>1260</v>
      </c>
      <c r="M226" s="496">
        <v>810</v>
      </c>
      <c r="N226" s="528">
        <v>27425</v>
      </c>
      <c r="O226" s="496">
        <v>23235</v>
      </c>
      <c r="P226" s="640">
        <f t="shared" si="72"/>
        <v>56181</v>
      </c>
      <c r="Q226" s="640">
        <f t="shared" si="73"/>
        <v>1872.7</v>
      </c>
      <c r="R226" s="641">
        <f t="shared" si="74"/>
        <v>46557</v>
      </c>
      <c r="S226" s="641">
        <f t="shared" si="75"/>
        <v>1551.9</v>
      </c>
      <c r="T226" s="528"/>
      <c r="U226" s="496"/>
      <c r="V226" s="640">
        <f t="shared" si="76"/>
        <v>0</v>
      </c>
      <c r="W226" s="641">
        <f t="shared" si="77"/>
        <v>0</v>
      </c>
      <c r="X226" s="528"/>
      <c r="Y226" s="496"/>
      <c r="Z226" s="528"/>
      <c r="AA226" s="496"/>
      <c r="AB226" s="528"/>
      <c r="AC226" s="496"/>
      <c r="AD226" s="528"/>
      <c r="AE226" s="496"/>
      <c r="AF226" s="640">
        <f t="shared" si="78"/>
        <v>0</v>
      </c>
      <c r="AG226" s="640">
        <f t="shared" si="79"/>
        <v>0</v>
      </c>
      <c r="AH226" s="641">
        <f t="shared" si="80"/>
        <v>0</v>
      </c>
      <c r="AI226" s="641">
        <f t="shared" si="81"/>
        <v>0</v>
      </c>
      <c r="AJ226" s="528"/>
      <c r="AK226" s="496"/>
      <c r="AL226" s="640">
        <f t="shared" si="82"/>
        <v>0</v>
      </c>
      <c r="AM226" s="641">
        <f t="shared" si="83"/>
        <v>0</v>
      </c>
      <c r="AN226" s="500">
        <v>17</v>
      </c>
      <c r="AO226" s="496">
        <v>6</v>
      </c>
      <c r="AP226" s="528">
        <v>2134</v>
      </c>
      <c r="AQ226" s="496">
        <v>1579</v>
      </c>
      <c r="AR226" s="528">
        <v>178</v>
      </c>
      <c r="AS226" s="496">
        <v>111</v>
      </c>
      <c r="AT226" s="528">
        <v>1447</v>
      </c>
      <c r="AU226" s="496">
        <v>1440</v>
      </c>
      <c r="AV226" s="640">
        <f t="shared" si="84"/>
        <v>3776</v>
      </c>
      <c r="AW226" s="640">
        <f t="shared" si="85"/>
        <v>157.33333333333334</v>
      </c>
      <c r="AX226" s="641">
        <f t="shared" si="86"/>
        <v>3136</v>
      </c>
      <c r="AY226" s="641">
        <f t="shared" si="87"/>
        <v>130.66666666666666</v>
      </c>
      <c r="AZ226" s="640">
        <f t="shared" si="88"/>
        <v>2030.0333333333333</v>
      </c>
      <c r="BA226" s="641">
        <f t="shared" si="89"/>
        <v>1682.5666666666668</v>
      </c>
    </row>
    <row r="227" spans="1:53" s="365" customFormat="1" ht="12.6" customHeight="1">
      <c r="A227" s="429" t="s">
        <v>461</v>
      </c>
      <c r="B227" s="413" t="s">
        <v>467</v>
      </c>
      <c r="C227" s="414"/>
      <c r="D227" s="619">
        <v>162584</v>
      </c>
      <c r="E227" s="494">
        <v>4</v>
      </c>
      <c r="F227" s="495" t="s">
        <v>74</v>
      </c>
      <c r="G227" s="496" t="s">
        <v>74</v>
      </c>
      <c r="H227" s="528">
        <v>1822</v>
      </c>
      <c r="I227" s="496">
        <v>2008</v>
      </c>
      <c r="J227" s="528">
        <v>49571</v>
      </c>
      <c r="K227" s="496">
        <v>44098</v>
      </c>
      <c r="L227" s="528">
        <v>7658</v>
      </c>
      <c r="M227" s="496">
        <v>7939</v>
      </c>
      <c r="N227" s="528">
        <v>52964</v>
      </c>
      <c r="O227" s="496">
        <v>46967</v>
      </c>
      <c r="P227" s="640">
        <f t="shared" si="72"/>
        <v>112015</v>
      </c>
      <c r="Q227" s="640">
        <f t="shared" si="73"/>
        <v>3733.8333333333335</v>
      </c>
      <c r="R227" s="641">
        <f t="shared" si="74"/>
        <v>101012</v>
      </c>
      <c r="S227" s="641">
        <f t="shared" si="75"/>
        <v>3367.0666666666666</v>
      </c>
      <c r="T227" s="528"/>
      <c r="U227" s="496"/>
      <c r="V227" s="640">
        <f t="shared" si="76"/>
        <v>0</v>
      </c>
      <c r="W227" s="641">
        <f t="shared" si="77"/>
        <v>0</v>
      </c>
      <c r="X227" s="528"/>
      <c r="Y227" s="496"/>
      <c r="Z227" s="528"/>
      <c r="AA227" s="496"/>
      <c r="AB227" s="528"/>
      <c r="AC227" s="496"/>
      <c r="AD227" s="528"/>
      <c r="AE227" s="496"/>
      <c r="AF227" s="640">
        <f t="shared" si="78"/>
        <v>0</v>
      </c>
      <c r="AG227" s="640">
        <f t="shared" si="79"/>
        <v>0</v>
      </c>
      <c r="AH227" s="641">
        <f t="shared" si="80"/>
        <v>0</v>
      </c>
      <c r="AI227" s="641">
        <f t="shared" si="81"/>
        <v>0</v>
      </c>
      <c r="AJ227" s="528"/>
      <c r="AK227" s="496"/>
      <c r="AL227" s="640">
        <f t="shared" si="82"/>
        <v>0</v>
      </c>
      <c r="AM227" s="641">
        <f t="shared" si="83"/>
        <v>0</v>
      </c>
      <c r="AN227" s="500">
        <v>401</v>
      </c>
      <c r="AO227" s="496">
        <v>617</v>
      </c>
      <c r="AP227" s="528">
        <v>4667</v>
      </c>
      <c r="AQ227" s="496">
        <v>5142</v>
      </c>
      <c r="AR227" s="528">
        <v>3165</v>
      </c>
      <c r="AS227" s="496">
        <v>3216</v>
      </c>
      <c r="AT227" s="528">
        <v>5285</v>
      </c>
      <c r="AU227" s="496">
        <v>5658</v>
      </c>
      <c r="AV227" s="640">
        <f t="shared" si="84"/>
        <v>13518</v>
      </c>
      <c r="AW227" s="640">
        <f t="shared" si="85"/>
        <v>563.25</v>
      </c>
      <c r="AX227" s="641">
        <f t="shared" si="86"/>
        <v>14633</v>
      </c>
      <c r="AY227" s="641">
        <f t="shared" si="87"/>
        <v>609.70833333333337</v>
      </c>
      <c r="AZ227" s="640">
        <f t="shared" si="88"/>
        <v>4297.0833333333339</v>
      </c>
      <c r="BA227" s="641">
        <f t="shared" si="89"/>
        <v>3976.7750000000001</v>
      </c>
    </row>
    <row r="228" spans="1:53" s="365" customFormat="1" ht="12.6" customHeight="1">
      <c r="A228" s="429" t="s">
        <v>461</v>
      </c>
      <c r="B228" s="413" t="s">
        <v>468</v>
      </c>
      <c r="C228" s="414"/>
      <c r="D228" s="619">
        <v>163851</v>
      </c>
      <c r="E228" s="494">
        <v>4</v>
      </c>
      <c r="F228" s="495" t="s">
        <v>74</v>
      </c>
      <c r="G228" s="496" t="s">
        <v>74</v>
      </c>
      <c r="H228" s="528">
        <v>4863</v>
      </c>
      <c r="I228" s="496">
        <v>4716</v>
      </c>
      <c r="J228" s="528">
        <v>103583</v>
      </c>
      <c r="K228" s="496">
        <v>95082</v>
      </c>
      <c r="L228" s="528">
        <v>7416</v>
      </c>
      <c r="M228" s="496">
        <v>7222</v>
      </c>
      <c r="N228" s="528">
        <v>103324</v>
      </c>
      <c r="O228" s="496">
        <v>94860</v>
      </c>
      <c r="P228" s="640">
        <f t="shared" si="72"/>
        <v>219186</v>
      </c>
      <c r="Q228" s="640">
        <f t="shared" si="73"/>
        <v>7306.2</v>
      </c>
      <c r="R228" s="641">
        <f t="shared" si="74"/>
        <v>201880</v>
      </c>
      <c r="S228" s="641">
        <f t="shared" si="75"/>
        <v>6729.333333333333</v>
      </c>
      <c r="T228" s="528"/>
      <c r="U228" s="496"/>
      <c r="V228" s="640">
        <f t="shared" si="76"/>
        <v>0</v>
      </c>
      <c r="W228" s="641">
        <f t="shared" si="77"/>
        <v>0</v>
      </c>
      <c r="X228" s="528"/>
      <c r="Y228" s="496"/>
      <c r="Z228" s="528"/>
      <c r="AA228" s="496"/>
      <c r="AB228" s="528"/>
      <c r="AC228" s="496"/>
      <c r="AD228" s="528"/>
      <c r="AE228" s="496"/>
      <c r="AF228" s="640">
        <f t="shared" si="78"/>
        <v>0</v>
      </c>
      <c r="AG228" s="640">
        <f t="shared" si="79"/>
        <v>0</v>
      </c>
      <c r="AH228" s="641">
        <f t="shared" si="80"/>
        <v>0</v>
      </c>
      <c r="AI228" s="641">
        <f t="shared" si="81"/>
        <v>0</v>
      </c>
      <c r="AJ228" s="528"/>
      <c r="AK228" s="496"/>
      <c r="AL228" s="640">
        <f t="shared" si="82"/>
        <v>0</v>
      </c>
      <c r="AM228" s="641">
        <f t="shared" si="83"/>
        <v>0</v>
      </c>
      <c r="AN228" s="500">
        <v>333</v>
      </c>
      <c r="AO228" s="496">
        <v>352</v>
      </c>
      <c r="AP228" s="528">
        <v>6706</v>
      </c>
      <c r="AQ228" s="496">
        <v>6790</v>
      </c>
      <c r="AR228" s="528">
        <v>2169</v>
      </c>
      <c r="AS228" s="496">
        <v>2008</v>
      </c>
      <c r="AT228" s="528">
        <v>7353</v>
      </c>
      <c r="AU228" s="496">
        <v>6701</v>
      </c>
      <c r="AV228" s="640">
        <f t="shared" si="84"/>
        <v>16561</v>
      </c>
      <c r="AW228" s="640">
        <f t="shared" si="85"/>
        <v>690.04166666666663</v>
      </c>
      <c r="AX228" s="641">
        <f t="shared" si="86"/>
        <v>15851</v>
      </c>
      <c r="AY228" s="641">
        <f t="shared" si="87"/>
        <v>660.45833333333337</v>
      </c>
      <c r="AZ228" s="640">
        <f t="shared" si="88"/>
        <v>7996.2416666666668</v>
      </c>
      <c r="BA228" s="641">
        <f t="shared" si="89"/>
        <v>7389.7916666666661</v>
      </c>
    </row>
    <row r="229" spans="1:53" s="365" customFormat="1" ht="12.6" customHeight="1">
      <c r="A229" s="429" t="s">
        <v>461</v>
      </c>
      <c r="B229" s="413" t="s">
        <v>465</v>
      </c>
      <c r="C229" s="414"/>
      <c r="D229" s="619">
        <v>164076</v>
      </c>
      <c r="E229" s="494">
        <v>3</v>
      </c>
      <c r="F229" s="495" t="s">
        <v>74</v>
      </c>
      <c r="G229" s="496" t="s">
        <v>74</v>
      </c>
      <c r="H229" s="528">
        <v>6713</v>
      </c>
      <c r="I229" s="496">
        <v>7216</v>
      </c>
      <c r="J229" s="528">
        <v>247985.5</v>
      </c>
      <c r="K229" s="496">
        <v>231189</v>
      </c>
      <c r="L229" s="528">
        <v>29132</v>
      </c>
      <c r="M229" s="496">
        <v>25659</v>
      </c>
      <c r="N229" s="528">
        <v>255484.5</v>
      </c>
      <c r="O229" s="496">
        <v>240731</v>
      </c>
      <c r="P229" s="640">
        <f t="shared" si="72"/>
        <v>539315</v>
      </c>
      <c r="Q229" s="640">
        <f t="shared" si="73"/>
        <v>17977.166666666668</v>
      </c>
      <c r="R229" s="641">
        <f t="shared" si="74"/>
        <v>504795</v>
      </c>
      <c r="S229" s="641">
        <f t="shared" si="75"/>
        <v>16826.5</v>
      </c>
      <c r="T229" s="528"/>
      <c r="U229" s="496"/>
      <c r="V229" s="640">
        <f t="shared" si="76"/>
        <v>0</v>
      </c>
      <c r="W229" s="641">
        <f t="shared" si="77"/>
        <v>0</v>
      </c>
      <c r="X229" s="528"/>
      <c r="Y229" s="496"/>
      <c r="Z229" s="528"/>
      <c r="AA229" s="496"/>
      <c r="AB229" s="528"/>
      <c r="AC229" s="496"/>
      <c r="AD229" s="528"/>
      <c r="AE229" s="496"/>
      <c r="AF229" s="640">
        <f t="shared" si="78"/>
        <v>0</v>
      </c>
      <c r="AG229" s="640">
        <f t="shared" si="79"/>
        <v>0</v>
      </c>
      <c r="AH229" s="641">
        <f t="shared" si="80"/>
        <v>0</v>
      </c>
      <c r="AI229" s="641">
        <f t="shared" si="81"/>
        <v>0</v>
      </c>
      <c r="AJ229" s="528"/>
      <c r="AK229" s="496"/>
      <c r="AL229" s="640">
        <f t="shared" si="82"/>
        <v>0</v>
      </c>
      <c r="AM229" s="641">
        <f t="shared" si="83"/>
        <v>0</v>
      </c>
      <c r="AN229" s="500">
        <v>445</v>
      </c>
      <c r="AO229" s="496">
        <v>557</v>
      </c>
      <c r="AP229" s="528">
        <v>18295.5</v>
      </c>
      <c r="AQ229" s="496">
        <v>19478</v>
      </c>
      <c r="AR229" s="528">
        <v>6511</v>
      </c>
      <c r="AS229" s="496">
        <v>6598</v>
      </c>
      <c r="AT229" s="528">
        <v>19690.5</v>
      </c>
      <c r="AU229" s="496">
        <v>18845</v>
      </c>
      <c r="AV229" s="640">
        <f t="shared" si="84"/>
        <v>44942</v>
      </c>
      <c r="AW229" s="640">
        <f t="shared" si="85"/>
        <v>1872.5833333333333</v>
      </c>
      <c r="AX229" s="641">
        <f t="shared" si="86"/>
        <v>45478</v>
      </c>
      <c r="AY229" s="641">
        <f t="shared" si="87"/>
        <v>1894.9166666666667</v>
      </c>
      <c r="AZ229" s="640">
        <f t="shared" si="88"/>
        <v>19849.75</v>
      </c>
      <c r="BA229" s="641">
        <f t="shared" si="89"/>
        <v>18721.416666666668</v>
      </c>
    </row>
    <row r="230" spans="1:53" s="365" customFormat="1" ht="12.6" customHeight="1">
      <c r="A230" s="429" t="s">
        <v>461</v>
      </c>
      <c r="B230" s="413" t="s">
        <v>469</v>
      </c>
      <c r="C230" s="415"/>
      <c r="D230" s="619">
        <v>161873</v>
      </c>
      <c r="E230" s="494">
        <v>3</v>
      </c>
      <c r="F230" s="495" t="s">
        <v>74</v>
      </c>
      <c r="G230" s="496" t="s">
        <v>74</v>
      </c>
      <c r="H230" s="528">
        <v>122</v>
      </c>
      <c r="I230" s="496">
        <v>48</v>
      </c>
      <c r="J230" s="528">
        <v>19317</v>
      </c>
      <c r="K230" s="496">
        <v>17273</v>
      </c>
      <c r="L230" s="528">
        <v>2306</v>
      </c>
      <c r="M230" s="496">
        <v>1977</v>
      </c>
      <c r="N230" s="528">
        <v>19435</v>
      </c>
      <c r="O230" s="496">
        <v>16374</v>
      </c>
      <c r="P230" s="640">
        <f t="shared" si="72"/>
        <v>41180</v>
      </c>
      <c r="Q230" s="640">
        <f t="shared" si="73"/>
        <v>1372.6666666666667</v>
      </c>
      <c r="R230" s="641">
        <f t="shared" si="74"/>
        <v>35672</v>
      </c>
      <c r="S230" s="641">
        <f t="shared" si="75"/>
        <v>1189.0666666666666</v>
      </c>
      <c r="T230" s="528"/>
      <c r="U230" s="496"/>
      <c r="V230" s="640">
        <f t="shared" si="76"/>
        <v>0</v>
      </c>
      <c r="W230" s="641">
        <f t="shared" si="77"/>
        <v>0</v>
      </c>
      <c r="X230" s="528"/>
      <c r="Y230" s="496"/>
      <c r="Z230" s="528"/>
      <c r="AA230" s="496"/>
      <c r="AB230" s="528"/>
      <c r="AC230" s="496"/>
      <c r="AD230" s="528"/>
      <c r="AE230" s="496"/>
      <c r="AF230" s="640">
        <f t="shared" si="78"/>
        <v>0</v>
      </c>
      <c r="AG230" s="640">
        <f t="shared" si="79"/>
        <v>0</v>
      </c>
      <c r="AH230" s="641">
        <f t="shared" si="80"/>
        <v>0</v>
      </c>
      <c r="AI230" s="641">
        <f t="shared" si="81"/>
        <v>0</v>
      </c>
      <c r="AJ230" s="528"/>
      <c r="AK230" s="496"/>
      <c r="AL230" s="640">
        <f t="shared" si="82"/>
        <v>0</v>
      </c>
      <c r="AM230" s="641">
        <f t="shared" si="83"/>
        <v>0</v>
      </c>
      <c r="AN230" s="500">
        <v>117</v>
      </c>
      <c r="AO230" s="496">
        <v>100</v>
      </c>
      <c r="AP230" s="528">
        <v>17829.5</v>
      </c>
      <c r="AQ230" s="496">
        <v>17346</v>
      </c>
      <c r="AR230" s="528">
        <v>2501</v>
      </c>
      <c r="AS230" s="496">
        <v>2198</v>
      </c>
      <c r="AT230" s="528">
        <v>18972</v>
      </c>
      <c r="AU230" s="496">
        <v>17957</v>
      </c>
      <c r="AV230" s="640">
        <f t="shared" si="84"/>
        <v>39419.5</v>
      </c>
      <c r="AW230" s="640">
        <f t="shared" si="85"/>
        <v>1642.4791666666667</v>
      </c>
      <c r="AX230" s="641">
        <f t="shared" si="86"/>
        <v>37601</v>
      </c>
      <c r="AY230" s="641">
        <f t="shared" si="87"/>
        <v>1566.7083333333333</v>
      </c>
      <c r="AZ230" s="640">
        <f t="shared" si="88"/>
        <v>3015.1458333333335</v>
      </c>
      <c r="BA230" s="641">
        <f t="shared" si="89"/>
        <v>2755.7749999999996</v>
      </c>
    </row>
    <row r="231" spans="1:53" s="365" customFormat="1" ht="12.6" customHeight="1">
      <c r="A231" s="429" t="s">
        <v>461</v>
      </c>
      <c r="B231" s="413" t="s">
        <v>464</v>
      </c>
      <c r="C231" s="414"/>
      <c r="D231" s="619">
        <v>163268</v>
      </c>
      <c r="E231" s="494">
        <v>2</v>
      </c>
      <c r="F231" s="495" t="s">
        <v>74</v>
      </c>
      <c r="G231" s="496" t="s">
        <v>74</v>
      </c>
      <c r="H231" s="528">
        <v>5485</v>
      </c>
      <c r="I231" s="496">
        <v>6213</v>
      </c>
      <c r="J231" s="528">
        <v>138392</v>
      </c>
      <c r="K231" s="496">
        <v>133342</v>
      </c>
      <c r="L231" s="528">
        <v>22354</v>
      </c>
      <c r="M231" s="496">
        <v>19992</v>
      </c>
      <c r="N231" s="528">
        <v>147993.5</v>
      </c>
      <c r="O231" s="496">
        <v>144157</v>
      </c>
      <c r="P231" s="640">
        <f t="shared" si="72"/>
        <v>314224.5</v>
      </c>
      <c r="Q231" s="640">
        <f t="shared" si="73"/>
        <v>10474.15</v>
      </c>
      <c r="R231" s="641">
        <f t="shared" si="74"/>
        <v>303704</v>
      </c>
      <c r="S231" s="641">
        <f t="shared" si="75"/>
        <v>10123.466666666667</v>
      </c>
      <c r="T231" s="528"/>
      <c r="U231" s="496"/>
      <c r="V231" s="640">
        <f t="shared" si="76"/>
        <v>0</v>
      </c>
      <c r="W231" s="641">
        <f t="shared" si="77"/>
        <v>0</v>
      </c>
      <c r="X231" s="528"/>
      <c r="Y231" s="496"/>
      <c r="Z231" s="528"/>
      <c r="AA231" s="496"/>
      <c r="AB231" s="528"/>
      <c r="AC231" s="496"/>
      <c r="AD231" s="528"/>
      <c r="AE231" s="496"/>
      <c r="AF231" s="640">
        <f t="shared" si="78"/>
        <v>0</v>
      </c>
      <c r="AG231" s="640">
        <f t="shared" si="79"/>
        <v>0</v>
      </c>
      <c r="AH231" s="641">
        <f t="shared" si="80"/>
        <v>0</v>
      </c>
      <c r="AI231" s="641">
        <f t="shared" si="81"/>
        <v>0</v>
      </c>
      <c r="AJ231" s="528"/>
      <c r="AK231" s="496"/>
      <c r="AL231" s="640">
        <f t="shared" si="82"/>
        <v>0</v>
      </c>
      <c r="AM231" s="641">
        <f t="shared" si="83"/>
        <v>0</v>
      </c>
      <c r="AN231" s="500">
        <v>82</v>
      </c>
      <c r="AO231" s="496">
        <v>32</v>
      </c>
      <c r="AP231" s="528">
        <v>16203</v>
      </c>
      <c r="AQ231" s="496">
        <v>16432</v>
      </c>
      <c r="AR231" s="528">
        <v>2916</v>
      </c>
      <c r="AS231" s="496">
        <v>3083</v>
      </c>
      <c r="AT231" s="528">
        <v>17726</v>
      </c>
      <c r="AU231" s="496">
        <v>18863</v>
      </c>
      <c r="AV231" s="640">
        <f t="shared" si="84"/>
        <v>36927</v>
      </c>
      <c r="AW231" s="640">
        <f t="shared" si="85"/>
        <v>1538.625</v>
      </c>
      <c r="AX231" s="641">
        <f t="shared" si="86"/>
        <v>38410</v>
      </c>
      <c r="AY231" s="641">
        <f t="shared" si="87"/>
        <v>1600.4166666666667</v>
      </c>
      <c r="AZ231" s="640">
        <f t="shared" si="88"/>
        <v>12012.775</v>
      </c>
      <c r="BA231" s="641">
        <f t="shared" si="89"/>
        <v>11723.883333333333</v>
      </c>
    </row>
    <row r="232" spans="1:53" s="365" customFormat="1" ht="12.6" customHeight="1">
      <c r="A232" s="429" t="s">
        <v>461</v>
      </c>
      <c r="B232" s="413" t="s">
        <v>462</v>
      </c>
      <c r="C232" s="414"/>
      <c r="D232" s="619">
        <v>163286</v>
      </c>
      <c r="E232" s="494">
        <v>1</v>
      </c>
      <c r="F232" s="495" t="s">
        <v>74</v>
      </c>
      <c r="G232" s="496" t="s">
        <v>74</v>
      </c>
      <c r="H232" s="528">
        <v>12267</v>
      </c>
      <c r="I232" s="496">
        <v>13374</v>
      </c>
      <c r="J232" s="528">
        <v>404774</v>
      </c>
      <c r="K232" s="496">
        <v>412956</v>
      </c>
      <c r="L232" s="528">
        <v>43674</v>
      </c>
      <c r="M232" s="496">
        <v>39900</v>
      </c>
      <c r="N232" s="528">
        <v>422331</v>
      </c>
      <c r="O232" s="496">
        <v>416380</v>
      </c>
      <c r="P232" s="640">
        <f t="shared" si="72"/>
        <v>883046</v>
      </c>
      <c r="Q232" s="640">
        <f t="shared" si="73"/>
        <v>29434.866666666665</v>
      </c>
      <c r="R232" s="641">
        <f t="shared" si="74"/>
        <v>882610</v>
      </c>
      <c r="S232" s="641">
        <f t="shared" si="75"/>
        <v>29420.333333333332</v>
      </c>
      <c r="T232" s="528"/>
      <c r="U232" s="496"/>
      <c r="V232" s="640">
        <f t="shared" si="76"/>
        <v>0</v>
      </c>
      <c r="W232" s="641">
        <f t="shared" si="77"/>
        <v>0</v>
      </c>
      <c r="X232" s="528"/>
      <c r="Y232" s="496"/>
      <c r="Z232" s="528"/>
      <c r="AA232" s="496"/>
      <c r="AB232" s="528"/>
      <c r="AC232" s="496"/>
      <c r="AD232" s="528"/>
      <c r="AE232" s="496"/>
      <c r="AF232" s="640">
        <f t="shared" si="78"/>
        <v>0</v>
      </c>
      <c r="AG232" s="640">
        <f t="shared" si="79"/>
        <v>0</v>
      </c>
      <c r="AH232" s="641">
        <f t="shared" si="80"/>
        <v>0</v>
      </c>
      <c r="AI232" s="641">
        <f t="shared" si="81"/>
        <v>0</v>
      </c>
      <c r="AJ232" s="528"/>
      <c r="AK232" s="496"/>
      <c r="AL232" s="640">
        <f t="shared" si="82"/>
        <v>0</v>
      </c>
      <c r="AM232" s="641">
        <f t="shared" si="83"/>
        <v>0</v>
      </c>
      <c r="AN232" s="500">
        <v>2897</v>
      </c>
      <c r="AO232" s="496">
        <v>3508</v>
      </c>
      <c r="AP232" s="528">
        <v>64672</v>
      </c>
      <c r="AQ232" s="496">
        <v>64037</v>
      </c>
      <c r="AR232" s="528">
        <v>11822</v>
      </c>
      <c r="AS232" s="496">
        <v>12886</v>
      </c>
      <c r="AT232" s="528">
        <v>70620</v>
      </c>
      <c r="AU232" s="496">
        <v>75738</v>
      </c>
      <c r="AV232" s="640">
        <f t="shared" si="84"/>
        <v>150011</v>
      </c>
      <c r="AW232" s="640">
        <f t="shared" si="85"/>
        <v>6250.458333333333</v>
      </c>
      <c r="AX232" s="641">
        <f t="shared" si="86"/>
        <v>156169</v>
      </c>
      <c r="AY232" s="641">
        <f t="shared" si="87"/>
        <v>6507.041666666667</v>
      </c>
      <c r="AZ232" s="640">
        <f t="shared" si="88"/>
        <v>35685.324999999997</v>
      </c>
      <c r="BA232" s="641">
        <f t="shared" si="89"/>
        <v>35927.375</v>
      </c>
    </row>
    <row r="233" spans="1:53" s="365" customFormat="1" ht="12.6" customHeight="1">
      <c r="A233" s="429" t="s">
        <v>461</v>
      </c>
      <c r="B233" s="413" t="s">
        <v>470</v>
      </c>
      <c r="C233" s="414"/>
      <c r="D233" s="619">
        <v>163338</v>
      </c>
      <c r="E233" s="494">
        <v>4</v>
      </c>
      <c r="F233" s="495" t="s">
        <v>74</v>
      </c>
      <c r="G233" s="496" t="s">
        <v>74</v>
      </c>
      <c r="H233" s="528">
        <v>573.5</v>
      </c>
      <c r="I233" s="496">
        <v>700</v>
      </c>
      <c r="J233" s="528">
        <v>28664.5</v>
      </c>
      <c r="K233" s="496">
        <v>24086</v>
      </c>
      <c r="L233" s="528">
        <v>2580</v>
      </c>
      <c r="M233" s="496">
        <v>2055</v>
      </c>
      <c r="N233" s="528">
        <v>29848</v>
      </c>
      <c r="O233" s="496">
        <v>26618</v>
      </c>
      <c r="P233" s="640">
        <f t="shared" si="72"/>
        <v>61666</v>
      </c>
      <c r="Q233" s="640">
        <f t="shared" si="73"/>
        <v>2055.5333333333333</v>
      </c>
      <c r="R233" s="641">
        <f t="shared" si="74"/>
        <v>53459</v>
      </c>
      <c r="S233" s="641">
        <f t="shared" si="75"/>
        <v>1781.9666666666667</v>
      </c>
      <c r="T233" s="528"/>
      <c r="U233" s="496"/>
      <c r="V233" s="640">
        <f t="shared" si="76"/>
        <v>0</v>
      </c>
      <c r="W233" s="641">
        <f t="shared" si="77"/>
        <v>0</v>
      </c>
      <c r="X233" s="528"/>
      <c r="Y233" s="496"/>
      <c r="Z233" s="528"/>
      <c r="AA233" s="496"/>
      <c r="AB233" s="528"/>
      <c r="AC233" s="496"/>
      <c r="AD233" s="528"/>
      <c r="AE233" s="496"/>
      <c r="AF233" s="640">
        <f t="shared" si="78"/>
        <v>0</v>
      </c>
      <c r="AG233" s="640">
        <f t="shared" si="79"/>
        <v>0</v>
      </c>
      <c r="AH233" s="641">
        <f t="shared" si="80"/>
        <v>0</v>
      </c>
      <c r="AI233" s="641">
        <f t="shared" si="81"/>
        <v>0</v>
      </c>
      <c r="AJ233" s="528"/>
      <c r="AK233" s="496"/>
      <c r="AL233" s="640">
        <f t="shared" si="82"/>
        <v>0</v>
      </c>
      <c r="AM233" s="641">
        <f t="shared" si="83"/>
        <v>0</v>
      </c>
      <c r="AN233" s="500">
        <v>390</v>
      </c>
      <c r="AO233" s="496">
        <v>335</v>
      </c>
      <c r="AP233" s="528">
        <v>6485</v>
      </c>
      <c r="AQ233" s="496">
        <v>7016</v>
      </c>
      <c r="AR233" s="528">
        <v>1293</v>
      </c>
      <c r="AS233" s="496">
        <v>1698</v>
      </c>
      <c r="AT233" s="528">
        <v>7361.5</v>
      </c>
      <c r="AU233" s="496">
        <v>7449</v>
      </c>
      <c r="AV233" s="640">
        <f t="shared" si="84"/>
        <v>15529.5</v>
      </c>
      <c r="AW233" s="640">
        <f t="shared" si="85"/>
        <v>647.0625</v>
      </c>
      <c r="AX233" s="641">
        <f t="shared" si="86"/>
        <v>16498</v>
      </c>
      <c r="AY233" s="641">
        <f t="shared" si="87"/>
        <v>687.41666666666663</v>
      </c>
      <c r="AZ233" s="640">
        <f t="shared" si="88"/>
        <v>2702.5958333333333</v>
      </c>
      <c r="BA233" s="641">
        <f t="shared" si="89"/>
        <v>2469.3833333333332</v>
      </c>
    </row>
    <row r="234" spans="1:53" s="365" customFormat="1" ht="12.6" customHeight="1">
      <c r="A234" s="429" t="s">
        <v>461</v>
      </c>
      <c r="B234" s="413" t="s">
        <v>463</v>
      </c>
      <c r="C234" s="415"/>
      <c r="D234" s="619">
        <v>163453</v>
      </c>
      <c r="E234" s="494">
        <v>2</v>
      </c>
      <c r="F234" s="495" t="s">
        <v>74</v>
      </c>
      <c r="G234" s="496" t="s">
        <v>74</v>
      </c>
      <c r="H234" s="528">
        <v>2195</v>
      </c>
      <c r="I234" s="496">
        <v>1680</v>
      </c>
      <c r="J234" s="528">
        <v>81111</v>
      </c>
      <c r="K234" s="496">
        <v>76115</v>
      </c>
      <c r="L234" s="528">
        <v>9596</v>
      </c>
      <c r="M234" s="496">
        <v>6080</v>
      </c>
      <c r="N234" s="528">
        <v>89187</v>
      </c>
      <c r="O234" s="496">
        <v>99305</v>
      </c>
      <c r="P234" s="640">
        <f t="shared" si="72"/>
        <v>182089</v>
      </c>
      <c r="Q234" s="640">
        <f t="shared" si="73"/>
        <v>6069.6333333333332</v>
      </c>
      <c r="R234" s="641">
        <f t="shared" si="74"/>
        <v>183180</v>
      </c>
      <c r="S234" s="641">
        <f t="shared" si="75"/>
        <v>6106</v>
      </c>
      <c r="T234" s="528"/>
      <c r="U234" s="496"/>
      <c r="V234" s="640">
        <f t="shared" si="76"/>
        <v>0</v>
      </c>
      <c r="W234" s="641">
        <f t="shared" si="77"/>
        <v>0</v>
      </c>
      <c r="X234" s="528"/>
      <c r="Y234" s="496"/>
      <c r="Z234" s="528"/>
      <c r="AA234" s="496"/>
      <c r="AB234" s="528"/>
      <c r="AC234" s="496"/>
      <c r="AD234" s="528"/>
      <c r="AE234" s="496"/>
      <c r="AF234" s="640">
        <f t="shared" si="78"/>
        <v>0</v>
      </c>
      <c r="AG234" s="640">
        <f t="shared" si="79"/>
        <v>0</v>
      </c>
      <c r="AH234" s="641">
        <f t="shared" si="80"/>
        <v>0</v>
      </c>
      <c r="AI234" s="641">
        <f t="shared" si="81"/>
        <v>0</v>
      </c>
      <c r="AJ234" s="528"/>
      <c r="AK234" s="496"/>
      <c r="AL234" s="640">
        <f t="shared" si="82"/>
        <v>0</v>
      </c>
      <c r="AM234" s="641">
        <f t="shared" si="83"/>
        <v>0</v>
      </c>
      <c r="AN234" s="500">
        <v>31</v>
      </c>
      <c r="AO234" s="496">
        <v>19</v>
      </c>
      <c r="AP234" s="528">
        <v>11697</v>
      </c>
      <c r="AQ234" s="496">
        <v>11761</v>
      </c>
      <c r="AR234" s="528">
        <v>906</v>
      </c>
      <c r="AS234" s="496">
        <v>951</v>
      </c>
      <c r="AT234" s="528">
        <v>12617</v>
      </c>
      <c r="AU234" s="496">
        <v>13547</v>
      </c>
      <c r="AV234" s="640">
        <f t="shared" si="84"/>
        <v>25251</v>
      </c>
      <c r="AW234" s="640">
        <f t="shared" si="85"/>
        <v>1052.125</v>
      </c>
      <c r="AX234" s="641">
        <f t="shared" si="86"/>
        <v>26278</v>
      </c>
      <c r="AY234" s="641">
        <f t="shared" si="87"/>
        <v>1094.9166666666667</v>
      </c>
      <c r="AZ234" s="640">
        <f t="shared" si="88"/>
        <v>7121.7583333333332</v>
      </c>
      <c r="BA234" s="641">
        <f t="shared" si="89"/>
        <v>7200.916666666667</v>
      </c>
    </row>
    <row r="235" spans="1:53" s="365" customFormat="1" ht="12.6" customHeight="1">
      <c r="A235" s="429" t="s">
        <v>461</v>
      </c>
      <c r="B235" s="413" t="s">
        <v>472</v>
      </c>
      <c r="C235" s="414"/>
      <c r="D235" s="619">
        <v>163912</v>
      </c>
      <c r="E235" s="494">
        <v>6</v>
      </c>
      <c r="F235" s="495" t="s">
        <v>74</v>
      </c>
      <c r="G235" s="496" t="s">
        <v>74</v>
      </c>
      <c r="H235" s="528">
        <v>0</v>
      </c>
      <c r="I235" s="496">
        <v>1036</v>
      </c>
      <c r="J235" s="528">
        <v>21516.5</v>
      </c>
      <c r="K235" s="496">
        <v>21495</v>
      </c>
      <c r="L235" s="528">
        <v>1644</v>
      </c>
      <c r="M235" s="496">
        <v>1488</v>
      </c>
      <c r="N235" s="528">
        <v>23251</v>
      </c>
      <c r="O235" s="496">
        <v>23766</v>
      </c>
      <c r="P235" s="640">
        <f t="shared" si="72"/>
        <v>46411.5</v>
      </c>
      <c r="Q235" s="640">
        <f t="shared" si="73"/>
        <v>1547.05</v>
      </c>
      <c r="R235" s="641">
        <f t="shared" si="74"/>
        <v>47785</v>
      </c>
      <c r="S235" s="641">
        <f t="shared" si="75"/>
        <v>1592.8333333333333</v>
      </c>
      <c r="T235" s="528"/>
      <c r="U235" s="496"/>
      <c r="V235" s="640">
        <f t="shared" si="76"/>
        <v>0</v>
      </c>
      <c r="W235" s="641">
        <f t="shared" si="77"/>
        <v>0</v>
      </c>
      <c r="X235" s="528"/>
      <c r="Y235" s="496"/>
      <c r="Z235" s="528"/>
      <c r="AA235" s="496"/>
      <c r="AB235" s="528"/>
      <c r="AC235" s="496"/>
      <c r="AD235" s="528"/>
      <c r="AE235" s="496"/>
      <c r="AF235" s="640">
        <f t="shared" si="78"/>
        <v>0</v>
      </c>
      <c r="AG235" s="640">
        <f t="shared" si="79"/>
        <v>0</v>
      </c>
      <c r="AH235" s="641">
        <f t="shared" si="80"/>
        <v>0</v>
      </c>
      <c r="AI235" s="641">
        <f t="shared" si="81"/>
        <v>0</v>
      </c>
      <c r="AJ235" s="528"/>
      <c r="AK235" s="496"/>
      <c r="AL235" s="640">
        <f t="shared" si="82"/>
        <v>0</v>
      </c>
      <c r="AM235" s="641">
        <f t="shared" si="83"/>
        <v>0</v>
      </c>
      <c r="AN235" s="500">
        <v>0</v>
      </c>
      <c r="AO235" s="496">
        <v>0</v>
      </c>
      <c r="AP235" s="528">
        <v>292</v>
      </c>
      <c r="AQ235" s="496">
        <v>350</v>
      </c>
      <c r="AR235" s="528">
        <v>327</v>
      </c>
      <c r="AS235" s="496">
        <v>333</v>
      </c>
      <c r="AT235" s="528">
        <v>270</v>
      </c>
      <c r="AU235" s="496">
        <v>302</v>
      </c>
      <c r="AV235" s="640">
        <f t="shared" si="84"/>
        <v>889</v>
      </c>
      <c r="AW235" s="640">
        <f t="shared" si="85"/>
        <v>37.041666666666664</v>
      </c>
      <c r="AX235" s="641">
        <f t="shared" si="86"/>
        <v>985</v>
      </c>
      <c r="AY235" s="641">
        <f t="shared" si="87"/>
        <v>41.041666666666664</v>
      </c>
      <c r="AZ235" s="640">
        <f t="shared" si="88"/>
        <v>1584.0916666666667</v>
      </c>
      <c r="BA235" s="641">
        <f t="shared" si="89"/>
        <v>1633.875</v>
      </c>
    </row>
    <row r="236" spans="1:53" s="365" customFormat="1" ht="12.6" customHeight="1">
      <c r="A236" s="430" t="s">
        <v>230</v>
      </c>
      <c r="B236" s="431" t="s">
        <v>231</v>
      </c>
      <c r="C236" s="432"/>
      <c r="D236" s="628">
        <v>176080</v>
      </c>
      <c r="E236" s="530">
        <v>1</v>
      </c>
      <c r="F236" s="495"/>
      <c r="G236" s="496"/>
      <c r="H236" s="495"/>
      <c r="I236" s="496"/>
      <c r="J236" s="495">
        <v>244205</v>
      </c>
      <c r="K236" s="496">
        <v>244342</v>
      </c>
      <c r="L236" s="495">
        <v>39336</v>
      </c>
      <c r="M236" s="496">
        <v>29018</v>
      </c>
      <c r="N236" s="495">
        <v>265672</v>
      </c>
      <c r="O236" s="496">
        <v>259647</v>
      </c>
      <c r="P236" s="640">
        <f t="shared" si="72"/>
        <v>549213</v>
      </c>
      <c r="Q236" s="640">
        <f t="shared" si="73"/>
        <v>18307.099999999999</v>
      </c>
      <c r="R236" s="641">
        <f t="shared" si="74"/>
        <v>533007</v>
      </c>
      <c r="S236" s="641">
        <f t="shared" si="75"/>
        <v>17766.900000000001</v>
      </c>
      <c r="T236" s="495"/>
      <c r="U236" s="496"/>
      <c r="V236" s="640">
        <f t="shared" si="76"/>
        <v>0</v>
      </c>
      <c r="W236" s="641">
        <f t="shared" si="77"/>
        <v>0</v>
      </c>
      <c r="X236" s="495"/>
      <c r="Y236" s="496"/>
      <c r="Z236" s="495"/>
      <c r="AA236" s="496"/>
      <c r="AB236" s="495"/>
      <c r="AC236" s="496"/>
      <c r="AD236" s="495"/>
      <c r="AE236" s="496"/>
      <c r="AF236" s="640">
        <f t="shared" si="78"/>
        <v>0</v>
      </c>
      <c r="AG236" s="640">
        <f t="shared" si="79"/>
        <v>0</v>
      </c>
      <c r="AH236" s="641">
        <f t="shared" si="80"/>
        <v>0</v>
      </c>
      <c r="AI236" s="641">
        <f t="shared" si="81"/>
        <v>0</v>
      </c>
      <c r="AJ236" s="495"/>
      <c r="AK236" s="496"/>
      <c r="AL236" s="640">
        <f t="shared" si="82"/>
        <v>0</v>
      </c>
      <c r="AM236" s="641">
        <f t="shared" si="83"/>
        <v>0</v>
      </c>
      <c r="AN236" s="495"/>
      <c r="AO236" s="496"/>
      <c r="AP236" s="495">
        <v>21219</v>
      </c>
      <c r="AQ236" s="496">
        <v>28068</v>
      </c>
      <c r="AR236" s="495">
        <v>14142</v>
      </c>
      <c r="AS236" s="496">
        <v>15433</v>
      </c>
      <c r="AT236" s="495">
        <v>26329</v>
      </c>
      <c r="AU236" s="496">
        <v>27798</v>
      </c>
      <c r="AV236" s="640">
        <f t="shared" si="84"/>
        <v>61690</v>
      </c>
      <c r="AW236" s="640">
        <f t="shared" si="85"/>
        <v>2570.4166666666665</v>
      </c>
      <c r="AX236" s="641">
        <f t="shared" si="86"/>
        <v>71299</v>
      </c>
      <c r="AY236" s="641">
        <f t="shared" si="87"/>
        <v>2970.7916666666665</v>
      </c>
      <c r="AZ236" s="640">
        <f t="shared" si="88"/>
        <v>20877.516666666666</v>
      </c>
      <c r="BA236" s="641">
        <f t="shared" si="89"/>
        <v>20737.691666666669</v>
      </c>
    </row>
    <row r="237" spans="1:53" s="365" customFormat="1" ht="12.6" customHeight="1">
      <c r="A237" s="430" t="s">
        <v>230</v>
      </c>
      <c r="B237" s="431" t="s">
        <v>234</v>
      </c>
      <c r="C237" s="434"/>
      <c r="D237" s="628">
        <v>176017</v>
      </c>
      <c r="E237" s="530">
        <v>1</v>
      </c>
      <c r="F237" s="495"/>
      <c r="G237" s="496"/>
      <c r="H237" s="495"/>
      <c r="I237" s="496"/>
      <c r="J237" s="495">
        <v>234713</v>
      </c>
      <c r="K237" s="496">
        <v>220645</v>
      </c>
      <c r="L237" s="495">
        <v>35636</v>
      </c>
      <c r="M237" s="496">
        <v>30440</v>
      </c>
      <c r="N237" s="495">
        <v>231075</v>
      </c>
      <c r="O237" s="496">
        <v>230030</v>
      </c>
      <c r="P237" s="640">
        <f t="shared" si="72"/>
        <v>501424</v>
      </c>
      <c r="Q237" s="640">
        <f t="shared" si="73"/>
        <v>16714.133333333335</v>
      </c>
      <c r="R237" s="641">
        <f t="shared" si="74"/>
        <v>481115</v>
      </c>
      <c r="S237" s="641">
        <f t="shared" si="75"/>
        <v>16037.166666666666</v>
      </c>
      <c r="T237" s="495"/>
      <c r="U237" s="496"/>
      <c r="V237" s="640">
        <f t="shared" si="76"/>
        <v>0</v>
      </c>
      <c r="W237" s="641">
        <f t="shared" si="77"/>
        <v>0</v>
      </c>
      <c r="X237" s="495"/>
      <c r="Y237" s="496"/>
      <c r="Z237" s="495"/>
      <c r="AA237" s="496"/>
      <c r="AB237" s="495"/>
      <c r="AC237" s="496"/>
      <c r="AD237" s="495"/>
      <c r="AE237" s="496"/>
      <c r="AF237" s="640">
        <f t="shared" si="78"/>
        <v>0</v>
      </c>
      <c r="AG237" s="640">
        <f t="shared" si="79"/>
        <v>0</v>
      </c>
      <c r="AH237" s="641">
        <f t="shared" si="80"/>
        <v>0</v>
      </c>
      <c r="AI237" s="641">
        <f t="shared" si="81"/>
        <v>0</v>
      </c>
      <c r="AJ237" s="495"/>
      <c r="AK237" s="496"/>
      <c r="AL237" s="640">
        <f t="shared" si="82"/>
        <v>0</v>
      </c>
      <c r="AM237" s="641">
        <f t="shared" si="83"/>
        <v>0</v>
      </c>
      <c r="AN237" s="495"/>
      <c r="AO237" s="496"/>
      <c r="AP237" s="495">
        <v>29440</v>
      </c>
      <c r="AQ237" s="496">
        <v>32369</v>
      </c>
      <c r="AR237" s="495">
        <v>11160</v>
      </c>
      <c r="AS237" s="496">
        <v>11557</v>
      </c>
      <c r="AT237" s="495">
        <v>32359</v>
      </c>
      <c r="AU237" s="496">
        <v>33789</v>
      </c>
      <c r="AV237" s="640">
        <f t="shared" si="84"/>
        <v>72959</v>
      </c>
      <c r="AW237" s="640">
        <f t="shared" si="85"/>
        <v>3039.9583333333335</v>
      </c>
      <c r="AX237" s="641">
        <f t="shared" si="86"/>
        <v>77715</v>
      </c>
      <c r="AY237" s="641">
        <f t="shared" si="87"/>
        <v>3238.125</v>
      </c>
      <c r="AZ237" s="640">
        <f t="shared" si="88"/>
        <v>19754.091666666667</v>
      </c>
      <c r="BA237" s="641">
        <f t="shared" si="89"/>
        <v>19275.291666666664</v>
      </c>
    </row>
    <row r="238" spans="1:53" s="365" customFormat="1" ht="12.6" customHeight="1">
      <c r="A238" s="430" t="s">
        <v>230</v>
      </c>
      <c r="B238" s="431" t="s">
        <v>232</v>
      </c>
      <c r="C238" s="432"/>
      <c r="D238" s="628">
        <v>176372</v>
      </c>
      <c r="E238" s="530">
        <v>1</v>
      </c>
      <c r="F238" s="495"/>
      <c r="G238" s="496"/>
      <c r="H238" s="495"/>
      <c r="I238" s="496"/>
      <c r="J238" s="495">
        <v>147483</v>
      </c>
      <c r="K238" s="496">
        <v>143084</v>
      </c>
      <c r="L238" s="495">
        <v>20645</v>
      </c>
      <c r="M238" s="496">
        <v>20429</v>
      </c>
      <c r="N238" s="495">
        <v>162817</v>
      </c>
      <c r="O238" s="496">
        <v>150490</v>
      </c>
      <c r="P238" s="640">
        <f t="shared" si="72"/>
        <v>330945</v>
      </c>
      <c r="Q238" s="640">
        <f t="shared" si="73"/>
        <v>11031.5</v>
      </c>
      <c r="R238" s="641">
        <f t="shared" si="74"/>
        <v>314003</v>
      </c>
      <c r="S238" s="641">
        <f t="shared" si="75"/>
        <v>10466.766666666666</v>
      </c>
      <c r="T238" s="495"/>
      <c r="U238" s="496"/>
      <c r="V238" s="640">
        <f t="shared" si="76"/>
        <v>0</v>
      </c>
      <c r="W238" s="641">
        <f t="shared" si="77"/>
        <v>0</v>
      </c>
      <c r="X238" s="495"/>
      <c r="Y238" s="496"/>
      <c r="Z238" s="495"/>
      <c r="AA238" s="496"/>
      <c r="AB238" s="495"/>
      <c r="AC238" s="496"/>
      <c r="AD238" s="495"/>
      <c r="AE238" s="496"/>
      <c r="AF238" s="640">
        <f t="shared" si="78"/>
        <v>0</v>
      </c>
      <c r="AG238" s="640">
        <f t="shared" si="79"/>
        <v>0</v>
      </c>
      <c r="AH238" s="641">
        <f t="shared" si="80"/>
        <v>0</v>
      </c>
      <c r="AI238" s="641">
        <f t="shared" si="81"/>
        <v>0</v>
      </c>
      <c r="AJ238" s="495"/>
      <c r="AK238" s="496"/>
      <c r="AL238" s="640">
        <f t="shared" si="82"/>
        <v>0</v>
      </c>
      <c r="AM238" s="641">
        <f t="shared" si="83"/>
        <v>0</v>
      </c>
      <c r="AN238" s="495"/>
      <c r="AO238" s="496"/>
      <c r="AP238" s="495">
        <v>19267</v>
      </c>
      <c r="AQ238" s="496">
        <v>24391</v>
      </c>
      <c r="AR238" s="495">
        <v>9784</v>
      </c>
      <c r="AS238" s="496">
        <v>12467</v>
      </c>
      <c r="AT238" s="495">
        <v>24636</v>
      </c>
      <c r="AU238" s="496">
        <v>26578</v>
      </c>
      <c r="AV238" s="640">
        <f t="shared" si="84"/>
        <v>53687</v>
      </c>
      <c r="AW238" s="640">
        <f t="shared" si="85"/>
        <v>2236.9583333333335</v>
      </c>
      <c r="AX238" s="641">
        <f t="shared" si="86"/>
        <v>63436</v>
      </c>
      <c r="AY238" s="641">
        <f t="shared" si="87"/>
        <v>2643.1666666666665</v>
      </c>
      <c r="AZ238" s="640">
        <f t="shared" si="88"/>
        <v>13268.458333333334</v>
      </c>
      <c r="BA238" s="641">
        <f t="shared" si="89"/>
        <v>13109.933333333332</v>
      </c>
    </row>
    <row r="239" spans="1:53" s="365" customFormat="1" ht="12.6" customHeight="1">
      <c r="A239" s="430" t="s">
        <v>230</v>
      </c>
      <c r="B239" s="431" t="s">
        <v>233</v>
      </c>
      <c r="C239" s="432"/>
      <c r="D239" s="628">
        <v>175856</v>
      </c>
      <c r="E239" s="530">
        <v>2</v>
      </c>
      <c r="F239" s="495"/>
      <c r="G239" s="496"/>
      <c r="H239" s="495"/>
      <c r="I239" s="496"/>
      <c r="J239" s="495">
        <v>63475</v>
      </c>
      <c r="K239" s="496">
        <v>59931</v>
      </c>
      <c r="L239" s="495">
        <v>6606</v>
      </c>
      <c r="M239" s="496">
        <v>11762</v>
      </c>
      <c r="N239" s="486">
        <v>62207.5</v>
      </c>
      <c r="O239" s="496">
        <v>64697.5</v>
      </c>
      <c r="P239" s="640">
        <f t="shared" si="72"/>
        <v>132288.5</v>
      </c>
      <c r="Q239" s="640">
        <f t="shared" si="73"/>
        <v>4409.6166666666668</v>
      </c>
      <c r="R239" s="641">
        <f t="shared" si="74"/>
        <v>136390.5</v>
      </c>
      <c r="S239" s="641">
        <f t="shared" si="75"/>
        <v>4546.3500000000004</v>
      </c>
      <c r="T239" s="495"/>
      <c r="U239" s="496"/>
      <c r="V239" s="640">
        <f t="shared" si="76"/>
        <v>0</v>
      </c>
      <c r="W239" s="641">
        <f t="shared" si="77"/>
        <v>0</v>
      </c>
      <c r="X239" s="495"/>
      <c r="Y239" s="496"/>
      <c r="Z239" s="495"/>
      <c r="AA239" s="496"/>
      <c r="AB239" s="495"/>
      <c r="AC239" s="496"/>
      <c r="AD239" s="495"/>
      <c r="AE239" s="496"/>
      <c r="AF239" s="640">
        <f t="shared" si="78"/>
        <v>0</v>
      </c>
      <c r="AG239" s="640">
        <f t="shared" si="79"/>
        <v>0</v>
      </c>
      <c r="AH239" s="641">
        <f t="shared" si="80"/>
        <v>0</v>
      </c>
      <c r="AI239" s="641">
        <f t="shared" si="81"/>
        <v>0</v>
      </c>
      <c r="AJ239" s="495"/>
      <c r="AK239" s="496"/>
      <c r="AL239" s="640">
        <f t="shared" si="82"/>
        <v>0</v>
      </c>
      <c r="AM239" s="641">
        <f t="shared" si="83"/>
        <v>0</v>
      </c>
      <c r="AN239" s="495"/>
      <c r="AO239" s="496"/>
      <c r="AP239" s="486">
        <v>12798.5</v>
      </c>
      <c r="AQ239" s="496">
        <v>15738</v>
      </c>
      <c r="AR239" s="495">
        <v>5455</v>
      </c>
      <c r="AS239" s="496">
        <v>6839.5</v>
      </c>
      <c r="AT239" s="486">
        <v>16197.5</v>
      </c>
      <c r="AU239" s="496">
        <v>16001.5</v>
      </c>
      <c r="AV239" s="640">
        <f t="shared" si="84"/>
        <v>34451</v>
      </c>
      <c r="AW239" s="640">
        <f t="shared" si="85"/>
        <v>1435.4583333333333</v>
      </c>
      <c r="AX239" s="641">
        <f t="shared" si="86"/>
        <v>38579</v>
      </c>
      <c r="AY239" s="641">
        <f t="shared" si="87"/>
        <v>1607.4583333333333</v>
      </c>
      <c r="AZ239" s="640">
        <f t="shared" si="88"/>
        <v>5845.0749999999998</v>
      </c>
      <c r="BA239" s="641">
        <f t="shared" si="89"/>
        <v>6153.8083333333334</v>
      </c>
    </row>
    <row r="240" spans="1:53" s="365" customFormat="1" ht="12.6" customHeight="1">
      <c r="A240" s="430" t="s">
        <v>230</v>
      </c>
      <c r="B240" s="431" t="s">
        <v>235</v>
      </c>
      <c r="C240" s="432"/>
      <c r="D240" s="628">
        <v>175342</v>
      </c>
      <c r="E240" s="530">
        <v>4</v>
      </c>
      <c r="F240" s="495"/>
      <c r="G240" s="496"/>
      <c r="H240" s="495"/>
      <c r="I240" s="496"/>
      <c r="J240" s="495">
        <v>39137</v>
      </c>
      <c r="K240" s="496">
        <v>34337</v>
      </c>
      <c r="L240" s="495">
        <v>7479</v>
      </c>
      <c r="M240" s="496">
        <v>6957</v>
      </c>
      <c r="N240" s="495">
        <v>36422</v>
      </c>
      <c r="O240" s="496">
        <v>34372</v>
      </c>
      <c r="P240" s="640">
        <f t="shared" si="72"/>
        <v>83038</v>
      </c>
      <c r="Q240" s="640">
        <f t="shared" si="73"/>
        <v>2767.9333333333334</v>
      </c>
      <c r="R240" s="641">
        <f t="shared" si="74"/>
        <v>75666</v>
      </c>
      <c r="S240" s="641">
        <f t="shared" si="75"/>
        <v>2522.1999999999998</v>
      </c>
      <c r="T240" s="495"/>
      <c r="U240" s="496"/>
      <c r="V240" s="640">
        <f t="shared" si="76"/>
        <v>0</v>
      </c>
      <c r="W240" s="641">
        <f t="shared" si="77"/>
        <v>0</v>
      </c>
      <c r="X240" s="495"/>
      <c r="Y240" s="496"/>
      <c r="Z240" s="495"/>
      <c r="AA240" s="496"/>
      <c r="AB240" s="495"/>
      <c r="AC240" s="496"/>
      <c r="AD240" s="495"/>
      <c r="AE240" s="496"/>
      <c r="AF240" s="640">
        <f t="shared" si="78"/>
        <v>0</v>
      </c>
      <c r="AG240" s="640">
        <f t="shared" si="79"/>
        <v>0</v>
      </c>
      <c r="AH240" s="641">
        <f t="shared" si="80"/>
        <v>0</v>
      </c>
      <c r="AI240" s="641">
        <f t="shared" si="81"/>
        <v>0</v>
      </c>
      <c r="AJ240" s="495"/>
      <c r="AK240" s="496"/>
      <c r="AL240" s="640">
        <f t="shared" si="82"/>
        <v>0</v>
      </c>
      <c r="AM240" s="641">
        <f t="shared" si="83"/>
        <v>0</v>
      </c>
      <c r="AN240" s="495"/>
      <c r="AO240" s="496"/>
      <c r="AP240" s="495">
        <v>2823</v>
      </c>
      <c r="AQ240" s="496">
        <v>3524</v>
      </c>
      <c r="AR240" s="495">
        <v>1533</v>
      </c>
      <c r="AS240" s="496">
        <v>1631</v>
      </c>
      <c r="AT240" s="495">
        <v>3346</v>
      </c>
      <c r="AU240" s="496">
        <v>3748</v>
      </c>
      <c r="AV240" s="640">
        <f t="shared" si="84"/>
        <v>7702</v>
      </c>
      <c r="AW240" s="640">
        <f t="shared" si="85"/>
        <v>320.91666666666669</v>
      </c>
      <c r="AX240" s="641">
        <f t="shared" si="86"/>
        <v>8903</v>
      </c>
      <c r="AY240" s="641">
        <f t="shared" si="87"/>
        <v>370.95833333333331</v>
      </c>
      <c r="AZ240" s="640">
        <f t="shared" si="88"/>
        <v>3088.85</v>
      </c>
      <c r="BA240" s="641">
        <f t="shared" si="89"/>
        <v>2893.1583333333333</v>
      </c>
    </row>
    <row r="241" spans="1:53" s="365" customFormat="1" ht="12.6" customHeight="1">
      <c r="A241" s="430" t="s">
        <v>230</v>
      </c>
      <c r="B241" s="431" t="s">
        <v>236</v>
      </c>
      <c r="C241" s="432"/>
      <c r="D241" s="628">
        <v>175616</v>
      </c>
      <c r="E241" s="530">
        <v>4</v>
      </c>
      <c r="F241" s="495"/>
      <c r="G241" s="496"/>
      <c r="H241" s="495"/>
      <c r="I241" s="496"/>
      <c r="J241" s="495">
        <v>31323</v>
      </c>
      <c r="K241" s="496">
        <v>24876.5</v>
      </c>
      <c r="L241" s="495">
        <v>3582</v>
      </c>
      <c r="M241" s="496">
        <v>2749</v>
      </c>
      <c r="N241" s="495">
        <v>29214</v>
      </c>
      <c r="O241" s="496">
        <v>25164</v>
      </c>
      <c r="P241" s="640">
        <f t="shared" si="72"/>
        <v>64119</v>
      </c>
      <c r="Q241" s="640">
        <f t="shared" si="73"/>
        <v>2137.3000000000002</v>
      </c>
      <c r="R241" s="641">
        <f t="shared" si="74"/>
        <v>52789.5</v>
      </c>
      <c r="S241" s="641">
        <f t="shared" si="75"/>
        <v>1759.65</v>
      </c>
      <c r="T241" s="495"/>
      <c r="U241" s="496"/>
      <c r="V241" s="640">
        <f t="shared" si="76"/>
        <v>0</v>
      </c>
      <c r="W241" s="641">
        <f t="shared" si="77"/>
        <v>0</v>
      </c>
      <c r="X241" s="495"/>
      <c r="Y241" s="496"/>
      <c r="Z241" s="495"/>
      <c r="AA241" s="496"/>
      <c r="AB241" s="495"/>
      <c r="AC241" s="496"/>
      <c r="AD241" s="495"/>
      <c r="AE241" s="496"/>
      <c r="AF241" s="640">
        <f t="shared" si="78"/>
        <v>0</v>
      </c>
      <c r="AG241" s="640">
        <f t="shared" si="79"/>
        <v>0</v>
      </c>
      <c r="AH241" s="641">
        <f t="shared" si="80"/>
        <v>0</v>
      </c>
      <c r="AI241" s="641">
        <f t="shared" si="81"/>
        <v>0</v>
      </c>
      <c r="AJ241" s="495"/>
      <c r="AK241" s="496"/>
      <c r="AL241" s="640">
        <f t="shared" si="82"/>
        <v>0</v>
      </c>
      <c r="AM241" s="641">
        <f t="shared" si="83"/>
        <v>0</v>
      </c>
      <c r="AN241" s="495"/>
      <c r="AO241" s="496"/>
      <c r="AP241" s="495">
        <v>4830</v>
      </c>
      <c r="AQ241" s="496">
        <v>5487</v>
      </c>
      <c r="AR241" s="495">
        <v>6836</v>
      </c>
      <c r="AS241" s="496">
        <v>5563</v>
      </c>
      <c r="AT241" s="495">
        <v>5115</v>
      </c>
      <c r="AU241" s="496">
        <v>5227</v>
      </c>
      <c r="AV241" s="640">
        <f t="shared" si="84"/>
        <v>16781</v>
      </c>
      <c r="AW241" s="640">
        <f t="shared" si="85"/>
        <v>699.20833333333337</v>
      </c>
      <c r="AX241" s="641">
        <f t="shared" si="86"/>
        <v>16277</v>
      </c>
      <c r="AY241" s="641">
        <f t="shared" si="87"/>
        <v>678.20833333333337</v>
      </c>
      <c r="AZ241" s="640">
        <f t="shared" si="88"/>
        <v>2836.5083333333337</v>
      </c>
      <c r="BA241" s="641">
        <f t="shared" si="89"/>
        <v>2437.8583333333336</v>
      </c>
    </row>
    <row r="242" spans="1:53" s="365" customFormat="1" ht="12.6" customHeight="1">
      <c r="A242" s="430" t="s">
        <v>230</v>
      </c>
      <c r="B242" s="431" t="s">
        <v>238</v>
      </c>
      <c r="C242" s="432"/>
      <c r="D242" s="628">
        <v>176035</v>
      </c>
      <c r="E242" s="530">
        <v>4</v>
      </c>
      <c r="F242" s="495"/>
      <c r="G242" s="496"/>
      <c r="H242" s="495"/>
      <c r="I242" s="496"/>
      <c r="J242" s="495">
        <v>31188</v>
      </c>
      <c r="K242" s="496">
        <v>29078</v>
      </c>
      <c r="L242" s="495">
        <v>9289</v>
      </c>
      <c r="M242" s="496">
        <v>8578</v>
      </c>
      <c r="N242" s="495">
        <v>31398</v>
      </c>
      <c r="O242" s="496">
        <v>27132</v>
      </c>
      <c r="P242" s="640">
        <f t="shared" si="72"/>
        <v>71875</v>
      </c>
      <c r="Q242" s="640">
        <f t="shared" si="73"/>
        <v>2395.8333333333335</v>
      </c>
      <c r="R242" s="641">
        <f t="shared" si="74"/>
        <v>64788</v>
      </c>
      <c r="S242" s="641">
        <f t="shared" si="75"/>
        <v>2159.6</v>
      </c>
      <c r="T242" s="495"/>
      <c r="U242" s="496"/>
      <c r="V242" s="640">
        <f t="shared" si="76"/>
        <v>0</v>
      </c>
      <c r="W242" s="641">
        <f t="shared" si="77"/>
        <v>0</v>
      </c>
      <c r="X242" s="495"/>
      <c r="Y242" s="496"/>
      <c r="Z242" s="495"/>
      <c r="AA242" s="496"/>
      <c r="AB242" s="495"/>
      <c r="AC242" s="496"/>
      <c r="AD242" s="495"/>
      <c r="AE242" s="496"/>
      <c r="AF242" s="640">
        <f t="shared" si="78"/>
        <v>0</v>
      </c>
      <c r="AG242" s="640">
        <f t="shared" si="79"/>
        <v>0</v>
      </c>
      <c r="AH242" s="641">
        <f t="shared" si="80"/>
        <v>0</v>
      </c>
      <c r="AI242" s="641">
        <f t="shared" si="81"/>
        <v>0</v>
      </c>
      <c r="AJ242" s="495"/>
      <c r="AK242" s="496"/>
      <c r="AL242" s="640">
        <f t="shared" si="82"/>
        <v>0</v>
      </c>
      <c r="AM242" s="641">
        <f t="shared" si="83"/>
        <v>0</v>
      </c>
      <c r="AN242" s="495"/>
      <c r="AO242" s="496"/>
      <c r="AP242" s="495">
        <v>1896</v>
      </c>
      <c r="AQ242" s="496">
        <v>2364</v>
      </c>
      <c r="AR242" s="495">
        <v>1262</v>
      </c>
      <c r="AS242" s="496">
        <v>1600</v>
      </c>
      <c r="AT242" s="495">
        <v>2389</v>
      </c>
      <c r="AU242" s="496">
        <v>2520</v>
      </c>
      <c r="AV242" s="640">
        <f t="shared" si="84"/>
        <v>5547</v>
      </c>
      <c r="AW242" s="640">
        <f t="shared" si="85"/>
        <v>231.125</v>
      </c>
      <c r="AX242" s="641">
        <f t="shared" si="86"/>
        <v>6484</v>
      </c>
      <c r="AY242" s="641">
        <f t="shared" si="87"/>
        <v>270.16666666666669</v>
      </c>
      <c r="AZ242" s="640">
        <f t="shared" si="88"/>
        <v>2626.9583333333335</v>
      </c>
      <c r="BA242" s="641">
        <f t="shared" si="89"/>
        <v>2429.7666666666664</v>
      </c>
    </row>
    <row r="243" spans="1:53" s="365" customFormat="1" ht="12.6" customHeight="1">
      <c r="A243" s="430" t="s">
        <v>230</v>
      </c>
      <c r="B243" s="431" t="s">
        <v>237</v>
      </c>
      <c r="C243" s="432"/>
      <c r="D243" s="628">
        <v>176044</v>
      </c>
      <c r="E243" s="530">
        <v>4</v>
      </c>
      <c r="F243" s="495"/>
      <c r="G243" s="496"/>
      <c r="H243" s="495"/>
      <c r="I243" s="496"/>
      <c r="J243" s="495">
        <v>20834</v>
      </c>
      <c r="K243" s="496">
        <v>16722</v>
      </c>
      <c r="L243" s="495">
        <v>2813</v>
      </c>
      <c r="M243" s="496">
        <v>4094</v>
      </c>
      <c r="N243" s="495">
        <v>20397</v>
      </c>
      <c r="O243" s="496">
        <v>18862</v>
      </c>
      <c r="P243" s="640">
        <f t="shared" si="72"/>
        <v>44044</v>
      </c>
      <c r="Q243" s="640">
        <f t="shared" si="73"/>
        <v>1468.1333333333334</v>
      </c>
      <c r="R243" s="641">
        <f t="shared" si="74"/>
        <v>39678</v>
      </c>
      <c r="S243" s="641">
        <f t="shared" si="75"/>
        <v>1322.6</v>
      </c>
      <c r="T243" s="495"/>
      <c r="U243" s="496"/>
      <c r="V243" s="640">
        <f t="shared" si="76"/>
        <v>0</v>
      </c>
      <c r="W243" s="641">
        <f t="shared" si="77"/>
        <v>0</v>
      </c>
      <c r="X243" s="495"/>
      <c r="Y243" s="496"/>
      <c r="Z243" s="495"/>
      <c r="AA243" s="496"/>
      <c r="AB243" s="495"/>
      <c r="AC243" s="496"/>
      <c r="AD243" s="495"/>
      <c r="AE243" s="496"/>
      <c r="AF243" s="640">
        <f t="shared" si="78"/>
        <v>0</v>
      </c>
      <c r="AG243" s="640">
        <f t="shared" si="79"/>
        <v>0</v>
      </c>
      <c r="AH243" s="641">
        <f t="shared" si="80"/>
        <v>0</v>
      </c>
      <c r="AI243" s="641">
        <f t="shared" si="81"/>
        <v>0</v>
      </c>
      <c r="AJ243" s="495"/>
      <c r="AK243" s="496"/>
      <c r="AL243" s="640">
        <f t="shared" si="82"/>
        <v>0</v>
      </c>
      <c r="AM243" s="641">
        <f t="shared" si="83"/>
        <v>0</v>
      </c>
      <c r="AN243" s="495"/>
      <c r="AO243" s="496"/>
      <c r="AP243" s="495">
        <v>2061</v>
      </c>
      <c r="AQ243" s="496">
        <v>2523</v>
      </c>
      <c r="AR243" s="495">
        <v>774</v>
      </c>
      <c r="AS243" s="496">
        <v>933</v>
      </c>
      <c r="AT243" s="495">
        <v>2312</v>
      </c>
      <c r="AU243" s="496">
        <v>2346</v>
      </c>
      <c r="AV243" s="640">
        <f t="shared" si="84"/>
        <v>5147</v>
      </c>
      <c r="AW243" s="640">
        <f t="shared" si="85"/>
        <v>214.45833333333334</v>
      </c>
      <c r="AX243" s="641">
        <f t="shared" si="86"/>
        <v>5802</v>
      </c>
      <c r="AY243" s="641">
        <f t="shared" si="87"/>
        <v>241.75</v>
      </c>
      <c r="AZ243" s="640">
        <f t="shared" si="88"/>
        <v>1682.5916666666667</v>
      </c>
      <c r="BA243" s="641">
        <f t="shared" si="89"/>
        <v>1564.35</v>
      </c>
    </row>
    <row r="244" spans="1:53" s="365" customFormat="1" ht="13.9" customHeight="1">
      <c r="A244" s="531" t="s">
        <v>230</v>
      </c>
      <c r="B244" s="532" t="s">
        <v>870</v>
      </c>
      <c r="C244" s="533"/>
      <c r="D244" s="534">
        <v>175786</v>
      </c>
      <c r="E244" s="535">
        <v>8</v>
      </c>
      <c r="F244" s="486"/>
      <c r="G244" s="460"/>
      <c r="H244" s="486"/>
      <c r="I244" s="460"/>
      <c r="J244" s="486">
        <v>122284</v>
      </c>
      <c r="K244" s="460">
        <v>101228</v>
      </c>
      <c r="L244" s="486">
        <v>19556</v>
      </c>
      <c r="M244" s="460">
        <v>43658</v>
      </c>
      <c r="N244" s="486">
        <v>119516</v>
      </c>
      <c r="O244" s="460">
        <v>112137</v>
      </c>
      <c r="P244" s="640">
        <f t="shared" si="72"/>
        <v>261356</v>
      </c>
      <c r="Q244" s="640">
        <f t="shared" si="73"/>
        <v>8711.8666666666668</v>
      </c>
      <c r="R244" s="641">
        <f t="shared" si="74"/>
        <v>257023</v>
      </c>
      <c r="S244" s="641">
        <f t="shared" si="75"/>
        <v>8567.4333333333325</v>
      </c>
      <c r="T244" s="486">
        <v>32212</v>
      </c>
      <c r="U244" s="460">
        <v>30209</v>
      </c>
      <c r="V244" s="640">
        <f t="shared" si="76"/>
        <v>261356</v>
      </c>
      <c r="W244" s="641">
        <f t="shared" si="77"/>
        <v>257023</v>
      </c>
      <c r="X244" s="486"/>
      <c r="Y244" s="460"/>
      <c r="Z244" s="486"/>
      <c r="AA244" s="460"/>
      <c r="AB244" s="486"/>
      <c r="AC244" s="460"/>
      <c r="AD244" s="486"/>
      <c r="AE244" s="460"/>
      <c r="AF244" s="640">
        <f t="shared" si="78"/>
        <v>0</v>
      </c>
      <c r="AG244" s="640">
        <f t="shared" si="79"/>
        <v>0</v>
      </c>
      <c r="AH244" s="641">
        <f t="shared" si="80"/>
        <v>0</v>
      </c>
      <c r="AI244" s="641">
        <f t="shared" si="81"/>
        <v>0</v>
      </c>
      <c r="AJ244" s="486"/>
      <c r="AK244" s="460"/>
      <c r="AL244" s="640">
        <f t="shared" si="82"/>
        <v>0</v>
      </c>
      <c r="AM244" s="641">
        <f t="shared" si="83"/>
        <v>0</v>
      </c>
      <c r="AN244" s="486"/>
      <c r="AO244" s="460"/>
      <c r="AP244" s="486"/>
      <c r="AQ244" s="460"/>
      <c r="AR244" s="486"/>
      <c r="AS244" s="460"/>
      <c r="AT244" s="486"/>
      <c r="AU244" s="460"/>
      <c r="AV244" s="640">
        <f t="shared" si="84"/>
        <v>0</v>
      </c>
      <c r="AW244" s="640">
        <f t="shared" si="85"/>
        <v>0</v>
      </c>
      <c r="AX244" s="641">
        <f t="shared" si="86"/>
        <v>0</v>
      </c>
      <c r="AY244" s="641">
        <f t="shared" si="87"/>
        <v>0</v>
      </c>
      <c r="AZ244" s="640">
        <f t="shared" si="88"/>
        <v>8711.8666666666668</v>
      </c>
      <c r="BA244" s="641">
        <f t="shared" si="89"/>
        <v>8567.4333333333325</v>
      </c>
    </row>
    <row r="245" spans="1:53" s="1" customFormat="1">
      <c r="A245" s="531" t="s">
        <v>230</v>
      </c>
      <c r="B245" s="532" t="s">
        <v>871</v>
      </c>
      <c r="C245" s="536"/>
      <c r="D245" s="534">
        <v>175810</v>
      </c>
      <c r="E245" s="535">
        <v>8</v>
      </c>
      <c r="F245" s="486"/>
      <c r="G245" s="460"/>
      <c r="H245" s="486"/>
      <c r="I245" s="460"/>
      <c r="J245" s="486">
        <v>64692</v>
      </c>
      <c r="K245" s="460">
        <v>58471</v>
      </c>
      <c r="L245" s="486">
        <v>18893</v>
      </c>
      <c r="M245" s="460">
        <v>15256</v>
      </c>
      <c r="N245" s="486">
        <v>70874</v>
      </c>
      <c r="O245" s="460">
        <v>64383</v>
      </c>
      <c r="P245" s="640">
        <f t="shared" si="72"/>
        <v>154459</v>
      </c>
      <c r="Q245" s="640">
        <f t="shared" si="73"/>
        <v>5148.6333333333332</v>
      </c>
      <c r="R245" s="641">
        <f t="shared" si="74"/>
        <v>138110</v>
      </c>
      <c r="S245" s="641">
        <f t="shared" si="75"/>
        <v>4603.666666666667</v>
      </c>
      <c r="T245" s="486">
        <v>9215</v>
      </c>
      <c r="U245" s="460">
        <v>8851</v>
      </c>
      <c r="V245" s="640">
        <f t="shared" si="76"/>
        <v>154459</v>
      </c>
      <c r="W245" s="641">
        <f t="shared" si="77"/>
        <v>138110</v>
      </c>
      <c r="X245" s="486"/>
      <c r="Y245" s="460"/>
      <c r="Z245" s="486"/>
      <c r="AA245" s="460"/>
      <c r="AB245" s="486"/>
      <c r="AC245" s="460"/>
      <c r="AD245" s="486"/>
      <c r="AE245" s="460"/>
      <c r="AF245" s="640">
        <f t="shared" si="78"/>
        <v>0</v>
      </c>
      <c r="AG245" s="640">
        <f t="shared" si="79"/>
        <v>0</v>
      </c>
      <c r="AH245" s="641">
        <f t="shared" si="80"/>
        <v>0</v>
      </c>
      <c r="AI245" s="641">
        <f t="shared" si="81"/>
        <v>0</v>
      </c>
      <c r="AJ245" s="486"/>
      <c r="AK245" s="460"/>
      <c r="AL245" s="640">
        <f t="shared" si="82"/>
        <v>0</v>
      </c>
      <c r="AM245" s="641">
        <f t="shared" si="83"/>
        <v>0</v>
      </c>
      <c r="AN245" s="486"/>
      <c r="AO245" s="460"/>
      <c r="AP245" s="486"/>
      <c r="AQ245" s="460"/>
      <c r="AR245" s="486"/>
      <c r="AS245" s="460"/>
      <c r="AT245" s="486"/>
      <c r="AU245" s="460"/>
      <c r="AV245" s="640">
        <f t="shared" si="84"/>
        <v>0</v>
      </c>
      <c r="AW245" s="640">
        <f t="shared" si="85"/>
        <v>0</v>
      </c>
      <c r="AX245" s="641">
        <f t="shared" si="86"/>
        <v>0</v>
      </c>
      <c r="AY245" s="641">
        <f t="shared" si="87"/>
        <v>0</v>
      </c>
      <c r="AZ245" s="640">
        <f t="shared" si="88"/>
        <v>5148.6333333333332</v>
      </c>
      <c r="BA245" s="641">
        <f t="shared" si="89"/>
        <v>4603.666666666667</v>
      </c>
    </row>
    <row r="246" spans="1:53" s="1" customFormat="1">
      <c r="A246" s="531" t="s">
        <v>230</v>
      </c>
      <c r="B246" s="532" t="s">
        <v>872</v>
      </c>
      <c r="C246" s="533"/>
      <c r="D246" s="534">
        <v>176071</v>
      </c>
      <c r="E246" s="535">
        <v>8</v>
      </c>
      <c r="F246" s="486"/>
      <c r="G246" s="460"/>
      <c r="H246" s="486"/>
      <c r="I246" s="460"/>
      <c r="J246" s="486">
        <v>57772</v>
      </c>
      <c r="K246" s="460">
        <v>53882</v>
      </c>
      <c r="L246" s="486">
        <v>7416</v>
      </c>
      <c r="M246" s="460">
        <v>6182</v>
      </c>
      <c r="N246" s="486">
        <v>65140</v>
      </c>
      <c r="O246" s="460">
        <v>58360</v>
      </c>
      <c r="P246" s="640">
        <f t="shared" si="72"/>
        <v>130328</v>
      </c>
      <c r="Q246" s="640">
        <f t="shared" si="73"/>
        <v>4344.2666666666664</v>
      </c>
      <c r="R246" s="641">
        <f t="shared" si="74"/>
        <v>118424</v>
      </c>
      <c r="S246" s="641">
        <f t="shared" si="75"/>
        <v>3947.4666666666667</v>
      </c>
      <c r="T246" s="486">
        <v>7315</v>
      </c>
      <c r="U246" s="460">
        <v>7495</v>
      </c>
      <c r="V246" s="640">
        <f t="shared" si="76"/>
        <v>130328</v>
      </c>
      <c r="W246" s="641">
        <f t="shared" si="77"/>
        <v>118424</v>
      </c>
      <c r="X246" s="486"/>
      <c r="Y246" s="460"/>
      <c r="Z246" s="486"/>
      <c r="AA246" s="460"/>
      <c r="AB246" s="486"/>
      <c r="AC246" s="460"/>
      <c r="AD246" s="486"/>
      <c r="AE246" s="460"/>
      <c r="AF246" s="640">
        <f t="shared" si="78"/>
        <v>0</v>
      </c>
      <c r="AG246" s="640">
        <f t="shared" si="79"/>
        <v>0</v>
      </c>
      <c r="AH246" s="641">
        <f t="shared" si="80"/>
        <v>0</v>
      </c>
      <c r="AI246" s="641">
        <f t="shared" si="81"/>
        <v>0</v>
      </c>
      <c r="AJ246" s="486"/>
      <c r="AK246" s="460"/>
      <c r="AL246" s="640">
        <f t="shared" si="82"/>
        <v>0</v>
      </c>
      <c r="AM246" s="641">
        <f t="shared" si="83"/>
        <v>0</v>
      </c>
      <c r="AN246" s="486"/>
      <c r="AO246" s="460"/>
      <c r="AP246" s="486"/>
      <c r="AQ246" s="460"/>
      <c r="AR246" s="486"/>
      <c r="AS246" s="460"/>
      <c r="AT246" s="486"/>
      <c r="AU246" s="460"/>
      <c r="AV246" s="640">
        <f t="shared" si="84"/>
        <v>0</v>
      </c>
      <c r="AW246" s="640">
        <f t="shared" si="85"/>
        <v>0</v>
      </c>
      <c r="AX246" s="641">
        <f t="shared" si="86"/>
        <v>0</v>
      </c>
      <c r="AY246" s="641">
        <f t="shared" si="87"/>
        <v>0</v>
      </c>
      <c r="AZ246" s="640">
        <f t="shared" si="88"/>
        <v>4344.2666666666664</v>
      </c>
      <c r="BA246" s="641">
        <f t="shared" si="89"/>
        <v>3947.4666666666667</v>
      </c>
    </row>
    <row r="247" spans="1:53" s="1" customFormat="1">
      <c r="A247" s="531" t="s">
        <v>230</v>
      </c>
      <c r="B247" s="532" t="s">
        <v>873</v>
      </c>
      <c r="C247" s="533"/>
      <c r="D247" s="534">
        <v>176178</v>
      </c>
      <c r="E247" s="535">
        <v>8</v>
      </c>
      <c r="F247" s="486"/>
      <c r="G247" s="460"/>
      <c r="H247" s="486"/>
      <c r="I247" s="460"/>
      <c r="J247" s="486">
        <v>96955</v>
      </c>
      <c r="K247" s="460">
        <v>88128</v>
      </c>
      <c r="L247" s="486">
        <v>28595</v>
      </c>
      <c r="M247" s="460">
        <v>23328</v>
      </c>
      <c r="N247" s="486">
        <v>100842</v>
      </c>
      <c r="O247" s="460">
        <v>93714</v>
      </c>
      <c r="P247" s="640">
        <f t="shared" si="72"/>
        <v>226392</v>
      </c>
      <c r="Q247" s="640">
        <f t="shared" si="73"/>
        <v>7546.4</v>
      </c>
      <c r="R247" s="641">
        <f t="shared" si="74"/>
        <v>205170</v>
      </c>
      <c r="S247" s="641">
        <f t="shared" si="75"/>
        <v>6839</v>
      </c>
      <c r="T247" s="486">
        <v>17344</v>
      </c>
      <c r="U247" s="460">
        <v>18807</v>
      </c>
      <c r="V247" s="640">
        <f t="shared" si="76"/>
        <v>226392</v>
      </c>
      <c r="W247" s="641">
        <f t="shared" si="77"/>
        <v>205170</v>
      </c>
      <c r="X247" s="486"/>
      <c r="Y247" s="460"/>
      <c r="Z247" s="486"/>
      <c r="AA247" s="460"/>
      <c r="AB247" s="486"/>
      <c r="AC247" s="460"/>
      <c r="AD247" s="486"/>
      <c r="AE247" s="460"/>
      <c r="AF247" s="640">
        <f t="shared" si="78"/>
        <v>0</v>
      </c>
      <c r="AG247" s="640">
        <f t="shared" si="79"/>
        <v>0</v>
      </c>
      <c r="AH247" s="641">
        <f t="shared" si="80"/>
        <v>0</v>
      </c>
      <c r="AI247" s="641">
        <f t="shared" si="81"/>
        <v>0</v>
      </c>
      <c r="AJ247" s="486"/>
      <c r="AK247" s="460"/>
      <c r="AL247" s="640">
        <f t="shared" si="82"/>
        <v>0</v>
      </c>
      <c r="AM247" s="641">
        <f t="shared" si="83"/>
        <v>0</v>
      </c>
      <c r="AN247" s="486"/>
      <c r="AO247" s="460"/>
      <c r="AP247" s="486"/>
      <c r="AQ247" s="460"/>
      <c r="AR247" s="486"/>
      <c r="AS247" s="460"/>
      <c r="AT247" s="486"/>
      <c r="AU247" s="460"/>
      <c r="AV247" s="640">
        <f t="shared" si="84"/>
        <v>0</v>
      </c>
      <c r="AW247" s="640">
        <f t="shared" si="85"/>
        <v>0</v>
      </c>
      <c r="AX247" s="641">
        <f t="shared" si="86"/>
        <v>0</v>
      </c>
      <c r="AY247" s="641">
        <f t="shared" si="87"/>
        <v>0</v>
      </c>
      <c r="AZ247" s="640">
        <f t="shared" si="88"/>
        <v>7546.4</v>
      </c>
      <c r="BA247" s="641">
        <f t="shared" si="89"/>
        <v>6839</v>
      </c>
    </row>
    <row r="248" spans="1:53" s="1" customFormat="1">
      <c r="A248" s="531" t="s">
        <v>230</v>
      </c>
      <c r="B248" s="532" t="s">
        <v>874</v>
      </c>
      <c r="C248" s="533"/>
      <c r="D248" s="534">
        <v>175573</v>
      </c>
      <c r="E248" s="535">
        <v>9</v>
      </c>
      <c r="F248" s="486"/>
      <c r="G248" s="460"/>
      <c r="H248" s="486"/>
      <c r="I248" s="460"/>
      <c r="J248" s="486">
        <v>79435</v>
      </c>
      <c r="K248" s="460">
        <v>70995</v>
      </c>
      <c r="L248" s="486">
        <v>12744</v>
      </c>
      <c r="M248" s="460">
        <v>10827</v>
      </c>
      <c r="N248" s="486">
        <v>83374</v>
      </c>
      <c r="O248" s="460">
        <v>78569</v>
      </c>
      <c r="P248" s="640">
        <f t="shared" si="72"/>
        <v>175553</v>
      </c>
      <c r="Q248" s="640">
        <f t="shared" si="73"/>
        <v>5851.7666666666664</v>
      </c>
      <c r="R248" s="641">
        <f t="shared" si="74"/>
        <v>160391</v>
      </c>
      <c r="S248" s="641">
        <f t="shared" si="75"/>
        <v>5346.3666666666668</v>
      </c>
      <c r="T248" s="486">
        <v>15950</v>
      </c>
      <c r="U248" s="460">
        <v>15106</v>
      </c>
      <c r="V248" s="640">
        <f t="shared" si="76"/>
        <v>175553</v>
      </c>
      <c r="W248" s="641">
        <f t="shared" si="77"/>
        <v>160391</v>
      </c>
      <c r="X248" s="486"/>
      <c r="Y248" s="460"/>
      <c r="Z248" s="486"/>
      <c r="AA248" s="460"/>
      <c r="AB248" s="486"/>
      <c r="AC248" s="460"/>
      <c r="AD248" s="486"/>
      <c r="AE248" s="460"/>
      <c r="AF248" s="640">
        <f t="shared" si="78"/>
        <v>0</v>
      </c>
      <c r="AG248" s="640">
        <f t="shared" si="79"/>
        <v>0</v>
      </c>
      <c r="AH248" s="641">
        <f t="shared" si="80"/>
        <v>0</v>
      </c>
      <c r="AI248" s="641">
        <f t="shared" si="81"/>
        <v>0</v>
      </c>
      <c r="AJ248" s="486"/>
      <c r="AK248" s="460"/>
      <c r="AL248" s="640">
        <f t="shared" si="82"/>
        <v>0</v>
      </c>
      <c r="AM248" s="641">
        <f t="shared" si="83"/>
        <v>0</v>
      </c>
      <c r="AN248" s="486"/>
      <c r="AO248" s="460"/>
      <c r="AP248" s="486"/>
      <c r="AQ248" s="460"/>
      <c r="AR248" s="486"/>
      <c r="AS248" s="460"/>
      <c r="AT248" s="486"/>
      <c r="AU248" s="460"/>
      <c r="AV248" s="640">
        <f t="shared" si="84"/>
        <v>0</v>
      </c>
      <c r="AW248" s="640">
        <f t="shared" si="85"/>
        <v>0</v>
      </c>
      <c r="AX248" s="641">
        <f t="shared" si="86"/>
        <v>0</v>
      </c>
      <c r="AY248" s="641">
        <f t="shared" si="87"/>
        <v>0</v>
      </c>
      <c r="AZ248" s="640">
        <f t="shared" si="88"/>
        <v>5851.7666666666664</v>
      </c>
      <c r="BA248" s="641">
        <f t="shared" si="89"/>
        <v>5346.3666666666668</v>
      </c>
    </row>
    <row r="249" spans="1:53" s="1" customFormat="1">
      <c r="A249" s="531" t="s">
        <v>230</v>
      </c>
      <c r="B249" s="532" t="s">
        <v>875</v>
      </c>
      <c r="C249" s="533"/>
      <c r="D249" s="534">
        <v>175643</v>
      </c>
      <c r="E249" s="535">
        <v>9</v>
      </c>
      <c r="F249" s="486"/>
      <c r="G249" s="460"/>
      <c r="H249" s="486"/>
      <c r="I249" s="460"/>
      <c r="J249" s="486">
        <v>32348</v>
      </c>
      <c r="K249" s="460">
        <v>30035</v>
      </c>
      <c r="L249" s="486">
        <v>6534</v>
      </c>
      <c r="M249" s="460">
        <v>6870</v>
      </c>
      <c r="N249" s="486">
        <v>37340</v>
      </c>
      <c r="O249" s="460">
        <v>36003</v>
      </c>
      <c r="P249" s="640">
        <f t="shared" si="72"/>
        <v>76222</v>
      </c>
      <c r="Q249" s="640">
        <f t="shared" si="73"/>
        <v>2540.7333333333331</v>
      </c>
      <c r="R249" s="641">
        <f t="shared" si="74"/>
        <v>72908</v>
      </c>
      <c r="S249" s="641">
        <f t="shared" si="75"/>
        <v>2430.2666666666669</v>
      </c>
      <c r="T249" s="486">
        <v>8089</v>
      </c>
      <c r="U249" s="460">
        <v>8369</v>
      </c>
      <c r="V249" s="640">
        <f t="shared" si="76"/>
        <v>76222</v>
      </c>
      <c r="W249" s="641">
        <f t="shared" si="77"/>
        <v>72908</v>
      </c>
      <c r="X249" s="486"/>
      <c r="Y249" s="460"/>
      <c r="Z249" s="486"/>
      <c r="AA249" s="460"/>
      <c r="AB249" s="486"/>
      <c r="AC249" s="460"/>
      <c r="AD249" s="486"/>
      <c r="AE249" s="460"/>
      <c r="AF249" s="640">
        <f t="shared" si="78"/>
        <v>0</v>
      </c>
      <c r="AG249" s="640">
        <f t="shared" si="79"/>
        <v>0</v>
      </c>
      <c r="AH249" s="641">
        <f t="shared" si="80"/>
        <v>0</v>
      </c>
      <c r="AI249" s="641">
        <f t="shared" si="81"/>
        <v>0</v>
      </c>
      <c r="AJ249" s="486"/>
      <c r="AK249" s="460"/>
      <c r="AL249" s="640">
        <f t="shared" si="82"/>
        <v>0</v>
      </c>
      <c r="AM249" s="641">
        <f t="shared" si="83"/>
        <v>0</v>
      </c>
      <c r="AN249" s="486"/>
      <c r="AO249" s="460"/>
      <c r="AP249" s="486"/>
      <c r="AQ249" s="460"/>
      <c r="AR249" s="486"/>
      <c r="AS249" s="460"/>
      <c r="AT249" s="486"/>
      <c r="AU249" s="460"/>
      <c r="AV249" s="640">
        <f t="shared" si="84"/>
        <v>0</v>
      </c>
      <c r="AW249" s="640">
        <f t="shared" si="85"/>
        <v>0</v>
      </c>
      <c r="AX249" s="641">
        <f t="shared" si="86"/>
        <v>0</v>
      </c>
      <c r="AY249" s="641">
        <f t="shared" si="87"/>
        <v>0</v>
      </c>
      <c r="AZ249" s="640">
        <f t="shared" si="88"/>
        <v>2540.7333333333331</v>
      </c>
      <c r="BA249" s="641">
        <f t="shared" si="89"/>
        <v>2430.2666666666669</v>
      </c>
    </row>
    <row r="250" spans="1:53" s="1" customFormat="1">
      <c r="A250" s="531" t="s">
        <v>230</v>
      </c>
      <c r="B250" s="532" t="s">
        <v>876</v>
      </c>
      <c r="C250" s="533"/>
      <c r="D250" s="534">
        <v>175652</v>
      </c>
      <c r="E250" s="535">
        <v>9</v>
      </c>
      <c r="F250" s="486"/>
      <c r="G250" s="460"/>
      <c r="H250" s="486"/>
      <c r="I250" s="460"/>
      <c r="J250" s="486">
        <v>28097</v>
      </c>
      <c r="K250" s="460">
        <v>25813</v>
      </c>
      <c r="L250" s="486">
        <v>4735</v>
      </c>
      <c r="M250" s="460">
        <v>3505</v>
      </c>
      <c r="N250" s="486">
        <v>31834</v>
      </c>
      <c r="O250" s="460">
        <v>29654</v>
      </c>
      <c r="P250" s="640">
        <f t="shared" si="72"/>
        <v>64666</v>
      </c>
      <c r="Q250" s="640">
        <f t="shared" si="73"/>
        <v>2155.5333333333333</v>
      </c>
      <c r="R250" s="641">
        <f t="shared" si="74"/>
        <v>58972</v>
      </c>
      <c r="S250" s="641">
        <f t="shared" si="75"/>
        <v>1965.7333333333333</v>
      </c>
      <c r="T250" s="486">
        <v>6215</v>
      </c>
      <c r="U250" s="460">
        <v>6112</v>
      </c>
      <c r="V250" s="640">
        <f t="shared" si="76"/>
        <v>64666</v>
      </c>
      <c r="W250" s="641">
        <f t="shared" si="77"/>
        <v>58972</v>
      </c>
      <c r="X250" s="486"/>
      <c r="Y250" s="460"/>
      <c r="Z250" s="486"/>
      <c r="AA250" s="460"/>
      <c r="AB250" s="486"/>
      <c r="AC250" s="460"/>
      <c r="AD250" s="486"/>
      <c r="AE250" s="460"/>
      <c r="AF250" s="640">
        <f t="shared" si="78"/>
        <v>0</v>
      </c>
      <c r="AG250" s="640">
        <f t="shared" si="79"/>
        <v>0</v>
      </c>
      <c r="AH250" s="641">
        <f t="shared" si="80"/>
        <v>0</v>
      </c>
      <c r="AI250" s="641">
        <f t="shared" si="81"/>
        <v>0</v>
      </c>
      <c r="AJ250" s="486"/>
      <c r="AK250" s="460"/>
      <c r="AL250" s="640">
        <f t="shared" si="82"/>
        <v>0</v>
      </c>
      <c r="AM250" s="641">
        <f t="shared" si="83"/>
        <v>0</v>
      </c>
      <c r="AN250" s="486"/>
      <c r="AO250" s="460"/>
      <c r="AP250" s="486"/>
      <c r="AQ250" s="460"/>
      <c r="AR250" s="486"/>
      <c r="AS250" s="460"/>
      <c r="AT250" s="486"/>
      <c r="AU250" s="460"/>
      <c r="AV250" s="640">
        <f t="shared" si="84"/>
        <v>0</v>
      </c>
      <c r="AW250" s="640">
        <f t="shared" si="85"/>
        <v>0</v>
      </c>
      <c r="AX250" s="641">
        <f t="shared" si="86"/>
        <v>0</v>
      </c>
      <c r="AY250" s="641">
        <f t="shared" si="87"/>
        <v>0</v>
      </c>
      <c r="AZ250" s="640">
        <f t="shared" si="88"/>
        <v>2155.5333333333333</v>
      </c>
      <c r="BA250" s="641">
        <f t="shared" si="89"/>
        <v>1965.7333333333333</v>
      </c>
    </row>
    <row r="251" spans="1:53" s="1" customFormat="1">
      <c r="A251" s="531" t="s">
        <v>230</v>
      </c>
      <c r="B251" s="532" t="s">
        <v>877</v>
      </c>
      <c r="C251" s="536"/>
      <c r="D251" s="534">
        <v>175829</v>
      </c>
      <c r="E251" s="537">
        <v>9</v>
      </c>
      <c r="F251" s="486"/>
      <c r="G251" s="460"/>
      <c r="H251" s="486"/>
      <c r="I251" s="460"/>
      <c r="J251" s="486">
        <v>38526</v>
      </c>
      <c r="K251" s="460">
        <v>33114</v>
      </c>
      <c r="L251" s="486">
        <v>8449</v>
      </c>
      <c r="M251" s="460">
        <v>19172</v>
      </c>
      <c r="N251" s="486">
        <v>40505</v>
      </c>
      <c r="O251" s="460">
        <v>40811</v>
      </c>
      <c r="P251" s="640">
        <f t="shared" si="72"/>
        <v>87480</v>
      </c>
      <c r="Q251" s="640">
        <f t="shared" si="73"/>
        <v>2916</v>
      </c>
      <c r="R251" s="641">
        <f t="shared" si="74"/>
        <v>93097</v>
      </c>
      <c r="S251" s="641">
        <f t="shared" si="75"/>
        <v>3103.2333333333331</v>
      </c>
      <c r="T251" s="486">
        <v>8432</v>
      </c>
      <c r="U251" s="460">
        <v>9449</v>
      </c>
      <c r="V251" s="640">
        <f t="shared" si="76"/>
        <v>87480</v>
      </c>
      <c r="W251" s="641">
        <f t="shared" si="77"/>
        <v>93097</v>
      </c>
      <c r="X251" s="486"/>
      <c r="Y251" s="460"/>
      <c r="Z251" s="486"/>
      <c r="AA251" s="460"/>
      <c r="AB251" s="486"/>
      <c r="AC251" s="460"/>
      <c r="AD251" s="486"/>
      <c r="AE251" s="460"/>
      <c r="AF251" s="640">
        <f t="shared" si="78"/>
        <v>0</v>
      </c>
      <c r="AG251" s="640">
        <f t="shared" si="79"/>
        <v>0</v>
      </c>
      <c r="AH251" s="641">
        <f t="shared" si="80"/>
        <v>0</v>
      </c>
      <c r="AI251" s="641">
        <f t="shared" si="81"/>
        <v>0</v>
      </c>
      <c r="AJ251" s="486"/>
      <c r="AK251" s="460"/>
      <c r="AL251" s="640">
        <f t="shared" si="82"/>
        <v>0</v>
      </c>
      <c r="AM251" s="641">
        <f t="shared" si="83"/>
        <v>0</v>
      </c>
      <c r="AN251" s="486"/>
      <c r="AO251" s="460"/>
      <c r="AP251" s="486"/>
      <c r="AQ251" s="460"/>
      <c r="AR251" s="486"/>
      <c r="AS251" s="460"/>
      <c r="AT251" s="486"/>
      <c r="AU251" s="460"/>
      <c r="AV251" s="640">
        <f t="shared" si="84"/>
        <v>0</v>
      </c>
      <c r="AW251" s="640">
        <f t="shared" si="85"/>
        <v>0</v>
      </c>
      <c r="AX251" s="641">
        <f t="shared" si="86"/>
        <v>0</v>
      </c>
      <c r="AY251" s="641">
        <f t="shared" si="87"/>
        <v>0</v>
      </c>
      <c r="AZ251" s="640">
        <f t="shared" si="88"/>
        <v>2916</v>
      </c>
      <c r="BA251" s="641">
        <f t="shared" si="89"/>
        <v>3103.2333333333331</v>
      </c>
    </row>
    <row r="252" spans="1:53" s="1" customFormat="1">
      <c r="A252" s="531" t="s">
        <v>230</v>
      </c>
      <c r="B252" s="532" t="s">
        <v>878</v>
      </c>
      <c r="C252" s="533"/>
      <c r="D252" s="534">
        <v>175883</v>
      </c>
      <c r="E252" s="535">
        <v>9</v>
      </c>
      <c r="F252" s="486"/>
      <c r="G252" s="460"/>
      <c r="H252" s="486"/>
      <c r="I252" s="460"/>
      <c r="J252" s="486">
        <v>51162</v>
      </c>
      <c r="K252" s="460">
        <v>43636</v>
      </c>
      <c r="L252" s="486">
        <v>11031</v>
      </c>
      <c r="M252" s="460">
        <v>9511</v>
      </c>
      <c r="N252" s="486">
        <v>57131</v>
      </c>
      <c r="O252" s="460">
        <v>53765</v>
      </c>
      <c r="P252" s="640">
        <f t="shared" si="72"/>
        <v>119324</v>
      </c>
      <c r="Q252" s="640">
        <f t="shared" si="73"/>
        <v>3977.4666666666667</v>
      </c>
      <c r="R252" s="641">
        <f t="shared" si="74"/>
        <v>106912</v>
      </c>
      <c r="S252" s="641">
        <f t="shared" si="75"/>
        <v>3563.7333333333331</v>
      </c>
      <c r="T252" s="486">
        <v>8106</v>
      </c>
      <c r="U252" s="460">
        <v>8650</v>
      </c>
      <c r="V252" s="640">
        <f t="shared" si="76"/>
        <v>119324</v>
      </c>
      <c r="W252" s="641">
        <f t="shared" si="77"/>
        <v>106912</v>
      </c>
      <c r="X252" s="486"/>
      <c r="Y252" s="460"/>
      <c r="Z252" s="486"/>
      <c r="AA252" s="460"/>
      <c r="AB252" s="486"/>
      <c r="AC252" s="460"/>
      <c r="AD252" s="486"/>
      <c r="AE252" s="460"/>
      <c r="AF252" s="640">
        <f t="shared" si="78"/>
        <v>0</v>
      </c>
      <c r="AG252" s="640">
        <f t="shared" si="79"/>
        <v>0</v>
      </c>
      <c r="AH252" s="641">
        <f t="shared" si="80"/>
        <v>0</v>
      </c>
      <c r="AI252" s="641">
        <f t="shared" si="81"/>
        <v>0</v>
      </c>
      <c r="AJ252" s="486"/>
      <c r="AK252" s="460"/>
      <c r="AL252" s="640">
        <f t="shared" si="82"/>
        <v>0</v>
      </c>
      <c r="AM252" s="641">
        <f t="shared" si="83"/>
        <v>0</v>
      </c>
      <c r="AN252" s="486"/>
      <c r="AO252" s="460"/>
      <c r="AP252" s="486"/>
      <c r="AQ252" s="460"/>
      <c r="AR252" s="486"/>
      <c r="AS252" s="460"/>
      <c r="AT252" s="486"/>
      <c r="AU252" s="460"/>
      <c r="AV252" s="640">
        <f t="shared" si="84"/>
        <v>0</v>
      </c>
      <c r="AW252" s="640">
        <f t="shared" si="85"/>
        <v>0</v>
      </c>
      <c r="AX252" s="641">
        <f t="shared" si="86"/>
        <v>0</v>
      </c>
      <c r="AY252" s="641">
        <f t="shared" si="87"/>
        <v>0</v>
      </c>
      <c r="AZ252" s="640">
        <f t="shared" si="88"/>
        <v>3977.4666666666667</v>
      </c>
      <c r="BA252" s="641">
        <f t="shared" si="89"/>
        <v>3563.7333333333331</v>
      </c>
    </row>
    <row r="253" spans="1:53" s="1" customFormat="1">
      <c r="A253" s="531" t="s">
        <v>230</v>
      </c>
      <c r="B253" s="532" t="s">
        <v>879</v>
      </c>
      <c r="C253" s="533"/>
      <c r="D253" s="534">
        <v>175935</v>
      </c>
      <c r="E253" s="535">
        <v>9</v>
      </c>
      <c r="F253" s="486"/>
      <c r="G253" s="460"/>
      <c r="H253" s="486"/>
      <c r="I253" s="460"/>
      <c r="J253" s="486">
        <v>34059.5</v>
      </c>
      <c r="K253" s="460">
        <v>30472</v>
      </c>
      <c r="L253" s="486">
        <v>9833</v>
      </c>
      <c r="M253" s="460">
        <v>7490</v>
      </c>
      <c r="N253" s="486">
        <v>35753</v>
      </c>
      <c r="O253" s="460">
        <v>33931</v>
      </c>
      <c r="P253" s="640">
        <f t="shared" si="72"/>
        <v>79645.5</v>
      </c>
      <c r="Q253" s="640">
        <f t="shared" si="73"/>
        <v>2654.85</v>
      </c>
      <c r="R253" s="641">
        <f t="shared" si="74"/>
        <v>71893</v>
      </c>
      <c r="S253" s="641">
        <f t="shared" si="75"/>
        <v>2396.4333333333334</v>
      </c>
      <c r="T253" s="486">
        <v>3473</v>
      </c>
      <c r="U253" s="460">
        <v>3170</v>
      </c>
      <c r="V253" s="640">
        <f t="shared" si="76"/>
        <v>79645.5</v>
      </c>
      <c r="W253" s="641">
        <f t="shared" si="77"/>
        <v>71893</v>
      </c>
      <c r="X253" s="486"/>
      <c r="Y253" s="460"/>
      <c r="Z253" s="486"/>
      <c r="AA253" s="460"/>
      <c r="AB253" s="486"/>
      <c r="AC253" s="460"/>
      <c r="AD253" s="486"/>
      <c r="AE253" s="460"/>
      <c r="AF253" s="640">
        <f t="shared" si="78"/>
        <v>0</v>
      </c>
      <c r="AG253" s="640">
        <f t="shared" si="79"/>
        <v>0</v>
      </c>
      <c r="AH253" s="641">
        <f t="shared" si="80"/>
        <v>0</v>
      </c>
      <c r="AI253" s="641">
        <f t="shared" si="81"/>
        <v>0</v>
      </c>
      <c r="AJ253" s="486"/>
      <c r="AK253" s="460"/>
      <c r="AL253" s="640">
        <f t="shared" si="82"/>
        <v>0</v>
      </c>
      <c r="AM253" s="641">
        <f t="shared" si="83"/>
        <v>0</v>
      </c>
      <c r="AN253" s="486"/>
      <c r="AO253" s="460"/>
      <c r="AP253" s="486"/>
      <c r="AQ253" s="460"/>
      <c r="AR253" s="486"/>
      <c r="AS253" s="460"/>
      <c r="AT253" s="486"/>
      <c r="AU253" s="460"/>
      <c r="AV253" s="640">
        <f t="shared" si="84"/>
        <v>0</v>
      </c>
      <c r="AW253" s="640">
        <f t="shared" si="85"/>
        <v>0</v>
      </c>
      <c r="AX253" s="641">
        <f t="shared" si="86"/>
        <v>0</v>
      </c>
      <c r="AY253" s="641">
        <f t="shared" si="87"/>
        <v>0</v>
      </c>
      <c r="AZ253" s="640">
        <f t="shared" si="88"/>
        <v>2654.85</v>
      </c>
      <c r="BA253" s="641">
        <f t="shared" si="89"/>
        <v>2396.4333333333334</v>
      </c>
    </row>
    <row r="254" spans="1:53" s="1" customFormat="1">
      <c r="A254" s="531" t="s">
        <v>230</v>
      </c>
      <c r="B254" s="532" t="s">
        <v>880</v>
      </c>
      <c r="C254" s="533"/>
      <c r="D254" s="534">
        <v>176008</v>
      </c>
      <c r="E254" s="535">
        <v>9</v>
      </c>
      <c r="F254" s="486"/>
      <c r="G254" s="460"/>
      <c r="H254" s="486"/>
      <c r="I254" s="460"/>
      <c r="J254" s="486">
        <v>25534</v>
      </c>
      <c r="K254" s="460">
        <v>20200</v>
      </c>
      <c r="L254" s="486">
        <v>6560</v>
      </c>
      <c r="M254" s="460">
        <v>5888</v>
      </c>
      <c r="N254" s="486">
        <v>26377</v>
      </c>
      <c r="O254" s="460">
        <v>24460</v>
      </c>
      <c r="P254" s="640">
        <f t="shared" si="72"/>
        <v>58471</v>
      </c>
      <c r="Q254" s="640">
        <f t="shared" si="73"/>
        <v>1949.0333333333333</v>
      </c>
      <c r="R254" s="641">
        <f t="shared" si="74"/>
        <v>50548</v>
      </c>
      <c r="S254" s="641">
        <f t="shared" si="75"/>
        <v>1684.9333333333334</v>
      </c>
      <c r="T254" s="486">
        <v>3257</v>
      </c>
      <c r="U254" s="460">
        <v>3236</v>
      </c>
      <c r="V254" s="640">
        <f t="shared" si="76"/>
        <v>58471</v>
      </c>
      <c r="W254" s="641">
        <f t="shared" si="77"/>
        <v>50548</v>
      </c>
      <c r="X254" s="486"/>
      <c r="Y254" s="460"/>
      <c r="Z254" s="486"/>
      <c r="AA254" s="460"/>
      <c r="AB254" s="486"/>
      <c r="AC254" s="460"/>
      <c r="AD254" s="486"/>
      <c r="AE254" s="460"/>
      <c r="AF254" s="640">
        <f t="shared" si="78"/>
        <v>0</v>
      </c>
      <c r="AG254" s="640">
        <f t="shared" si="79"/>
        <v>0</v>
      </c>
      <c r="AH254" s="641">
        <f t="shared" si="80"/>
        <v>0</v>
      </c>
      <c r="AI254" s="641">
        <f t="shared" si="81"/>
        <v>0</v>
      </c>
      <c r="AJ254" s="486"/>
      <c r="AK254" s="460"/>
      <c r="AL254" s="640">
        <f t="shared" si="82"/>
        <v>0</v>
      </c>
      <c r="AM254" s="641">
        <f t="shared" si="83"/>
        <v>0</v>
      </c>
      <c r="AN254" s="486"/>
      <c r="AO254" s="460"/>
      <c r="AP254" s="486"/>
      <c r="AQ254" s="460"/>
      <c r="AR254" s="486"/>
      <c r="AS254" s="460"/>
      <c r="AT254" s="486"/>
      <c r="AU254" s="460"/>
      <c r="AV254" s="640">
        <f t="shared" si="84"/>
        <v>0</v>
      </c>
      <c r="AW254" s="640">
        <f t="shared" si="85"/>
        <v>0</v>
      </c>
      <c r="AX254" s="641">
        <f t="shared" si="86"/>
        <v>0</v>
      </c>
      <c r="AY254" s="641">
        <f t="shared" si="87"/>
        <v>0</v>
      </c>
      <c r="AZ254" s="640">
        <f t="shared" si="88"/>
        <v>1949.0333333333333</v>
      </c>
      <c r="BA254" s="641">
        <f t="shared" si="89"/>
        <v>1684.9333333333334</v>
      </c>
    </row>
    <row r="255" spans="1:53" s="1" customFormat="1">
      <c r="A255" s="531" t="s">
        <v>230</v>
      </c>
      <c r="B255" s="532" t="s">
        <v>881</v>
      </c>
      <c r="C255" s="533"/>
      <c r="D255" s="534">
        <v>176169</v>
      </c>
      <c r="E255" s="535">
        <v>9</v>
      </c>
      <c r="F255" s="486"/>
      <c r="G255" s="460"/>
      <c r="H255" s="486"/>
      <c r="I255" s="460"/>
      <c r="J255" s="486">
        <v>40466</v>
      </c>
      <c r="K255" s="460">
        <v>35136</v>
      </c>
      <c r="L255" s="486">
        <v>4497</v>
      </c>
      <c r="M255" s="460">
        <v>24917</v>
      </c>
      <c r="N255" s="486">
        <v>42009</v>
      </c>
      <c r="O255" s="460">
        <v>41510</v>
      </c>
      <c r="P255" s="640">
        <f t="shared" si="72"/>
        <v>86972</v>
      </c>
      <c r="Q255" s="640">
        <f t="shared" si="73"/>
        <v>2899.0666666666666</v>
      </c>
      <c r="R255" s="641">
        <f t="shared" si="74"/>
        <v>101563</v>
      </c>
      <c r="S255" s="641">
        <f t="shared" si="75"/>
        <v>3385.4333333333334</v>
      </c>
      <c r="T255" s="486">
        <v>3601</v>
      </c>
      <c r="U255" s="460">
        <v>6238</v>
      </c>
      <c r="V255" s="640">
        <f t="shared" si="76"/>
        <v>86972</v>
      </c>
      <c r="W255" s="641">
        <f t="shared" si="77"/>
        <v>101563</v>
      </c>
      <c r="X255" s="486"/>
      <c r="Y255" s="460"/>
      <c r="Z255" s="486"/>
      <c r="AA255" s="460"/>
      <c r="AB255" s="486"/>
      <c r="AC255" s="460"/>
      <c r="AD255" s="486"/>
      <c r="AE255" s="460"/>
      <c r="AF255" s="640">
        <f t="shared" si="78"/>
        <v>0</v>
      </c>
      <c r="AG255" s="640">
        <f t="shared" si="79"/>
        <v>0</v>
      </c>
      <c r="AH255" s="641">
        <f t="shared" si="80"/>
        <v>0</v>
      </c>
      <c r="AI255" s="641">
        <f t="shared" si="81"/>
        <v>0</v>
      </c>
      <c r="AJ255" s="486"/>
      <c r="AK255" s="460"/>
      <c r="AL255" s="640">
        <f t="shared" si="82"/>
        <v>0</v>
      </c>
      <c r="AM255" s="641">
        <f t="shared" si="83"/>
        <v>0</v>
      </c>
      <c r="AN255" s="486"/>
      <c r="AO255" s="460"/>
      <c r="AP255" s="486"/>
      <c r="AQ255" s="460"/>
      <c r="AR255" s="486"/>
      <c r="AS255" s="460"/>
      <c r="AT255" s="486"/>
      <c r="AU255" s="460"/>
      <c r="AV255" s="640">
        <f t="shared" si="84"/>
        <v>0</v>
      </c>
      <c r="AW255" s="640">
        <f t="shared" si="85"/>
        <v>0</v>
      </c>
      <c r="AX255" s="641">
        <f t="shared" si="86"/>
        <v>0</v>
      </c>
      <c r="AY255" s="641">
        <f t="shared" si="87"/>
        <v>0</v>
      </c>
      <c r="AZ255" s="640">
        <f t="shared" si="88"/>
        <v>2899.0666666666666</v>
      </c>
      <c r="BA255" s="641">
        <f t="shared" si="89"/>
        <v>3385.4333333333334</v>
      </c>
    </row>
    <row r="256" spans="1:53" s="1" customFormat="1">
      <c r="A256" s="531" t="s">
        <v>230</v>
      </c>
      <c r="B256" s="532" t="s">
        <v>882</v>
      </c>
      <c r="C256" s="533"/>
      <c r="D256" s="534">
        <v>176239</v>
      </c>
      <c r="E256" s="535">
        <v>9</v>
      </c>
      <c r="F256" s="486"/>
      <c r="G256" s="460"/>
      <c r="H256" s="486"/>
      <c r="I256" s="460"/>
      <c r="J256" s="486">
        <v>60443</v>
      </c>
      <c r="K256" s="460">
        <v>58836</v>
      </c>
      <c r="L256" s="486">
        <v>10243</v>
      </c>
      <c r="M256" s="460">
        <v>11886</v>
      </c>
      <c r="N256" s="486">
        <v>70293</v>
      </c>
      <c r="O256" s="460">
        <v>68114</v>
      </c>
      <c r="P256" s="640">
        <f t="shared" si="72"/>
        <v>140979</v>
      </c>
      <c r="Q256" s="640">
        <f t="shared" si="73"/>
        <v>4699.3</v>
      </c>
      <c r="R256" s="641">
        <f t="shared" si="74"/>
        <v>138836</v>
      </c>
      <c r="S256" s="641">
        <f t="shared" si="75"/>
        <v>4627.8666666666668</v>
      </c>
      <c r="T256" s="486">
        <v>7652</v>
      </c>
      <c r="U256" s="460">
        <v>8343</v>
      </c>
      <c r="V256" s="640">
        <f t="shared" si="76"/>
        <v>140979</v>
      </c>
      <c r="W256" s="641">
        <f t="shared" si="77"/>
        <v>138836</v>
      </c>
      <c r="X256" s="486"/>
      <c r="Y256" s="460"/>
      <c r="Z256" s="486"/>
      <c r="AA256" s="460"/>
      <c r="AB256" s="486"/>
      <c r="AC256" s="460"/>
      <c r="AD256" s="486"/>
      <c r="AE256" s="460"/>
      <c r="AF256" s="640">
        <f t="shared" si="78"/>
        <v>0</v>
      </c>
      <c r="AG256" s="640">
        <f t="shared" si="79"/>
        <v>0</v>
      </c>
      <c r="AH256" s="641">
        <f t="shared" si="80"/>
        <v>0</v>
      </c>
      <c r="AI256" s="641">
        <f t="shared" si="81"/>
        <v>0</v>
      </c>
      <c r="AJ256" s="486"/>
      <c r="AK256" s="460"/>
      <c r="AL256" s="640">
        <f t="shared" si="82"/>
        <v>0</v>
      </c>
      <c r="AM256" s="641">
        <f t="shared" si="83"/>
        <v>0</v>
      </c>
      <c r="AN256" s="486"/>
      <c r="AO256" s="460"/>
      <c r="AP256" s="486"/>
      <c r="AQ256" s="460"/>
      <c r="AR256" s="486"/>
      <c r="AS256" s="460"/>
      <c r="AT256" s="486"/>
      <c r="AU256" s="460"/>
      <c r="AV256" s="640">
        <f t="shared" si="84"/>
        <v>0</v>
      </c>
      <c r="AW256" s="640">
        <f t="shared" si="85"/>
        <v>0</v>
      </c>
      <c r="AX256" s="641">
        <f t="shared" si="86"/>
        <v>0</v>
      </c>
      <c r="AY256" s="641">
        <f t="shared" si="87"/>
        <v>0</v>
      </c>
      <c r="AZ256" s="640">
        <f t="shared" si="88"/>
        <v>4699.3</v>
      </c>
      <c r="BA256" s="641">
        <f t="shared" si="89"/>
        <v>4627.8666666666668</v>
      </c>
    </row>
    <row r="257" spans="1:53" s="1" customFormat="1">
      <c r="A257" s="531" t="s">
        <v>230</v>
      </c>
      <c r="B257" s="532" t="s">
        <v>883</v>
      </c>
      <c r="C257" s="533"/>
      <c r="D257" s="534">
        <v>175519</v>
      </c>
      <c r="E257" s="535">
        <v>10</v>
      </c>
      <c r="F257" s="486"/>
      <c r="G257" s="460"/>
      <c r="H257" s="486"/>
      <c r="I257" s="460"/>
      <c r="J257" s="486">
        <v>19573</v>
      </c>
      <c r="K257" s="460">
        <v>17144</v>
      </c>
      <c r="L257" s="486">
        <v>4735</v>
      </c>
      <c r="M257" s="460">
        <v>8619</v>
      </c>
      <c r="N257" s="486">
        <v>22257</v>
      </c>
      <c r="O257" s="460">
        <v>20349</v>
      </c>
      <c r="P257" s="640">
        <f t="shared" si="72"/>
        <v>46565</v>
      </c>
      <c r="Q257" s="640">
        <f t="shared" si="73"/>
        <v>1552.1666666666667</v>
      </c>
      <c r="R257" s="641">
        <f t="shared" si="74"/>
        <v>46112</v>
      </c>
      <c r="S257" s="641">
        <f t="shared" si="75"/>
        <v>1537.0666666666666</v>
      </c>
      <c r="T257" s="486">
        <v>3654</v>
      </c>
      <c r="U257" s="460">
        <v>2372</v>
      </c>
      <c r="V257" s="640">
        <f t="shared" si="76"/>
        <v>46565</v>
      </c>
      <c r="W257" s="641">
        <f t="shared" si="77"/>
        <v>46112</v>
      </c>
      <c r="X257" s="486"/>
      <c r="Y257" s="460"/>
      <c r="Z257" s="486"/>
      <c r="AA257" s="460"/>
      <c r="AB257" s="486"/>
      <c r="AC257" s="460"/>
      <c r="AD257" s="486"/>
      <c r="AE257" s="460"/>
      <c r="AF257" s="640">
        <f t="shared" si="78"/>
        <v>0</v>
      </c>
      <c r="AG257" s="640">
        <f t="shared" si="79"/>
        <v>0</v>
      </c>
      <c r="AH257" s="641">
        <f t="shared" si="80"/>
        <v>0</v>
      </c>
      <c r="AI257" s="641">
        <f t="shared" si="81"/>
        <v>0</v>
      </c>
      <c r="AJ257" s="486"/>
      <c r="AK257" s="460"/>
      <c r="AL257" s="640">
        <f t="shared" si="82"/>
        <v>0</v>
      </c>
      <c r="AM257" s="641">
        <f t="shared" si="83"/>
        <v>0</v>
      </c>
      <c r="AN257" s="486"/>
      <c r="AO257" s="460"/>
      <c r="AP257" s="486"/>
      <c r="AQ257" s="460"/>
      <c r="AR257" s="486"/>
      <c r="AS257" s="460"/>
      <c r="AT257" s="486"/>
      <c r="AU257" s="460"/>
      <c r="AV257" s="640">
        <f t="shared" si="84"/>
        <v>0</v>
      </c>
      <c r="AW257" s="640">
        <f t="shared" si="85"/>
        <v>0</v>
      </c>
      <c r="AX257" s="641">
        <f t="shared" si="86"/>
        <v>0</v>
      </c>
      <c r="AY257" s="641">
        <f t="shared" si="87"/>
        <v>0</v>
      </c>
      <c r="AZ257" s="640">
        <f t="shared" si="88"/>
        <v>1552.1666666666667</v>
      </c>
      <c r="BA257" s="641">
        <f t="shared" si="89"/>
        <v>1537.0666666666666</v>
      </c>
    </row>
    <row r="258" spans="1:53" s="1" customFormat="1">
      <c r="A258" s="531" t="s">
        <v>230</v>
      </c>
      <c r="B258" s="532" t="s">
        <v>884</v>
      </c>
      <c r="C258" s="533"/>
      <c r="D258" s="534">
        <v>176354</v>
      </c>
      <c r="E258" s="535">
        <v>10</v>
      </c>
      <c r="F258" s="486"/>
      <c r="G258" s="460"/>
      <c r="H258" s="486"/>
      <c r="I258" s="460"/>
      <c r="J258" s="486">
        <v>26104</v>
      </c>
      <c r="K258" s="460">
        <v>22924</v>
      </c>
      <c r="L258" s="486">
        <v>3560</v>
      </c>
      <c r="M258" s="460">
        <v>4029</v>
      </c>
      <c r="N258" s="486">
        <v>27633</v>
      </c>
      <c r="O258" s="460">
        <v>23118</v>
      </c>
      <c r="P258" s="640">
        <f t="shared" si="72"/>
        <v>57297</v>
      </c>
      <c r="Q258" s="640">
        <f t="shared" si="73"/>
        <v>1909.9</v>
      </c>
      <c r="R258" s="641">
        <f t="shared" si="74"/>
        <v>50071</v>
      </c>
      <c r="S258" s="641">
        <f t="shared" si="75"/>
        <v>1669.0333333333333</v>
      </c>
      <c r="T258" s="486">
        <v>2699</v>
      </c>
      <c r="U258" s="460">
        <v>2197</v>
      </c>
      <c r="V258" s="640">
        <f t="shared" si="76"/>
        <v>57297</v>
      </c>
      <c r="W258" s="641">
        <f t="shared" si="77"/>
        <v>50071</v>
      </c>
      <c r="X258" s="486"/>
      <c r="Y258" s="460"/>
      <c r="Z258" s="486"/>
      <c r="AA258" s="460"/>
      <c r="AB258" s="486"/>
      <c r="AC258" s="460"/>
      <c r="AD258" s="486"/>
      <c r="AE258" s="460"/>
      <c r="AF258" s="640">
        <f t="shared" si="78"/>
        <v>0</v>
      </c>
      <c r="AG258" s="640">
        <f t="shared" si="79"/>
        <v>0</v>
      </c>
      <c r="AH258" s="641">
        <f t="shared" si="80"/>
        <v>0</v>
      </c>
      <c r="AI258" s="641">
        <f t="shared" si="81"/>
        <v>0</v>
      </c>
      <c r="AJ258" s="486"/>
      <c r="AK258" s="460"/>
      <c r="AL258" s="640">
        <f t="shared" si="82"/>
        <v>0</v>
      </c>
      <c r="AM258" s="641">
        <f t="shared" si="83"/>
        <v>0</v>
      </c>
      <c r="AN258" s="486"/>
      <c r="AO258" s="460"/>
      <c r="AP258" s="486"/>
      <c r="AQ258" s="460"/>
      <c r="AR258" s="486"/>
      <c r="AS258" s="460"/>
      <c r="AT258" s="486"/>
      <c r="AU258" s="460"/>
      <c r="AV258" s="640">
        <f t="shared" si="84"/>
        <v>0</v>
      </c>
      <c r="AW258" s="640">
        <f t="shared" si="85"/>
        <v>0</v>
      </c>
      <c r="AX258" s="641">
        <f t="shared" si="86"/>
        <v>0</v>
      </c>
      <c r="AY258" s="641">
        <f t="shared" si="87"/>
        <v>0</v>
      </c>
      <c r="AZ258" s="640">
        <f t="shared" si="88"/>
        <v>1909.9</v>
      </c>
      <c r="BA258" s="641">
        <f t="shared" si="89"/>
        <v>1669.0333333333333</v>
      </c>
    </row>
    <row r="259" spans="1:53" s="365" customFormat="1" ht="12.6" customHeight="1">
      <c r="A259" s="435" t="s">
        <v>239</v>
      </c>
      <c r="B259" s="436" t="s">
        <v>296</v>
      </c>
      <c r="C259" s="437"/>
      <c r="D259" s="629">
        <v>199193</v>
      </c>
      <c r="E259" s="538">
        <v>1</v>
      </c>
      <c r="F259" s="495"/>
      <c r="G259" s="496"/>
      <c r="H259" s="495"/>
      <c r="I259" s="496"/>
      <c r="J259" s="495">
        <v>330667</v>
      </c>
      <c r="K259" s="496">
        <v>332870</v>
      </c>
      <c r="L259" s="495">
        <v>61576</v>
      </c>
      <c r="M259" s="496">
        <v>49429</v>
      </c>
      <c r="N259" s="495">
        <v>356095</v>
      </c>
      <c r="O259" s="496">
        <v>359884</v>
      </c>
      <c r="P259" s="640">
        <f t="shared" si="72"/>
        <v>748338</v>
      </c>
      <c r="Q259" s="640">
        <f t="shared" si="73"/>
        <v>24944.6</v>
      </c>
      <c r="R259" s="641">
        <f t="shared" si="74"/>
        <v>742183</v>
      </c>
      <c r="S259" s="641">
        <f t="shared" si="75"/>
        <v>24739.433333333334</v>
      </c>
      <c r="T259" s="495">
        <v>2076</v>
      </c>
      <c r="U259" s="496">
        <v>1769</v>
      </c>
      <c r="V259" s="640">
        <f t="shared" si="76"/>
        <v>748338</v>
      </c>
      <c r="W259" s="641">
        <f t="shared" si="77"/>
        <v>742183</v>
      </c>
      <c r="X259" s="495"/>
      <c r="Y259" s="496"/>
      <c r="Z259" s="495"/>
      <c r="AA259" s="496"/>
      <c r="AB259" s="495"/>
      <c r="AC259" s="496"/>
      <c r="AD259" s="495"/>
      <c r="AE259" s="496"/>
      <c r="AF259" s="640">
        <f t="shared" si="78"/>
        <v>0</v>
      </c>
      <c r="AG259" s="640">
        <f t="shared" si="79"/>
        <v>0</v>
      </c>
      <c r="AH259" s="641">
        <f t="shared" si="80"/>
        <v>0</v>
      </c>
      <c r="AI259" s="641">
        <f t="shared" si="81"/>
        <v>0</v>
      </c>
      <c r="AJ259" s="495"/>
      <c r="AK259" s="496"/>
      <c r="AL259" s="640">
        <f t="shared" si="82"/>
        <v>0</v>
      </c>
      <c r="AM259" s="641">
        <f t="shared" si="83"/>
        <v>0</v>
      </c>
      <c r="AN259" s="495"/>
      <c r="AO259" s="496"/>
      <c r="AP259" s="495">
        <v>75997</v>
      </c>
      <c r="AQ259" s="496">
        <v>72866</v>
      </c>
      <c r="AR259" s="495">
        <v>11946.5</v>
      </c>
      <c r="AS259" s="496">
        <v>12372</v>
      </c>
      <c r="AT259" s="495">
        <v>81406.5</v>
      </c>
      <c r="AU259" s="496">
        <v>83487.5</v>
      </c>
      <c r="AV259" s="640">
        <f t="shared" si="84"/>
        <v>169350</v>
      </c>
      <c r="AW259" s="640">
        <f t="shared" si="85"/>
        <v>7056.25</v>
      </c>
      <c r="AX259" s="641">
        <f t="shared" si="86"/>
        <v>168725.5</v>
      </c>
      <c r="AY259" s="641">
        <f t="shared" si="87"/>
        <v>7030.229166666667</v>
      </c>
      <c r="AZ259" s="640">
        <f t="shared" si="88"/>
        <v>32000.85</v>
      </c>
      <c r="BA259" s="641">
        <f t="shared" si="89"/>
        <v>31769.662500000002</v>
      </c>
    </row>
    <row r="260" spans="1:53" s="365" customFormat="1" ht="12.6" customHeight="1">
      <c r="A260" s="435" t="s">
        <v>239</v>
      </c>
      <c r="B260" s="436" t="s">
        <v>297</v>
      </c>
      <c r="C260" s="437"/>
      <c r="D260" s="629">
        <v>199120</v>
      </c>
      <c r="E260" s="538">
        <v>1</v>
      </c>
      <c r="F260" s="495"/>
      <c r="G260" s="496"/>
      <c r="H260" s="495"/>
      <c r="I260" s="496"/>
      <c r="J260" s="495">
        <v>245762</v>
      </c>
      <c r="K260" s="496">
        <v>248392</v>
      </c>
      <c r="L260" s="495">
        <v>49262.5</v>
      </c>
      <c r="M260" s="496">
        <v>36754</v>
      </c>
      <c r="N260" s="495">
        <v>269367.5</v>
      </c>
      <c r="O260" s="496">
        <v>274076.5</v>
      </c>
      <c r="P260" s="640">
        <f t="shared" si="72"/>
        <v>564392</v>
      </c>
      <c r="Q260" s="640">
        <f t="shared" si="73"/>
        <v>18813.066666666666</v>
      </c>
      <c r="R260" s="641">
        <f t="shared" si="74"/>
        <v>559222.5</v>
      </c>
      <c r="S260" s="641">
        <f t="shared" si="75"/>
        <v>18640.75</v>
      </c>
      <c r="T260" s="495">
        <v>0</v>
      </c>
      <c r="U260" s="496">
        <v>0</v>
      </c>
      <c r="V260" s="640">
        <f t="shared" si="76"/>
        <v>564392</v>
      </c>
      <c r="W260" s="641">
        <f t="shared" si="77"/>
        <v>559222.5</v>
      </c>
      <c r="X260" s="495"/>
      <c r="Y260" s="496"/>
      <c r="Z260" s="495"/>
      <c r="AA260" s="496"/>
      <c r="AB260" s="495"/>
      <c r="AC260" s="496"/>
      <c r="AD260" s="495"/>
      <c r="AE260" s="496"/>
      <c r="AF260" s="640">
        <f t="shared" si="78"/>
        <v>0</v>
      </c>
      <c r="AG260" s="640">
        <f t="shared" si="79"/>
        <v>0</v>
      </c>
      <c r="AH260" s="641">
        <f t="shared" si="80"/>
        <v>0</v>
      </c>
      <c r="AI260" s="641">
        <f t="shared" si="81"/>
        <v>0</v>
      </c>
      <c r="AJ260" s="495"/>
      <c r="AK260" s="496"/>
      <c r="AL260" s="640">
        <f t="shared" si="82"/>
        <v>0</v>
      </c>
      <c r="AM260" s="641">
        <f t="shared" si="83"/>
        <v>0</v>
      </c>
      <c r="AN260" s="495"/>
      <c r="AO260" s="496"/>
      <c r="AP260" s="495">
        <v>88367.5</v>
      </c>
      <c r="AQ260" s="496">
        <v>90017.25</v>
      </c>
      <c r="AR260" s="495">
        <v>13142</v>
      </c>
      <c r="AS260" s="496">
        <v>16450</v>
      </c>
      <c r="AT260" s="495">
        <v>86959.75</v>
      </c>
      <c r="AU260" s="496">
        <v>106429.75</v>
      </c>
      <c r="AV260" s="640">
        <f t="shared" si="84"/>
        <v>188469.25</v>
      </c>
      <c r="AW260" s="640">
        <f t="shared" si="85"/>
        <v>7852.885416666667</v>
      </c>
      <c r="AX260" s="641">
        <f t="shared" si="86"/>
        <v>212897</v>
      </c>
      <c r="AY260" s="641">
        <f t="shared" si="87"/>
        <v>8870.7083333333339</v>
      </c>
      <c r="AZ260" s="640">
        <f t="shared" si="88"/>
        <v>26665.952083333334</v>
      </c>
      <c r="BA260" s="641">
        <f t="shared" si="89"/>
        <v>27511.458333333336</v>
      </c>
    </row>
    <row r="261" spans="1:53" s="365" customFormat="1" ht="12.6" customHeight="1">
      <c r="A261" s="435" t="s">
        <v>239</v>
      </c>
      <c r="B261" s="436" t="s">
        <v>298</v>
      </c>
      <c r="C261" s="439"/>
      <c r="D261" s="629">
        <v>199139</v>
      </c>
      <c r="E261" s="538">
        <v>1</v>
      </c>
      <c r="F261" s="495"/>
      <c r="G261" s="496"/>
      <c r="H261" s="495"/>
      <c r="I261" s="496"/>
      <c r="J261" s="495">
        <v>296870</v>
      </c>
      <c r="K261" s="496">
        <v>296964</v>
      </c>
      <c r="L261" s="495">
        <v>67105</v>
      </c>
      <c r="M261" s="496">
        <v>63569</v>
      </c>
      <c r="N261" s="495">
        <v>326619</v>
      </c>
      <c r="O261" s="496">
        <v>317988</v>
      </c>
      <c r="P261" s="640">
        <f t="shared" si="72"/>
        <v>690594</v>
      </c>
      <c r="Q261" s="640">
        <f t="shared" si="73"/>
        <v>23019.8</v>
      </c>
      <c r="R261" s="641">
        <f t="shared" si="74"/>
        <v>678521</v>
      </c>
      <c r="S261" s="641">
        <f t="shared" si="75"/>
        <v>22617.366666666665</v>
      </c>
      <c r="T261" s="495">
        <v>4905</v>
      </c>
      <c r="U261" s="496">
        <v>5155</v>
      </c>
      <c r="V261" s="640">
        <f t="shared" si="76"/>
        <v>690594</v>
      </c>
      <c r="W261" s="641">
        <f t="shared" si="77"/>
        <v>678521</v>
      </c>
      <c r="X261" s="495"/>
      <c r="Y261" s="496"/>
      <c r="Z261" s="495"/>
      <c r="AA261" s="496"/>
      <c r="AB261" s="495"/>
      <c r="AC261" s="496"/>
      <c r="AD261" s="495"/>
      <c r="AE261" s="496"/>
      <c r="AF261" s="640">
        <f t="shared" si="78"/>
        <v>0</v>
      </c>
      <c r="AG261" s="640">
        <f t="shared" si="79"/>
        <v>0</v>
      </c>
      <c r="AH261" s="641">
        <f t="shared" si="80"/>
        <v>0</v>
      </c>
      <c r="AI261" s="641">
        <f t="shared" si="81"/>
        <v>0</v>
      </c>
      <c r="AJ261" s="495"/>
      <c r="AK261" s="496"/>
      <c r="AL261" s="640">
        <f t="shared" si="82"/>
        <v>0</v>
      </c>
      <c r="AM261" s="641">
        <f t="shared" si="83"/>
        <v>0</v>
      </c>
      <c r="AN261" s="495"/>
      <c r="AO261" s="496"/>
      <c r="AP261" s="495">
        <v>38014</v>
      </c>
      <c r="AQ261" s="496">
        <v>41037</v>
      </c>
      <c r="AR261" s="495">
        <v>12625</v>
      </c>
      <c r="AS261" s="496">
        <v>14113</v>
      </c>
      <c r="AT261" s="495">
        <v>43283</v>
      </c>
      <c r="AU261" s="496">
        <v>45223</v>
      </c>
      <c r="AV261" s="640">
        <f t="shared" si="84"/>
        <v>93922</v>
      </c>
      <c r="AW261" s="640">
        <f t="shared" si="85"/>
        <v>3913.4166666666665</v>
      </c>
      <c r="AX261" s="641">
        <f t="shared" si="86"/>
        <v>100373</v>
      </c>
      <c r="AY261" s="641">
        <f t="shared" si="87"/>
        <v>4182.208333333333</v>
      </c>
      <c r="AZ261" s="640">
        <f t="shared" si="88"/>
        <v>26933.216666666667</v>
      </c>
      <c r="BA261" s="641">
        <f t="shared" si="89"/>
        <v>26799.574999999997</v>
      </c>
    </row>
    <row r="262" spans="1:53" s="365" customFormat="1" ht="12.6" customHeight="1">
      <c r="A262" s="435" t="s">
        <v>239</v>
      </c>
      <c r="B262" s="436" t="s">
        <v>299</v>
      </c>
      <c r="C262" s="437"/>
      <c r="D262" s="629">
        <v>199148</v>
      </c>
      <c r="E262" s="538">
        <v>1</v>
      </c>
      <c r="F262" s="495"/>
      <c r="G262" s="496"/>
      <c r="H262" s="495"/>
      <c r="I262" s="496"/>
      <c r="J262" s="495">
        <v>202606</v>
      </c>
      <c r="K262" s="496">
        <v>192963</v>
      </c>
      <c r="L262" s="495">
        <v>35659</v>
      </c>
      <c r="M262" s="496">
        <v>31084</v>
      </c>
      <c r="N262" s="495">
        <v>213016</v>
      </c>
      <c r="O262" s="496">
        <v>201170</v>
      </c>
      <c r="P262" s="640">
        <f t="shared" si="72"/>
        <v>451281</v>
      </c>
      <c r="Q262" s="640">
        <f t="shared" si="73"/>
        <v>15042.7</v>
      </c>
      <c r="R262" s="641">
        <f t="shared" si="74"/>
        <v>425217</v>
      </c>
      <c r="S262" s="641">
        <f t="shared" si="75"/>
        <v>14173.9</v>
      </c>
      <c r="T262" s="495">
        <v>1940</v>
      </c>
      <c r="U262" s="496">
        <v>2052</v>
      </c>
      <c r="V262" s="640">
        <f t="shared" si="76"/>
        <v>451281</v>
      </c>
      <c r="W262" s="641">
        <f t="shared" si="77"/>
        <v>425217</v>
      </c>
      <c r="X262" s="495"/>
      <c r="Y262" s="496"/>
      <c r="Z262" s="495"/>
      <c r="AA262" s="496"/>
      <c r="AB262" s="495"/>
      <c r="AC262" s="496"/>
      <c r="AD262" s="495"/>
      <c r="AE262" s="496"/>
      <c r="AF262" s="640">
        <f t="shared" si="78"/>
        <v>0</v>
      </c>
      <c r="AG262" s="640">
        <f t="shared" si="79"/>
        <v>0</v>
      </c>
      <c r="AH262" s="641">
        <f t="shared" si="80"/>
        <v>0</v>
      </c>
      <c r="AI262" s="641">
        <f t="shared" si="81"/>
        <v>0</v>
      </c>
      <c r="AJ262" s="495"/>
      <c r="AK262" s="496"/>
      <c r="AL262" s="640">
        <f t="shared" si="82"/>
        <v>0</v>
      </c>
      <c r="AM262" s="641">
        <f t="shared" si="83"/>
        <v>0</v>
      </c>
      <c r="AN262" s="495"/>
      <c r="AO262" s="496"/>
      <c r="AP262" s="495">
        <v>25588.5</v>
      </c>
      <c r="AQ262" s="496">
        <v>27267</v>
      </c>
      <c r="AR262" s="495">
        <v>7213.5</v>
      </c>
      <c r="AS262" s="496">
        <v>8237</v>
      </c>
      <c r="AT262" s="495">
        <v>28521.5</v>
      </c>
      <c r="AU262" s="496">
        <v>28355</v>
      </c>
      <c r="AV262" s="640">
        <f t="shared" si="84"/>
        <v>61323.5</v>
      </c>
      <c r="AW262" s="640">
        <f t="shared" si="85"/>
        <v>2555.1458333333335</v>
      </c>
      <c r="AX262" s="641">
        <f t="shared" si="86"/>
        <v>63859</v>
      </c>
      <c r="AY262" s="641">
        <f t="shared" si="87"/>
        <v>2660.7916666666665</v>
      </c>
      <c r="AZ262" s="640">
        <f t="shared" si="88"/>
        <v>17597.845833333333</v>
      </c>
      <c r="BA262" s="641">
        <f t="shared" si="89"/>
        <v>16834.691666666666</v>
      </c>
    </row>
    <row r="263" spans="1:53" s="365" customFormat="1" ht="12.6" customHeight="1">
      <c r="A263" s="435" t="s">
        <v>239</v>
      </c>
      <c r="B263" s="436" t="s">
        <v>300</v>
      </c>
      <c r="C263" s="439"/>
      <c r="D263" s="629">
        <v>198464</v>
      </c>
      <c r="E263" s="538">
        <v>2</v>
      </c>
      <c r="F263" s="495"/>
      <c r="G263" s="496"/>
      <c r="H263" s="495"/>
      <c r="I263" s="496"/>
      <c r="J263" s="495">
        <v>277548</v>
      </c>
      <c r="K263" s="496">
        <v>274928</v>
      </c>
      <c r="L263" s="495">
        <v>50567</v>
      </c>
      <c r="M263" s="496">
        <v>49295</v>
      </c>
      <c r="N263" s="495">
        <v>305077</v>
      </c>
      <c r="O263" s="496">
        <v>289462</v>
      </c>
      <c r="P263" s="640">
        <f t="shared" si="72"/>
        <v>633192</v>
      </c>
      <c r="Q263" s="640">
        <f t="shared" si="73"/>
        <v>21106.400000000001</v>
      </c>
      <c r="R263" s="641">
        <f t="shared" si="74"/>
        <v>613685</v>
      </c>
      <c r="S263" s="641">
        <f t="shared" si="75"/>
        <v>20456.166666666668</v>
      </c>
      <c r="T263" s="495">
        <v>762</v>
      </c>
      <c r="U263" s="496">
        <v>1218</v>
      </c>
      <c r="V263" s="640">
        <f t="shared" si="76"/>
        <v>633192</v>
      </c>
      <c r="W263" s="641">
        <f t="shared" si="77"/>
        <v>613685</v>
      </c>
      <c r="X263" s="495"/>
      <c r="Y263" s="496"/>
      <c r="Z263" s="495"/>
      <c r="AA263" s="496"/>
      <c r="AB263" s="495"/>
      <c r="AC263" s="496"/>
      <c r="AD263" s="495"/>
      <c r="AE263" s="496"/>
      <c r="AF263" s="640">
        <f t="shared" si="78"/>
        <v>0</v>
      </c>
      <c r="AG263" s="640">
        <f t="shared" si="79"/>
        <v>0</v>
      </c>
      <c r="AH263" s="641">
        <f t="shared" si="80"/>
        <v>0</v>
      </c>
      <c r="AI263" s="641">
        <f t="shared" si="81"/>
        <v>0</v>
      </c>
      <c r="AJ263" s="495"/>
      <c r="AK263" s="496"/>
      <c r="AL263" s="640">
        <f t="shared" si="82"/>
        <v>0</v>
      </c>
      <c r="AM263" s="641">
        <f t="shared" si="83"/>
        <v>0</v>
      </c>
      <c r="AN263" s="495"/>
      <c r="AO263" s="496"/>
      <c r="AP263" s="495">
        <v>34328</v>
      </c>
      <c r="AQ263" s="496">
        <v>35614</v>
      </c>
      <c r="AR263" s="495">
        <v>17082</v>
      </c>
      <c r="AS263" s="496">
        <v>17386</v>
      </c>
      <c r="AT263" s="495">
        <v>38053</v>
      </c>
      <c r="AU263" s="496">
        <v>37058</v>
      </c>
      <c r="AV263" s="640">
        <f t="shared" si="84"/>
        <v>89463</v>
      </c>
      <c r="AW263" s="640">
        <f t="shared" si="85"/>
        <v>3727.625</v>
      </c>
      <c r="AX263" s="641">
        <f t="shared" si="86"/>
        <v>90058</v>
      </c>
      <c r="AY263" s="641">
        <f t="shared" si="87"/>
        <v>3752.4166666666665</v>
      </c>
      <c r="AZ263" s="640">
        <f t="shared" si="88"/>
        <v>24834.025000000001</v>
      </c>
      <c r="BA263" s="641">
        <f t="shared" si="89"/>
        <v>24208.583333333336</v>
      </c>
    </row>
    <row r="264" spans="1:53" s="365" customFormat="1" ht="12.6" customHeight="1">
      <c r="A264" s="435" t="s">
        <v>239</v>
      </c>
      <c r="B264" s="436" t="s">
        <v>301</v>
      </c>
      <c r="C264" s="437"/>
      <c r="D264" s="629">
        <v>197869</v>
      </c>
      <c r="E264" s="538">
        <v>3</v>
      </c>
      <c r="F264" s="495"/>
      <c r="G264" s="496"/>
      <c r="H264" s="495"/>
      <c r="I264" s="496"/>
      <c r="J264" s="495">
        <v>235254</v>
      </c>
      <c r="K264" s="496">
        <v>238929</v>
      </c>
      <c r="L264" s="495">
        <v>44610</v>
      </c>
      <c r="M264" s="496">
        <v>41765</v>
      </c>
      <c r="N264" s="495">
        <v>258583</v>
      </c>
      <c r="O264" s="496">
        <v>263919</v>
      </c>
      <c r="P264" s="640">
        <f t="shared" ref="P264:P327" si="90">SUM(H264,J264,L264,N264)</f>
        <v>538447</v>
      </c>
      <c r="Q264" s="640">
        <f t="shared" ref="Q264:Q327" si="91">+P264/30</f>
        <v>17948.233333333334</v>
      </c>
      <c r="R264" s="641">
        <f t="shared" ref="R264:R327" si="92">SUM(I264,K264,M264,O264)</f>
        <v>544613</v>
      </c>
      <c r="S264" s="641">
        <f t="shared" ref="S264:S327" si="93">+R264/30</f>
        <v>18153.766666666666</v>
      </c>
      <c r="T264" s="495">
        <v>0</v>
      </c>
      <c r="U264" s="496">
        <v>0</v>
      </c>
      <c r="V264" s="640">
        <f t="shared" ref="V264:V327" si="94">IF(ISBLANK(T264),0,P264)</f>
        <v>538447</v>
      </c>
      <c r="W264" s="641">
        <f t="shared" ref="W264:W327" si="95">IF(ISBLANK(U264),0,R264)</f>
        <v>544613</v>
      </c>
      <c r="X264" s="495"/>
      <c r="Y264" s="496"/>
      <c r="Z264" s="495"/>
      <c r="AA264" s="496"/>
      <c r="AB264" s="495"/>
      <c r="AC264" s="496"/>
      <c r="AD264" s="495"/>
      <c r="AE264" s="496"/>
      <c r="AF264" s="640">
        <f t="shared" ref="AF264:AF327" si="96">SUM(X264,Z264,AB264,AD264)</f>
        <v>0</v>
      </c>
      <c r="AG264" s="640">
        <f t="shared" ref="AG264:AG327" si="97">+AF264/900</f>
        <v>0</v>
      </c>
      <c r="AH264" s="641">
        <f t="shared" ref="AH264:AH327" si="98">SUM(Y264,AA264,AC264,AE264)</f>
        <v>0</v>
      </c>
      <c r="AI264" s="641">
        <f t="shared" ref="AI264:AI327" si="99">+AH264/900</f>
        <v>0</v>
      </c>
      <c r="AJ264" s="495"/>
      <c r="AK264" s="496"/>
      <c r="AL264" s="640">
        <f t="shared" ref="AL264:AL327" si="100">IF(ISBLANK(AJ264),0,AF264)</f>
        <v>0</v>
      </c>
      <c r="AM264" s="641">
        <f t="shared" ref="AM264:AM327" si="101">IF(ISBLANK(AK264),0,AH264)</f>
        <v>0</v>
      </c>
      <c r="AN264" s="495"/>
      <c r="AO264" s="496"/>
      <c r="AP264" s="495">
        <v>13147</v>
      </c>
      <c r="AQ264" s="496">
        <v>14764</v>
      </c>
      <c r="AR264" s="495">
        <v>7383</v>
      </c>
      <c r="AS264" s="496">
        <v>7958</v>
      </c>
      <c r="AT264" s="495">
        <v>15373</v>
      </c>
      <c r="AU264" s="496">
        <v>16134</v>
      </c>
      <c r="AV264" s="640">
        <f t="shared" ref="AV264:AV327" si="102">SUM(AN264,AP264,AR264,AT264)</f>
        <v>35903</v>
      </c>
      <c r="AW264" s="640">
        <f t="shared" ref="AW264:AW327" si="103">+AV264/24</f>
        <v>1495.9583333333333</v>
      </c>
      <c r="AX264" s="641">
        <f t="shared" ref="AX264:AX327" si="104">SUM(AO264,AQ264,AS264,AU264)</f>
        <v>38856</v>
      </c>
      <c r="AY264" s="641">
        <f t="shared" ref="AY264:AY327" si="105">+AX264/24</f>
        <v>1619</v>
      </c>
      <c r="AZ264" s="640">
        <f t="shared" ref="AZ264:AZ327" si="106">SUM(Q264,AG264,AW264)</f>
        <v>19444.191666666666</v>
      </c>
      <c r="BA264" s="641">
        <f t="shared" ref="BA264:BA327" si="107">SUM(S264,AI264,AY264)</f>
        <v>19772.766666666666</v>
      </c>
    </row>
    <row r="265" spans="1:53" s="365" customFormat="1" ht="12.6" customHeight="1">
      <c r="A265" s="435" t="s">
        <v>239</v>
      </c>
      <c r="B265" s="576" t="s">
        <v>302</v>
      </c>
      <c r="C265" s="574" t="s">
        <v>890</v>
      </c>
      <c r="D265" s="630">
        <v>199102</v>
      </c>
      <c r="E265" s="575">
        <v>2</v>
      </c>
      <c r="F265" s="495"/>
      <c r="G265" s="496"/>
      <c r="H265" s="495"/>
      <c r="I265" s="496"/>
      <c r="J265" s="495">
        <v>141285</v>
      </c>
      <c r="K265" s="496">
        <v>143233</v>
      </c>
      <c r="L265" s="495">
        <v>22703</v>
      </c>
      <c r="M265" s="496">
        <v>29092</v>
      </c>
      <c r="N265" s="495">
        <v>154813</v>
      </c>
      <c r="O265" s="496">
        <v>158471</v>
      </c>
      <c r="P265" s="640">
        <f t="shared" si="90"/>
        <v>318801</v>
      </c>
      <c r="Q265" s="640">
        <f t="shared" si="91"/>
        <v>10626.7</v>
      </c>
      <c r="R265" s="641">
        <f t="shared" si="92"/>
        <v>330796</v>
      </c>
      <c r="S265" s="641">
        <f t="shared" si="93"/>
        <v>11026.533333333333</v>
      </c>
      <c r="T265" s="495">
        <v>2823</v>
      </c>
      <c r="U265" s="496">
        <v>3340</v>
      </c>
      <c r="V265" s="640">
        <f t="shared" si="94"/>
        <v>318801</v>
      </c>
      <c r="W265" s="641">
        <f t="shared" si="95"/>
        <v>330796</v>
      </c>
      <c r="X265" s="495"/>
      <c r="Y265" s="496"/>
      <c r="Z265" s="495"/>
      <c r="AA265" s="496"/>
      <c r="AB265" s="495"/>
      <c r="AC265" s="496"/>
      <c r="AD265" s="495"/>
      <c r="AE265" s="496"/>
      <c r="AF265" s="640">
        <f t="shared" si="96"/>
        <v>0</v>
      </c>
      <c r="AG265" s="640">
        <f t="shared" si="97"/>
        <v>0</v>
      </c>
      <c r="AH265" s="641">
        <f t="shared" si="98"/>
        <v>0</v>
      </c>
      <c r="AI265" s="641">
        <f t="shared" si="99"/>
        <v>0</v>
      </c>
      <c r="AJ265" s="495"/>
      <c r="AK265" s="496"/>
      <c r="AL265" s="640">
        <f t="shared" si="100"/>
        <v>0</v>
      </c>
      <c r="AM265" s="641">
        <f t="shared" si="101"/>
        <v>0</v>
      </c>
      <c r="AN265" s="495"/>
      <c r="AO265" s="496"/>
      <c r="AP265" s="495">
        <v>10943</v>
      </c>
      <c r="AQ265" s="496">
        <v>12033</v>
      </c>
      <c r="AR265" s="495">
        <v>2430</v>
      </c>
      <c r="AS265" s="496">
        <v>3016</v>
      </c>
      <c r="AT265" s="495">
        <v>12705</v>
      </c>
      <c r="AU265" s="496">
        <v>12996</v>
      </c>
      <c r="AV265" s="640">
        <f t="shared" si="102"/>
        <v>26078</v>
      </c>
      <c r="AW265" s="640">
        <f t="shared" si="103"/>
        <v>1086.5833333333333</v>
      </c>
      <c r="AX265" s="641">
        <f t="shared" si="104"/>
        <v>28045</v>
      </c>
      <c r="AY265" s="641">
        <f t="shared" si="105"/>
        <v>1168.5416666666667</v>
      </c>
      <c r="AZ265" s="640">
        <f t="shared" si="106"/>
        <v>11713.283333333335</v>
      </c>
      <c r="BA265" s="641">
        <f t="shared" si="107"/>
        <v>12195.074999999999</v>
      </c>
    </row>
    <row r="266" spans="1:53" s="365" customFormat="1" ht="12.6" customHeight="1">
      <c r="A266" s="435" t="s">
        <v>239</v>
      </c>
      <c r="B266" s="436" t="s">
        <v>303</v>
      </c>
      <c r="C266" s="437"/>
      <c r="D266" s="629">
        <v>199157</v>
      </c>
      <c r="E266" s="538">
        <v>3</v>
      </c>
      <c r="F266" s="495"/>
      <c r="G266" s="496"/>
      <c r="H266" s="495"/>
      <c r="I266" s="496"/>
      <c r="J266" s="495">
        <v>69458.5</v>
      </c>
      <c r="K266" s="496">
        <v>66561.5</v>
      </c>
      <c r="L266" s="495">
        <v>19653</v>
      </c>
      <c r="M266" s="496">
        <v>19969</v>
      </c>
      <c r="N266" s="495">
        <v>78102.5</v>
      </c>
      <c r="O266" s="496">
        <v>74815.5</v>
      </c>
      <c r="P266" s="640">
        <f t="shared" si="90"/>
        <v>167214</v>
      </c>
      <c r="Q266" s="640">
        <f t="shared" si="91"/>
        <v>5573.8</v>
      </c>
      <c r="R266" s="641">
        <f t="shared" si="92"/>
        <v>161346</v>
      </c>
      <c r="S266" s="641">
        <f t="shared" si="93"/>
        <v>5378.2</v>
      </c>
      <c r="T266" s="495">
        <v>6024</v>
      </c>
      <c r="U266" s="496">
        <v>6158</v>
      </c>
      <c r="V266" s="640">
        <f t="shared" si="94"/>
        <v>167214</v>
      </c>
      <c r="W266" s="641">
        <f t="shared" si="95"/>
        <v>161346</v>
      </c>
      <c r="X266" s="495"/>
      <c r="Y266" s="496"/>
      <c r="Z266" s="495"/>
      <c r="AA266" s="496"/>
      <c r="AB266" s="495"/>
      <c r="AC266" s="496"/>
      <c r="AD266" s="495"/>
      <c r="AE266" s="496"/>
      <c r="AF266" s="640">
        <f t="shared" si="96"/>
        <v>0</v>
      </c>
      <c r="AG266" s="640">
        <f t="shared" si="97"/>
        <v>0</v>
      </c>
      <c r="AH266" s="641">
        <f t="shared" si="98"/>
        <v>0</v>
      </c>
      <c r="AI266" s="641">
        <f t="shared" si="99"/>
        <v>0</v>
      </c>
      <c r="AJ266" s="495"/>
      <c r="AK266" s="496"/>
      <c r="AL266" s="640">
        <f t="shared" si="100"/>
        <v>0</v>
      </c>
      <c r="AM266" s="641">
        <f t="shared" si="101"/>
        <v>0</v>
      </c>
      <c r="AN266" s="495"/>
      <c r="AO266" s="496"/>
      <c r="AP266" s="495">
        <v>16762.5</v>
      </c>
      <c r="AQ266" s="496">
        <v>17393.5</v>
      </c>
      <c r="AR266" s="495">
        <v>5049.5</v>
      </c>
      <c r="AS266" s="496">
        <v>5753.5</v>
      </c>
      <c r="AT266" s="495">
        <v>18480.5</v>
      </c>
      <c r="AU266" s="496">
        <v>19303</v>
      </c>
      <c r="AV266" s="640">
        <f t="shared" si="102"/>
        <v>40292.5</v>
      </c>
      <c r="AW266" s="640">
        <f t="shared" si="103"/>
        <v>1678.8541666666667</v>
      </c>
      <c r="AX266" s="641">
        <f t="shared" si="104"/>
        <v>42450</v>
      </c>
      <c r="AY266" s="641">
        <f t="shared" si="105"/>
        <v>1768.75</v>
      </c>
      <c r="AZ266" s="640">
        <f t="shared" si="106"/>
        <v>7252.6541666666672</v>
      </c>
      <c r="BA266" s="641">
        <f t="shared" si="107"/>
        <v>7146.95</v>
      </c>
    </row>
    <row r="267" spans="1:53" s="365" customFormat="1" ht="12.6" customHeight="1">
      <c r="A267" s="435" t="s">
        <v>239</v>
      </c>
      <c r="B267" s="436" t="s">
        <v>304</v>
      </c>
      <c r="C267" s="437"/>
      <c r="D267" s="629">
        <v>199218</v>
      </c>
      <c r="E267" s="538">
        <v>3</v>
      </c>
      <c r="F267" s="495"/>
      <c r="G267" s="496"/>
      <c r="H267" s="495"/>
      <c r="I267" s="496"/>
      <c r="J267" s="495">
        <v>183171.5</v>
      </c>
      <c r="K267" s="496">
        <v>174949</v>
      </c>
      <c r="L267" s="495">
        <v>46093.5</v>
      </c>
      <c r="M267" s="496">
        <v>40448</v>
      </c>
      <c r="N267" s="495">
        <v>190767</v>
      </c>
      <c r="O267" s="496">
        <v>187895.5</v>
      </c>
      <c r="P267" s="640">
        <f t="shared" si="90"/>
        <v>420032</v>
      </c>
      <c r="Q267" s="640">
        <f t="shared" si="91"/>
        <v>14001.066666666668</v>
      </c>
      <c r="R267" s="641">
        <f t="shared" si="92"/>
        <v>403292.5</v>
      </c>
      <c r="S267" s="641">
        <f t="shared" si="93"/>
        <v>13443.083333333334</v>
      </c>
      <c r="T267" s="495">
        <v>2905</v>
      </c>
      <c r="U267" s="496">
        <v>2774</v>
      </c>
      <c r="V267" s="640">
        <f t="shared" si="94"/>
        <v>420032</v>
      </c>
      <c r="W267" s="641">
        <f t="shared" si="95"/>
        <v>403292.5</v>
      </c>
      <c r="X267" s="495"/>
      <c r="Y267" s="496"/>
      <c r="Z267" s="495"/>
      <c r="AA267" s="496"/>
      <c r="AB267" s="495"/>
      <c r="AC267" s="496"/>
      <c r="AD267" s="495"/>
      <c r="AE267" s="496"/>
      <c r="AF267" s="640">
        <f t="shared" si="96"/>
        <v>0</v>
      </c>
      <c r="AG267" s="640">
        <f t="shared" si="97"/>
        <v>0</v>
      </c>
      <c r="AH267" s="641">
        <f t="shared" si="98"/>
        <v>0</v>
      </c>
      <c r="AI267" s="641">
        <f t="shared" si="99"/>
        <v>0</v>
      </c>
      <c r="AJ267" s="495"/>
      <c r="AK267" s="496"/>
      <c r="AL267" s="640">
        <f t="shared" si="100"/>
        <v>0</v>
      </c>
      <c r="AM267" s="641">
        <f t="shared" si="101"/>
        <v>0</v>
      </c>
      <c r="AN267" s="495"/>
      <c r="AO267" s="496"/>
      <c r="AP267" s="495">
        <v>19209</v>
      </c>
      <c r="AQ267" s="496">
        <v>23129</v>
      </c>
      <c r="AR267" s="495">
        <v>10344</v>
      </c>
      <c r="AS267" s="496">
        <v>12893</v>
      </c>
      <c r="AT267" s="495">
        <v>23629.5</v>
      </c>
      <c r="AU267" s="496">
        <v>25168.5</v>
      </c>
      <c r="AV267" s="640">
        <f t="shared" si="102"/>
        <v>53182.5</v>
      </c>
      <c r="AW267" s="640">
        <f t="shared" si="103"/>
        <v>2215.9375</v>
      </c>
      <c r="AX267" s="641">
        <f t="shared" si="104"/>
        <v>61190.5</v>
      </c>
      <c r="AY267" s="641">
        <f t="shared" si="105"/>
        <v>2549.6041666666665</v>
      </c>
      <c r="AZ267" s="640">
        <f t="shared" si="106"/>
        <v>16217.004166666668</v>
      </c>
      <c r="BA267" s="641">
        <f t="shared" si="107"/>
        <v>15992.6875</v>
      </c>
    </row>
    <row r="268" spans="1:53" s="365" customFormat="1" ht="12.6" customHeight="1">
      <c r="A268" s="435" t="s">
        <v>239</v>
      </c>
      <c r="B268" s="436" t="s">
        <v>305</v>
      </c>
      <c r="C268" s="437"/>
      <c r="D268" s="629">
        <v>200004</v>
      </c>
      <c r="E268" s="538">
        <v>3</v>
      </c>
      <c r="F268" s="495"/>
      <c r="G268" s="496"/>
      <c r="H268" s="495"/>
      <c r="I268" s="496"/>
      <c r="J268" s="495">
        <v>131442</v>
      </c>
      <c r="K268" s="496">
        <v>126528</v>
      </c>
      <c r="L268" s="495">
        <v>17731</v>
      </c>
      <c r="M268" s="496">
        <v>19459</v>
      </c>
      <c r="N268" s="495">
        <v>139881</v>
      </c>
      <c r="O268" s="496">
        <v>131803</v>
      </c>
      <c r="P268" s="640">
        <f t="shared" si="90"/>
        <v>289054</v>
      </c>
      <c r="Q268" s="640">
        <f t="shared" si="91"/>
        <v>9635.1333333333332</v>
      </c>
      <c r="R268" s="641">
        <f t="shared" si="92"/>
        <v>277790</v>
      </c>
      <c r="S268" s="641">
        <f t="shared" si="93"/>
        <v>9259.6666666666661</v>
      </c>
      <c r="T268" s="495">
        <v>0</v>
      </c>
      <c r="U268" s="496">
        <v>0</v>
      </c>
      <c r="V268" s="640">
        <f t="shared" si="94"/>
        <v>289054</v>
      </c>
      <c r="W268" s="641">
        <f t="shared" si="95"/>
        <v>277790</v>
      </c>
      <c r="X268" s="495"/>
      <c r="Y268" s="496"/>
      <c r="Z268" s="495"/>
      <c r="AA268" s="496"/>
      <c r="AB268" s="495"/>
      <c r="AC268" s="496"/>
      <c r="AD268" s="495"/>
      <c r="AE268" s="496"/>
      <c r="AF268" s="640">
        <f t="shared" si="96"/>
        <v>0</v>
      </c>
      <c r="AG268" s="640">
        <f t="shared" si="97"/>
        <v>0</v>
      </c>
      <c r="AH268" s="641">
        <f t="shared" si="98"/>
        <v>0</v>
      </c>
      <c r="AI268" s="641">
        <f t="shared" si="99"/>
        <v>0</v>
      </c>
      <c r="AJ268" s="495"/>
      <c r="AK268" s="496"/>
      <c r="AL268" s="640">
        <f t="shared" si="100"/>
        <v>0</v>
      </c>
      <c r="AM268" s="641">
        <f t="shared" si="101"/>
        <v>0</v>
      </c>
      <c r="AN268" s="495"/>
      <c r="AO268" s="496"/>
      <c r="AP268" s="495">
        <v>13332</v>
      </c>
      <c r="AQ268" s="496">
        <v>14096</v>
      </c>
      <c r="AR268" s="495">
        <v>5982</v>
      </c>
      <c r="AS268" s="496">
        <v>6358</v>
      </c>
      <c r="AT268" s="495">
        <v>14525</v>
      </c>
      <c r="AU268" s="496">
        <v>14568</v>
      </c>
      <c r="AV268" s="640">
        <f t="shared" si="102"/>
        <v>33839</v>
      </c>
      <c r="AW268" s="640">
        <f t="shared" si="103"/>
        <v>1409.9583333333333</v>
      </c>
      <c r="AX268" s="641">
        <f t="shared" si="104"/>
        <v>35022</v>
      </c>
      <c r="AY268" s="641">
        <f t="shared" si="105"/>
        <v>1459.25</v>
      </c>
      <c r="AZ268" s="640">
        <f t="shared" si="106"/>
        <v>11045.091666666667</v>
      </c>
      <c r="BA268" s="641">
        <f t="shared" si="107"/>
        <v>10718.916666666666</v>
      </c>
    </row>
    <row r="269" spans="1:53" s="365" customFormat="1" ht="12.6" customHeight="1">
      <c r="A269" s="435" t="s">
        <v>239</v>
      </c>
      <c r="B269" s="436" t="s">
        <v>306</v>
      </c>
      <c r="C269" s="437"/>
      <c r="D269" s="629">
        <v>198543</v>
      </c>
      <c r="E269" s="538">
        <v>4</v>
      </c>
      <c r="F269" s="495"/>
      <c r="G269" s="496"/>
      <c r="H269" s="495"/>
      <c r="I269" s="496"/>
      <c r="J269" s="495">
        <v>64766</v>
      </c>
      <c r="K269" s="496">
        <v>61368</v>
      </c>
      <c r="L269" s="495">
        <v>18429</v>
      </c>
      <c r="M269" s="496">
        <v>19114</v>
      </c>
      <c r="N269" s="495">
        <v>66878</v>
      </c>
      <c r="O269" s="496">
        <v>63942</v>
      </c>
      <c r="P269" s="640">
        <f t="shared" si="90"/>
        <v>150073</v>
      </c>
      <c r="Q269" s="640">
        <f t="shared" si="91"/>
        <v>5002.4333333333334</v>
      </c>
      <c r="R269" s="641">
        <f t="shared" si="92"/>
        <v>144424</v>
      </c>
      <c r="S269" s="641">
        <f t="shared" si="93"/>
        <v>4814.1333333333332</v>
      </c>
      <c r="T269" s="495">
        <v>7856</v>
      </c>
      <c r="U269" s="496">
        <v>7668</v>
      </c>
      <c r="V269" s="640">
        <f t="shared" si="94"/>
        <v>150073</v>
      </c>
      <c r="W269" s="641">
        <f t="shared" si="95"/>
        <v>144424</v>
      </c>
      <c r="X269" s="495"/>
      <c r="Y269" s="496"/>
      <c r="Z269" s="495"/>
      <c r="AA269" s="496"/>
      <c r="AB269" s="495"/>
      <c r="AC269" s="496"/>
      <c r="AD269" s="495"/>
      <c r="AE269" s="496"/>
      <c r="AF269" s="640">
        <f t="shared" si="96"/>
        <v>0</v>
      </c>
      <c r="AG269" s="640">
        <f t="shared" si="97"/>
        <v>0</v>
      </c>
      <c r="AH269" s="641">
        <f t="shared" si="98"/>
        <v>0</v>
      </c>
      <c r="AI269" s="641">
        <f t="shared" si="99"/>
        <v>0</v>
      </c>
      <c r="AJ269" s="495"/>
      <c r="AK269" s="496"/>
      <c r="AL269" s="640">
        <f t="shared" si="100"/>
        <v>0</v>
      </c>
      <c r="AM269" s="641">
        <f t="shared" si="101"/>
        <v>0</v>
      </c>
      <c r="AN269" s="495"/>
      <c r="AO269" s="496"/>
      <c r="AP269" s="495">
        <v>6006</v>
      </c>
      <c r="AQ269" s="496">
        <v>7536</v>
      </c>
      <c r="AR269" s="495">
        <v>3783</v>
      </c>
      <c r="AS269" s="496">
        <v>3149</v>
      </c>
      <c r="AT269" s="495">
        <v>7796</v>
      </c>
      <c r="AU269" s="496">
        <v>8574</v>
      </c>
      <c r="AV269" s="640">
        <f t="shared" si="102"/>
        <v>17585</v>
      </c>
      <c r="AW269" s="640">
        <f t="shared" si="103"/>
        <v>732.70833333333337</v>
      </c>
      <c r="AX269" s="641">
        <f t="shared" si="104"/>
        <v>19259</v>
      </c>
      <c r="AY269" s="641">
        <f t="shared" si="105"/>
        <v>802.45833333333337</v>
      </c>
      <c r="AZ269" s="640">
        <f t="shared" si="106"/>
        <v>5735.1416666666664</v>
      </c>
      <c r="BA269" s="641">
        <f t="shared" si="107"/>
        <v>5616.5916666666662</v>
      </c>
    </row>
    <row r="270" spans="1:53" s="365" customFormat="1" ht="12.6" customHeight="1">
      <c r="A270" s="435" t="s">
        <v>239</v>
      </c>
      <c r="B270" s="436" t="s">
        <v>307</v>
      </c>
      <c r="C270" s="437"/>
      <c r="D270" s="629">
        <v>199281</v>
      </c>
      <c r="E270" s="538">
        <v>5</v>
      </c>
      <c r="F270" s="495"/>
      <c r="G270" s="496"/>
      <c r="H270" s="495"/>
      <c r="I270" s="496"/>
      <c r="J270" s="495">
        <v>74554</v>
      </c>
      <c r="K270" s="496">
        <v>73887</v>
      </c>
      <c r="L270" s="495">
        <v>18624</v>
      </c>
      <c r="M270" s="496">
        <v>17147</v>
      </c>
      <c r="N270" s="495">
        <v>80137</v>
      </c>
      <c r="O270" s="496">
        <v>78528</v>
      </c>
      <c r="P270" s="640">
        <f t="shared" si="90"/>
        <v>173315</v>
      </c>
      <c r="Q270" s="640">
        <f t="shared" si="91"/>
        <v>5777.166666666667</v>
      </c>
      <c r="R270" s="641">
        <f t="shared" si="92"/>
        <v>169562</v>
      </c>
      <c r="S270" s="641">
        <f t="shared" si="93"/>
        <v>5652.0666666666666</v>
      </c>
      <c r="T270" s="495">
        <v>0</v>
      </c>
      <c r="U270" s="496">
        <v>0</v>
      </c>
      <c r="V270" s="640">
        <f t="shared" si="94"/>
        <v>173315</v>
      </c>
      <c r="W270" s="641">
        <f t="shared" si="95"/>
        <v>169562</v>
      </c>
      <c r="X270" s="495"/>
      <c r="Y270" s="496"/>
      <c r="Z270" s="495"/>
      <c r="AA270" s="496"/>
      <c r="AB270" s="495"/>
      <c r="AC270" s="496"/>
      <c r="AD270" s="495"/>
      <c r="AE270" s="496"/>
      <c r="AF270" s="640">
        <f t="shared" si="96"/>
        <v>0</v>
      </c>
      <c r="AG270" s="640">
        <f t="shared" si="97"/>
        <v>0</v>
      </c>
      <c r="AH270" s="641">
        <f t="shared" si="98"/>
        <v>0</v>
      </c>
      <c r="AI270" s="641">
        <f t="shared" si="99"/>
        <v>0</v>
      </c>
      <c r="AJ270" s="495"/>
      <c r="AK270" s="496"/>
      <c r="AL270" s="640">
        <f t="shared" si="100"/>
        <v>0</v>
      </c>
      <c r="AM270" s="641">
        <f t="shared" si="101"/>
        <v>0</v>
      </c>
      <c r="AN270" s="495"/>
      <c r="AO270" s="496"/>
      <c r="AP270" s="495">
        <v>9041</v>
      </c>
      <c r="AQ270" s="496">
        <v>13074</v>
      </c>
      <c r="AR270" s="495">
        <v>7839</v>
      </c>
      <c r="AS270" s="496">
        <v>10031</v>
      </c>
      <c r="AT270" s="495">
        <v>12880</v>
      </c>
      <c r="AU270" s="496">
        <v>13790</v>
      </c>
      <c r="AV270" s="640">
        <f t="shared" si="102"/>
        <v>29760</v>
      </c>
      <c r="AW270" s="640">
        <f t="shared" si="103"/>
        <v>1240</v>
      </c>
      <c r="AX270" s="641">
        <f t="shared" si="104"/>
        <v>36895</v>
      </c>
      <c r="AY270" s="641">
        <f t="shared" si="105"/>
        <v>1537.2916666666667</v>
      </c>
      <c r="AZ270" s="640">
        <f t="shared" si="106"/>
        <v>7017.166666666667</v>
      </c>
      <c r="BA270" s="641">
        <f t="shared" si="107"/>
        <v>7189.3583333333336</v>
      </c>
    </row>
    <row r="271" spans="1:53" s="365" customFormat="1" ht="12.6" customHeight="1">
      <c r="A271" s="435" t="s">
        <v>239</v>
      </c>
      <c r="B271" s="436" t="s">
        <v>308</v>
      </c>
      <c r="C271" s="437"/>
      <c r="D271" s="629">
        <v>199999</v>
      </c>
      <c r="E271" s="538">
        <v>5</v>
      </c>
      <c r="F271" s="495"/>
      <c r="G271" s="496"/>
      <c r="H271" s="495"/>
      <c r="I271" s="496"/>
      <c r="J271" s="495">
        <v>59980</v>
      </c>
      <c r="K271" s="496">
        <v>59824</v>
      </c>
      <c r="L271" s="495">
        <v>10241</v>
      </c>
      <c r="M271" s="496">
        <v>11379.5</v>
      </c>
      <c r="N271" s="495">
        <v>64300</v>
      </c>
      <c r="O271" s="496">
        <v>63945</v>
      </c>
      <c r="P271" s="640">
        <f t="shared" si="90"/>
        <v>134521</v>
      </c>
      <c r="Q271" s="640">
        <f t="shared" si="91"/>
        <v>4484.0333333333338</v>
      </c>
      <c r="R271" s="641">
        <f t="shared" si="92"/>
        <v>135148.5</v>
      </c>
      <c r="S271" s="641">
        <f t="shared" si="93"/>
        <v>4504.95</v>
      </c>
      <c r="T271" s="495">
        <v>0</v>
      </c>
      <c r="U271" s="496">
        <v>0</v>
      </c>
      <c r="V271" s="640">
        <f t="shared" si="94"/>
        <v>134521</v>
      </c>
      <c r="W271" s="641">
        <f t="shared" si="95"/>
        <v>135148.5</v>
      </c>
      <c r="X271" s="495"/>
      <c r="Y271" s="496"/>
      <c r="Z271" s="495"/>
      <c r="AA271" s="496"/>
      <c r="AB271" s="495"/>
      <c r="AC271" s="496"/>
      <c r="AD271" s="495"/>
      <c r="AE271" s="496"/>
      <c r="AF271" s="640">
        <f t="shared" si="96"/>
        <v>0</v>
      </c>
      <c r="AG271" s="640">
        <f t="shared" si="97"/>
        <v>0</v>
      </c>
      <c r="AH271" s="641">
        <f t="shared" si="98"/>
        <v>0</v>
      </c>
      <c r="AI271" s="641">
        <f t="shared" si="99"/>
        <v>0</v>
      </c>
      <c r="AJ271" s="495"/>
      <c r="AK271" s="496"/>
      <c r="AL271" s="640">
        <f t="shared" si="100"/>
        <v>0</v>
      </c>
      <c r="AM271" s="641">
        <f t="shared" si="101"/>
        <v>0</v>
      </c>
      <c r="AN271" s="495"/>
      <c r="AO271" s="496"/>
      <c r="AP271" s="495">
        <v>4174</v>
      </c>
      <c r="AQ271" s="496">
        <v>4415</v>
      </c>
      <c r="AR271" s="495">
        <v>2113</v>
      </c>
      <c r="AS271" s="496">
        <v>2467</v>
      </c>
      <c r="AT271" s="495">
        <v>4593</v>
      </c>
      <c r="AU271" s="496">
        <v>4904</v>
      </c>
      <c r="AV271" s="640">
        <f t="shared" si="102"/>
        <v>10880</v>
      </c>
      <c r="AW271" s="640">
        <f t="shared" si="103"/>
        <v>453.33333333333331</v>
      </c>
      <c r="AX271" s="641">
        <f t="shared" si="104"/>
        <v>11786</v>
      </c>
      <c r="AY271" s="641">
        <f t="shared" si="105"/>
        <v>491.08333333333331</v>
      </c>
      <c r="AZ271" s="640">
        <f t="shared" si="106"/>
        <v>4937.3666666666668</v>
      </c>
      <c r="BA271" s="641">
        <f t="shared" si="107"/>
        <v>4996.0333333333328</v>
      </c>
    </row>
    <row r="272" spans="1:53" s="365" customFormat="1" ht="12.6" customHeight="1">
      <c r="A272" s="435" t="s">
        <v>239</v>
      </c>
      <c r="B272" s="436" t="s">
        <v>309</v>
      </c>
      <c r="C272" s="437"/>
      <c r="D272" s="629">
        <v>198507</v>
      </c>
      <c r="E272" s="538">
        <v>6</v>
      </c>
      <c r="F272" s="495"/>
      <c r="G272" s="496"/>
      <c r="H272" s="495"/>
      <c r="I272" s="496"/>
      <c r="J272" s="495">
        <v>21962</v>
      </c>
      <c r="K272" s="496">
        <v>23699</v>
      </c>
      <c r="L272" s="495">
        <v>3072</v>
      </c>
      <c r="M272" s="496">
        <v>4955</v>
      </c>
      <c r="N272" s="495">
        <v>25637</v>
      </c>
      <c r="O272" s="496">
        <v>25694</v>
      </c>
      <c r="P272" s="640">
        <f t="shared" si="90"/>
        <v>50671</v>
      </c>
      <c r="Q272" s="640">
        <f t="shared" si="91"/>
        <v>1689.0333333333333</v>
      </c>
      <c r="R272" s="641">
        <f t="shared" si="92"/>
        <v>54348</v>
      </c>
      <c r="S272" s="641">
        <f t="shared" si="93"/>
        <v>1811.6</v>
      </c>
      <c r="T272" s="495">
        <v>9</v>
      </c>
      <c r="U272" s="496">
        <v>434</v>
      </c>
      <c r="V272" s="640">
        <f t="shared" si="94"/>
        <v>50671</v>
      </c>
      <c r="W272" s="641">
        <f t="shared" si="95"/>
        <v>54348</v>
      </c>
      <c r="X272" s="495"/>
      <c r="Y272" s="496"/>
      <c r="Z272" s="495"/>
      <c r="AA272" s="496"/>
      <c r="AB272" s="495"/>
      <c r="AC272" s="496"/>
      <c r="AD272" s="495"/>
      <c r="AE272" s="496"/>
      <c r="AF272" s="640">
        <f t="shared" si="96"/>
        <v>0</v>
      </c>
      <c r="AG272" s="640">
        <f t="shared" si="97"/>
        <v>0</v>
      </c>
      <c r="AH272" s="641">
        <f t="shared" si="98"/>
        <v>0</v>
      </c>
      <c r="AI272" s="641">
        <f t="shared" si="99"/>
        <v>0</v>
      </c>
      <c r="AJ272" s="495"/>
      <c r="AK272" s="496"/>
      <c r="AL272" s="640">
        <f t="shared" si="100"/>
        <v>0</v>
      </c>
      <c r="AM272" s="641">
        <f t="shared" si="101"/>
        <v>0</v>
      </c>
      <c r="AN272" s="495"/>
      <c r="AO272" s="496"/>
      <c r="AP272" s="495">
        <v>612</v>
      </c>
      <c r="AQ272" s="496">
        <v>629</v>
      </c>
      <c r="AR272" s="495">
        <v>330</v>
      </c>
      <c r="AS272" s="496">
        <v>315</v>
      </c>
      <c r="AT272" s="495">
        <v>636</v>
      </c>
      <c r="AU272" s="496">
        <v>710</v>
      </c>
      <c r="AV272" s="640">
        <f t="shared" si="102"/>
        <v>1578</v>
      </c>
      <c r="AW272" s="640">
        <f t="shared" si="103"/>
        <v>65.75</v>
      </c>
      <c r="AX272" s="641">
        <f t="shared" si="104"/>
        <v>1654</v>
      </c>
      <c r="AY272" s="641">
        <f t="shared" si="105"/>
        <v>68.916666666666671</v>
      </c>
      <c r="AZ272" s="640">
        <f t="shared" si="106"/>
        <v>1754.7833333333333</v>
      </c>
      <c r="BA272" s="641">
        <f t="shared" si="107"/>
        <v>1880.5166666666667</v>
      </c>
    </row>
    <row r="273" spans="1:55" s="365" customFormat="1" ht="12.6" customHeight="1">
      <c r="A273" s="435" t="s">
        <v>239</v>
      </c>
      <c r="B273" s="436" t="s">
        <v>310</v>
      </c>
      <c r="C273" s="437"/>
      <c r="D273" s="629">
        <v>199111</v>
      </c>
      <c r="E273" s="538">
        <v>6</v>
      </c>
      <c r="F273" s="495"/>
      <c r="G273" s="496"/>
      <c r="H273" s="495"/>
      <c r="I273" s="496"/>
      <c r="J273" s="495">
        <v>44259</v>
      </c>
      <c r="K273" s="496">
        <v>41851</v>
      </c>
      <c r="L273" s="495">
        <v>6609</v>
      </c>
      <c r="M273" s="496">
        <v>5639</v>
      </c>
      <c r="N273" s="495">
        <v>45271</v>
      </c>
      <c r="O273" s="496">
        <v>43472</v>
      </c>
      <c r="P273" s="640">
        <f t="shared" si="90"/>
        <v>96139</v>
      </c>
      <c r="Q273" s="640">
        <f t="shared" si="91"/>
        <v>3204.6333333333332</v>
      </c>
      <c r="R273" s="641">
        <f t="shared" si="92"/>
        <v>90962</v>
      </c>
      <c r="S273" s="641">
        <f t="shared" si="93"/>
        <v>3032.0666666666666</v>
      </c>
      <c r="T273" s="495">
        <v>0</v>
      </c>
      <c r="U273" s="496">
        <v>0</v>
      </c>
      <c r="V273" s="640">
        <f t="shared" si="94"/>
        <v>96139</v>
      </c>
      <c r="W273" s="641">
        <f t="shared" si="95"/>
        <v>90962</v>
      </c>
      <c r="X273" s="495"/>
      <c r="Y273" s="496"/>
      <c r="Z273" s="495"/>
      <c r="AA273" s="496"/>
      <c r="AB273" s="495"/>
      <c r="AC273" s="496"/>
      <c r="AD273" s="495"/>
      <c r="AE273" s="496"/>
      <c r="AF273" s="640">
        <f t="shared" si="96"/>
        <v>0</v>
      </c>
      <c r="AG273" s="640">
        <f t="shared" si="97"/>
        <v>0</v>
      </c>
      <c r="AH273" s="641">
        <f t="shared" si="98"/>
        <v>0</v>
      </c>
      <c r="AI273" s="641">
        <f t="shared" si="99"/>
        <v>0</v>
      </c>
      <c r="AJ273" s="495"/>
      <c r="AK273" s="496"/>
      <c r="AL273" s="640">
        <f t="shared" si="100"/>
        <v>0</v>
      </c>
      <c r="AM273" s="641">
        <f t="shared" si="101"/>
        <v>0</v>
      </c>
      <c r="AN273" s="495"/>
      <c r="AO273" s="496"/>
      <c r="AP273" s="495">
        <v>51</v>
      </c>
      <c r="AQ273" s="496">
        <v>3</v>
      </c>
      <c r="AR273" s="495">
        <v>12</v>
      </c>
      <c r="AS273" s="496">
        <v>0</v>
      </c>
      <c r="AT273" s="495">
        <v>18</v>
      </c>
      <c r="AU273" s="496">
        <v>0</v>
      </c>
      <c r="AV273" s="640">
        <f t="shared" si="102"/>
        <v>81</v>
      </c>
      <c r="AW273" s="640">
        <f t="shared" si="103"/>
        <v>3.375</v>
      </c>
      <c r="AX273" s="641">
        <f t="shared" si="104"/>
        <v>3</v>
      </c>
      <c r="AY273" s="641">
        <f t="shared" si="105"/>
        <v>0.125</v>
      </c>
      <c r="AZ273" s="640">
        <f t="shared" si="106"/>
        <v>3208.0083333333332</v>
      </c>
      <c r="BA273" s="641">
        <f t="shared" si="107"/>
        <v>3032.1916666666666</v>
      </c>
    </row>
    <row r="274" spans="1:55" s="365" customFormat="1" ht="12.6" customHeight="1">
      <c r="A274" s="438" t="s">
        <v>239</v>
      </c>
      <c r="B274" s="436" t="s">
        <v>808</v>
      </c>
      <c r="C274" s="437"/>
      <c r="D274" s="629">
        <v>199184</v>
      </c>
      <c r="E274" s="538">
        <v>15</v>
      </c>
      <c r="F274" s="495"/>
      <c r="G274" s="496"/>
      <c r="H274" s="495"/>
      <c r="I274" s="496"/>
      <c r="J274" s="495">
        <v>13093</v>
      </c>
      <c r="K274" s="496">
        <v>12762</v>
      </c>
      <c r="L274" s="495">
        <v>294</v>
      </c>
      <c r="M274" s="496">
        <v>222</v>
      </c>
      <c r="N274" s="495">
        <v>13331</v>
      </c>
      <c r="O274" s="496">
        <v>13662</v>
      </c>
      <c r="P274" s="640">
        <f t="shared" si="90"/>
        <v>26718</v>
      </c>
      <c r="Q274" s="640">
        <f t="shared" si="91"/>
        <v>890.6</v>
      </c>
      <c r="R274" s="641">
        <f t="shared" si="92"/>
        <v>26646</v>
      </c>
      <c r="S274" s="641">
        <f t="shared" si="93"/>
        <v>888.2</v>
      </c>
      <c r="T274" s="495">
        <v>0</v>
      </c>
      <c r="U274" s="496">
        <v>0</v>
      </c>
      <c r="V274" s="640">
        <f t="shared" si="94"/>
        <v>26718</v>
      </c>
      <c r="W274" s="641">
        <f t="shared" si="95"/>
        <v>26646</v>
      </c>
      <c r="X274" s="495"/>
      <c r="Y274" s="496"/>
      <c r="Z274" s="495"/>
      <c r="AA274" s="496"/>
      <c r="AB274" s="495"/>
      <c r="AC274" s="496"/>
      <c r="AD274" s="495"/>
      <c r="AE274" s="496"/>
      <c r="AF274" s="640">
        <f t="shared" si="96"/>
        <v>0</v>
      </c>
      <c r="AG274" s="640">
        <f t="shared" si="97"/>
        <v>0</v>
      </c>
      <c r="AH274" s="641">
        <f t="shared" si="98"/>
        <v>0</v>
      </c>
      <c r="AI274" s="641">
        <f t="shared" si="99"/>
        <v>0</v>
      </c>
      <c r="AJ274" s="495"/>
      <c r="AK274" s="496"/>
      <c r="AL274" s="640">
        <f t="shared" si="100"/>
        <v>0</v>
      </c>
      <c r="AM274" s="641">
        <f t="shared" si="101"/>
        <v>0</v>
      </c>
      <c r="AN274" s="495"/>
      <c r="AO274" s="496"/>
      <c r="AP274" s="495">
        <v>1853</v>
      </c>
      <c r="AQ274" s="496">
        <v>1825</v>
      </c>
      <c r="AR274" s="495">
        <v>3</v>
      </c>
      <c r="AS274" s="496">
        <v>3</v>
      </c>
      <c r="AT274" s="495">
        <v>1816</v>
      </c>
      <c r="AU274" s="496">
        <v>2192</v>
      </c>
      <c r="AV274" s="640">
        <f t="shared" si="102"/>
        <v>3672</v>
      </c>
      <c r="AW274" s="640">
        <f t="shared" si="103"/>
        <v>153</v>
      </c>
      <c r="AX274" s="641">
        <f t="shared" si="104"/>
        <v>4020</v>
      </c>
      <c r="AY274" s="641">
        <f t="shared" si="105"/>
        <v>167.5</v>
      </c>
      <c r="AZ274" s="640">
        <f t="shared" si="106"/>
        <v>1043.5999999999999</v>
      </c>
      <c r="BA274" s="641">
        <f t="shared" si="107"/>
        <v>1055.7</v>
      </c>
    </row>
    <row r="275" spans="1:55" s="365" customFormat="1" ht="15.75" customHeight="1">
      <c r="A275" s="539" t="s">
        <v>239</v>
      </c>
      <c r="B275" s="540" t="s">
        <v>240</v>
      </c>
      <c r="C275" s="592" t="s">
        <v>912</v>
      </c>
      <c r="D275" s="631">
        <v>197887</v>
      </c>
      <c r="E275" s="502">
        <v>8</v>
      </c>
      <c r="F275" s="486"/>
      <c r="G275" s="460"/>
      <c r="H275" s="486"/>
      <c r="I275" s="460"/>
      <c r="J275" s="486">
        <v>52971</v>
      </c>
      <c r="K275" s="542">
        <v>50441</v>
      </c>
      <c r="L275" s="486">
        <v>16404</v>
      </c>
      <c r="M275" s="542">
        <v>13900</v>
      </c>
      <c r="N275" s="486">
        <v>56401</v>
      </c>
      <c r="O275" s="542">
        <v>51588</v>
      </c>
      <c r="P275" s="640">
        <f t="shared" si="90"/>
        <v>125776</v>
      </c>
      <c r="Q275" s="640">
        <f t="shared" si="91"/>
        <v>4192.5333333333338</v>
      </c>
      <c r="R275" s="641">
        <f t="shared" si="92"/>
        <v>115929</v>
      </c>
      <c r="S275" s="641">
        <f t="shared" si="93"/>
        <v>3864.3</v>
      </c>
      <c r="T275" s="486">
        <v>24412</v>
      </c>
      <c r="U275" s="542">
        <v>23742</v>
      </c>
      <c r="V275" s="640">
        <f t="shared" si="94"/>
        <v>125776</v>
      </c>
      <c r="W275" s="641">
        <f t="shared" si="95"/>
        <v>115929</v>
      </c>
      <c r="X275" s="486"/>
      <c r="Y275" s="501"/>
      <c r="Z275" s="486">
        <v>197987</v>
      </c>
      <c r="AA275" s="542">
        <v>169006</v>
      </c>
      <c r="AB275" s="486">
        <v>62087</v>
      </c>
      <c r="AC275" s="542">
        <v>124915</v>
      </c>
      <c r="AD275" s="486">
        <v>135143</v>
      </c>
      <c r="AE275" s="542">
        <v>203662</v>
      </c>
      <c r="AF275" s="640">
        <f t="shared" si="96"/>
        <v>395217</v>
      </c>
      <c r="AG275" s="640">
        <f t="shared" si="97"/>
        <v>439.13</v>
      </c>
      <c r="AH275" s="641">
        <f t="shared" si="98"/>
        <v>497583</v>
      </c>
      <c r="AI275" s="641">
        <f t="shared" si="99"/>
        <v>552.87</v>
      </c>
      <c r="AJ275" s="486"/>
      <c r="AK275" s="460"/>
      <c r="AL275" s="640">
        <f t="shared" si="100"/>
        <v>0</v>
      </c>
      <c r="AM275" s="641">
        <f t="shared" si="101"/>
        <v>0</v>
      </c>
      <c r="AN275" s="486"/>
      <c r="AO275" s="460"/>
      <c r="AP275" s="486"/>
      <c r="AQ275" s="460"/>
      <c r="AR275" s="486"/>
      <c r="AS275" s="460"/>
      <c r="AT275" s="486"/>
      <c r="AU275" s="460"/>
      <c r="AV275" s="640">
        <f t="shared" si="102"/>
        <v>0</v>
      </c>
      <c r="AW275" s="640">
        <f t="shared" si="103"/>
        <v>0</v>
      </c>
      <c r="AX275" s="641">
        <f t="shared" si="104"/>
        <v>0</v>
      </c>
      <c r="AY275" s="641">
        <f t="shared" si="105"/>
        <v>0</v>
      </c>
      <c r="AZ275" s="640">
        <f t="shared" si="106"/>
        <v>4631.6633333333339</v>
      </c>
      <c r="BA275" s="641">
        <f t="shared" si="107"/>
        <v>4417.17</v>
      </c>
      <c r="BB275" s="543"/>
      <c r="BC275" s="543"/>
    </row>
    <row r="276" spans="1:55" s="365" customFormat="1" ht="15" customHeight="1">
      <c r="A276" s="539" t="s">
        <v>239</v>
      </c>
      <c r="B276" s="540" t="s">
        <v>241</v>
      </c>
      <c r="C276" s="541"/>
      <c r="D276" s="631">
        <v>198154</v>
      </c>
      <c r="E276" s="502">
        <v>8</v>
      </c>
      <c r="F276" s="486"/>
      <c r="G276" s="460"/>
      <c r="H276" s="486"/>
      <c r="I276" s="460"/>
      <c r="J276" s="486">
        <v>78980</v>
      </c>
      <c r="K276" s="542">
        <v>76351.5</v>
      </c>
      <c r="L276" s="486">
        <v>25264.5</v>
      </c>
      <c r="M276" s="542">
        <v>25140</v>
      </c>
      <c r="N276" s="486">
        <v>84916</v>
      </c>
      <c r="O276" s="542">
        <v>85195</v>
      </c>
      <c r="P276" s="640">
        <f t="shared" si="90"/>
        <v>189160.5</v>
      </c>
      <c r="Q276" s="640">
        <f t="shared" si="91"/>
        <v>6305.35</v>
      </c>
      <c r="R276" s="641">
        <f t="shared" si="92"/>
        <v>186686.5</v>
      </c>
      <c r="S276" s="641">
        <f t="shared" si="93"/>
        <v>6222.8833333333332</v>
      </c>
      <c r="T276" s="486">
        <v>27599</v>
      </c>
      <c r="U276" s="542">
        <v>26167</v>
      </c>
      <c r="V276" s="640">
        <f t="shared" si="94"/>
        <v>189160.5</v>
      </c>
      <c r="W276" s="641">
        <f t="shared" si="95"/>
        <v>186686.5</v>
      </c>
      <c r="X276" s="486"/>
      <c r="Y276" s="501"/>
      <c r="Z276" s="486">
        <v>231137</v>
      </c>
      <c r="AA276" s="542">
        <v>223738</v>
      </c>
      <c r="AB276" s="486">
        <v>74560</v>
      </c>
      <c r="AC276" s="542">
        <v>164509</v>
      </c>
      <c r="AD276" s="486">
        <v>248246</v>
      </c>
      <c r="AE276" s="542">
        <v>313873</v>
      </c>
      <c r="AF276" s="640">
        <f t="shared" si="96"/>
        <v>553943</v>
      </c>
      <c r="AG276" s="640">
        <f t="shared" si="97"/>
        <v>615.49222222222227</v>
      </c>
      <c r="AH276" s="641">
        <f t="shared" si="98"/>
        <v>702120</v>
      </c>
      <c r="AI276" s="641">
        <f t="shared" si="99"/>
        <v>780.13333333333333</v>
      </c>
      <c r="AJ276" s="486"/>
      <c r="AK276" s="460"/>
      <c r="AL276" s="640">
        <f t="shared" si="100"/>
        <v>0</v>
      </c>
      <c r="AM276" s="641">
        <f t="shared" si="101"/>
        <v>0</v>
      </c>
      <c r="AN276" s="486"/>
      <c r="AO276" s="460"/>
      <c r="AP276" s="486"/>
      <c r="AQ276" s="460"/>
      <c r="AR276" s="486"/>
      <c r="AS276" s="460"/>
      <c r="AT276" s="486"/>
      <c r="AU276" s="460"/>
      <c r="AV276" s="640">
        <f t="shared" si="102"/>
        <v>0</v>
      </c>
      <c r="AW276" s="640">
        <f t="shared" si="103"/>
        <v>0</v>
      </c>
      <c r="AX276" s="641">
        <f t="shared" si="104"/>
        <v>0</v>
      </c>
      <c r="AY276" s="641">
        <f t="shared" si="105"/>
        <v>0</v>
      </c>
      <c r="AZ276" s="640">
        <f t="shared" si="106"/>
        <v>6920.8422222222225</v>
      </c>
      <c r="BA276" s="641">
        <f t="shared" si="107"/>
        <v>7003.0166666666664</v>
      </c>
      <c r="BB276" s="543"/>
      <c r="BC276" s="543"/>
    </row>
    <row r="277" spans="1:55" s="365" customFormat="1" ht="15" customHeight="1">
      <c r="A277" s="539" t="s">
        <v>239</v>
      </c>
      <c r="B277" s="540" t="s">
        <v>242</v>
      </c>
      <c r="C277" s="541"/>
      <c r="D277" s="631">
        <v>198260</v>
      </c>
      <c r="E277" s="502">
        <v>8</v>
      </c>
      <c r="F277" s="486"/>
      <c r="G277" s="460"/>
      <c r="H277" s="486"/>
      <c r="I277" s="460"/>
      <c r="J277" s="486">
        <v>166754</v>
      </c>
      <c r="K277" s="542">
        <v>157593</v>
      </c>
      <c r="L277" s="486">
        <v>51271.5</v>
      </c>
      <c r="M277" s="542">
        <v>45907.5</v>
      </c>
      <c r="N277" s="486">
        <v>165091</v>
      </c>
      <c r="O277" s="542">
        <v>164625</v>
      </c>
      <c r="P277" s="640">
        <f t="shared" si="90"/>
        <v>383116.5</v>
      </c>
      <c r="Q277" s="640">
        <f t="shared" si="91"/>
        <v>12770.55</v>
      </c>
      <c r="R277" s="641">
        <f t="shared" si="92"/>
        <v>368125.5</v>
      </c>
      <c r="S277" s="641">
        <f t="shared" si="93"/>
        <v>12270.85</v>
      </c>
      <c r="T277" s="486">
        <v>45420</v>
      </c>
      <c r="U277" s="542">
        <v>45812.5</v>
      </c>
      <c r="V277" s="640">
        <f t="shared" si="94"/>
        <v>383116.5</v>
      </c>
      <c r="W277" s="641">
        <f t="shared" si="95"/>
        <v>368125.5</v>
      </c>
      <c r="X277" s="486"/>
      <c r="Y277" s="501"/>
      <c r="Z277" s="486">
        <v>356816</v>
      </c>
      <c r="AA277" s="542">
        <v>380747</v>
      </c>
      <c r="AB277" s="486">
        <v>179451</v>
      </c>
      <c r="AC277" s="542">
        <v>235004</v>
      </c>
      <c r="AD277" s="486">
        <v>360847</v>
      </c>
      <c r="AE277" s="542">
        <v>495440</v>
      </c>
      <c r="AF277" s="640">
        <f t="shared" si="96"/>
        <v>897114</v>
      </c>
      <c r="AG277" s="640">
        <f t="shared" si="97"/>
        <v>996.79333333333329</v>
      </c>
      <c r="AH277" s="641">
        <f t="shared" si="98"/>
        <v>1111191</v>
      </c>
      <c r="AI277" s="641">
        <f t="shared" si="99"/>
        <v>1234.6566666666668</v>
      </c>
      <c r="AJ277" s="486"/>
      <c r="AK277" s="460"/>
      <c r="AL277" s="640">
        <f t="shared" si="100"/>
        <v>0</v>
      </c>
      <c r="AM277" s="641">
        <f t="shared" si="101"/>
        <v>0</v>
      </c>
      <c r="AN277" s="486"/>
      <c r="AO277" s="460"/>
      <c r="AP277" s="486"/>
      <c r="AQ277" s="460"/>
      <c r="AR277" s="486"/>
      <c r="AS277" s="460"/>
      <c r="AT277" s="486"/>
      <c r="AU277" s="460"/>
      <c r="AV277" s="640">
        <f t="shared" si="102"/>
        <v>0</v>
      </c>
      <c r="AW277" s="640">
        <f t="shared" si="103"/>
        <v>0</v>
      </c>
      <c r="AX277" s="641">
        <f t="shared" si="104"/>
        <v>0</v>
      </c>
      <c r="AY277" s="641">
        <f t="shared" si="105"/>
        <v>0</v>
      </c>
      <c r="AZ277" s="640">
        <f t="shared" si="106"/>
        <v>13767.343333333332</v>
      </c>
      <c r="BA277" s="641">
        <f t="shared" si="107"/>
        <v>13505.506666666668</v>
      </c>
      <c r="BB277" s="543"/>
      <c r="BC277" s="543"/>
    </row>
    <row r="278" spans="1:55" s="365" customFormat="1" ht="15" customHeight="1">
      <c r="A278" s="539" t="s">
        <v>239</v>
      </c>
      <c r="B278" s="540" t="s">
        <v>243</v>
      </c>
      <c r="C278" s="541"/>
      <c r="D278" s="631">
        <v>198534</v>
      </c>
      <c r="E278" s="502">
        <v>8</v>
      </c>
      <c r="F278" s="486"/>
      <c r="G278" s="460"/>
      <c r="H278" s="486"/>
      <c r="I278" s="460"/>
      <c r="J278" s="486">
        <v>104333</v>
      </c>
      <c r="K278" s="542">
        <v>90022</v>
      </c>
      <c r="L278" s="486">
        <v>33835</v>
      </c>
      <c r="M278" s="542">
        <v>30346</v>
      </c>
      <c r="N278" s="486">
        <v>101114</v>
      </c>
      <c r="O278" s="542">
        <v>92978</v>
      </c>
      <c r="P278" s="640">
        <f t="shared" si="90"/>
        <v>239282</v>
      </c>
      <c r="Q278" s="640">
        <f t="shared" si="91"/>
        <v>7976.0666666666666</v>
      </c>
      <c r="R278" s="641">
        <f t="shared" si="92"/>
        <v>213346</v>
      </c>
      <c r="S278" s="641">
        <f t="shared" si="93"/>
        <v>7111.5333333333338</v>
      </c>
      <c r="T278" s="486">
        <v>21290</v>
      </c>
      <c r="U278" s="542">
        <v>17551</v>
      </c>
      <c r="V278" s="640">
        <f t="shared" si="94"/>
        <v>239282</v>
      </c>
      <c r="W278" s="641">
        <f t="shared" si="95"/>
        <v>213346</v>
      </c>
      <c r="X278" s="486"/>
      <c r="Y278" s="501"/>
      <c r="Z278" s="486">
        <v>750212</v>
      </c>
      <c r="AA278" s="542">
        <v>695287</v>
      </c>
      <c r="AB278" s="486">
        <v>439923</v>
      </c>
      <c r="AC278" s="542">
        <v>499682</v>
      </c>
      <c r="AD278" s="486">
        <v>752533</v>
      </c>
      <c r="AE278" s="542">
        <v>938231</v>
      </c>
      <c r="AF278" s="640">
        <f t="shared" si="96"/>
        <v>1942668</v>
      </c>
      <c r="AG278" s="640">
        <f t="shared" si="97"/>
        <v>2158.52</v>
      </c>
      <c r="AH278" s="641">
        <f t="shared" si="98"/>
        <v>2133200</v>
      </c>
      <c r="AI278" s="641">
        <f t="shared" si="99"/>
        <v>2370.2222222222222</v>
      </c>
      <c r="AJ278" s="486"/>
      <c r="AK278" s="460"/>
      <c r="AL278" s="640">
        <f t="shared" si="100"/>
        <v>0</v>
      </c>
      <c r="AM278" s="641">
        <f t="shared" si="101"/>
        <v>0</v>
      </c>
      <c r="AN278" s="486"/>
      <c r="AO278" s="460"/>
      <c r="AP278" s="486"/>
      <c r="AQ278" s="460"/>
      <c r="AR278" s="486"/>
      <c r="AS278" s="460"/>
      <c r="AT278" s="486"/>
      <c r="AU278" s="460"/>
      <c r="AV278" s="640">
        <f t="shared" si="102"/>
        <v>0</v>
      </c>
      <c r="AW278" s="640">
        <f t="shared" si="103"/>
        <v>0</v>
      </c>
      <c r="AX278" s="641">
        <f t="shared" si="104"/>
        <v>0</v>
      </c>
      <c r="AY278" s="641">
        <f t="shared" si="105"/>
        <v>0</v>
      </c>
      <c r="AZ278" s="640">
        <f t="shared" si="106"/>
        <v>10134.586666666666</v>
      </c>
      <c r="BA278" s="641">
        <f t="shared" si="107"/>
        <v>9481.7555555555555</v>
      </c>
      <c r="BB278" s="543"/>
      <c r="BC278" s="543"/>
    </row>
    <row r="279" spans="1:55" s="365" customFormat="1" ht="15" customHeight="1">
      <c r="A279" s="539" t="s">
        <v>239</v>
      </c>
      <c r="B279" s="540" t="s">
        <v>244</v>
      </c>
      <c r="C279" s="541"/>
      <c r="D279" s="631">
        <v>198552</v>
      </c>
      <c r="E279" s="502">
        <v>8</v>
      </c>
      <c r="F279" s="486"/>
      <c r="G279" s="460"/>
      <c r="H279" s="486"/>
      <c r="I279" s="460"/>
      <c r="J279" s="486">
        <v>66978</v>
      </c>
      <c r="K279" s="542">
        <v>62251</v>
      </c>
      <c r="L279" s="486">
        <v>26268</v>
      </c>
      <c r="M279" s="542">
        <v>22485</v>
      </c>
      <c r="N279" s="486">
        <v>70109</v>
      </c>
      <c r="O279" s="542">
        <v>71026</v>
      </c>
      <c r="P279" s="640">
        <f t="shared" si="90"/>
        <v>163355</v>
      </c>
      <c r="Q279" s="640">
        <f t="shared" si="91"/>
        <v>5445.166666666667</v>
      </c>
      <c r="R279" s="641">
        <f t="shared" si="92"/>
        <v>155762</v>
      </c>
      <c r="S279" s="641">
        <f t="shared" si="93"/>
        <v>5192.0666666666666</v>
      </c>
      <c r="T279" s="486">
        <v>16202</v>
      </c>
      <c r="U279" s="542">
        <v>15537</v>
      </c>
      <c r="V279" s="640">
        <f t="shared" si="94"/>
        <v>163355</v>
      </c>
      <c r="W279" s="641">
        <f t="shared" si="95"/>
        <v>155762</v>
      </c>
      <c r="X279" s="486"/>
      <c r="Y279" s="501"/>
      <c r="Z279" s="486">
        <v>161162</v>
      </c>
      <c r="AA279" s="542">
        <v>155598</v>
      </c>
      <c r="AB279" s="486">
        <v>110897</v>
      </c>
      <c r="AC279" s="542">
        <v>109648</v>
      </c>
      <c r="AD279" s="486">
        <v>156381</v>
      </c>
      <c r="AE279" s="542">
        <v>193851</v>
      </c>
      <c r="AF279" s="640">
        <f t="shared" si="96"/>
        <v>428440</v>
      </c>
      <c r="AG279" s="640">
        <f t="shared" si="97"/>
        <v>476.04444444444442</v>
      </c>
      <c r="AH279" s="641">
        <f t="shared" si="98"/>
        <v>459097</v>
      </c>
      <c r="AI279" s="641">
        <f t="shared" si="99"/>
        <v>510.10777777777776</v>
      </c>
      <c r="AJ279" s="486"/>
      <c r="AK279" s="460"/>
      <c r="AL279" s="640">
        <f t="shared" si="100"/>
        <v>0</v>
      </c>
      <c r="AM279" s="641">
        <f t="shared" si="101"/>
        <v>0</v>
      </c>
      <c r="AN279" s="486"/>
      <c r="AO279" s="460"/>
      <c r="AP279" s="486"/>
      <c r="AQ279" s="460"/>
      <c r="AR279" s="486"/>
      <c r="AS279" s="460"/>
      <c r="AT279" s="486"/>
      <c r="AU279" s="460"/>
      <c r="AV279" s="640">
        <f t="shared" si="102"/>
        <v>0</v>
      </c>
      <c r="AW279" s="640">
        <f t="shared" si="103"/>
        <v>0</v>
      </c>
      <c r="AX279" s="641">
        <f t="shared" si="104"/>
        <v>0</v>
      </c>
      <c r="AY279" s="641">
        <f t="shared" si="105"/>
        <v>0</v>
      </c>
      <c r="AZ279" s="640">
        <f t="shared" si="106"/>
        <v>5921.2111111111117</v>
      </c>
      <c r="BA279" s="641">
        <f t="shared" si="107"/>
        <v>5702.1744444444448</v>
      </c>
      <c r="BB279" s="543"/>
      <c r="BC279" s="543"/>
    </row>
    <row r="280" spans="1:55" s="365" customFormat="1" ht="15" customHeight="1">
      <c r="A280" s="539" t="s">
        <v>239</v>
      </c>
      <c r="B280" s="540" t="s">
        <v>245</v>
      </c>
      <c r="C280" s="541"/>
      <c r="D280" s="631">
        <v>198622</v>
      </c>
      <c r="E280" s="502">
        <v>8</v>
      </c>
      <c r="F280" s="486"/>
      <c r="G280" s="460"/>
      <c r="H280" s="486"/>
      <c r="I280" s="460"/>
      <c r="J280" s="486">
        <v>95481.5</v>
      </c>
      <c r="K280" s="542">
        <v>86322.5</v>
      </c>
      <c r="L280" s="486">
        <v>29489</v>
      </c>
      <c r="M280" s="542">
        <v>26463.5</v>
      </c>
      <c r="N280" s="486">
        <v>102535</v>
      </c>
      <c r="O280" s="542">
        <v>93806.5</v>
      </c>
      <c r="P280" s="640">
        <f t="shared" si="90"/>
        <v>227505.5</v>
      </c>
      <c r="Q280" s="640">
        <f t="shared" si="91"/>
        <v>7583.5166666666664</v>
      </c>
      <c r="R280" s="641">
        <f t="shared" si="92"/>
        <v>206592.5</v>
      </c>
      <c r="S280" s="641">
        <f t="shared" si="93"/>
        <v>6886.416666666667</v>
      </c>
      <c r="T280" s="486">
        <v>22322</v>
      </c>
      <c r="U280" s="542">
        <v>21590</v>
      </c>
      <c r="V280" s="640">
        <f t="shared" si="94"/>
        <v>227505.5</v>
      </c>
      <c r="W280" s="641">
        <f t="shared" si="95"/>
        <v>206592.5</v>
      </c>
      <c r="X280" s="486"/>
      <c r="Y280" s="501"/>
      <c r="Z280" s="486">
        <v>289216</v>
      </c>
      <c r="AA280" s="542">
        <v>275873</v>
      </c>
      <c r="AB280" s="486">
        <v>135860</v>
      </c>
      <c r="AC280" s="542">
        <v>213623</v>
      </c>
      <c r="AD280" s="486">
        <v>254166</v>
      </c>
      <c r="AE280" s="542">
        <v>382435</v>
      </c>
      <c r="AF280" s="640">
        <f t="shared" si="96"/>
        <v>679242</v>
      </c>
      <c r="AG280" s="640">
        <f t="shared" si="97"/>
        <v>754.71333333333337</v>
      </c>
      <c r="AH280" s="641">
        <f t="shared" si="98"/>
        <v>871931</v>
      </c>
      <c r="AI280" s="641">
        <f t="shared" si="99"/>
        <v>968.8122222222222</v>
      </c>
      <c r="AJ280" s="486"/>
      <c r="AK280" s="460"/>
      <c r="AL280" s="640">
        <f t="shared" si="100"/>
        <v>0</v>
      </c>
      <c r="AM280" s="641">
        <f t="shared" si="101"/>
        <v>0</v>
      </c>
      <c r="AN280" s="486"/>
      <c r="AO280" s="460"/>
      <c r="AP280" s="486"/>
      <c r="AQ280" s="460"/>
      <c r="AR280" s="486"/>
      <c r="AS280" s="460"/>
      <c r="AT280" s="486"/>
      <c r="AU280" s="460"/>
      <c r="AV280" s="640">
        <f t="shared" si="102"/>
        <v>0</v>
      </c>
      <c r="AW280" s="640">
        <f t="shared" si="103"/>
        <v>0</v>
      </c>
      <c r="AX280" s="641">
        <f t="shared" si="104"/>
        <v>0</v>
      </c>
      <c r="AY280" s="641">
        <f t="shared" si="105"/>
        <v>0</v>
      </c>
      <c r="AZ280" s="640">
        <f t="shared" si="106"/>
        <v>8338.23</v>
      </c>
      <c r="BA280" s="641">
        <f t="shared" si="107"/>
        <v>7855.2288888888888</v>
      </c>
      <c r="BB280" s="543"/>
      <c r="BC280" s="543"/>
    </row>
    <row r="281" spans="1:55" s="365" customFormat="1" ht="15" customHeight="1">
      <c r="A281" s="539" t="s">
        <v>239</v>
      </c>
      <c r="B281" s="540" t="s">
        <v>246</v>
      </c>
      <c r="C281" s="541"/>
      <c r="D281" s="631">
        <v>199333</v>
      </c>
      <c r="E281" s="502">
        <v>8</v>
      </c>
      <c r="F281" s="486"/>
      <c r="G281" s="460"/>
      <c r="H281" s="486"/>
      <c r="I281" s="460"/>
      <c r="J281" s="486">
        <v>75221</v>
      </c>
      <c r="K281" s="542">
        <v>61969</v>
      </c>
      <c r="L281" s="486">
        <v>25297</v>
      </c>
      <c r="M281" s="542">
        <v>21766</v>
      </c>
      <c r="N281" s="486">
        <v>70867</v>
      </c>
      <c r="O281" s="542">
        <v>66836</v>
      </c>
      <c r="P281" s="640">
        <f t="shared" si="90"/>
        <v>171385</v>
      </c>
      <c r="Q281" s="640">
        <f t="shared" si="91"/>
        <v>5712.833333333333</v>
      </c>
      <c r="R281" s="641">
        <f t="shared" si="92"/>
        <v>150571</v>
      </c>
      <c r="S281" s="641">
        <f t="shared" si="93"/>
        <v>5019.0333333333338</v>
      </c>
      <c r="T281" s="486">
        <v>20192</v>
      </c>
      <c r="U281" s="542">
        <v>18501</v>
      </c>
      <c r="V281" s="640">
        <f t="shared" si="94"/>
        <v>171385</v>
      </c>
      <c r="W281" s="641">
        <f t="shared" si="95"/>
        <v>150571</v>
      </c>
      <c r="X281" s="486"/>
      <c r="Y281" s="501"/>
      <c r="Z281" s="486">
        <v>142069</v>
      </c>
      <c r="AA281" s="542">
        <v>160921</v>
      </c>
      <c r="AB281" s="486">
        <v>110182</v>
      </c>
      <c r="AC281" s="542">
        <v>114409</v>
      </c>
      <c r="AD281" s="486">
        <v>166730</v>
      </c>
      <c r="AE281" s="542">
        <v>169421</v>
      </c>
      <c r="AF281" s="640">
        <f t="shared" si="96"/>
        <v>418981</v>
      </c>
      <c r="AG281" s="640">
        <f t="shared" si="97"/>
        <v>465.53444444444443</v>
      </c>
      <c r="AH281" s="641">
        <f t="shared" si="98"/>
        <v>444751</v>
      </c>
      <c r="AI281" s="641">
        <f t="shared" si="99"/>
        <v>494.16777777777776</v>
      </c>
      <c r="AJ281" s="486"/>
      <c r="AK281" s="460"/>
      <c r="AL281" s="640">
        <f t="shared" si="100"/>
        <v>0</v>
      </c>
      <c r="AM281" s="641">
        <f t="shared" si="101"/>
        <v>0</v>
      </c>
      <c r="AN281" s="486"/>
      <c r="AO281" s="460"/>
      <c r="AP281" s="486"/>
      <c r="AQ281" s="460"/>
      <c r="AR281" s="486"/>
      <c r="AS281" s="460"/>
      <c r="AT281" s="486"/>
      <c r="AU281" s="460"/>
      <c r="AV281" s="640">
        <f t="shared" si="102"/>
        <v>0</v>
      </c>
      <c r="AW281" s="640">
        <f t="shared" si="103"/>
        <v>0</v>
      </c>
      <c r="AX281" s="641">
        <f t="shared" si="104"/>
        <v>0</v>
      </c>
      <c r="AY281" s="641">
        <f t="shared" si="105"/>
        <v>0</v>
      </c>
      <c r="AZ281" s="640">
        <f t="shared" si="106"/>
        <v>6178.3677777777775</v>
      </c>
      <c r="BA281" s="641">
        <f t="shared" si="107"/>
        <v>5513.2011111111115</v>
      </c>
      <c r="BB281" s="543"/>
      <c r="BC281" s="543"/>
    </row>
    <row r="282" spans="1:55" s="365" customFormat="1" ht="15" customHeight="1">
      <c r="A282" s="539" t="s">
        <v>239</v>
      </c>
      <c r="B282" s="540" t="s">
        <v>247</v>
      </c>
      <c r="C282" s="592" t="s">
        <v>912</v>
      </c>
      <c r="D282" s="631">
        <v>199494</v>
      </c>
      <c r="E282" s="502">
        <v>8</v>
      </c>
      <c r="F282" s="486"/>
      <c r="G282" s="460"/>
      <c r="H282" s="486"/>
      <c r="I282" s="460"/>
      <c r="J282" s="486">
        <v>55755</v>
      </c>
      <c r="K282" s="542">
        <v>50638</v>
      </c>
      <c r="L282" s="486">
        <v>14869</v>
      </c>
      <c r="M282" s="542">
        <v>14750.6</v>
      </c>
      <c r="N282" s="486">
        <v>59579</v>
      </c>
      <c r="O282" s="542">
        <v>56780.4</v>
      </c>
      <c r="P282" s="640">
        <f t="shared" si="90"/>
        <v>130203</v>
      </c>
      <c r="Q282" s="640">
        <f t="shared" si="91"/>
        <v>4340.1000000000004</v>
      </c>
      <c r="R282" s="641">
        <f t="shared" si="92"/>
        <v>122169</v>
      </c>
      <c r="S282" s="641">
        <f t="shared" si="93"/>
        <v>4072.3</v>
      </c>
      <c r="T282" s="486">
        <v>34082</v>
      </c>
      <c r="U282" s="542">
        <v>30611</v>
      </c>
      <c r="V282" s="640">
        <f t="shared" si="94"/>
        <v>130203</v>
      </c>
      <c r="W282" s="641">
        <f t="shared" si="95"/>
        <v>122169</v>
      </c>
      <c r="X282" s="486"/>
      <c r="Y282" s="501"/>
      <c r="Z282" s="486">
        <v>242445</v>
      </c>
      <c r="AA282" s="542">
        <v>260745</v>
      </c>
      <c r="AB282" s="486">
        <v>133843</v>
      </c>
      <c r="AC282" s="542">
        <v>204490</v>
      </c>
      <c r="AD282" s="486">
        <v>319390</v>
      </c>
      <c r="AE282" s="542">
        <v>334400</v>
      </c>
      <c r="AF282" s="640">
        <f t="shared" si="96"/>
        <v>695678</v>
      </c>
      <c r="AG282" s="640">
        <f t="shared" si="97"/>
        <v>772.9755555555555</v>
      </c>
      <c r="AH282" s="641">
        <f t="shared" si="98"/>
        <v>799635</v>
      </c>
      <c r="AI282" s="641">
        <f t="shared" si="99"/>
        <v>888.48333333333335</v>
      </c>
      <c r="AJ282" s="486"/>
      <c r="AK282" s="460"/>
      <c r="AL282" s="640">
        <f t="shared" si="100"/>
        <v>0</v>
      </c>
      <c r="AM282" s="641">
        <f t="shared" si="101"/>
        <v>0</v>
      </c>
      <c r="AN282" s="486"/>
      <c r="AO282" s="460"/>
      <c r="AP282" s="486"/>
      <c r="AQ282" s="460"/>
      <c r="AR282" s="486"/>
      <c r="AS282" s="460"/>
      <c r="AT282" s="486"/>
      <c r="AU282" s="460"/>
      <c r="AV282" s="640">
        <f t="shared" si="102"/>
        <v>0</v>
      </c>
      <c r="AW282" s="640">
        <f t="shared" si="103"/>
        <v>0</v>
      </c>
      <c r="AX282" s="641">
        <f t="shared" si="104"/>
        <v>0</v>
      </c>
      <c r="AY282" s="641">
        <f t="shared" si="105"/>
        <v>0</v>
      </c>
      <c r="AZ282" s="640">
        <f t="shared" si="106"/>
        <v>5113.0755555555561</v>
      </c>
      <c r="BA282" s="641">
        <f t="shared" si="107"/>
        <v>4960.7833333333338</v>
      </c>
      <c r="BB282" s="543"/>
      <c r="BC282" s="543"/>
    </row>
    <row r="283" spans="1:55" s="365" customFormat="1" ht="15" customHeight="1">
      <c r="A283" s="539" t="s">
        <v>239</v>
      </c>
      <c r="B283" s="540" t="s">
        <v>248</v>
      </c>
      <c r="C283" s="541"/>
      <c r="D283" s="631">
        <v>199856</v>
      </c>
      <c r="E283" s="502">
        <v>8</v>
      </c>
      <c r="F283" s="486"/>
      <c r="G283" s="460"/>
      <c r="H283" s="486"/>
      <c r="I283" s="460"/>
      <c r="J283" s="486">
        <v>193599</v>
      </c>
      <c r="K283" s="542">
        <v>188022</v>
      </c>
      <c r="L283" s="486">
        <v>60890</v>
      </c>
      <c r="M283" s="542">
        <v>59859</v>
      </c>
      <c r="N283" s="486">
        <v>206440</v>
      </c>
      <c r="O283" s="542">
        <v>196924</v>
      </c>
      <c r="P283" s="640">
        <f t="shared" si="90"/>
        <v>460929</v>
      </c>
      <c r="Q283" s="640">
        <f t="shared" si="91"/>
        <v>15364.3</v>
      </c>
      <c r="R283" s="641">
        <f t="shared" si="92"/>
        <v>444805</v>
      </c>
      <c r="S283" s="641">
        <f t="shared" si="93"/>
        <v>14826.833333333334</v>
      </c>
      <c r="T283" s="486">
        <v>28340</v>
      </c>
      <c r="U283" s="542">
        <v>31725</v>
      </c>
      <c r="V283" s="640">
        <f t="shared" si="94"/>
        <v>460929</v>
      </c>
      <c r="W283" s="641">
        <f t="shared" si="95"/>
        <v>444805</v>
      </c>
      <c r="X283" s="486"/>
      <c r="Y283" s="501"/>
      <c r="Z283" s="486">
        <v>645532</v>
      </c>
      <c r="AA283" s="542">
        <v>637952</v>
      </c>
      <c r="AB283" s="486">
        <v>301381</v>
      </c>
      <c r="AC283" s="542">
        <v>444714</v>
      </c>
      <c r="AD283" s="486">
        <v>603078</v>
      </c>
      <c r="AE283" s="542">
        <v>847247</v>
      </c>
      <c r="AF283" s="640">
        <f t="shared" si="96"/>
        <v>1549991</v>
      </c>
      <c r="AG283" s="640">
        <f t="shared" si="97"/>
        <v>1722.2122222222222</v>
      </c>
      <c r="AH283" s="641">
        <f t="shared" si="98"/>
        <v>1929913</v>
      </c>
      <c r="AI283" s="641">
        <f t="shared" si="99"/>
        <v>2144.347777777778</v>
      </c>
      <c r="AJ283" s="486"/>
      <c r="AK283" s="460"/>
      <c r="AL283" s="640">
        <f t="shared" si="100"/>
        <v>0</v>
      </c>
      <c r="AM283" s="641">
        <f t="shared" si="101"/>
        <v>0</v>
      </c>
      <c r="AN283" s="486"/>
      <c r="AO283" s="460"/>
      <c r="AP283" s="486"/>
      <c r="AQ283" s="460"/>
      <c r="AR283" s="486"/>
      <c r="AS283" s="460"/>
      <c r="AT283" s="486"/>
      <c r="AU283" s="460"/>
      <c r="AV283" s="640">
        <f t="shared" si="102"/>
        <v>0</v>
      </c>
      <c r="AW283" s="640">
        <f t="shared" si="103"/>
        <v>0</v>
      </c>
      <c r="AX283" s="641">
        <f t="shared" si="104"/>
        <v>0</v>
      </c>
      <c r="AY283" s="641">
        <f t="shared" si="105"/>
        <v>0</v>
      </c>
      <c r="AZ283" s="640">
        <f t="shared" si="106"/>
        <v>17086.51222222222</v>
      </c>
      <c r="BA283" s="641">
        <f t="shared" si="107"/>
        <v>16971.181111111113</v>
      </c>
      <c r="BB283" s="543"/>
      <c r="BC283" s="543"/>
    </row>
    <row r="284" spans="1:55" s="365" customFormat="1" ht="15" customHeight="1">
      <c r="A284" s="539" t="s">
        <v>239</v>
      </c>
      <c r="B284" s="540" t="s">
        <v>249</v>
      </c>
      <c r="C284" s="541"/>
      <c r="D284" s="631">
        <v>199786</v>
      </c>
      <c r="E284" s="502">
        <v>9</v>
      </c>
      <c r="F284" s="486"/>
      <c r="G284" s="460"/>
      <c r="H284" s="486"/>
      <c r="I284" s="460"/>
      <c r="J284" s="486">
        <v>38193</v>
      </c>
      <c r="K284" s="542">
        <v>34214</v>
      </c>
      <c r="L284" s="486">
        <v>10803</v>
      </c>
      <c r="M284" s="542">
        <v>10415</v>
      </c>
      <c r="N284" s="486">
        <v>37427.5</v>
      </c>
      <c r="O284" s="542">
        <v>35989</v>
      </c>
      <c r="P284" s="640">
        <f t="shared" si="90"/>
        <v>86423.5</v>
      </c>
      <c r="Q284" s="640">
        <f t="shared" si="91"/>
        <v>2880.7833333333333</v>
      </c>
      <c r="R284" s="641">
        <f t="shared" si="92"/>
        <v>80618</v>
      </c>
      <c r="S284" s="641">
        <f t="shared" si="93"/>
        <v>2687.2666666666669</v>
      </c>
      <c r="T284" s="486">
        <v>18997</v>
      </c>
      <c r="U284" s="542">
        <v>17591</v>
      </c>
      <c r="V284" s="640">
        <f t="shared" si="94"/>
        <v>86423.5</v>
      </c>
      <c r="W284" s="641">
        <f t="shared" si="95"/>
        <v>80618</v>
      </c>
      <c r="X284" s="486"/>
      <c r="Y284" s="501"/>
      <c r="Z284" s="486">
        <v>160922</v>
      </c>
      <c r="AA284" s="542">
        <v>163338</v>
      </c>
      <c r="AB284" s="486">
        <v>90661</v>
      </c>
      <c r="AC284" s="542">
        <v>130900</v>
      </c>
      <c r="AD284" s="486">
        <v>199375</v>
      </c>
      <c r="AE284" s="542">
        <v>199431</v>
      </c>
      <c r="AF284" s="640">
        <f t="shared" si="96"/>
        <v>450958</v>
      </c>
      <c r="AG284" s="640">
        <f t="shared" si="97"/>
        <v>501.06444444444446</v>
      </c>
      <c r="AH284" s="641">
        <f t="shared" si="98"/>
        <v>493669</v>
      </c>
      <c r="AI284" s="641">
        <f t="shared" si="99"/>
        <v>548.52111111111117</v>
      </c>
      <c r="AJ284" s="486"/>
      <c r="AK284" s="460"/>
      <c r="AL284" s="640">
        <f t="shared" si="100"/>
        <v>0</v>
      </c>
      <c r="AM284" s="641">
        <f t="shared" si="101"/>
        <v>0</v>
      </c>
      <c r="AN284" s="486"/>
      <c r="AO284" s="460"/>
      <c r="AP284" s="486"/>
      <c r="AQ284" s="460"/>
      <c r="AR284" s="486"/>
      <c r="AS284" s="460"/>
      <c r="AT284" s="486"/>
      <c r="AU284" s="460"/>
      <c r="AV284" s="640">
        <f t="shared" si="102"/>
        <v>0</v>
      </c>
      <c r="AW284" s="640">
        <f t="shared" si="103"/>
        <v>0</v>
      </c>
      <c r="AX284" s="641">
        <f t="shared" si="104"/>
        <v>0</v>
      </c>
      <c r="AY284" s="641">
        <f t="shared" si="105"/>
        <v>0</v>
      </c>
      <c r="AZ284" s="640">
        <f t="shared" si="106"/>
        <v>3381.847777777778</v>
      </c>
      <c r="BA284" s="641">
        <f t="shared" si="107"/>
        <v>3235.787777777778</v>
      </c>
      <c r="BB284" s="543"/>
      <c r="BC284" s="543"/>
    </row>
    <row r="285" spans="1:55" s="365" customFormat="1" ht="15" customHeight="1">
      <c r="A285" s="539" t="s">
        <v>239</v>
      </c>
      <c r="B285" s="540" t="s">
        <v>250</v>
      </c>
      <c r="C285" s="541"/>
      <c r="D285" s="631">
        <v>198118</v>
      </c>
      <c r="E285" s="502">
        <v>9</v>
      </c>
      <c r="F285" s="486"/>
      <c r="G285" s="460"/>
      <c r="H285" s="486"/>
      <c r="I285" s="460"/>
      <c r="J285" s="486">
        <v>32473</v>
      </c>
      <c r="K285" s="542">
        <v>32020</v>
      </c>
      <c r="L285" s="486">
        <v>8103</v>
      </c>
      <c r="M285" s="542">
        <v>7967</v>
      </c>
      <c r="N285" s="486">
        <v>36768</v>
      </c>
      <c r="O285" s="542">
        <v>32012</v>
      </c>
      <c r="P285" s="640">
        <f t="shared" si="90"/>
        <v>77344</v>
      </c>
      <c r="Q285" s="640">
        <f t="shared" si="91"/>
        <v>2578.1333333333332</v>
      </c>
      <c r="R285" s="641">
        <f t="shared" si="92"/>
        <v>71999</v>
      </c>
      <c r="S285" s="641">
        <f t="shared" si="93"/>
        <v>2399.9666666666667</v>
      </c>
      <c r="T285" s="486">
        <v>20991</v>
      </c>
      <c r="U285" s="542">
        <v>19753</v>
      </c>
      <c r="V285" s="640">
        <f t="shared" si="94"/>
        <v>77344</v>
      </c>
      <c r="W285" s="641">
        <f t="shared" si="95"/>
        <v>71999</v>
      </c>
      <c r="X285" s="486"/>
      <c r="Y285" s="501"/>
      <c r="Z285" s="486">
        <v>144511</v>
      </c>
      <c r="AA285" s="542">
        <v>127516</v>
      </c>
      <c r="AB285" s="486">
        <v>78020</v>
      </c>
      <c r="AC285" s="542">
        <v>135331</v>
      </c>
      <c r="AD285" s="486">
        <v>193208</v>
      </c>
      <c r="AE285" s="542">
        <v>221105</v>
      </c>
      <c r="AF285" s="640">
        <f t="shared" si="96"/>
        <v>415739</v>
      </c>
      <c r="AG285" s="640">
        <f t="shared" si="97"/>
        <v>461.93222222222221</v>
      </c>
      <c r="AH285" s="641">
        <f t="shared" si="98"/>
        <v>483952</v>
      </c>
      <c r="AI285" s="641">
        <f t="shared" si="99"/>
        <v>537.72444444444443</v>
      </c>
      <c r="AJ285" s="486"/>
      <c r="AK285" s="460"/>
      <c r="AL285" s="640">
        <f t="shared" si="100"/>
        <v>0</v>
      </c>
      <c r="AM285" s="641">
        <f t="shared" si="101"/>
        <v>0</v>
      </c>
      <c r="AN285" s="486"/>
      <c r="AO285" s="460"/>
      <c r="AP285" s="486"/>
      <c r="AQ285" s="460"/>
      <c r="AR285" s="486"/>
      <c r="AS285" s="460"/>
      <c r="AT285" s="486"/>
      <c r="AU285" s="460"/>
      <c r="AV285" s="640">
        <f t="shared" si="102"/>
        <v>0</v>
      </c>
      <c r="AW285" s="640">
        <f t="shared" si="103"/>
        <v>0</v>
      </c>
      <c r="AX285" s="641">
        <f t="shared" si="104"/>
        <v>0</v>
      </c>
      <c r="AY285" s="641">
        <f t="shared" si="105"/>
        <v>0</v>
      </c>
      <c r="AZ285" s="640">
        <f t="shared" si="106"/>
        <v>3040.0655555555554</v>
      </c>
      <c r="BA285" s="641">
        <f t="shared" si="107"/>
        <v>2937.6911111111112</v>
      </c>
      <c r="BB285" s="543"/>
      <c r="BC285" s="543"/>
    </row>
    <row r="286" spans="1:55" s="365" customFormat="1" ht="15" customHeight="1">
      <c r="A286" s="539" t="s">
        <v>239</v>
      </c>
      <c r="B286" s="540" t="s">
        <v>251</v>
      </c>
      <c r="C286" s="541"/>
      <c r="D286" s="631">
        <v>198233</v>
      </c>
      <c r="E286" s="502">
        <v>9</v>
      </c>
      <c r="F286" s="486"/>
      <c r="G286" s="460"/>
      <c r="H286" s="486"/>
      <c r="I286" s="460"/>
      <c r="J286" s="486">
        <v>42501</v>
      </c>
      <c r="K286" s="542">
        <v>37750</v>
      </c>
      <c r="L286" s="486">
        <v>9680</v>
      </c>
      <c r="M286" s="542">
        <v>8869</v>
      </c>
      <c r="N286" s="486">
        <v>42449</v>
      </c>
      <c r="O286" s="542">
        <v>41529</v>
      </c>
      <c r="P286" s="640">
        <f t="shared" si="90"/>
        <v>94630</v>
      </c>
      <c r="Q286" s="640">
        <f t="shared" si="91"/>
        <v>3154.3333333333335</v>
      </c>
      <c r="R286" s="641">
        <f t="shared" si="92"/>
        <v>88148</v>
      </c>
      <c r="S286" s="641">
        <f t="shared" si="93"/>
        <v>2938.2666666666669</v>
      </c>
      <c r="T286" s="486">
        <v>23155</v>
      </c>
      <c r="U286" s="542">
        <v>20832</v>
      </c>
      <c r="V286" s="640">
        <f t="shared" si="94"/>
        <v>94630</v>
      </c>
      <c r="W286" s="641">
        <f t="shared" si="95"/>
        <v>88148</v>
      </c>
      <c r="X286" s="486"/>
      <c r="Y286" s="501"/>
      <c r="Z286" s="486">
        <v>147723</v>
      </c>
      <c r="AA286" s="542">
        <v>146951</v>
      </c>
      <c r="AB286" s="486">
        <v>90901</v>
      </c>
      <c r="AC286" s="542">
        <v>130250</v>
      </c>
      <c r="AD286" s="486">
        <v>123661</v>
      </c>
      <c r="AE286" s="542">
        <v>208730</v>
      </c>
      <c r="AF286" s="640">
        <f t="shared" si="96"/>
        <v>362285</v>
      </c>
      <c r="AG286" s="640">
        <f t="shared" si="97"/>
        <v>402.53888888888889</v>
      </c>
      <c r="AH286" s="641">
        <f t="shared" si="98"/>
        <v>485931</v>
      </c>
      <c r="AI286" s="641">
        <f t="shared" si="99"/>
        <v>539.92333333333329</v>
      </c>
      <c r="AJ286" s="486"/>
      <c r="AK286" s="460"/>
      <c r="AL286" s="640">
        <f t="shared" si="100"/>
        <v>0</v>
      </c>
      <c r="AM286" s="641">
        <f t="shared" si="101"/>
        <v>0</v>
      </c>
      <c r="AN286" s="486"/>
      <c r="AO286" s="460"/>
      <c r="AP286" s="486"/>
      <c r="AQ286" s="460"/>
      <c r="AR286" s="486"/>
      <c r="AS286" s="460"/>
      <c r="AT286" s="486"/>
      <c r="AU286" s="460"/>
      <c r="AV286" s="640">
        <f t="shared" si="102"/>
        <v>0</v>
      </c>
      <c r="AW286" s="640">
        <f t="shared" si="103"/>
        <v>0</v>
      </c>
      <c r="AX286" s="641">
        <f t="shared" si="104"/>
        <v>0</v>
      </c>
      <c r="AY286" s="641">
        <f t="shared" si="105"/>
        <v>0</v>
      </c>
      <c r="AZ286" s="640">
        <f t="shared" si="106"/>
        <v>3556.8722222222223</v>
      </c>
      <c r="BA286" s="641">
        <f t="shared" si="107"/>
        <v>3478.19</v>
      </c>
      <c r="BB286" s="543"/>
      <c r="BC286" s="543"/>
    </row>
    <row r="287" spans="1:55" s="365" customFormat="1" ht="15" customHeight="1">
      <c r="A287" s="539" t="s">
        <v>239</v>
      </c>
      <c r="B287" s="540" t="s">
        <v>252</v>
      </c>
      <c r="C287" s="541"/>
      <c r="D287" s="631">
        <v>198251</v>
      </c>
      <c r="E287" s="502">
        <v>9</v>
      </c>
      <c r="F287" s="486"/>
      <c r="G287" s="460"/>
      <c r="H287" s="486"/>
      <c r="I287" s="460"/>
      <c r="J287" s="486">
        <v>49765</v>
      </c>
      <c r="K287" s="542">
        <v>44145</v>
      </c>
      <c r="L287" s="486">
        <v>9641</v>
      </c>
      <c r="M287" s="542">
        <v>9265</v>
      </c>
      <c r="N287" s="486">
        <v>50383</v>
      </c>
      <c r="O287" s="542">
        <v>46003</v>
      </c>
      <c r="P287" s="640">
        <f t="shared" si="90"/>
        <v>109789</v>
      </c>
      <c r="Q287" s="640">
        <f t="shared" si="91"/>
        <v>3659.6333333333332</v>
      </c>
      <c r="R287" s="641">
        <f t="shared" si="92"/>
        <v>99413</v>
      </c>
      <c r="S287" s="641">
        <f t="shared" si="93"/>
        <v>3313.7666666666669</v>
      </c>
      <c r="T287" s="486">
        <v>30626</v>
      </c>
      <c r="U287" s="542">
        <v>26587</v>
      </c>
      <c r="V287" s="640">
        <f t="shared" si="94"/>
        <v>109789</v>
      </c>
      <c r="W287" s="641">
        <f t="shared" si="95"/>
        <v>99413</v>
      </c>
      <c r="X287" s="486"/>
      <c r="Y287" s="501"/>
      <c r="Z287" s="486">
        <v>206879</v>
      </c>
      <c r="AA287" s="542">
        <v>175981</v>
      </c>
      <c r="AB287" s="486">
        <v>55568</v>
      </c>
      <c r="AC287" s="542">
        <v>123677</v>
      </c>
      <c r="AD287" s="486">
        <v>148443</v>
      </c>
      <c r="AE287" s="542">
        <v>241809</v>
      </c>
      <c r="AF287" s="640">
        <f t="shared" si="96"/>
        <v>410890</v>
      </c>
      <c r="AG287" s="640">
        <f t="shared" si="97"/>
        <v>456.54444444444442</v>
      </c>
      <c r="AH287" s="641">
        <f t="shared" si="98"/>
        <v>541467</v>
      </c>
      <c r="AI287" s="641">
        <f t="shared" si="99"/>
        <v>601.63</v>
      </c>
      <c r="AJ287" s="486"/>
      <c r="AK287" s="460"/>
      <c r="AL287" s="640">
        <f t="shared" si="100"/>
        <v>0</v>
      </c>
      <c r="AM287" s="641">
        <f t="shared" si="101"/>
        <v>0</v>
      </c>
      <c r="AN287" s="486"/>
      <c r="AO287" s="460"/>
      <c r="AP287" s="486"/>
      <c r="AQ287" s="460"/>
      <c r="AR287" s="486"/>
      <c r="AS287" s="460"/>
      <c r="AT287" s="486"/>
      <c r="AU287" s="460"/>
      <c r="AV287" s="640">
        <f t="shared" si="102"/>
        <v>0</v>
      </c>
      <c r="AW287" s="640">
        <f t="shared" si="103"/>
        <v>0</v>
      </c>
      <c r="AX287" s="641">
        <f t="shared" si="104"/>
        <v>0</v>
      </c>
      <c r="AY287" s="641">
        <f t="shared" si="105"/>
        <v>0</v>
      </c>
      <c r="AZ287" s="640">
        <f t="shared" si="106"/>
        <v>4116.1777777777779</v>
      </c>
      <c r="BA287" s="641">
        <f t="shared" si="107"/>
        <v>3915.396666666667</v>
      </c>
      <c r="BB287" s="543"/>
      <c r="BC287" s="543"/>
    </row>
    <row r="288" spans="1:55" s="365" customFormat="1" ht="15" customHeight="1">
      <c r="A288" s="539" t="s">
        <v>239</v>
      </c>
      <c r="B288" s="540" t="s">
        <v>253</v>
      </c>
      <c r="C288" s="541"/>
      <c r="D288" s="631">
        <v>198321</v>
      </c>
      <c r="E288" s="502">
        <v>9</v>
      </c>
      <c r="F288" s="486"/>
      <c r="G288" s="460"/>
      <c r="H288" s="486"/>
      <c r="I288" s="460"/>
      <c r="J288" s="486">
        <v>23419</v>
      </c>
      <c r="K288" s="542">
        <v>20049</v>
      </c>
      <c r="L288" s="486">
        <v>6681</v>
      </c>
      <c r="M288" s="542">
        <v>5931</v>
      </c>
      <c r="N288" s="486">
        <v>23486</v>
      </c>
      <c r="O288" s="542">
        <v>25517</v>
      </c>
      <c r="P288" s="640">
        <f t="shared" si="90"/>
        <v>53586</v>
      </c>
      <c r="Q288" s="640">
        <f t="shared" si="91"/>
        <v>1786.2</v>
      </c>
      <c r="R288" s="641">
        <f t="shared" si="92"/>
        <v>51497</v>
      </c>
      <c r="S288" s="641">
        <f t="shared" si="93"/>
        <v>1716.5666666666666</v>
      </c>
      <c r="T288" s="486">
        <v>8925</v>
      </c>
      <c r="U288" s="542">
        <v>10191</v>
      </c>
      <c r="V288" s="640">
        <f t="shared" si="94"/>
        <v>53586</v>
      </c>
      <c r="W288" s="641">
        <f t="shared" si="95"/>
        <v>51497</v>
      </c>
      <c r="X288" s="486"/>
      <c r="Y288" s="501"/>
      <c r="Z288" s="486">
        <v>135304</v>
      </c>
      <c r="AA288" s="542">
        <v>130043</v>
      </c>
      <c r="AB288" s="486">
        <v>84510</v>
      </c>
      <c r="AC288" s="542">
        <v>94265</v>
      </c>
      <c r="AD288" s="486">
        <v>158802</v>
      </c>
      <c r="AE288" s="542">
        <v>166437</v>
      </c>
      <c r="AF288" s="640">
        <f t="shared" si="96"/>
        <v>378616</v>
      </c>
      <c r="AG288" s="640">
        <f t="shared" si="97"/>
        <v>420.68444444444447</v>
      </c>
      <c r="AH288" s="641">
        <f t="shared" si="98"/>
        <v>390745</v>
      </c>
      <c r="AI288" s="641">
        <f t="shared" si="99"/>
        <v>434.1611111111111</v>
      </c>
      <c r="AJ288" s="486"/>
      <c r="AK288" s="460"/>
      <c r="AL288" s="640">
        <f t="shared" si="100"/>
        <v>0</v>
      </c>
      <c r="AM288" s="641">
        <f t="shared" si="101"/>
        <v>0</v>
      </c>
      <c r="AN288" s="486"/>
      <c r="AO288" s="460"/>
      <c r="AP288" s="486"/>
      <c r="AQ288" s="460"/>
      <c r="AR288" s="486"/>
      <c r="AS288" s="460"/>
      <c r="AT288" s="486"/>
      <c r="AU288" s="460"/>
      <c r="AV288" s="640">
        <f t="shared" si="102"/>
        <v>0</v>
      </c>
      <c r="AW288" s="640">
        <f t="shared" si="103"/>
        <v>0</v>
      </c>
      <c r="AX288" s="641">
        <f t="shared" si="104"/>
        <v>0</v>
      </c>
      <c r="AY288" s="641">
        <f t="shared" si="105"/>
        <v>0</v>
      </c>
      <c r="AZ288" s="640">
        <f t="shared" si="106"/>
        <v>2206.8844444444444</v>
      </c>
      <c r="BA288" s="641">
        <f t="shared" si="107"/>
        <v>2150.7277777777776</v>
      </c>
      <c r="BB288" s="543"/>
      <c r="BC288" s="543"/>
    </row>
    <row r="289" spans="1:55" s="365" customFormat="1" ht="15" customHeight="1">
      <c r="A289" s="539" t="s">
        <v>239</v>
      </c>
      <c r="B289" s="540" t="s">
        <v>254</v>
      </c>
      <c r="C289" s="541"/>
      <c r="D289" s="631">
        <v>198330</v>
      </c>
      <c r="E289" s="502">
        <v>9</v>
      </c>
      <c r="F289" s="486"/>
      <c r="G289" s="460"/>
      <c r="H289" s="486"/>
      <c r="I289" s="460"/>
      <c r="J289" s="486">
        <v>37420</v>
      </c>
      <c r="K289" s="542">
        <v>34401</v>
      </c>
      <c r="L289" s="486">
        <v>14020</v>
      </c>
      <c r="M289" s="542">
        <v>13436</v>
      </c>
      <c r="N289" s="486">
        <v>36383</v>
      </c>
      <c r="O289" s="542">
        <v>35805</v>
      </c>
      <c r="P289" s="640">
        <f t="shared" si="90"/>
        <v>87823</v>
      </c>
      <c r="Q289" s="640">
        <f t="shared" si="91"/>
        <v>2927.4333333333334</v>
      </c>
      <c r="R289" s="641">
        <f t="shared" si="92"/>
        <v>83642</v>
      </c>
      <c r="S289" s="641">
        <f t="shared" si="93"/>
        <v>2788.0666666666666</v>
      </c>
      <c r="T289" s="486">
        <v>6965</v>
      </c>
      <c r="U289" s="542">
        <v>8619</v>
      </c>
      <c r="V289" s="640">
        <f t="shared" si="94"/>
        <v>87823</v>
      </c>
      <c r="W289" s="641">
        <f t="shared" si="95"/>
        <v>83642</v>
      </c>
      <c r="X289" s="486"/>
      <c r="Y289" s="501"/>
      <c r="Z289" s="486">
        <v>127907</v>
      </c>
      <c r="AA289" s="542">
        <v>133942</v>
      </c>
      <c r="AB289" s="486">
        <v>105324</v>
      </c>
      <c r="AC289" s="542">
        <v>123630</v>
      </c>
      <c r="AD289" s="486">
        <v>160242</v>
      </c>
      <c r="AE289" s="542">
        <v>169757</v>
      </c>
      <c r="AF289" s="640">
        <f t="shared" si="96"/>
        <v>393473</v>
      </c>
      <c r="AG289" s="640">
        <f t="shared" si="97"/>
        <v>437.1922222222222</v>
      </c>
      <c r="AH289" s="641">
        <f t="shared" si="98"/>
        <v>427329</v>
      </c>
      <c r="AI289" s="641">
        <f t="shared" si="99"/>
        <v>474.81</v>
      </c>
      <c r="AJ289" s="486"/>
      <c r="AK289" s="460"/>
      <c r="AL289" s="640">
        <f t="shared" si="100"/>
        <v>0</v>
      </c>
      <c r="AM289" s="641">
        <f t="shared" si="101"/>
        <v>0</v>
      </c>
      <c r="AN289" s="486"/>
      <c r="AO289" s="460"/>
      <c r="AP289" s="486"/>
      <c r="AQ289" s="460"/>
      <c r="AR289" s="486"/>
      <c r="AS289" s="460"/>
      <c r="AT289" s="486"/>
      <c r="AU289" s="460"/>
      <c r="AV289" s="640">
        <f t="shared" si="102"/>
        <v>0</v>
      </c>
      <c r="AW289" s="640">
        <f t="shared" si="103"/>
        <v>0</v>
      </c>
      <c r="AX289" s="641">
        <f t="shared" si="104"/>
        <v>0</v>
      </c>
      <c r="AY289" s="641">
        <f t="shared" si="105"/>
        <v>0</v>
      </c>
      <c r="AZ289" s="640">
        <f t="shared" si="106"/>
        <v>3364.6255555555554</v>
      </c>
      <c r="BA289" s="641">
        <f t="shared" si="107"/>
        <v>3262.8766666666666</v>
      </c>
      <c r="BB289" s="543"/>
      <c r="BC289" s="543"/>
    </row>
    <row r="290" spans="1:55" s="365" customFormat="1" ht="15" customHeight="1">
      <c r="A290" s="539" t="s">
        <v>239</v>
      </c>
      <c r="B290" s="540" t="s">
        <v>255</v>
      </c>
      <c r="C290" s="541"/>
      <c r="D290" s="631">
        <v>198367</v>
      </c>
      <c r="E290" s="502">
        <v>9</v>
      </c>
      <c r="F290" s="486"/>
      <c r="G290" s="460"/>
      <c r="H290" s="486"/>
      <c r="I290" s="460"/>
      <c r="J290" s="486">
        <v>25928</v>
      </c>
      <c r="K290" s="542">
        <v>22775</v>
      </c>
      <c r="L290" s="486">
        <v>7329</v>
      </c>
      <c r="M290" s="542">
        <v>6745</v>
      </c>
      <c r="N290" s="486">
        <v>25101</v>
      </c>
      <c r="O290" s="542">
        <v>23915</v>
      </c>
      <c r="P290" s="640">
        <f t="shared" si="90"/>
        <v>58358</v>
      </c>
      <c r="Q290" s="640">
        <f t="shared" si="91"/>
        <v>1945.2666666666667</v>
      </c>
      <c r="R290" s="641">
        <f t="shared" si="92"/>
        <v>53435</v>
      </c>
      <c r="S290" s="641">
        <f t="shared" si="93"/>
        <v>1781.1666666666667</v>
      </c>
      <c r="T290" s="486">
        <v>12139</v>
      </c>
      <c r="U290" s="542">
        <v>11415</v>
      </c>
      <c r="V290" s="640">
        <f t="shared" si="94"/>
        <v>58358</v>
      </c>
      <c r="W290" s="641">
        <f t="shared" si="95"/>
        <v>53435</v>
      </c>
      <c r="X290" s="486"/>
      <c r="Y290" s="501"/>
      <c r="Z290" s="486">
        <v>116163</v>
      </c>
      <c r="AA290" s="542">
        <v>104567</v>
      </c>
      <c r="AB290" s="486">
        <v>97566</v>
      </c>
      <c r="AC290" s="542">
        <v>93940</v>
      </c>
      <c r="AD290" s="486">
        <v>131897</v>
      </c>
      <c r="AE290" s="542">
        <v>149852</v>
      </c>
      <c r="AF290" s="640">
        <f t="shared" si="96"/>
        <v>345626</v>
      </c>
      <c r="AG290" s="640">
        <f t="shared" si="97"/>
        <v>384.0288888888889</v>
      </c>
      <c r="AH290" s="641">
        <f t="shared" si="98"/>
        <v>348359</v>
      </c>
      <c r="AI290" s="641">
        <f t="shared" si="99"/>
        <v>387.06555555555553</v>
      </c>
      <c r="AJ290" s="486"/>
      <c r="AK290" s="460"/>
      <c r="AL290" s="640">
        <f t="shared" si="100"/>
        <v>0</v>
      </c>
      <c r="AM290" s="641">
        <f t="shared" si="101"/>
        <v>0</v>
      </c>
      <c r="AN290" s="486"/>
      <c r="AO290" s="460"/>
      <c r="AP290" s="486"/>
      <c r="AQ290" s="460"/>
      <c r="AR290" s="486"/>
      <c r="AS290" s="460"/>
      <c r="AT290" s="486"/>
      <c r="AU290" s="460"/>
      <c r="AV290" s="640">
        <f t="shared" si="102"/>
        <v>0</v>
      </c>
      <c r="AW290" s="640">
        <f t="shared" si="103"/>
        <v>0</v>
      </c>
      <c r="AX290" s="641">
        <f t="shared" si="104"/>
        <v>0</v>
      </c>
      <c r="AY290" s="641">
        <f t="shared" si="105"/>
        <v>0</v>
      </c>
      <c r="AZ290" s="640">
        <f t="shared" si="106"/>
        <v>2329.2955555555554</v>
      </c>
      <c r="BA290" s="641">
        <f t="shared" si="107"/>
        <v>2168.2322222222224</v>
      </c>
      <c r="BB290" s="543"/>
      <c r="BC290" s="543"/>
    </row>
    <row r="291" spans="1:55" s="365" customFormat="1" ht="15" customHeight="1">
      <c r="A291" s="539" t="s">
        <v>239</v>
      </c>
      <c r="B291" s="540" t="s">
        <v>832</v>
      </c>
      <c r="C291" s="592" t="s">
        <v>913</v>
      </c>
      <c r="D291" s="631">
        <v>198376</v>
      </c>
      <c r="E291" s="502">
        <v>9</v>
      </c>
      <c r="F291" s="486"/>
      <c r="G291" s="460"/>
      <c r="H291" s="486"/>
      <c r="I291" s="460"/>
      <c r="J291" s="486">
        <v>32227</v>
      </c>
      <c r="K291" s="542">
        <v>64818</v>
      </c>
      <c r="L291" s="486">
        <v>7864</v>
      </c>
      <c r="M291" s="542">
        <v>15054</v>
      </c>
      <c r="N291" s="486">
        <v>36661</v>
      </c>
      <c r="O291" s="542">
        <v>70040</v>
      </c>
      <c r="P291" s="640">
        <f t="shared" si="90"/>
        <v>76752</v>
      </c>
      <c r="Q291" s="640">
        <f t="shared" si="91"/>
        <v>2558.4</v>
      </c>
      <c r="R291" s="641">
        <f t="shared" si="92"/>
        <v>149912</v>
      </c>
      <c r="S291" s="641">
        <f t="shared" si="93"/>
        <v>4997.0666666666666</v>
      </c>
      <c r="T291" s="486">
        <v>18473</v>
      </c>
      <c r="U291" s="542">
        <v>34830</v>
      </c>
      <c r="V291" s="640">
        <f t="shared" si="94"/>
        <v>76752</v>
      </c>
      <c r="W291" s="641">
        <f t="shared" si="95"/>
        <v>149912</v>
      </c>
      <c r="X291" s="486"/>
      <c r="Y291" s="501"/>
      <c r="Z291" s="486">
        <v>108232</v>
      </c>
      <c r="AA291" s="542">
        <v>300786</v>
      </c>
      <c r="AB291" s="486">
        <v>61383</v>
      </c>
      <c r="AC291" s="542">
        <v>164942</v>
      </c>
      <c r="AD291" s="486">
        <v>146469</v>
      </c>
      <c r="AE291" s="542">
        <v>322998</v>
      </c>
      <c r="AF291" s="640">
        <f t="shared" si="96"/>
        <v>316084</v>
      </c>
      <c r="AG291" s="640">
        <f t="shared" si="97"/>
        <v>351.20444444444445</v>
      </c>
      <c r="AH291" s="641">
        <f t="shared" si="98"/>
        <v>788726</v>
      </c>
      <c r="AI291" s="641">
        <f t="shared" si="99"/>
        <v>876.36222222222227</v>
      </c>
      <c r="AJ291" s="486"/>
      <c r="AK291" s="460"/>
      <c r="AL291" s="640">
        <f t="shared" si="100"/>
        <v>0</v>
      </c>
      <c r="AM291" s="641">
        <f t="shared" si="101"/>
        <v>0</v>
      </c>
      <c r="AN291" s="486"/>
      <c r="AO291" s="460"/>
      <c r="AP291" s="486"/>
      <c r="AQ291" s="460"/>
      <c r="AR291" s="486"/>
      <c r="AS291" s="460"/>
      <c r="AT291" s="486"/>
      <c r="AU291" s="460"/>
      <c r="AV291" s="640">
        <f t="shared" si="102"/>
        <v>0</v>
      </c>
      <c r="AW291" s="640">
        <f t="shared" si="103"/>
        <v>0</v>
      </c>
      <c r="AX291" s="641">
        <f t="shared" si="104"/>
        <v>0</v>
      </c>
      <c r="AY291" s="641">
        <f t="shared" si="105"/>
        <v>0</v>
      </c>
      <c r="AZ291" s="640">
        <f t="shared" si="106"/>
        <v>2909.6044444444447</v>
      </c>
      <c r="BA291" s="641">
        <f t="shared" si="107"/>
        <v>5873.4288888888887</v>
      </c>
      <c r="BB291" s="543"/>
      <c r="BC291" s="543"/>
    </row>
    <row r="292" spans="1:55" s="365" customFormat="1" ht="15" customHeight="1">
      <c r="A292" s="539" t="s">
        <v>239</v>
      </c>
      <c r="B292" s="540" t="s">
        <v>256</v>
      </c>
      <c r="C292" s="592"/>
      <c r="D292" s="631">
        <v>198455</v>
      </c>
      <c r="E292" s="502">
        <v>9</v>
      </c>
      <c r="F292" s="486"/>
      <c r="G292" s="460"/>
      <c r="H292" s="486"/>
      <c r="I292" s="460"/>
      <c r="J292" s="486">
        <v>46492</v>
      </c>
      <c r="K292" s="542">
        <v>42257</v>
      </c>
      <c r="L292" s="486">
        <v>14368</v>
      </c>
      <c r="M292" s="542">
        <v>14303</v>
      </c>
      <c r="N292" s="486">
        <v>45250</v>
      </c>
      <c r="O292" s="542">
        <v>39635</v>
      </c>
      <c r="P292" s="640">
        <f t="shared" si="90"/>
        <v>106110</v>
      </c>
      <c r="Q292" s="640">
        <f t="shared" si="91"/>
        <v>3537</v>
      </c>
      <c r="R292" s="641">
        <f t="shared" si="92"/>
        <v>96195</v>
      </c>
      <c r="S292" s="641">
        <f t="shared" si="93"/>
        <v>3206.5</v>
      </c>
      <c r="T292" s="486">
        <v>13275</v>
      </c>
      <c r="U292" s="542">
        <v>11992</v>
      </c>
      <c r="V292" s="640">
        <f t="shared" si="94"/>
        <v>106110</v>
      </c>
      <c r="W292" s="641">
        <f t="shared" si="95"/>
        <v>96195</v>
      </c>
      <c r="X292" s="486"/>
      <c r="Y292" s="501"/>
      <c r="Z292" s="486">
        <v>162693</v>
      </c>
      <c r="AA292" s="542">
        <v>158219</v>
      </c>
      <c r="AB292" s="486">
        <v>69115</v>
      </c>
      <c r="AC292" s="542">
        <v>136594</v>
      </c>
      <c r="AD292" s="486">
        <v>174799</v>
      </c>
      <c r="AE292" s="542">
        <v>226329</v>
      </c>
      <c r="AF292" s="640">
        <f t="shared" si="96"/>
        <v>406607</v>
      </c>
      <c r="AG292" s="640">
        <f t="shared" si="97"/>
        <v>451.78555555555556</v>
      </c>
      <c r="AH292" s="641">
        <f t="shared" si="98"/>
        <v>521142</v>
      </c>
      <c r="AI292" s="641">
        <f t="shared" si="99"/>
        <v>579.04666666666662</v>
      </c>
      <c r="AJ292" s="486"/>
      <c r="AK292" s="460"/>
      <c r="AL292" s="640">
        <f t="shared" si="100"/>
        <v>0</v>
      </c>
      <c r="AM292" s="641">
        <f t="shared" si="101"/>
        <v>0</v>
      </c>
      <c r="AN292" s="486"/>
      <c r="AO292" s="460"/>
      <c r="AP292" s="486"/>
      <c r="AQ292" s="460"/>
      <c r="AR292" s="486"/>
      <c r="AS292" s="460"/>
      <c r="AT292" s="486"/>
      <c r="AU292" s="460"/>
      <c r="AV292" s="640">
        <f t="shared" si="102"/>
        <v>0</v>
      </c>
      <c r="AW292" s="640">
        <f t="shared" si="103"/>
        <v>0</v>
      </c>
      <c r="AX292" s="641">
        <f t="shared" si="104"/>
        <v>0</v>
      </c>
      <c r="AY292" s="641">
        <f t="shared" si="105"/>
        <v>0</v>
      </c>
      <c r="AZ292" s="640">
        <f t="shared" si="106"/>
        <v>3988.7855555555557</v>
      </c>
      <c r="BA292" s="641">
        <f t="shared" si="107"/>
        <v>3785.5466666666666</v>
      </c>
      <c r="BB292" s="543"/>
      <c r="BC292" s="543"/>
    </row>
    <row r="293" spans="1:55" s="365" customFormat="1" ht="15" customHeight="1">
      <c r="A293" s="539" t="s">
        <v>239</v>
      </c>
      <c r="B293" s="540" t="s">
        <v>258</v>
      </c>
      <c r="C293" s="592"/>
      <c r="D293" s="631">
        <v>198570</v>
      </c>
      <c r="E293" s="502">
        <v>9</v>
      </c>
      <c r="F293" s="486"/>
      <c r="G293" s="460"/>
      <c r="H293" s="486"/>
      <c r="I293" s="460"/>
      <c r="J293" s="486">
        <v>44501</v>
      </c>
      <c r="K293" s="542">
        <v>41511</v>
      </c>
      <c r="L293" s="486">
        <v>16117</v>
      </c>
      <c r="M293" s="542">
        <v>15147</v>
      </c>
      <c r="N293" s="486">
        <v>45980</v>
      </c>
      <c r="O293" s="542">
        <v>44038</v>
      </c>
      <c r="P293" s="640">
        <f t="shared" si="90"/>
        <v>106598</v>
      </c>
      <c r="Q293" s="640">
        <f t="shared" si="91"/>
        <v>3553.2666666666669</v>
      </c>
      <c r="R293" s="641">
        <f t="shared" si="92"/>
        <v>100696</v>
      </c>
      <c r="S293" s="641">
        <f t="shared" si="93"/>
        <v>3356.5333333333333</v>
      </c>
      <c r="T293" s="486">
        <v>22994</v>
      </c>
      <c r="U293" s="542">
        <v>25533</v>
      </c>
      <c r="V293" s="640">
        <f t="shared" si="94"/>
        <v>106598</v>
      </c>
      <c r="W293" s="641">
        <f t="shared" si="95"/>
        <v>100696</v>
      </c>
      <c r="X293" s="486"/>
      <c r="Y293" s="501"/>
      <c r="Z293" s="486">
        <v>104423</v>
      </c>
      <c r="AA293" s="542">
        <v>87156</v>
      </c>
      <c r="AB293" s="486">
        <v>60308</v>
      </c>
      <c r="AC293" s="542">
        <v>92033</v>
      </c>
      <c r="AD293" s="486">
        <v>105440</v>
      </c>
      <c r="AE293" s="542">
        <v>134689</v>
      </c>
      <c r="AF293" s="640">
        <f t="shared" si="96"/>
        <v>270171</v>
      </c>
      <c r="AG293" s="640">
        <f t="shared" si="97"/>
        <v>300.19</v>
      </c>
      <c r="AH293" s="641">
        <f t="shared" si="98"/>
        <v>313878</v>
      </c>
      <c r="AI293" s="641">
        <f t="shared" si="99"/>
        <v>348.75333333333333</v>
      </c>
      <c r="AJ293" s="486"/>
      <c r="AK293" s="460"/>
      <c r="AL293" s="640">
        <f t="shared" si="100"/>
        <v>0</v>
      </c>
      <c r="AM293" s="641">
        <f t="shared" si="101"/>
        <v>0</v>
      </c>
      <c r="AN293" s="486"/>
      <c r="AO293" s="460"/>
      <c r="AP293" s="486"/>
      <c r="AQ293" s="460"/>
      <c r="AR293" s="486"/>
      <c r="AS293" s="460"/>
      <c r="AT293" s="486"/>
      <c r="AU293" s="460"/>
      <c r="AV293" s="640">
        <f t="shared" si="102"/>
        <v>0</v>
      </c>
      <c r="AW293" s="640">
        <f t="shared" si="103"/>
        <v>0</v>
      </c>
      <c r="AX293" s="641">
        <f t="shared" si="104"/>
        <v>0</v>
      </c>
      <c r="AY293" s="641">
        <f t="shared" si="105"/>
        <v>0</v>
      </c>
      <c r="AZ293" s="640">
        <f t="shared" si="106"/>
        <v>3853.4566666666669</v>
      </c>
      <c r="BA293" s="641">
        <f t="shared" si="107"/>
        <v>3705.2866666666669</v>
      </c>
      <c r="BB293" s="543"/>
      <c r="BC293" s="543"/>
    </row>
    <row r="294" spans="1:55" s="365" customFormat="1" ht="15" customHeight="1">
      <c r="A294" s="539" t="s">
        <v>239</v>
      </c>
      <c r="B294" s="540" t="s">
        <v>259</v>
      </c>
      <c r="C294" s="592"/>
      <c r="D294" s="631">
        <v>198774</v>
      </c>
      <c r="E294" s="502">
        <v>9</v>
      </c>
      <c r="F294" s="486"/>
      <c r="G294" s="460"/>
      <c r="H294" s="486"/>
      <c r="I294" s="460"/>
      <c r="J294" s="486">
        <v>36885</v>
      </c>
      <c r="K294" s="542">
        <v>35590</v>
      </c>
      <c r="L294" s="486">
        <v>9470</v>
      </c>
      <c r="M294" s="542">
        <v>9000</v>
      </c>
      <c r="N294" s="486">
        <v>39730</v>
      </c>
      <c r="O294" s="542">
        <v>36127</v>
      </c>
      <c r="P294" s="640">
        <f t="shared" si="90"/>
        <v>86085</v>
      </c>
      <c r="Q294" s="640">
        <f t="shared" si="91"/>
        <v>2869.5</v>
      </c>
      <c r="R294" s="641">
        <f t="shared" si="92"/>
        <v>80717</v>
      </c>
      <c r="S294" s="641">
        <f t="shared" si="93"/>
        <v>2690.5666666666666</v>
      </c>
      <c r="T294" s="486">
        <v>19723</v>
      </c>
      <c r="U294" s="542">
        <v>19314</v>
      </c>
      <c r="V294" s="640">
        <f t="shared" si="94"/>
        <v>86085</v>
      </c>
      <c r="W294" s="641">
        <f t="shared" si="95"/>
        <v>80717</v>
      </c>
      <c r="X294" s="486"/>
      <c r="Y294" s="501"/>
      <c r="Z294" s="486">
        <v>97894</v>
      </c>
      <c r="AA294" s="542">
        <v>142211</v>
      </c>
      <c r="AB294" s="486">
        <v>112156</v>
      </c>
      <c r="AC294" s="542">
        <v>86072</v>
      </c>
      <c r="AD294" s="486">
        <v>142881</v>
      </c>
      <c r="AE294" s="542">
        <v>157901</v>
      </c>
      <c r="AF294" s="640">
        <f t="shared" si="96"/>
        <v>352931</v>
      </c>
      <c r="AG294" s="640">
        <f t="shared" si="97"/>
        <v>392.14555555555557</v>
      </c>
      <c r="AH294" s="641">
        <f t="shared" si="98"/>
        <v>386184</v>
      </c>
      <c r="AI294" s="641">
        <f t="shared" si="99"/>
        <v>429.09333333333331</v>
      </c>
      <c r="AJ294" s="486"/>
      <c r="AK294" s="460"/>
      <c r="AL294" s="640">
        <f t="shared" si="100"/>
        <v>0</v>
      </c>
      <c r="AM294" s="641">
        <f t="shared" si="101"/>
        <v>0</v>
      </c>
      <c r="AN294" s="486"/>
      <c r="AO294" s="460"/>
      <c r="AP294" s="486"/>
      <c r="AQ294" s="460"/>
      <c r="AR294" s="486"/>
      <c r="AS294" s="460"/>
      <c r="AT294" s="486"/>
      <c r="AU294" s="460"/>
      <c r="AV294" s="640">
        <f t="shared" si="102"/>
        <v>0</v>
      </c>
      <c r="AW294" s="640">
        <f t="shared" si="103"/>
        <v>0</v>
      </c>
      <c r="AX294" s="641">
        <f t="shared" si="104"/>
        <v>0</v>
      </c>
      <c r="AY294" s="641">
        <f t="shared" si="105"/>
        <v>0</v>
      </c>
      <c r="AZ294" s="640">
        <f t="shared" si="106"/>
        <v>3261.6455555555558</v>
      </c>
      <c r="BA294" s="641">
        <f t="shared" si="107"/>
        <v>3119.66</v>
      </c>
      <c r="BB294" s="543"/>
      <c r="BC294" s="543"/>
    </row>
    <row r="295" spans="1:55" s="365" customFormat="1" ht="15" customHeight="1">
      <c r="A295" s="539" t="s">
        <v>239</v>
      </c>
      <c r="B295" s="540" t="s">
        <v>260</v>
      </c>
      <c r="C295" s="592"/>
      <c r="D295" s="631">
        <v>198817</v>
      </c>
      <c r="E295" s="502">
        <v>9</v>
      </c>
      <c r="F295" s="486"/>
      <c r="G295" s="460"/>
      <c r="H295" s="486"/>
      <c r="I295" s="460"/>
      <c r="J295" s="486">
        <v>21263</v>
      </c>
      <c r="K295" s="542">
        <v>19500</v>
      </c>
      <c r="L295" s="486">
        <v>6856</v>
      </c>
      <c r="M295" s="542">
        <v>6193</v>
      </c>
      <c r="N295" s="486">
        <v>23172</v>
      </c>
      <c r="O295" s="542">
        <v>22935</v>
      </c>
      <c r="P295" s="640">
        <f t="shared" si="90"/>
        <v>51291</v>
      </c>
      <c r="Q295" s="640">
        <f t="shared" si="91"/>
        <v>1709.7</v>
      </c>
      <c r="R295" s="641">
        <f t="shared" si="92"/>
        <v>48628</v>
      </c>
      <c r="S295" s="641">
        <f t="shared" si="93"/>
        <v>1620.9333333333334</v>
      </c>
      <c r="T295" s="486">
        <v>13474</v>
      </c>
      <c r="U295" s="542">
        <v>12238</v>
      </c>
      <c r="V295" s="640">
        <f t="shared" si="94"/>
        <v>51291</v>
      </c>
      <c r="W295" s="641">
        <f t="shared" si="95"/>
        <v>48628</v>
      </c>
      <c r="X295" s="486"/>
      <c r="Y295" s="501"/>
      <c r="Z295" s="486">
        <v>469211</v>
      </c>
      <c r="AA295" s="542">
        <v>383729</v>
      </c>
      <c r="AB295" s="486">
        <v>199905</v>
      </c>
      <c r="AC295" s="542">
        <v>223366</v>
      </c>
      <c r="AD295" s="486">
        <v>383076</v>
      </c>
      <c r="AE295" s="542">
        <v>425898</v>
      </c>
      <c r="AF295" s="640">
        <f t="shared" si="96"/>
        <v>1052192</v>
      </c>
      <c r="AG295" s="640">
        <f t="shared" si="97"/>
        <v>1169.1022222222223</v>
      </c>
      <c r="AH295" s="641">
        <f t="shared" si="98"/>
        <v>1032993</v>
      </c>
      <c r="AI295" s="641">
        <f t="shared" si="99"/>
        <v>1147.77</v>
      </c>
      <c r="AJ295" s="486"/>
      <c r="AK295" s="460"/>
      <c r="AL295" s="640">
        <f t="shared" si="100"/>
        <v>0</v>
      </c>
      <c r="AM295" s="641">
        <f t="shared" si="101"/>
        <v>0</v>
      </c>
      <c r="AN295" s="486"/>
      <c r="AO295" s="460"/>
      <c r="AP295" s="486"/>
      <c r="AQ295" s="460"/>
      <c r="AR295" s="486"/>
      <c r="AS295" s="460"/>
      <c r="AT295" s="486"/>
      <c r="AU295" s="460"/>
      <c r="AV295" s="640">
        <f t="shared" si="102"/>
        <v>0</v>
      </c>
      <c r="AW295" s="640">
        <f t="shared" si="103"/>
        <v>0</v>
      </c>
      <c r="AX295" s="641">
        <f t="shared" si="104"/>
        <v>0</v>
      </c>
      <c r="AY295" s="641">
        <f t="shared" si="105"/>
        <v>0</v>
      </c>
      <c r="AZ295" s="640">
        <f t="shared" si="106"/>
        <v>2878.8022222222226</v>
      </c>
      <c r="BA295" s="641">
        <f t="shared" si="107"/>
        <v>2768.7033333333334</v>
      </c>
      <c r="BB295" s="543"/>
      <c r="BC295" s="543"/>
    </row>
    <row r="296" spans="1:55" s="365" customFormat="1" ht="15" customHeight="1">
      <c r="A296" s="539" t="s">
        <v>239</v>
      </c>
      <c r="B296" s="540" t="s">
        <v>261</v>
      </c>
      <c r="C296" s="592"/>
      <c r="D296" s="631">
        <v>198987</v>
      </c>
      <c r="E296" s="502">
        <v>9</v>
      </c>
      <c r="F296" s="486"/>
      <c r="G296" s="460"/>
      <c r="H296" s="486"/>
      <c r="I296" s="460"/>
      <c r="J296" s="486">
        <v>25868</v>
      </c>
      <c r="K296" s="542">
        <v>24617.200000000001</v>
      </c>
      <c r="L296" s="486">
        <v>6864</v>
      </c>
      <c r="M296" s="542">
        <v>6027</v>
      </c>
      <c r="N296" s="486">
        <v>27460.799999999999</v>
      </c>
      <c r="O296" s="542">
        <v>27090</v>
      </c>
      <c r="P296" s="640">
        <f t="shared" si="90"/>
        <v>60192.800000000003</v>
      </c>
      <c r="Q296" s="640">
        <f t="shared" si="91"/>
        <v>2006.4266666666667</v>
      </c>
      <c r="R296" s="641">
        <f t="shared" si="92"/>
        <v>57734.2</v>
      </c>
      <c r="S296" s="641">
        <f t="shared" si="93"/>
        <v>1924.4733333333331</v>
      </c>
      <c r="T296" s="486">
        <v>15931</v>
      </c>
      <c r="U296" s="542">
        <v>16736</v>
      </c>
      <c r="V296" s="640">
        <f t="shared" si="94"/>
        <v>60192.800000000003</v>
      </c>
      <c r="W296" s="641">
        <f t="shared" si="95"/>
        <v>57734.2</v>
      </c>
      <c r="X296" s="486"/>
      <c r="Y296" s="501"/>
      <c r="Z296" s="486">
        <v>45508</v>
      </c>
      <c r="AA296" s="542">
        <v>77924</v>
      </c>
      <c r="AB296" s="486">
        <v>61352</v>
      </c>
      <c r="AC296" s="542">
        <v>77569</v>
      </c>
      <c r="AD296" s="486">
        <v>116334</v>
      </c>
      <c r="AE296" s="542">
        <v>130299</v>
      </c>
      <c r="AF296" s="640">
        <f t="shared" si="96"/>
        <v>223194</v>
      </c>
      <c r="AG296" s="640">
        <f t="shared" si="97"/>
        <v>247.99333333333334</v>
      </c>
      <c r="AH296" s="641">
        <f t="shared" si="98"/>
        <v>285792</v>
      </c>
      <c r="AI296" s="641">
        <f t="shared" si="99"/>
        <v>317.54666666666668</v>
      </c>
      <c r="AJ296" s="486"/>
      <c r="AK296" s="460"/>
      <c r="AL296" s="640">
        <f t="shared" si="100"/>
        <v>0</v>
      </c>
      <c r="AM296" s="641">
        <f t="shared" si="101"/>
        <v>0</v>
      </c>
      <c r="AN296" s="486"/>
      <c r="AO296" s="460"/>
      <c r="AP296" s="486"/>
      <c r="AQ296" s="460"/>
      <c r="AR296" s="486"/>
      <c r="AS296" s="460"/>
      <c r="AT296" s="486"/>
      <c r="AU296" s="460"/>
      <c r="AV296" s="640">
        <f t="shared" si="102"/>
        <v>0</v>
      </c>
      <c r="AW296" s="640">
        <f t="shared" si="103"/>
        <v>0</v>
      </c>
      <c r="AX296" s="641">
        <f t="shared" si="104"/>
        <v>0</v>
      </c>
      <c r="AY296" s="641">
        <f t="shared" si="105"/>
        <v>0</v>
      </c>
      <c r="AZ296" s="640">
        <f t="shared" si="106"/>
        <v>2254.42</v>
      </c>
      <c r="BA296" s="641">
        <f t="shared" si="107"/>
        <v>2242.02</v>
      </c>
      <c r="BB296" s="543"/>
      <c r="BC296" s="543"/>
    </row>
    <row r="297" spans="1:55" s="365" customFormat="1" ht="15" customHeight="1">
      <c r="A297" s="539" t="s">
        <v>239</v>
      </c>
      <c r="B297" s="540" t="s">
        <v>262</v>
      </c>
      <c r="C297" s="592"/>
      <c r="D297" s="631">
        <v>199087</v>
      </c>
      <c r="E297" s="502">
        <v>9</v>
      </c>
      <c r="F297" s="486"/>
      <c r="G297" s="460"/>
      <c r="H297" s="486"/>
      <c r="I297" s="460"/>
      <c r="J297" s="486">
        <v>26628</v>
      </c>
      <c r="K297" s="542">
        <v>22204</v>
      </c>
      <c r="L297" s="486">
        <v>5772</v>
      </c>
      <c r="M297" s="542">
        <v>6039</v>
      </c>
      <c r="N297" s="486">
        <v>23633</v>
      </c>
      <c r="O297" s="542">
        <v>23953</v>
      </c>
      <c r="P297" s="640">
        <f t="shared" si="90"/>
        <v>56033</v>
      </c>
      <c r="Q297" s="640">
        <f t="shared" si="91"/>
        <v>1867.7666666666667</v>
      </c>
      <c r="R297" s="641">
        <f t="shared" si="92"/>
        <v>52196</v>
      </c>
      <c r="S297" s="641">
        <f t="shared" si="93"/>
        <v>1739.8666666666666</v>
      </c>
      <c r="T297" s="486">
        <v>12109</v>
      </c>
      <c r="U297" s="542">
        <v>12404</v>
      </c>
      <c r="V297" s="640">
        <f t="shared" si="94"/>
        <v>56033</v>
      </c>
      <c r="W297" s="641">
        <f t="shared" si="95"/>
        <v>52196</v>
      </c>
      <c r="X297" s="486"/>
      <c r="Y297" s="501"/>
      <c r="Z297" s="486">
        <v>88034</v>
      </c>
      <c r="AA297" s="542">
        <v>95755</v>
      </c>
      <c r="AB297" s="486">
        <v>68974</v>
      </c>
      <c r="AC297" s="542">
        <v>66395</v>
      </c>
      <c r="AD297" s="486">
        <v>94224</v>
      </c>
      <c r="AE297" s="542">
        <v>112444</v>
      </c>
      <c r="AF297" s="640">
        <f t="shared" si="96"/>
        <v>251232</v>
      </c>
      <c r="AG297" s="640">
        <f t="shared" si="97"/>
        <v>279.14666666666665</v>
      </c>
      <c r="AH297" s="641">
        <f t="shared" si="98"/>
        <v>274594</v>
      </c>
      <c r="AI297" s="641">
        <f t="shared" si="99"/>
        <v>305.10444444444443</v>
      </c>
      <c r="AJ297" s="486"/>
      <c r="AK297" s="460"/>
      <c r="AL297" s="640">
        <f t="shared" si="100"/>
        <v>0</v>
      </c>
      <c r="AM297" s="641">
        <f t="shared" si="101"/>
        <v>0</v>
      </c>
      <c r="AN297" s="486"/>
      <c r="AO297" s="460"/>
      <c r="AP297" s="486"/>
      <c r="AQ297" s="460"/>
      <c r="AR297" s="486"/>
      <c r="AS297" s="460"/>
      <c r="AT297" s="486"/>
      <c r="AU297" s="460"/>
      <c r="AV297" s="640">
        <f t="shared" si="102"/>
        <v>0</v>
      </c>
      <c r="AW297" s="640">
        <f t="shared" si="103"/>
        <v>0</v>
      </c>
      <c r="AX297" s="641">
        <f t="shared" si="104"/>
        <v>0</v>
      </c>
      <c r="AY297" s="641">
        <f t="shared" si="105"/>
        <v>0</v>
      </c>
      <c r="AZ297" s="640">
        <f t="shared" si="106"/>
        <v>2146.9133333333334</v>
      </c>
      <c r="BA297" s="641">
        <f t="shared" si="107"/>
        <v>2044.971111111111</v>
      </c>
      <c r="BB297" s="543"/>
      <c r="BC297" s="543"/>
    </row>
    <row r="298" spans="1:55" s="365" customFormat="1" ht="15" customHeight="1">
      <c r="A298" s="539" t="s">
        <v>239</v>
      </c>
      <c r="B298" s="540" t="s">
        <v>263</v>
      </c>
      <c r="C298" s="592" t="s">
        <v>911</v>
      </c>
      <c r="D298" s="631">
        <v>199421</v>
      </c>
      <c r="E298" s="502">
        <v>9</v>
      </c>
      <c r="F298" s="486"/>
      <c r="G298" s="460"/>
      <c r="H298" s="486"/>
      <c r="I298" s="460"/>
      <c r="J298" s="486">
        <v>24067</v>
      </c>
      <c r="K298" s="542">
        <v>21408</v>
      </c>
      <c r="L298" s="486">
        <v>5759</v>
      </c>
      <c r="M298" s="542">
        <v>5250.6</v>
      </c>
      <c r="N298" s="486">
        <v>23317</v>
      </c>
      <c r="O298" s="542">
        <v>21088.1</v>
      </c>
      <c r="P298" s="640">
        <f t="shared" si="90"/>
        <v>53143</v>
      </c>
      <c r="Q298" s="640">
        <f t="shared" si="91"/>
        <v>1771.4333333333334</v>
      </c>
      <c r="R298" s="641">
        <f t="shared" si="92"/>
        <v>47746.7</v>
      </c>
      <c r="S298" s="641">
        <f t="shared" si="93"/>
        <v>1591.5566666666666</v>
      </c>
      <c r="T298" s="486">
        <v>15007</v>
      </c>
      <c r="U298" s="542">
        <v>12892.1</v>
      </c>
      <c r="V298" s="640">
        <f t="shared" si="94"/>
        <v>53143</v>
      </c>
      <c r="W298" s="641">
        <f t="shared" si="95"/>
        <v>47746.7</v>
      </c>
      <c r="X298" s="486"/>
      <c r="Y298" s="501"/>
      <c r="Z298" s="486">
        <v>119407</v>
      </c>
      <c r="AA298" s="542">
        <v>126282</v>
      </c>
      <c r="AB298" s="486">
        <v>67788</v>
      </c>
      <c r="AC298" s="542">
        <v>63310</v>
      </c>
      <c r="AD298" s="486">
        <v>135564</v>
      </c>
      <c r="AE298" s="542">
        <v>141600</v>
      </c>
      <c r="AF298" s="640">
        <f t="shared" si="96"/>
        <v>322759</v>
      </c>
      <c r="AG298" s="640">
        <f t="shared" si="97"/>
        <v>358.62111111111113</v>
      </c>
      <c r="AH298" s="641">
        <f t="shared" si="98"/>
        <v>331192</v>
      </c>
      <c r="AI298" s="641">
        <f t="shared" si="99"/>
        <v>367.99111111111114</v>
      </c>
      <c r="AJ298" s="486"/>
      <c r="AK298" s="460"/>
      <c r="AL298" s="640">
        <f t="shared" si="100"/>
        <v>0</v>
      </c>
      <c r="AM298" s="641">
        <f t="shared" si="101"/>
        <v>0</v>
      </c>
      <c r="AN298" s="486"/>
      <c r="AO298" s="460"/>
      <c r="AP298" s="486"/>
      <c r="AQ298" s="460"/>
      <c r="AR298" s="486"/>
      <c r="AS298" s="460"/>
      <c r="AT298" s="486"/>
      <c r="AU298" s="460"/>
      <c r="AV298" s="640">
        <f t="shared" si="102"/>
        <v>0</v>
      </c>
      <c r="AW298" s="640">
        <f t="shared" si="103"/>
        <v>0</v>
      </c>
      <c r="AX298" s="641">
        <f t="shared" si="104"/>
        <v>0</v>
      </c>
      <c r="AY298" s="641">
        <f t="shared" si="105"/>
        <v>0</v>
      </c>
      <c r="AZ298" s="640">
        <f t="shared" si="106"/>
        <v>2130.0544444444445</v>
      </c>
      <c r="BA298" s="641">
        <f t="shared" si="107"/>
        <v>1959.5477777777778</v>
      </c>
      <c r="BB298" s="543"/>
      <c r="BC298" s="543"/>
    </row>
    <row r="299" spans="1:55" s="365" customFormat="1" ht="15" customHeight="1">
      <c r="A299" s="539" t="s">
        <v>239</v>
      </c>
      <c r="B299" s="540" t="s">
        <v>264</v>
      </c>
      <c r="C299" s="592" t="s">
        <v>911</v>
      </c>
      <c r="D299" s="631">
        <v>199449</v>
      </c>
      <c r="E299" s="502">
        <v>9</v>
      </c>
      <c r="F299" s="486"/>
      <c r="G299" s="460"/>
      <c r="H299" s="486"/>
      <c r="I299" s="460"/>
      <c r="J299" s="486">
        <v>21215.5</v>
      </c>
      <c r="K299" s="542">
        <v>19976</v>
      </c>
      <c r="L299" s="486">
        <v>5658</v>
      </c>
      <c r="M299" s="542">
        <v>5453</v>
      </c>
      <c r="N299" s="486">
        <v>21125</v>
      </c>
      <c r="O299" s="542">
        <v>20030</v>
      </c>
      <c r="P299" s="640">
        <f t="shared" si="90"/>
        <v>47998.5</v>
      </c>
      <c r="Q299" s="640">
        <f t="shared" si="91"/>
        <v>1599.95</v>
      </c>
      <c r="R299" s="641">
        <f t="shared" si="92"/>
        <v>45459</v>
      </c>
      <c r="S299" s="641">
        <f t="shared" si="93"/>
        <v>1515.3</v>
      </c>
      <c r="T299" s="486">
        <v>14377.5</v>
      </c>
      <c r="U299" s="542">
        <v>13813</v>
      </c>
      <c r="V299" s="640">
        <f t="shared" si="94"/>
        <v>47998.5</v>
      </c>
      <c r="W299" s="641">
        <f t="shared" si="95"/>
        <v>45459</v>
      </c>
      <c r="X299" s="486"/>
      <c r="Y299" s="501"/>
      <c r="Z299" s="486">
        <v>149337</v>
      </c>
      <c r="AA299" s="542">
        <v>87573</v>
      </c>
      <c r="AB299" s="486">
        <v>73004</v>
      </c>
      <c r="AC299" s="542">
        <v>144062</v>
      </c>
      <c r="AD299" s="486">
        <v>156330</v>
      </c>
      <c r="AE299" s="542">
        <v>157661</v>
      </c>
      <c r="AF299" s="640">
        <f t="shared" si="96"/>
        <v>378671</v>
      </c>
      <c r="AG299" s="640">
        <f t="shared" si="97"/>
        <v>420.74555555555554</v>
      </c>
      <c r="AH299" s="641">
        <f t="shared" si="98"/>
        <v>389296</v>
      </c>
      <c r="AI299" s="641">
        <f t="shared" si="99"/>
        <v>432.55111111111108</v>
      </c>
      <c r="AJ299" s="486"/>
      <c r="AK299" s="460"/>
      <c r="AL299" s="640">
        <f t="shared" si="100"/>
        <v>0</v>
      </c>
      <c r="AM299" s="641">
        <f t="shared" si="101"/>
        <v>0</v>
      </c>
      <c r="AN299" s="486"/>
      <c r="AO299" s="460"/>
      <c r="AP299" s="486"/>
      <c r="AQ299" s="460"/>
      <c r="AR299" s="486"/>
      <c r="AS299" s="460"/>
      <c r="AT299" s="486"/>
      <c r="AU299" s="460"/>
      <c r="AV299" s="640">
        <f t="shared" si="102"/>
        <v>0</v>
      </c>
      <c r="AW299" s="640">
        <f t="shared" si="103"/>
        <v>0</v>
      </c>
      <c r="AX299" s="641">
        <f t="shared" si="104"/>
        <v>0</v>
      </c>
      <c r="AY299" s="641">
        <f t="shared" si="105"/>
        <v>0</v>
      </c>
      <c r="AZ299" s="640">
        <f t="shared" si="106"/>
        <v>2020.6955555555555</v>
      </c>
      <c r="BA299" s="641">
        <f t="shared" si="107"/>
        <v>1947.8511111111111</v>
      </c>
      <c r="BB299" s="543"/>
      <c r="BC299" s="543"/>
    </row>
    <row r="300" spans="1:55" s="365" customFormat="1" ht="15" customHeight="1">
      <c r="A300" s="539" t="s">
        <v>239</v>
      </c>
      <c r="B300" s="540" t="s">
        <v>266</v>
      </c>
      <c r="C300" s="592"/>
      <c r="D300" s="631">
        <v>199634</v>
      </c>
      <c r="E300" s="502">
        <v>9</v>
      </c>
      <c r="F300" s="486"/>
      <c r="G300" s="460"/>
      <c r="H300" s="486"/>
      <c r="I300" s="460"/>
      <c r="J300" s="486">
        <v>36297</v>
      </c>
      <c r="K300" s="542">
        <v>33035</v>
      </c>
      <c r="L300" s="486">
        <v>11379</v>
      </c>
      <c r="M300" s="542">
        <v>10293</v>
      </c>
      <c r="N300" s="486">
        <v>35549</v>
      </c>
      <c r="O300" s="542">
        <v>34655</v>
      </c>
      <c r="P300" s="640">
        <f t="shared" si="90"/>
        <v>83225</v>
      </c>
      <c r="Q300" s="640">
        <f t="shared" si="91"/>
        <v>2774.1666666666665</v>
      </c>
      <c r="R300" s="641">
        <f t="shared" si="92"/>
        <v>77983</v>
      </c>
      <c r="S300" s="641">
        <f t="shared" si="93"/>
        <v>2599.4333333333334</v>
      </c>
      <c r="T300" s="486">
        <v>17868</v>
      </c>
      <c r="U300" s="542">
        <v>16260</v>
      </c>
      <c r="V300" s="640">
        <f t="shared" si="94"/>
        <v>83225</v>
      </c>
      <c r="W300" s="641">
        <f t="shared" si="95"/>
        <v>77983</v>
      </c>
      <c r="X300" s="486"/>
      <c r="Y300" s="501"/>
      <c r="Z300" s="486">
        <v>124591</v>
      </c>
      <c r="AA300" s="542">
        <v>112824</v>
      </c>
      <c r="AB300" s="486">
        <v>75037</v>
      </c>
      <c r="AC300" s="542">
        <v>92242</v>
      </c>
      <c r="AD300" s="486">
        <v>122591</v>
      </c>
      <c r="AE300" s="542">
        <v>143854</v>
      </c>
      <c r="AF300" s="640">
        <f t="shared" si="96"/>
        <v>322219</v>
      </c>
      <c r="AG300" s="640">
        <f t="shared" si="97"/>
        <v>358.02111111111111</v>
      </c>
      <c r="AH300" s="641">
        <f t="shared" si="98"/>
        <v>348920</v>
      </c>
      <c r="AI300" s="641">
        <f t="shared" si="99"/>
        <v>387.68888888888887</v>
      </c>
      <c r="AJ300" s="486"/>
      <c r="AK300" s="460"/>
      <c r="AL300" s="640">
        <f t="shared" si="100"/>
        <v>0</v>
      </c>
      <c r="AM300" s="641">
        <f t="shared" si="101"/>
        <v>0</v>
      </c>
      <c r="AN300" s="486"/>
      <c r="AO300" s="460"/>
      <c r="AP300" s="486"/>
      <c r="AQ300" s="460"/>
      <c r="AR300" s="486"/>
      <c r="AS300" s="460"/>
      <c r="AT300" s="486"/>
      <c r="AU300" s="460"/>
      <c r="AV300" s="640">
        <f t="shared" si="102"/>
        <v>0</v>
      </c>
      <c r="AW300" s="640">
        <f t="shared" si="103"/>
        <v>0</v>
      </c>
      <c r="AX300" s="641">
        <f t="shared" si="104"/>
        <v>0</v>
      </c>
      <c r="AY300" s="641">
        <f t="shared" si="105"/>
        <v>0</v>
      </c>
      <c r="AZ300" s="640">
        <f t="shared" si="106"/>
        <v>3132.1877777777777</v>
      </c>
      <c r="BA300" s="641">
        <f t="shared" si="107"/>
        <v>2987.1222222222223</v>
      </c>
      <c r="BB300" s="543"/>
      <c r="BC300" s="543"/>
    </row>
    <row r="301" spans="1:55" s="365" customFormat="1" ht="15" customHeight="1">
      <c r="A301" s="539" t="s">
        <v>239</v>
      </c>
      <c r="B301" s="540" t="s">
        <v>291</v>
      </c>
      <c r="C301" s="592"/>
      <c r="D301" s="631">
        <v>197850</v>
      </c>
      <c r="E301" s="502">
        <v>9</v>
      </c>
      <c r="F301" s="486"/>
      <c r="G301" s="460"/>
      <c r="H301" s="486"/>
      <c r="I301" s="460"/>
      <c r="J301" s="486">
        <v>22449</v>
      </c>
      <c r="K301" s="542">
        <v>22011</v>
      </c>
      <c r="L301" s="486">
        <v>5482</v>
      </c>
      <c r="M301" s="542">
        <v>5682</v>
      </c>
      <c r="N301" s="486">
        <v>23675</v>
      </c>
      <c r="O301" s="542">
        <v>23916</v>
      </c>
      <c r="P301" s="640">
        <f t="shared" si="90"/>
        <v>51606</v>
      </c>
      <c r="Q301" s="640">
        <f t="shared" si="91"/>
        <v>1720.2</v>
      </c>
      <c r="R301" s="641">
        <f t="shared" si="92"/>
        <v>51609</v>
      </c>
      <c r="S301" s="641">
        <f t="shared" si="93"/>
        <v>1720.3</v>
      </c>
      <c r="T301" s="486">
        <v>21593</v>
      </c>
      <c r="U301" s="542">
        <v>19509</v>
      </c>
      <c r="V301" s="640">
        <f t="shared" si="94"/>
        <v>51606</v>
      </c>
      <c r="W301" s="641">
        <f t="shared" si="95"/>
        <v>51609</v>
      </c>
      <c r="X301" s="486"/>
      <c r="Y301" s="501"/>
      <c r="Z301" s="486">
        <v>165595</v>
      </c>
      <c r="AA301" s="542">
        <v>155012</v>
      </c>
      <c r="AB301" s="486">
        <v>104372</v>
      </c>
      <c r="AC301" s="542">
        <v>106353</v>
      </c>
      <c r="AD301" s="486">
        <v>186417</v>
      </c>
      <c r="AE301" s="542">
        <v>175153</v>
      </c>
      <c r="AF301" s="640">
        <f t="shared" si="96"/>
        <v>456384</v>
      </c>
      <c r="AG301" s="640">
        <f t="shared" si="97"/>
        <v>507.09333333333331</v>
      </c>
      <c r="AH301" s="641">
        <f t="shared" si="98"/>
        <v>436518</v>
      </c>
      <c r="AI301" s="641">
        <f t="shared" si="99"/>
        <v>485.02</v>
      </c>
      <c r="AJ301" s="486"/>
      <c r="AK301" s="460"/>
      <c r="AL301" s="640">
        <f t="shared" si="100"/>
        <v>0</v>
      </c>
      <c r="AM301" s="641">
        <f t="shared" si="101"/>
        <v>0</v>
      </c>
      <c r="AN301" s="486"/>
      <c r="AO301" s="460"/>
      <c r="AP301" s="486"/>
      <c r="AQ301" s="460"/>
      <c r="AR301" s="486"/>
      <c r="AS301" s="460"/>
      <c r="AT301" s="486"/>
      <c r="AU301" s="460"/>
      <c r="AV301" s="640">
        <f t="shared" si="102"/>
        <v>0</v>
      </c>
      <c r="AW301" s="640">
        <f t="shared" si="103"/>
        <v>0</v>
      </c>
      <c r="AX301" s="641">
        <f t="shared" si="104"/>
        <v>0</v>
      </c>
      <c r="AY301" s="641">
        <f t="shared" si="105"/>
        <v>0</v>
      </c>
      <c r="AZ301" s="640">
        <f t="shared" si="106"/>
        <v>2227.2933333333335</v>
      </c>
      <c r="BA301" s="641">
        <f t="shared" si="107"/>
        <v>2205.3199999999997</v>
      </c>
      <c r="BB301" s="543"/>
      <c r="BC301" s="543"/>
    </row>
    <row r="302" spans="1:55" s="365" customFormat="1" ht="15" customHeight="1">
      <c r="A302" s="539" t="s">
        <v>239</v>
      </c>
      <c r="B302" s="540" t="s">
        <v>267</v>
      </c>
      <c r="C302" s="592" t="s">
        <v>911</v>
      </c>
      <c r="D302" s="631">
        <v>199740</v>
      </c>
      <c r="E302" s="502">
        <v>9</v>
      </c>
      <c r="F302" s="486"/>
      <c r="G302" s="460"/>
      <c r="H302" s="486"/>
      <c r="I302" s="460"/>
      <c r="J302" s="486">
        <v>20340</v>
      </c>
      <c r="K302" s="542">
        <v>18934</v>
      </c>
      <c r="L302" s="486">
        <v>6245</v>
      </c>
      <c r="M302" s="542">
        <v>6005</v>
      </c>
      <c r="N302" s="486">
        <v>21729</v>
      </c>
      <c r="O302" s="542">
        <v>20001</v>
      </c>
      <c r="P302" s="640">
        <f t="shared" si="90"/>
        <v>48314</v>
      </c>
      <c r="Q302" s="640">
        <f t="shared" si="91"/>
        <v>1610.4666666666667</v>
      </c>
      <c r="R302" s="641">
        <f t="shared" si="92"/>
        <v>44940</v>
      </c>
      <c r="S302" s="641">
        <f t="shared" si="93"/>
        <v>1498</v>
      </c>
      <c r="T302" s="486">
        <v>9776</v>
      </c>
      <c r="U302" s="542">
        <v>9284</v>
      </c>
      <c r="V302" s="640">
        <f t="shared" si="94"/>
        <v>48314</v>
      </c>
      <c r="W302" s="641">
        <f t="shared" si="95"/>
        <v>44940</v>
      </c>
      <c r="X302" s="486"/>
      <c r="Y302" s="501"/>
      <c r="Z302" s="486">
        <v>178692</v>
      </c>
      <c r="AA302" s="542">
        <v>160691</v>
      </c>
      <c r="AB302" s="486">
        <v>76853</v>
      </c>
      <c r="AC302" s="542">
        <v>94947</v>
      </c>
      <c r="AD302" s="486">
        <v>169719</v>
      </c>
      <c r="AE302" s="542">
        <v>167219</v>
      </c>
      <c r="AF302" s="640">
        <f t="shared" si="96"/>
        <v>425264</v>
      </c>
      <c r="AG302" s="640">
        <f t="shared" si="97"/>
        <v>472.51555555555558</v>
      </c>
      <c r="AH302" s="641">
        <f t="shared" si="98"/>
        <v>422857</v>
      </c>
      <c r="AI302" s="641">
        <f t="shared" si="99"/>
        <v>469.8411111111111</v>
      </c>
      <c r="AJ302" s="486"/>
      <c r="AK302" s="460"/>
      <c r="AL302" s="640">
        <f t="shared" si="100"/>
        <v>0</v>
      </c>
      <c r="AM302" s="641">
        <f t="shared" si="101"/>
        <v>0</v>
      </c>
      <c r="AN302" s="486"/>
      <c r="AO302" s="460"/>
      <c r="AP302" s="486"/>
      <c r="AQ302" s="460"/>
      <c r="AR302" s="486"/>
      <c r="AS302" s="460"/>
      <c r="AT302" s="486"/>
      <c r="AU302" s="460"/>
      <c r="AV302" s="640">
        <f t="shared" si="102"/>
        <v>0</v>
      </c>
      <c r="AW302" s="640">
        <f t="shared" si="103"/>
        <v>0</v>
      </c>
      <c r="AX302" s="641">
        <f t="shared" si="104"/>
        <v>0</v>
      </c>
      <c r="AY302" s="641">
        <f t="shared" si="105"/>
        <v>0</v>
      </c>
      <c r="AZ302" s="640">
        <f t="shared" si="106"/>
        <v>2082.9822222222224</v>
      </c>
      <c r="BA302" s="641">
        <f t="shared" si="107"/>
        <v>1967.8411111111111</v>
      </c>
      <c r="BB302" s="543"/>
      <c r="BC302" s="543"/>
    </row>
    <row r="303" spans="1:55" s="365" customFormat="1" ht="15" customHeight="1">
      <c r="A303" s="539" t="s">
        <v>239</v>
      </c>
      <c r="B303" s="540" t="s">
        <v>268</v>
      </c>
      <c r="C303" s="592"/>
      <c r="D303" s="631">
        <v>199768</v>
      </c>
      <c r="E303" s="502">
        <v>9</v>
      </c>
      <c r="F303" s="486"/>
      <c r="G303" s="460"/>
      <c r="H303" s="486"/>
      <c r="I303" s="460"/>
      <c r="J303" s="486">
        <v>28354</v>
      </c>
      <c r="K303" s="542">
        <v>25465</v>
      </c>
      <c r="L303" s="486">
        <v>6105</v>
      </c>
      <c r="M303" s="542">
        <v>5852</v>
      </c>
      <c r="N303" s="486">
        <v>29348</v>
      </c>
      <c r="O303" s="542">
        <v>26135</v>
      </c>
      <c r="P303" s="640">
        <f t="shared" si="90"/>
        <v>63807</v>
      </c>
      <c r="Q303" s="640">
        <f t="shared" si="91"/>
        <v>2126.9</v>
      </c>
      <c r="R303" s="641">
        <f t="shared" si="92"/>
        <v>57452</v>
      </c>
      <c r="S303" s="641">
        <f t="shared" si="93"/>
        <v>1915.0666666666666</v>
      </c>
      <c r="T303" s="486">
        <v>18623</v>
      </c>
      <c r="U303" s="542">
        <v>16905</v>
      </c>
      <c r="V303" s="640">
        <f t="shared" si="94"/>
        <v>63807</v>
      </c>
      <c r="W303" s="641">
        <f t="shared" si="95"/>
        <v>57452</v>
      </c>
      <c r="X303" s="486"/>
      <c r="Y303" s="501"/>
      <c r="Z303" s="486">
        <v>98114</v>
      </c>
      <c r="AA303" s="542">
        <v>99017</v>
      </c>
      <c r="AB303" s="486">
        <v>58414</v>
      </c>
      <c r="AC303" s="542">
        <v>73582</v>
      </c>
      <c r="AD303" s="486">
        <v>105255</v>
      </c>
      <c r="AE303" s="542">
        <v>140708</v>
      </c>
      <c r="AF303" s="640">
        <f t="shared" si="96"/>
        <v>261783</v>
      </c>
      <c r="AG303" s="640">
        <f t="shared" si="97"/>
        <v>290.87</v>
      </c>
      <c r="AH303" s="641">
        <f t="shared" si="98"/>
        <v>313307</v>
      </c>
      <c r="AI303" s="641">
        <f t="shared" si="99"/>
        <v>348.11888888888888</v>
      </c>
      <c r="AJ303" s="486"/>
      <c r="AK303" s="460"/>
      <c r="AL303" s="640">
        <f t="shared" si="100"/>
        <v>0</v>
      </c>
      <c r="AM303" s="641">
        <f t="shared" si="101"/>
        <v>0</v>
      </c>
      <c r="AN303" s="486"/>
      <c r="AO303" s="460"/>
      <c r="AP303" s="486"/>
      <c r="AQ303" s="460"/>
      <c r="AR303" s="486"/>
      <c r="AS303" s="460"/>
      <c r="AT303" s="486"/>
      <c r="AU303" s="460"/>
      <c r="AV303" s="640">
        <f t="shared" si="102"/>
        <v>0</v>
      </c>
      <c r="AW303" s="640">
        <f t="shared" si="103"/>
        <v>0</v>
      </c>
      <c r="AX303" s="641">
        <f t="shared" si="104"/>
        <v>0</v>
      </c>
      <c r="AY303" s="641">
        <f t="shared" si="105"/>
        <v>0</v>
      </c>
      <c r="AZ303" s="640">
        <f t="shared" si="106"/>
        <v>2417.77</v>
      </c>
      <c r="BA303" s="641">
        <f t="shared" si="107"/>
        <v>2263.1855555555553</v>
      </c>
      <c r="BB303" s="543"/>
      <c r="BC303" s="543"/>
    </row>
    <row r="304" spans="1:55" s="365" customFormat="1" ht="15" customHeight="1">
      <c r="A304" s="539" t="s">
        <v>239</v>
      </c>
      <c r="B304" s="540" t="s">
        <v>269</v>
      </c>
      <c r="C304" s="592"/>
      <c r="D304" s="631">
        <v>199838</v>
      </c>
      <c r="E304" s="502">
        <v>9</v>
      </c>
      <c r="F304" s="486"/>
      <c r="G304" s="460"/>
      <c r="H304" s="486"/>
      <c r="I304" s="460"/>
      <c r="J304" s="486">
        <v>25208</v>
      </c>
      <c r="K304" s="542">
        <v>22513</v>
      </c>
      <c r="L304" s="486">
        <v>6710</v>
      </c>
      <c r="M304" s="542">
        <v>6043</v>
      </c>
      <c r="N304" s="486">
        <v>25676</v>
      </c>
      <c r="O304" s="542">
        <v>23984</v>
      </c>
      <c r="P304" s="640">
        <f t="shared" si="90"/>
        <v>57594</v>
      </c>
      <c r="Q304" s="640">
        <f t="shared" si="91"/>
        <v>1919.8</v>
      </c>
      <c r="R304" s="641">
        <f t="shared" si="92"/>
        <v>52540</v>
      </c>
      <c r="S304" s="641">
        <f t="shared" si="93"/>
        <v>1751.3333333333333</v>
      </c>
      <c r="T304" s="486">
        <v>16015</v>
      </c>
      <c r="U304" s="542">
        <v>15094</v>
      </c>
      <c r="V304" s="640">
        <f t="shared" si="94"/>
        <v>57594</v>
      </c>
      <c r="W304" s="641">
        <f t="shared" si="95"/>
        <v>52540</v>
      </c>
      <c r="X304" s="486"/>
      <c r="Y304" s="501"/>
      <c r="Z304" s="486">
        <v>116554</v>
      </c>
      <c r="AA304" s="542">
        <v>96065</v>
      </c>
      <c r="AB304" s="486">
        <v>43951</v>
      </c>
      <c r="AC304" s="542">
        <v>70180</v>
      </c>
      <c r="AD304" s="486">
        <v>119489</v>
      </c>
      <c r="AE304" s="542">
        <v>117346</v>
      </c>
      <c r="AF304" s="640">
        <f t="shared" si="96"/>
        <v>279994</v>
      </c>
      <c r="AG304" s="640">
        <f t="shared" si="97"/>
        <v>311.10444444444443</v>
      </c>
      <c r="AH304" s="641">
        <f t="shared" si="98"/>
        <v>283591</v>
      </c>
      <c r="AI304" s="641">
        <f t="shared" si="99"/>
        <v>315.10111111111109</v>
      </c>
      <c r="AJ304" s="486"/>
      <c r="AK304" s="460"/>
      <c r="AL304" s="640">
        <f t="shared" si="100"/>
        <v>0</v>
      </c>
      <c r="AM304" s="641">
        <f t="shared" si="101"/>
        <v>0</v>
      </c>
      <c r="AN304" s="486"/>
      <c r="AO304" s="460"/>
      <c r="AP304" s="486"/>
      <c r="AQ304" s="460"/>
      <c r="AR304" s="486"/>
      <c r="AS304" s="460"/>
      <c r="AT304" s="486"/>
      <c r="AU304" s="460"/>
      <c r="AV304" s="640">
        <f t="shared" si="102"/>
        <v>0</v>
      </c>
      <c r="AW304" s="640">
        <f t="shared" si="103"/>
        <v>0</v>
      </c>
      <c r="AX304" s="641">
        <f t="shared" si="104"/>
        <v>0</v>
      </c>
      <c r="AY304" s="641">
        <f t="shared" si="105"/>
        <v>0</v>
      </c>
      <c r="AZ304" s="640">
        <f t="shared" si="106"/>
        <v>2230.9044444444444</v>
      </c>
      <c r="BA304" s="641">
        <f t="shared" si="107"/>
        <v>2066.4344444444441</v>
      </c>
      <c r="BB304" s="543"/>
      <c r="BC304" s="543"/>
    </row>
    <row r="305" spans="1:55" s="365" customFormat="1" ht="15" customHeight="1">
      <c r="A305" s="539" t="s">
        <v>239</v>
      </c>
      <c r="B305" s="540" t="s">
        <v>270</v>
      </c>
      <c r="C305" s="592"/>
      <c r="D305" s="631">
        <v>199892</v>
      </c>
      <c r="E305" s="502">
        <v>9</v>
      </c>
      <c r="F305" s="486"/>
      <c r="G305" s="460"/>
      <c r="H305" s="486"/>
      <c r="I305" s="460"/>
      <c r="J305" s="486">
        <v>29647</v>
      </c>
      <c r="K305" s="542">
        <v>26543</v>
      </c>
      <c r="L305" s="486">
        <v>10209</v>
      </c>
      <c r="M305" s="542">
        <v>9224</v>
      </c>
      <c r="N305" s="486">
        <v>29159</v>
      </c>
      <c r="O305" s="542">
        <v>27651</v>
      </c>
      <c r="P305" s="640">
        <f t="shared" si="90"/>
        <v>69015</v>
      </c>
      <c r="Q305" s="640">
        <f t="shared" si="91"/>
        <v>2300.5</v>
      </c>
      <c r="R305" s="641">
        <f t="shared" si="92"/>
        <v>63418</v>
      </c>
      <c r="S305" s="641">
        <f t="shared" si="93"/>
        <v>2113.9333333333334</v>
      </c>
      <c r="T305" s="486">
        <v>11072</v>
      </c>
      <c r="U305" s="542">
        <v>9784</v>
      </c>
      <c r="V305" s="640">
        <f t="shared" si="94"/>
        <v>69015</v>
      </c>
      <c r="W305" s="641">
        <f t="shared" si="95"/>
        <v>63418</v>
      </c>
      <c r="X305" s="486"/>
      <c r="Y305" s="501"/>
      <c r="Z305" s="486">
        <v>115650</v>
      </c>
      <c r="AA305" s="542">
        <v>114055</v>
      </c>
      <c r="AB305" s="486">
        <v>41313</v>
      </c>
      <c r="AC305" s="542">
        <v>82680</v>
      </c>
      <c r="AD305" s="486">
        <v>89156</v>
      </c>
      <c r="AE305" s="542">
        <v>114303</v>
      </c>
      <c r="AF305" s="640">
        <f t="shared" si="96"/>
        <v>246119</v>
      </c>
      <c r="AG305" s="640">
        <f t="shared" si="97"/>
        <v>273.46555555555557</v>
      </c>
      <c r="AH305" s="641">
        <f t="shared" si="98"/>
        <v>311038</v>
      </c>
      <c r="AI305" s="641">
        <f t="shared" si="99"/>
        <v>345.59777777777776</v>
      </c>
      <c r="AJ305" s="486"/>
      <c r="AK305" s="460"/>
      <c r="AL305" s="640">
        <f t="shared" si="100"/>
        <v>0</v>
      </c>
      <c r="AM305" s="641">
        <f t="shared" si="101"/>
        <v>0</v>
      </c>
      <c r="AN305" s="486"/>
      <c r="AO305" s="460"/>
      <c r="AP305" s="486"/>
      <c r="AQ305" s="460"/>
      <c r="AR305" s="486"/>
      <c r="AS305" s="460"/>
      <c r="AT305" s="486"/>
      <c r="AU305" s="460"/>
      <c r="AV305" s="640">
        <f t="shared" si="102"/>
        <v>0</v>
      </c>
      <c r="AW305" s="640">
        <f t="shared" si="103"/>
        <v>0</v>
      </c>
      <c r="AX305" s="641">
        <f t="shared" si="104"/>
        <v>0</v>
      </c>
      <c r="AY305" s="641">
        <f t="shared" si="105"/>
        <v>0</v>
      </c>
      <c r="AZ305" s="640">
        <f t="shared" si="106"/>
        <v>2573.9655555555555</v>
      </c>
      <c r="BA305" s="641">
        <f t="shared" si="107"/>
        <v>2459.5311111111114</v>
      </c>
      <c r="BB305" s="543"/>
      <c r="BC305" s="543"/>
    </row>
    <row r="306" spans="1:55" s="365" customFormat="1" ht="15" customHeight="1">
      <c r="A306" s="539" t="s">
        <v>239</v>
      </c>
      <c r="B306" s="540" t="s">
        <v>272</v>
      </c>
      <c r="C306" s="592"/>
      <c r="D306" s="631">
        <v>199926</v>
      </c>
      <c r="E306" s="502">
        <v>9</v>
      </c>
      <c r="F306" s="486"/>
      <c r="G306" s="460"/>
      <c r="H306" s="486"/>
      <c r="I306" s="460"/>
      <c r="J306" s="486">
        <v>24135</v>
      </c>
      <c r="K306" s="542">
        <v>20374</v>
      </c>
      <c r="L306" s="486">
        <v>5171</v>
      </c>
      <c r="M306" s="542">
        <v>4652</v>
      </c>
      <c r="N306" s="486">
        <v>24048</v>
      </c>
      <c r="O306" s="542">
        <v>22858</v>
      </c>
      <c r="P306" s="640">
        <f t="shared" si="90"/>
        <v>53354</v>
      </c>
      <c r="Q306" s="640">
        <f t="shared" si="91"/>
        <v>1778.4666666666667</v>
      </c>
      <c r="R306" s="641">
        <f t="shared" si="92"/>
        <v>47884</v>
      </c>
      <c r="S306" s="641">
        <f t="shared" si="93"/>
        <v>1596.1333333333334</v>
      </c>
      <c r="T306" s="486">
        <v>13955</v>
      </c>
      <c r="U306" s="542">
        <v>13038</v>
      </c>
      <c r="V306" s="640">
        <f t="shared" si="94"/>
        <v>53354</v>
      </c>
      <c r="W306" s="641">
        <f t="shared" si="95"/>
        <v>47884</v>
      </c>
      <c r="X306" s="486"/>
      <c r="Y306" s="501"/>
      <c r="Z306" s="486">
        <v>102177</v>
      </c>
      <c r="AA306" s="542">
        <v>96590</v>
      </c>
      <c r="AB306" s="486">
        <v>43914</v>
      </c>
      <c r="AC306" s="542">
        <v>73861</v>
      </c>
      <c r="AD306" s="486">
        <v>92856</v>
      </c>
      <c r="AE306" s="542">
        <v>115703</v>
      </c>
      <c r="AF306" s="640">
        <f t="shared" si="96"/>
        <v>238947</v>
      </c>
      <c r="AG306" s="640">
        <f t="shared" si="97"/>
        <v>265.49666666666667</v>
      </c>
      <c r="AH306" s="641">
        <f t="shared" si="98"/>
        <v>286154</v>
      </c>
      <c r="AI306" s="641">
        <f t="shared" si="99"/>
        <v>317.94888888888892</v>
      </c>
      <c r="AJ306" s="486"/>
      <c r="AK306" s="460"/>
      <c r="AL306" s="640">
        <f t="shared" si="100"/>
        <v>0</v>
      </c>
      <c r="AM306" s="641">
        <f t="shared" si="101"/>
        <v>0</v>
      </c>
      <c r="AN306" s="486"/>
      <c r="AO306" s="460"/>
      <c r="AP306" s="486"/>
      <c r="AQ306" s="460"/>
      <c r="AR306" s="486"/>
      <c r="AS306" s="460"/>
      <c r="AT306" s="486"/>
      <c r="AU306" s="460"/>
      <c r="AV306" s="640">
        <f t="shared" si="102"/>
        <v>0</v>
      </c>
      <c r="AW306" s="640">
        <f t="shared" si="103"/>
        <v>0</v>
      </c>
      <c r="AX306" s="641">
        <f t="shared" si="104"/>
        <v>0</v>
      </c>
      <c r="AY306" s="641">
        <f t="shared" si="105"/>
        <v>0</v>
      </c>
      <c r="AZ306" s="640">
        <f t="shared" si="106"/>
        <v>2043.9633333333334</v>
      </c>
      <c r="BA306" s="641">
        <f t="shared" si="107"/>
        <v>1914.0822222222223</v>
      </c>
      <c r="BB306" s="543"/>
      <c r="BC306" s="543"/>
    </row>
    <row r="307" spans="1:55" s="365" customFormat="1" ht="15" customHeight="1">
      <c r="A307" s="539" t="s">
        <v>239</v>
      </c>
      <c r="B307" s="540" t="s">
        <v>273</v>
      </c>
      <c r="C307" s="592"/>
      <c r="D307" s="631">
        <v>197966</v>
      </c>
      <c r="E307" s="502">
        <v>10</v>
      </c>
      <c r="F307" s="486"/>
      <c r="G307" s="460"/>
      <c r="H307" s="486"/>
      <c r="I307" s="460"/>
      <c r="J307" s="486">
        <v>14040</v>
      </c>
      <c r="K307" s="542">
        <v>12605</v>
      </c>
      <c r="L307" s="486">
        <v>3187</v>
      </c>
      <c r="M307" s="542">
        <v>3007</v>
      </c>
      <c r="N307" s="486">
        <v>13100</v>
      </c>
      <c r="O307" s="542">
        <v>16403</v>
      </c>
      <c r="P307" s="640">
        <f t="shared" si="90"/>
        <v>30327</v>
      </c>
      <c r="Q307" s="640">
        <f t="shared" si="91"/>
        <v>1010.9</v>
      </c>
      <c r="R307" s="641">
        <f t="shared" si="92"/>
        <v>32015</v>
      </c>
      <c r="S307" s="641">
        <f t="shared" si="93"/>
        <v>1067.1666666666667</v>
      </c>
      <c r="T307" s="486">
        <v>11008</v>
      </c>
      <c r="U307" s="542">
        <v>11157</v>
      </c>
      <c r="V307" s="640">
        <f t="shared" si="94"/>
        <v>30327</v>
      </c>
      <c r="W307" s="641">
        <f t="shared" si="95"/>
        <v>32015</v>
      </c>
      <c r="X307" s="486"/>
      <c r="Y307" s="501"/>
      <c r="Z307" s="486">
        <v>76361</v>
      </c>
      <c r="AA307" s="542">
        <v>98928</v>
      </c>
      <c r="AB307" s="486">
        <v>31315</v>
      </c>
      <c r="AC307" s="542">
        <v>49822</v>
      </c>
      <c r="AD307" s="486">
        <v>62347</v>
      </c>
      <c r="AE307" s="542">
        <v>92336</v>
      </c>
      <c r="AF307" s="640">
        <f t="shared" si="96"/>
        <v>170023</v>
      </c>
      <c r="AG307" s="640">
        <f t="shared" si="97"/>
        <v>188.91444444444446</v>
      </c>
      <c r="AH307" s="641">
        <f t="shared" si="98"/>
        <v>241086</v>
      </c>
      <c r="AI307" s="641">
        <f t="shared" si="99"/>
        <v>267.87333333333333</v>
      </c>
      <c r="AJ307" s="486"/>
      <c r="AK307" s="460"/>
      <c r="AL307" s="640">
        <f t="shared" si="100"/>
        <v>0</v>
      </c>
      <c r="AM307" s="641">
        <f t="shared" si="101"/>
        <v>0</v>
      </c>
      <c r="AN307" s="486"/>
      <c r="AO307" s="460"/>
      <c r="AP307" s="486"/>
      <c r="AQ307" s="460"/>
      <c r="AR307" s="486"/>
      <c r="AS307" s="460"/>
      <c r="AT307" s="486"/>
      <c r="AU307" s="460"/>
      <c r="AV307" s="640">
        <f t="shared" si="102"/>
        <v>0</v>
      </c>
      <c r="AW307" s="640">
        <f t="shared" si="103"/>
        <v>0</v>
      </c>
      <c r="AX307" s="641">
        <f t="shared" si="104"/>
        <v>0</v>
      </c>
      <c r="AY307" s="641">
        <f t="shared" si="105"/>
        <v>0</v>
      </c>
      <c r="AZ307" s="640">
        <f t="shared" si="106"/>
        <v>1199.8144444444445</v>
      </c>
      <c r="BA307" s="641">
        <f t="shared" si="107"/>
        <v>1335.04</v>
      </c>
      <c r="BB307" s="543"/>
      <c r="BC307" s="543"/>
    </row>
    <row r="308" spans="1:55" s="365" customFormat="1" ht="15" customHeight="1">
      <c r="A308" s="539" t="s">
        <v>239</v>
      </c>
      <c r="B308" s="540" t="s">
        <v>274</v>
      </c>
      <c r="C308" s="592"/>
      <c r="D308" s="631">
        <v>198011</v>
      </c>
      <c r="E308" s="502">
        <v>10</v>
      </c>
      <c r="F308" s="486"/>
      <c r="G308" s="460"/>
      <c r="H308" s="486"/>
      <c r="I308" s="460"/>
      <c r="J308" s="486">
        <v>11007</v>
      </c>
      <c r="K308" s="542">
        <v>9600</v>
      </c>
      <c r="L308" s="486">
        <v>3049</v>
      </c>
      <c r="M308" s="542">
        <v>2861</v>
      </c>
      <c r="N308" s="486">
        <v>11122</v>
      </c>
      <c r="O308" s="542">
        <v>11737</v>
      </c>
      <c r="P308" s="640">
        <f t="shared" si="90"/>
        <v>25178</v>
      </c>
      <c r="Q308" s="640">
        <f t="shared" si="91"/>
        <v>839.26666666666665</v>
      </c>
      <c r="R308" s="641">
        <f t="shared" si="92"/>
        <v>24198</v>
      </c>
      <c r="S308" s="641">
        <f t="shared" si="93"/>
        <v>806.6</v>
      </c>
      <c r="T308" s="486">
        <v>7121</v>
      </c>
      <c r="U308" s="542">
        <v>6910</v>
      </c>
      <c r="V308" s="640">
        <f t="shared" si="94"/>
        <v>25178</v>
      </c>
      <c r="W308" s="641">
        <f t="shared" si="95"/>
        <v>24198</v>
      </c>
      <c r="X308" s="486"/>
      <c r="Y308" s="501"/>
      <c r="Z308" s="486">
        <v>46628</v>
      </c>
      <c r="AA308" s="542">
        <v>45866</v>
      </c>
      <c r="AB308" s="486">
        <v>26715</v>
      </c>
      <c r="AC308" s="542">
        <v>26934</v>
      </c>
      <c r="AD308" s="486">
        <v>46528</v>
      </c>
      <c r="AE308" s="542">
        <v>56629</v>
      </c>
      <c r="AF308" s="640">
        <f t="shared" si="96"/>
        <v>119871</v>
      </c>
      <c r="AG308" s="640">
        <f t="shared" si="97"/>
        <v>133.19</v>
      </c>
      <c r="AH308" s="641">
        <f t="shared" si="98"/>
        <v>129429</v>
      </c>
      <c r="AI308" s="641">
        <f t="shared" si="99"/>
        <v>143.81</v>
      </c>
      <c r="AJ308" s="486"/>
      <c r="AK308" s="460"/>
      <c r="AL308" s="640">
        <f t="shared" si="100"/>
        <v>0</v>
      </c>
      <c r="AM308" s="641">
        <f t="shared" si="101"/>
        <v>0</v>
      </c>
      <c r="AN308" s="486"/>
      <c r="AO308" s="460"/>
      <c r="AP308" s="486"/>
      <c r="AQ308" s="460"/>
      <c r="AR308" s="486"/>
      <c r="AS308" s="460"/>
      <c r="AT308" s="486"/>
      <c r="AU308" s="460"/>
      <c r="AV308" s="640">
        <f t="shared" si="102"/>
        <v>0</v>
      </c>
      <c r="AW308" s="640">
        <f t="shared" si="103"/>
        <v>0</v>
      </c>
      <c r="AX308" s="641">
        <f t="shared" si="104"/>
        <v>0</v>
      </c>
      <c r="AY308" s="641">
        <f t="shared" si="105"/>
        <v>0</v>
      </c>
      <c r="AZ308" s="640">
        <f t="shared" si="106"/>
        <v>972.45666666666671</v>
      </c>
      <c r="BA308" s="641">
        <f t="shared" si="107"/>
        <v>950.41000000000008</v>
      </c>
      <c r="BB308" s="543"/>
      <c r="BC308" s="543"/>
    </row>
    <row r="309" spans="1:55" s="365" customFormat="1" ht="15" customHeight="1">
      <c r="A309" s="539" t="s">
        <v>239</v>
      </c>
      <c r="B309" s="540" t="s">
        <v>275</v>
      </c>
      <c r="C309" s="592"/>
      <c r="D309" s="631">
        <v>198039</v>
      </c>
      <c r="E309" s="502">
        <v>10</v>
      </c>
      <c r="F309" s="486"/>
      <c r="G309" s="460"/>
      <c r="H309" s="486"/>
      <c r="I309" s="460"/>
      <c r="J309" s="486">
        <v>19551</v>
      </c>
      <c r="K309" s="542">
        <v>19128</v>
      </c>
      <c r="L309" s="486">
        <v>5563</v>
      </c>
      <c r="M309" s="542">
        <v>5506</v>
      </c>
      <c r="N309" s="486">
        <v>20823</v>
      </c>
      <c r="O309" s="542">
        <v>23079</v>
      </c>
      <c r="P309" s="640">
        <f t="shared" si="90"/>
        <v>45937</v>
      </c>
      <c r="Q309" s="640">
        <f t="shared" si="91"/>
        <v>1531.2333333333333</v>
      </c>
      <c r="R309" s="641">
        <f t="shared" si="92"/>
        <v>47713</v>
      </c>
      <c r="S309" s="641">
        <f t="shared" si="93"/>
        <v>1590.4333333333334</v>
      </c>
      <c r="T309" s="486">
        <v>9859</v>
      </c>
      <c r="U309" s="542">
        <v>9970</v>
      </c>
      <c r="V309" s="640">
        <f t="shared" si="94"/>
        <v>45937</v>
      </c>
      <c r="W309" s="641">
        <f t="shared" si="95"/>
        <v>47713</v>
      </c>
      <c r="X309" s="486"/>
      <c r="Y309" s="501"/>
      <c r="Z309" s="486">
        <v>104786</v>
      </c>
      <c r="AA309" s="542">
        <v>105341</v>
      </c>
      <c r="AB309" s="486">
        <v>72045</v>
      </c>
      <c r="AC309" s="542">
        <v>95052</v>
      </c>
      <c r="AD309" s="486">
        <v>112368</v>
      </c>
      <c r="AE309" s="542">
        <v>129625</v>
      </c>
      <c r="AF309" s="640">
        <f t="shared" si="96"/>
        <v>289199</v>
      </c>
      <c r="AG309" s="640">
        <f t="shared" si="97"/>
        <v>321.33222222222224</v>
      </c>
      <c r="AH309" s="641">
        <f t="shared" si="98"/>
        <v>330018</v>
      </c>
      <c r="AI309" s="641">
        <f t="shared" si="99"/>
        <v>366.68666666666667</v>
      </c>
      <c r="AJ309" s="486"/>
      <c r="AK309" s="460"/>
      <c r="AL309" s="640">
        <f t="shared" si="100"/>
        <v>0</v>
      </c>
      <c r="AM309" s="641">
        <f t="shared" si="101"/>
        <v>0</v>
      </c>
      <c r="AN309" s="486"/>
      <c r="AO309" s="460"/>
      <c r="AP309" s="486"/>
      <c r="AQ309" s="460"/>
      <c r="AR309" s="486"/>
      <c r="AS309" s="460"/>
      <c r="AT309" s="486"/>
      <c r="AU309" s="460"/>
      <c r="AV309" s="640">
        <f t="shared" si="102"/>
        <v>0</v>
      </c>
      <c r="AW309" s="640">
        <f t="shared" si="103"/>
        <v>0</v>
      </c>
      <c r="AX309" s="641">
        <f t="shared" si="104"/>
        <v>0</v>
      </c>
      <c r="AY309" s="641">
        <f t="shared" si="105"/>
        <v>0</v>
      </c>
      <c r="AZ309" s="640">
        <f t="shared" si="106"/>
        <v>1852.5655555555556</v>
      </c>
      <c r="BA309" s="641">
        <f t="shared" si="107"/>
        <v>1957.1200000000001</v>
      </c>
      <c r="BB309" s="543"/>
      <c r="BC309" s="543"/>
    </row>
    <row r="310" spans="1:55" s="365" customFormat="1" ht="15" customHeight="1">
      <c r="A310" s="539" t="s">
        <v>239</v>
      </c>
      <c r="B310" s="540" t="s">
        <v>276</v>
      </c>
      <c r="C310" s="592"/>
      <c r="D310" s="631">
        <v>198084</v>
      </c>
      <c r="E310" s="502">
        <v>10</v>
      </c>
      <c r="F310" s="486"/>
      <c r="G310" s="460"/>
      <c r="H310" s="486"/>
      <c r="I310" s="460"/>
      <c r="J310" s="486">
        <v>14458</v>
      </c>
      <c r="K310" s="542">
        <v>14667</v>
      </c>
      <c r="L310" s="486">
        <v>3010</v>
      </c>
      <c r="M310" s="542">
        <v>3400</v>
      </c>
      <c r="N310" s="486">
        <v>15746</v>
      </c>
      <c r="O310" s="542">
        <v>16560</v>
      </c>
      <c r="P310" s="640">
        <f t="shared" si="90"/>
        <v>33214</v>
      </c>
      <c r="Q310" s="640">
        <f t="shared" si="91"/>
        <v>1107.1333333333334</v>
      </c>
      <c r="R310" s="641">
        <f t="shared" si="92"/>
        <v>34627</v>
      </c>
      <c r="S310" s="641">
        <f t="shared" si="93"/>
        <v>1154.2333333333333</v>
      </c>
      <c r="T310" s="486">
        <v>8923</v>
      </c>
      <c r="U310" s="542">
        <v>9069</v>
      </c>
      <c r="V310" s="640">
        <f t="shared" si="94"/>
        <v>33214</v>
      </c>
      <c r="W310" s="641">
        <f t="shared" si="95"/>
        <v>34627</v>
      </c>
      <c r="X310" s="486"/>
      <c r="Y310" s="501"/>
      <c r="Z310" s="486">
        <v>112726</v>
      </c>
      <c r="AA310" s="542">
        <v>120666</v>
      </c>
      <c r="AB310" s="486">
        <v>29097</v>
      </c>
      <c r="AC310" s="542">
        <v>64571</v>
      </c>
      <c r="AD310" s="486">
        <v>87635</v>
      </c>
      <c r="AE310" s="542">
        <v>139893</v>
      </c>
      <c r="AF310" s="640">
        <f t="shared" si="96"/>
        <v>229458</v>
      </c>
      <c r="AG310" s="640">
        <f t="shared" si="97"/>
        <v>254.95333333333335</v>
      </c>
      <c r="AH310" s="641">
        <f t="shared" si="98"/>
        <v>325130</v>
      </c>
      <c r="AI310" s="641">
        <f t="shared" si="99"/>
        <v>361.25555555555553</v>
      </c>
      <c r="AJ310" s="486"/>
      <c r="AK310" s="460"/>
      <c r="AL310" s="640">
        <f t="shared" si="100"/>
        <v>0</v>
      </c>
      <c r="AM310" s="641">
        <f t="shared" si="101"/>
        <v>0</v>
      </c>
      <c r="AN310" s="486"/>
      <c r="AO310" s="460"/>
      <c r="AP310" s="486"/>
      <c r="AQ310" s="460"/>
      <c r="AR310" s="486"/>
      <c r="AS310" s="460"/>
      <c r="AT310" s="486"/>
      <c r="AU310" s="460"/>
      <c r="AV310" s="640">
        <f t="shared" si="102"/>
        <v>0</v>
      </c>
      <c r="AW310" s="640">
        <f t="shared" si="103"/>
        <v>0</v>
      </c>
      <c r="AX310" s="641">
        <f t="shared" si="104"/>
        <v>0</v>
      </c>
      <c r="AY310" s="641">
        <f t="shared" si="105"/>
        <v>0</v>
      </c>
      <c r="AZ310" s="640">
        <f t="shared" si="106"/>
        <v>1362.0866666666668</v>
      </c>
      <c r="BA310" s="641">
        <f t="shared" si="107"/>
        <v>1515.4888888888888</v>
      </c>
      <c r="BB310" s="543"/>
      <c r="BC310" s="543"/>
    </row>
    <row r="311" spans="1:55" s="365" customFormat="1" ht="15" customHeight="1">
      <c r="A311" s="539" t="s">
        <v>239</v>
      </c>
      <c r="B311" s="540" t="s">
        <v>277</v>
      </c>
      <c r="C311" s="592"/>
      <c r="D311" s="631">
        <v>198206</v>
      </c>
      <c r="E311" s="502">
        <v>10</v>
      </c>
      <c r="F311" s="486"/>
      <c r="G311" s="460"/>
      <c r="H311" s="486"/>
      <c r="I311" s="460"/>
      <c r="J311" s="486">
        <v>13274.5</v>
      </c>
      <c r="K311" s="542">
        <v>11983</v>
      </c>
      <c r="L311" s="486">
        <v>3030</v>
      </c>
      <c r="M311" s="542">
        <v>3184</v>
      </c>
      <c r="N311" s="486">
        <v>13024</v>
      </c>
      <c r="O311" s="542">
        <v>15913</v>
      </c>
      <c r="P311" s="640">
        <f t="shared" si="90"/>
        <v>29328.5</v>
      </c>
      <c r="Q311" s="640">
        <f t="shared" si="91"/>
        <v>977.61666666666667</v>
      </c>
      <c r="R311" s="641">
        <f t="shared" si="92"/>
        <v>31080</v>
      </c>
      <c r="S311" s="641">
        <f t="shared" si="93"/>
        <v>1036</v>
      </c>
      <c r="T311" s="486">
        <v>4951</v>
      </c>
      <c r="U311" s="542">
        <v>4359</v>
      </c>
      <c r="V311" s="640">
        <f t="shared" si="94"/>
        <v>29328.5</v>
      </c>
      <c r="W311" s="641">
        <f t="shared" si="95"/>
        <v>31080</v>
      </c>
      <c r="X311" s="486"/>
      <c r="Y311" s="501"/>
      <c r="Z311" s="486">
        <v>86927</v>
      </c>
      <c r="AA311" s="542">
        <v>83103</v>
      </c>
      <c r="AB311" s="486">
        <v>27585</v>
      </c>
      <c r="AC311" s="542">
        <v>50014</v>
      </c>
      <c r="AD311" s="486">
        <v>77078</v>
      </c>
      <c r="AE311" s="542">
        <v>107982</v>
      </c>
      <c r="AF311" s="640">
        <f t="shared" si="96"/>
        <v>191590</v>
      </c>
      <c r="AG311" s="640">
        <f t="shared" si="97"/>
        <v>212.87777777777777</v>
      </c>
      <c r="AH311" s="641">
        <f t="shared" si="98"/>
        <v>241099</v>
      </c>
      <c r="AI311" s="641">
        <f t="shared" si="99"/>
        <v>267.88777777777779</v>
      </c>
      <c r="AJ311" s="486"/>
      <c r="AK311" s="460"/>
      <c r="AL311" s="640">
        <f t="shared" si="100"/>
        <v>0</v>
      </c>
      <c r="AM311" s="641">
        <f t="shared" si="101"/>
        <v>0</v>
      </c>
      <c r="AN311" s="486"/>
      <c r="AO311" s="460"/>
      <c r="AP311" s="486"/>
      <c r="AQ311" s="460"/>
      <c r="AR311" s="486"/>
      <c r="AS311" s="460"/>
      <c r="AT311" s="486"/>
      <c r="AU311" s="460"/>
      <c r="AV311" s="640">
        <f t="shared" si="102"/>
        <v>0</v>
      </c>
      <c r="AW311" s="640">
        <f t="shared" si="103"/>
        <v>0</v>
      </c>
      <c r="AX311" s="641">
        <f t="shared" si="104"/>
        <v>0</v>
      </c>
      <c r="AY311" s="641">
        <f t="shared" si="105"/>
        <v>0</v>
      </c>
      <c r="AZ311" s="640">
        <f t="shared" si="106"/>
        <v>1190.4944444444445</v>
      </c>
      <c r="BA311" s="641">
        <f t="shared" si="107"/>
        <v>1303.8877777777777</v>
      </c>
      <c r="BB311" s="543"/>
      <c r="BC311" s="543"/>
    </row>
    <row r="312" spans="1:55" s="365" customFormat="1" ht="15" customHeight="1">
      <c r="A312" s="539" t="s">
        <v>239</v>
      </c>
      <c r="B312" s="540" t="s">
        <v>833</v>
      </c>
      <c r="C312" s="592"/>
      <c r="D312" s="631">
        <v>197814</v>
      </c>
      <c r="E312" s="502">
        <v>10</v>
      </c>
      <c r="F312" s="486"/>
      <c r="G312" s="460"/>
      <c r="H312" s="486"/>
      <c r="I312" s="460"/>
      <c r="J312" s="486">
        <v>23073</v>
      </c>
      <c r="K312" s="542">
        <v>21868</v>
      </c>
      <c r="L312" s="486">
        <v>5724</v>
      </c>
      <c r="M312" s="542">
        <v>5578</v>
      </c>
      <c r="N312" s="486">
        <v>23783</v>
      </c>
      <c r="O312" s="542">
        <v>22825</v>
      </c>
      <c r="P312" s="640">
        <f t="shared" si="90"/>
        <v>52580</v>
      </c>
      <c r="Q312" s="640">
        <f t="shared" si="91"/>
        <v>1752.6666666666667</v>
      </c>
      <c r="R312" s="641">
        <f t="shared" si="92"/>
        <v>50271</v>
      </c>
      <c r="S312" s="641">
        <f t="shared" si="93"/>
        <v>1675.7</v>
      </c>
      <c r="T312" s="486">
        <v>20454</v>
      </c>
      <c r="U312" s="542">
        <v>19607</v>
      </c>
      <c r="V312" s="640">
        <f t="shared" si="94"/>
        <v>52580</v>
      </c>
      <c r="W312" s="641">
        <f t="shared" si="95"/>
        <v>50271</v>
      </c>
      <c r="X312" s="486"/>
      <c r="Y312" s="501"/>
      <c r="Z312" s="486">
        <v>47353</v>
      </c>
      <c r="AA312" s="542">
        <v>68758</v>
      </c>
      <c r="AB312" s="486">
        <v>75707</v>
      </c>
      <c r="AC312" s="542">
        <v>67499</v>
      </c>
      <c r="AD312" s="486">
        <v>79283</v>
      </c>
      <c r="AE312" s="542">
        <v>92772</v>
      </c>
      <c r="AF312" s="640">
        <f t="shared" si="96"/>
        <v>202343</v>
      </c>
      <c r="AG312" s="640">
        <f t="shared" si="97"/>
        <v>224.82555555555555</v>
      </c>
      <c r="AH312" s="641">
        <f t="shared" si="98"/>
        <v>229029</v>
      </c>
      <c r="AI312" s="641">
        <f t="shared" si="99"/>
        <v>254.47666666666666</v>
      </c>
      <c r="AJ312" s="486"/>
      <c r="AK312" s="460"/>
      <c r="AL312" s="640">
        <f t="shared" si="100"/>
        <v>0</v>
      </c>
      <c r="AM312" s="641">
        <f t="shared" si="101"/>
        <v>0</v>
      </c>
      <c r="AN312" s="486"/>
      <c r="AO312" s="460"/>
      <c r="AP312" s="486"/>
      <c r="AQ312" s="460"/>
      <c r="AR312" s="486"/>
      <c r="AS312" s="460"/>
      <c r="AT312" s="486"/>
      <c r="AU312" s="460"/>
      <c r="AV312" s="640">
        <f t="shared" si="102"/>
        <v>0</v>
      </c>
      <c r="AW312" s="640">
        <f t="shared" si="103"/>
        <v>0</v>
      </c>
      <c r="AX312" s="641">
        <f t="shared" si="104"/>
        <v>0</v>
      </c>
      <c r="AY312" s="641">
        <f t="shared" si="105"/>
        <v>0</v>
      </c>
      <c r="AZ312" s="640">
        <f t="shared" si="106"/>
        <v>1977.4922222222224</v>
      </c>
      <c r="BA312" s="641">
        <f t="shared" si="107"/>
        <v>1930.1766666666667</v>
      </c>
      <c r="BB312" s="543"/>
      <c r="BC312" s="543"/>
    </row>
    <row r="313" spans="1:55" s="365" customFormat="1" ht="15" customHeight="1">
      <c r="A313" s="539" t="s">
        <v>239</v>
      </c>
      <c r="B313" s="540" t="s">
        <v>257</v>
      </c>
      <c r="C313" s="592"/>
      <c r="D313" s="631">
        <v>198491</v>
      </c>
      <c r="E313" s="502">
        <v>10</v>
      </c>
      <c r="F313" s="486"/>
      <c r="G313" s="460"/>
      <c r="H313" s="486"/>
      <c r="I313" s="460"/>
      <c r="J313" s="486">
        <v>16049</v>
      </c>
      <c r="K313" s="542">
        <v>12533</v>
      </c>
      <c r="L313" s="486">
        <v>4869</v>
      </c>
      <c r="M313" s="542">
        <v>4763</v>
      </c>
      <c r="N313" s="486">
        <v>13587</v>
      </c>
      <c r="O313" s="542">
        <v>13753</v>
      </c>
      <c r="P313" s="640">
        <f t="shared" si="90"/>
        <v>34505</v>
      </c>
      <c r="Q313" s="640">
        <f t="shared" si="91"/>
        <v>1150.1666666666667</v>
      </c>
      <c r="R313" s="641">
        <f t="shared" si="92"/>
        <v>31049</v>
      </c>
      <c r="S313" s="641">
        <f t="shared" si="93"/>
        <v>1034.9666666666667</v>
      </c>
      <c r="T313" s="486">
        <v>5640</v>
      </c>
      <c r="U313" s="542">
        <v>4858</v>
      </c>
      <c r="V313" s="640">
        <f t="shared" si="94"/>
        <v>34505</v>
      </c>
      <c r="W313" s="641">
        <f t="shared" si="95"/>
        <v>31049</v>
      </c>
      <c r="X313" s="486"/>
      <c r="Y313" s="501"/>
      <c r="Z313" s="486">
        <v>62483</v>
      </c>
      <c r="AA313" s="542">
        <v>70648</v>
      </c>
      <c r="AB313" s="486">
        <v>46493</v>
      </c>
      <c r="AC313" s="542">
        <v>56153</v>
      </c>
      <c r="AD313" s="486">
        <v>72317</v>
      </c>
      <c r="AE313" s="542">
        <v>107406</v>
      </c>
      <c r="AF313" s="640">
        <f t="shared" si="96"/>
        <v>181293</v>
      </c>
      <c r="AG313" s="640">
        <f t="shared" si="97"/>
        <v>201.43666666666667</v>
      </c>
      <c r="AH313" s="641">
        <f t="shared" si="98"/>
        <v>234207</v>
      </c>
      <c r="AI313" s="641">
        <f t="shared" si="99"/>
        <v>260.23</v>
      </c>
      <c r="AJ313" s="486"/>
      <c r="AK313" s="460"/>
      <c r="AL313" s="640">
        <f t="shared" si="100"/>
        <v>0</v>
      </c>
      <c r="AM313" s="641">
        <f t="shared" si="101"/>
        <v>0</v>
      </c>
      <c r="AN313" s="486"/>
      <c r="AO313" s="460"/>
      <c r="AP313" s="486"/>
      <c r="AQ313" s="460"/>
      <c r="AR313" s="486"/>
      <c r="AS313" s="460"/>
      <c r="AT313" s="486"/>
      <c r="AU313" s="460"/>
      <c r="AV313" s="640">
        <f t="shared" si="102"/>
        <v>0</v>
      </c>
      <c r="AW313" s="640">
        <f t="shared" si="103"/>
        <v>0</v>
      </c>
      <c r="AX313" s="641">
        <f t="shared" si="104"/>
        <v>0</v>
      </c>
      <c r="AY313" s="641">
        <f t="shared" si="105"/>
        <v>0</v>
      </c>
      <c r="AZ313" s="640">
        <f t="shared" si="106"/>
        <v>1351.6033333333335</v>
      </c>
      <c r="BA313" s="641">
        <f t="shared" si="107"/>
        <v>1295.1966666666667</v>
      </c>
      <c r="BB313" s="543"/>
      <c r="BC313" s="543"/>
    </row>
    <row r="314" spans="1:55" s="365" customFormat="1" ht="15" customHeight="1">
      <c r="A314" s="539" t="s">
        <v>239</v>
      </c>
      <c r="B314" s="540" t="s">
        <v>278</v>
      </c>
      <c r="C314" s="592"/>
      <c r="D314" s="631">
        <v>198640</v>
      </c>
      <c r="E314" s="502">
        <v>10</v>
      </c>
      <c r="F314" s="486"/>
      <c r="G314" s="460"/>
      <c r="H314" s="486"/>
      <c r="I314" s="460"/>
      <c r="J314" s="486">
        <v>9578</v>
      </c>
      <c r="K314" s="542">
        <v>7631</v>
      </c>
      <c r="L314" s="486">
        <v>1785</v>
      </c>
      <c r="M314" s="542">
        <v>1902</v>
      </c>
      <c r="N314" s="486">
        <v>8088</v>
      </c>
      <c r="O314" s="542">
        <v>8493</v>
      </c>
      <c r="P314" s="640">
        <f t="shared" si="90"/>
        <v>19451</v>
      </c>
      <c r="Q314" s="640">
        <f t="shared" si="91"/>
        <v>648.36666666666667</v>
      </c>
      <c r="R314" s="641">
        <f t="shared" si="92"/>
        <v>18026</v>
      </c>
      <c r="S314" s="641">
        <f t="shared" si="93"/>
        <v>600.86666666666667</v>
      </c>
      <c r="T314" s="486">
        <v>7253</v>
      </c>
      <c r="U314" s="542">
        <v>7209</v>
      </c>
      <c r="V314" s="640">
        <f t="shared" si="94"/>
        <v>19451</v>
      </c>
      <c r="W314" s="641">
        <f t="shared" si="95"/>
        <v>18026</v>
      </c>
      <c r="X314" s="486"/>
      <c r="Y314" s="501"/>
      <c r="Z314" s="486">
        <v>60942</v>
      </c>
      <c r="AA314" s="542">
        <v>38350</v>
      </c>
      <c r="AB314" s="486">
        <v>16440</v>
      </c>
      <c r="AC314" s="542">
        <v>33996</v>
      </c>
      <c r="AD314" s="486">
        <v>46401</v>
      </c>
      <c r="AE314" s="542">
        <v>49246</v>
      </c>
      <c r="AF314" s="640">
        <f t="shared" si="96"/>
        <v>123783</v>
      </c>
      <c r="AG314" s="640">
        <f t="shared" si="97"/>
        <v>137.53666666666666</v>
      </c>
      <c r="AH314" s="641">
        <f t="shared" si="98"/>
        <v>121592</v>
      </c>
      <c r="AI314" s="641">
        <f t="shared" si="99"/>
        <v>135.10222222222222</v>
      </c>
      <c r="AJ314" s="486"/>
      <c r="AK314" s="460"/>
      <c r="AL314" s="640">
        <f t="shared" si="100"/>
        <v>0</v>
      </c>
      <c r="AM314" s="641">
        <f t="shared" si="101"/>
        <v>0</v>
      </c>
      <c r="AN314" s="486"/>
      <c r="AO314" s="460"/>
      <c r="AP314" s="486"/>
      <c r="AQ314" s="460"/>
      <c r="AR314" s="486"/>
      <c r="AS314" s="460"/>
      <c r="AT314" s="486"/>
      <c r="AU314" s="460"/>
      <c r="AV314" s="640">
        <f t="shared" si="102"/>
        <v>0</v>
      </c>
      <c r="AW314" s="640">
        <f t="shared" si="103"/>
        <v>0</v>
      </c>
      <c r="AX314" s="641">
        <f t="shared" si="104"/>
        <v>0</v>
      </c>
      <c r="AY314" s="641">
        <f t="shared" si="105"/>
        <v>0</v>
      </c>
      <c r="AZ314" s="640">
        <f t="shared" si="106"/>
        <v>785.90333333333331</v>
      </c>
      <c r="BA314" s="641">
        <f t="shared" si="107"/>
        <v>735.96888888888884</v>
      </c>
      <c r="BB314" s="543"/>
      <c r="BC314" s="543"/>
    </row>
    <row r="315" spans="1:55" s="365" customFormat="1" ht="15" customHeight="1">
      <c r="A315" s="539" t="s">
        <v>239</v>
      </c>
      <c r="B315" s="540" t="s">
        <v>279</v>
      </c>
      <c r="C315" s="592"/>
      <c r="D315" s="631">
        <v>198668</v>
      </c>
      <c r="E315" s="502">
        <v>10</v>
      </c>
      <c r="F315" s="486"/>
      <c r="G315" s="460"/>
      <c r="H315" s="486"/>
      <c r="I315" s="460"/>
      <c r="J315" s="486">
        <v>13779</v>
      </c>
      <c r="K315" s="542">
        <v>12253</v>
      </c>
      <c r="L315" s="486">
        <v>3087</v>
      </c>
      <c r="M315" s="542">
        <v>2697</v>
      </c>
      <c r="N315" s="486">
        <v>13908</v>
      </c>
      <c r="O315" s="542">
        <v>12436</v>
      </c>
      <c r="P315" s="640">
        <f t="shared" si="90"/>
        <v>30774</v>
      </c>
      <c r="Q315" s="640">
        <f t="shared" si="91"/>
        <v>1025.8</v>
      </c>
      <c r="R315" s="641">
        <f t="shared" si="92"/>
        <v>27386</v>
      </c>
      <c r="S315" s="641">
        <f t="shared" si="93"/>
        <v>912.86666666666667</v>
      </c>
      <c r="T315" s="486">
        <v>6380</v>
      </c>
      <c r="U315" s="542">
        <v>5860</v>
      </c>
      <c r="V315" s="640">
        <f t="shared" si="94"/>
        <v>30774</v>
      </c>
      <c r="W315" s="641">
        <f t="shared" si="95"/>
        <v>27386</v>
      </c>
      <c r="X315" s="486"/>
      <c r="Y315" s="501"/>
      <c r="Z315" s="486">
        <v>54841</v>
      </c>
      <c r="AA315" s="542">
        <v>56548</v>
      </c>
      <c r="AB315" s="486">
        <v>38593</v>
      </c>
      <c r="AC315" s="542">
        <v>31522</v>
      </c>
      <c r="AD315" s="486">
        <v>61555</v>
      </c>
      <c r="AE315" s="542">
        <v>58998</v>
      </c>
      <c r="AF315" s="640">
        <f t="shared" si="96"/>
        <v>154989</v>
      </c>
      <c r="AG315" s="640">
        <f t="shared" si="97"/>
        <v>172.21</v>
      </c>
      <c r="AH315" s="641">
        <f t="shared" si="98"/>
        <v>147068</v>
      </c>
      <c r="AI315" s="641">
        <f t="shared" si="99"/>
        <v>163.4088888888889</v>
      </c>
      <c r="AJ315" s="486"/>
      <c r="AK315" s="460"/>
      <c r="AL315" s="640">
        <f t="shared" si="100"/>
        <v>0</v>
      </c>
      <c r="AM315" s="641">
        <f t="shared" si="101"/>
        <v>0</v>
      </c>
      <c r="AN315" s="486"/>
      <c r="AO315" s="460"/>
      <c r="AP315" s="486"/>
      <c r="AQ315" s="460"/>
      <c r="AR315" s="486"/>
      <c r="AS315" s="460"/>
      <c r="AT315" s="486"/>
      <c r="AU315" s="460"/>
      <c r="AV315" s="640">
        <f t="shared" si="102"/>
        <v>0</v>
      </c>
      <c r="AW315" s="640">
        <f t="shared" si="103"/>
        <v>0</v>
      </c>
      <c r="AX315" s="641">
        <f t="shared" si="104"/>
        <v>0</v>
      </c>
      <c r="AY315" s="641">
        <f t="shared" si="105"/>
        <v>0</v>
      </c>
      <c r="AZ315" s="640">
        <f t="shared" si="106"/>
        <v>1198.01</v>
      </c>
      <c r="BA315" s="641">
        <f t="shared" si="107"/>
        <v>1076.2755555555555</v>
      </c>
      <c r="BB315" s="543"/>
      <c r="BC315" s="543"/>
    </row>
    <row r="316" spans="1:55" s="365" customFormat="1" ht="15" customHeight="1">
      <c r="A316" s="539" t="s">
        <v>239</v>
      </c>
      <c r="B316" s="540" t="s">
        <v>280</v>
      </c>
      <c r="C316" s="592"/>
      <c r="D316" s="631">
        <v>198710</v>
      </c>
      <c r="E316" s="502">
        <v>10</v>
      </c>
      <c r="F316" s="486"/>
      <c r="G316" s="460"/>
      <c r="H316" s="486"/>
      <c r="I316" s="460"/>
      <c r="J316" s="486">
        <v>19862</v>
      </c>
      <c r="K316" s="542">
        <v>18145</v>
      </c>
      <c r="L316" s="486">
        <v>5672</v>
      </c>
      <c r="M316" s="542">
        <v>5598</v>
      </c>
      <c r="N316" s="486">
        <v>20169</v>
      </c>
      <c r="O316" s="542">
        <v>18346</v>
      </c>
      <c r="P316" s="640">
        <f t="shared" si="90"/>
        <v>45703</v>
      </c>
      <c r="Q316" s="640">
        <f t="shared" si="91"/>
        <v>1523.4333333333334</v>
      </c>
      <c r="R316" s="641">
        <f t="shared" si="92"/>
        <v>42089</v>
      </c>
      <c r="S316" s="641">
        <f t="shared" si="93"/>
        <v>1402.9666666666667</v>
      </c>
      <c r="T316" s="486">
        <v>13992</v>
      </c>
      <c r="U316" s="542">
        <v>12832</v>
      </c>
      <c r="V316" s="640">
        <f t="shared" si="94"/>
        <v>45703</v>
      </c>
      <c r="W316" s="641">
        <f t="shared" si="95"/>
        <v>42089</v>
      </c>
      <c r="X316" s="486"/>
      <c r="Y316" s="501"/>
      <c r="Z316" s="486">
        <v>54050</v>
      </c>
      <c r="AA316" s="542">
        <v>59705</v>
      </c>
      <c r="AB316" s="486">
        <v>27141</v>
      </c>
      <c r="AC316" s="542">
        <v>37983</v>
      </c>
      <c r="AD316" s="486">
        <v>50967</v>
      </c>
      <c r="AE316" s="542">
        <v>62907</v>
      </c>
      <c r="AF316" s="640">
        <f t="shared" si="96"/>
        <v>132158</v>
      </c>
      <c r="AG316" s="640">
        <f t="shared" si="97"/>
        <v>146.84222222222223</v>
      </c>
      <c r="AH316" s="641">
        <f t="shared" si="98"/>
        <v>160595</v>
      </c>
      <c r="AI316" s="641">
        <f t="shared" si="99"/>
        <v>178.4388888888889</v>
      </c>
      <c r="AJ316" s="486"/>
      <c r="AK316" s="460"/>
      <c r="AL316" s="640">
        <f t="shared" si="100"/>
        <v>0</v>
      </c>
      <c r="AM316" s="641">
        <f t="shared" si="101"/>
        <v>0</v>
      </c>
      <c r="AN316" s="486"/>
      <c r="AO316" s="460"/>
      <c r="AP316" s="486"/>
      <c r="AQ316" s="460"/>
      <c r="AR316" s="486"/>
      <c r="AS316" s="460"/>
      <c r="AT316" s="486"/>
      <c r="AU316" s="460"/>
      <c r="AV316" s="640">
        <f t="shared" si="102"/>
        <v>0</v>
      </c>
      <c r="AW316" s="640">
        <f t="shared" si="103"/>
        <v>0</v>
      </c>
      <c r="AX316" s="641">
        <f t="shared" si="104"/>
        <v>0</v>
      </c>
      <c r="AY316" s="641">
        <f t="shared" si="105"/>
        <v>0</v>
      </c>
      <c r="AZ316" s="640">
        <f t="shared" si="106"/>
        <v>1670.2755555555557</v>
      </c>
      <c r="BA316" s="641">
        <f t="shared" si="107"/>
        <v>1581.4055555555556</v>
      </c>
      <c r="BB316" s="543"/>
      <c r="BC316" s="543"/>
    </row>
    <row r="317" spans="1:55" s="365" customFormat="1" ht="15" customHeight="1">
      <c r="A317" s="539" t="s">
        <v>239</v>
      </c>
      <c r="B317" s="540" t="s">
        <v>281</v>
      </c>
      <c r="C317" s="592"/>
      <c r="D317" s="631">
        <v>198729</v>
      </c>
      <c r="E317" s="502">
        <v>10</v>
      </c>
      <c r="F317" s="486"/>
      <c r="G317" s="460"/>
      <c r="H317" s="486"/>
      <c r="I317" s="460"/>
      <c r="J317" s="486">
        <v>11187</v>
      </c>
      <c r="K317" s="542">
        <v>9859</v>
      </c>
      <c r="L317" s="486">
        <v>3558</v>
      </c>
      <c r="M317" s="542">
        <v>3407</v>
      </c>
      <c r="N317" s="486">
        <v>10933</v>
      </c>
      <c r="O317" s="542">
        <v>12763</v>
      </c>
      <c r="P317" s="640">
        <f t="shared" si="90"/>
        <v>25678</v>
      </c>
      <c r="Q317" s="640">
        <f t="shared" si="91"/>
        <v>855.93333333333328</v>
      </c>
      <c r="R317" s="641">
        <f t="shared" si="92"/>
        <v>26029</v>
      </c>
      <c r="S317" s="641">
        <f t="shared" si="93"/>
        <v>867.63333333333333</v>
      </c>
      <c r="T317" s="486">
        <v>7655</v>
      </c>
      <c r="U317" s="542">
        <v>6991</v>
      </c>
      <c r="V317" s="640">
        <f t="shared" si="94"/>
        <v>25678</v>
      </c>
      <c r="W317" s="641">
        <f t="shared" si="95"/>
        <v>26029</v>
      </c>
      <c r="X317" s="486"/>
      <c r="Y317" s="501"/>
      <c r="Z317" s="486">
        <v>85460</v>
      </c>
      <c r="AA317" s="542">
        <v>96220</v>
      </c>
      <c r="AB317" s="486">
        <v>46374</v>
      </c>
      <c r="AC317" s="542">
        <v>49712</v>
      </c>
      <c r="AD317" s="486">
        <v>89255</v>
      </c>
      <c r="AE317" s="542">
        <v>104887</v>
      </c>
      <c r="AF317" s="640">
        <f t="shared" si="96"/>
        <v>221089</v>
      </c>
      <c r="AG317" s="640">
        <f t="shared" si="97"/>
        <v>245.65444444444444</v>
      </c>
      <c r="AH317" s="641">
        <f t="shared" si="98"/>
        <v>250819</v>
      </c>
      <c r="AI317" s="641">
        <f t="shared" si="99"/>
        <v>278.6877777777778</v>
      </c>
      <c r="AJ317" s="486"/>
      <c r="AK317" s="460"/>
      <c r="AL317" s="640">
        <f t="shared" si="100"/>
        <v>0</v>
      </c>
      <c r="AM317" s="641">
        <f t="shared" si="101"/>
        <v>0</v>
      </c>
      <c r="AN317" s="486"/>
      <c r="AO317" s="460"/>
      <c r="AP317" s="486"/>
      <c r="AQ317" s="460"/>
      <c r="AR317" s="486"/>
      <c r="AS317" s="460"/>
      <c r="AT317" s="486"/>
      <c r="AU317" s="460"/>
      <c r="AV317" s="640">
        <f t="shared" si="102"/>
        <v>0</v>
      </c>
      <c r="AW317" s="640">
        <f t="shared" si="103"/>
        <v>0</v>
      </c>
      <c r="AX317" s="641">
        <f t="shared" si="104"/>
        <v>0</v>
      </c>
      <c r="AY317" s="641">
        <f t="shared" si="105"/>
        <v>0</v>
      </c>
      <c r="AZ317" s="640">
        <f t="shared" si="106"/>
        <v>1101.5877777777778</v>
      </c>
      <c r="BA317" s="641">
        <f t="shared" si="107"/>
        <v>1146.3211111111111</v>
      </c>
      <c r="BB317" s="543"/>
      <c r="BC317" s="543"/>
    </row>
    <row r="318" spans="1:55" s="365" customFormat="1" ht="15" customHeight="1">
      <c r="A318" s="539" t="s">
        <v>239</v>
      </c>
      <c r="B318" s="540" t="s">
        <v>282</v>
      </c>
      <c r="C318" s="592"/>
      <c r="D318" s="631">
        <v>198905</v>
      </c>
      <c r="E318" s="502">
        <v>10</v>
      </c>
      <c r="F318" s="486"/>
      <c r="G318" s="460"/>
      <c r="H318" s="486"/>
      <c r="I318" s="460"/>
      <c r="J318" s="486">
        <v>7961</v>
      </c>
      <c r="K318" s="542">
        <v>7025</v>
      </c>
      <c r="L318" s="486">
        <v>1646</v>
      </c>
      <c r="M318" s="542">
        <v>1364</v>
      </c>
      <c r="N318" s="486">
        <v>8062</v>
      </c>
      <c r="O318" s="542">
        <v>6704</v>
      </c>
      <c r="P318" s="640">
        <f t="shared" si="90"/>
        <v>17669</v>
      </c>
      <c r="Q318" s="640">
        <f t="shared" si="91"/>
        <v>588.9666666666667</v>
      </c>
      <c r="R318" s="641">
        <f t="shared" si="92"/>
        <v>15093</v>
      </c>
      <c r="S318" s="641">
        <f t="shared" si="93"/>
        <v>503.1</v>
      </c>
      <c r="T318" s="486">
        <v>9788</v>
      </c>
      <c r="U318" s="542">
        <v>7708</v>
      </c>
      <c r="V318" s="640">
        <f t="shared" si="94"/>
        <v>17669</v>
      </c>
      <c r="W318" s="641">
        <f t="shared" si="95"/>
        <v>15093</v>
      </c>
      <c r="X318" s="486"/>
      <c r="Y318" s="501"/>
      <c r="Z318" s="486">
        <v>43282</v>
      </c>
      <c r="AA318" s="542">
        <v>20351</v>
      </c>
      <c r="AB318" s="486">
        <v>8406</v>
      </c>
      <c r="AC318" s="542">
        <v>17082</v>
      </c>
      <c r="AD318" s="486">
        <v>31625</v>
      </c>
      <c r="AE318" s="542">
        <v>42498</v>
      </c>
      <c r="AF318" s="640">
        <f t="shared" si="96"/>
        <v>83313</v>
      </c>
      <c r="AG318" s="640">
        <f t="shared" si="97"/>
        <v>92.57</v>
      </c>
      <c r="AH318" s="641">
        <f t="shared" si="98"/>
        <v>79931</v>
      </c>
      <c r="AI318" s="641">
        <f t="shared" si="99"/>
        <v>88.812222222222218</v>
      </c>
      <c r="AJ318" s="486"/>
      <c r="AK318" s="460"/>
      <c r="AL318" s="640">
        <f t="shared" si="100"/>
        <v>0</v>
      </c>
      <c r="AM318" s="641">
        <f t="shared" si="101"/>
        <v>0</v>
      </c>
      <c r="AN318" s="486"/>
      <c r="AO318" s="460"/>
      <c r="AP318" s="486"/>
      <c r="AQ318" s="460"/>
      <c r="AR318" s="486"/>
      <c r="AS318" s="460"/>
      <c r="AT318" s="486"/>
      <c r="AU318" s="460"/>
      <c r="AV318" s="640">
        <f t="shared" si="102"/>
        <v>0</v>
      </c>
      <c r="AW318" s="640">
        <f t="shared" si="103"/>
        <v>0</v>
      </c>
      <c r="AX318" s="641">
        <f t="shared" si="104"/>
        <v>0</v>
      </c>
      <c r="AY318" s="641">
        <f t="shared" si="105"/>
        <v>0</v>
      </c>
      <c r="AZ318" s="640">
        <f t="shared" si="106"/>
        <v>681.53666666666663</v>
      </c>
      <c r="BA318" s="641">
        <f t="shared" si="107"/>
        <v>591.91222222222223</v>
      </c>
      <c r="BB318" s="543"/>
      <c r="BC318" s="543"/>
    </row>
    <row r="319" spans="1:55" s="365" customFormat="1" ht="15" customHeight="1">
      <c r="A319" s="539" t="s">
        <v>239</v>
      </c>
      <c r="B319" s="540" t="s">
        <v>283</v>
      </c>
      <c r="C319" s="592"/>
      <c r="D319" s="631">
        <v>198914</v>
      </c>
      <c r="E319" s="502">
        <v>10</v>
      </c>
      <c r="F319" s="486"/>
      <c r="G319" s="460"/>
      <c r="H319" s="486"/>
      <c r="I319" s="460"/>
      <c r="J319" s="486">
        <v>8257</v>
      </c>
      <c r="K319" s="542">
        <v>7353</v>
      </c>
      <c r="L319" s="486">
        <v>1338</v>
      </c>
      <c r="M319" s="542">
        <v>1260</v>
      </c>
      <c r="N319" s="486">
        <v>8309</v>
      </c>
      <c r="O319" s="542">
        <v>7723</v>
      </c>
      <c r="P319" s="640">
        <f t="shared" si="90"/>
        <v>17904</v>
      </c>
      <c r="Q319" s="640">
        <f t="shared" si="91"/>
        <v>596.79999999999995</v>
      </c>
      <c r="R319" s="641">
        <f t="shared" si="92"/>
        <v>16336</v>
      </c>
      <c r="S319" s="641">
        <f t="shared" si="93"/>
        <v>544.5333333333333</v>
      </c>
      <c r="T319" s="486">
        <v>7003</v>
      </c>
      <c r="U319" s="542">
        <v>6527</v>
      </c>
      <c r="V319" s="640">
        <f t="shared" si="94"/>
        <v>17904</v>
      </c>
      <c r="W319" s="641">
        <f t="shared" si="95"/>
        <v>16336</v>
      </c>
      <c r="X319" s="486"/>
      <c r="Y319" s="501"/>
      <c r="Z319" s="486">
        <v>104456</v>
      </c>
      <c r="AA319" s="542">
        <v>31614</v>
      </c>
      <c r="AB319" s="486">
        <v>17529</v>
      </c>
      <c r="AC319" s="542">
        <v>36826</v>
      </c>
      <c r="AD319" s="486">
        <v>45222</v>
      </c>
      <c r="AE319" s="542">
        <v>54661</v>
      </c>
      <c r="AF319" s="640">
        <f t="shared" si="96"/>
        <v>167207</v>
      </c>
      <c r="AG319" s="640">
        <f t="shared" si="97"/>
        <v>185.78555555555556</v>
      </c>
      <c r="AH319" s="641">
        <f t="shared" si="98"/>
        <v>123101</v>
      </c>
      <c r="AI319" s="641">
        <f t="shared" si="99"/>
        <v>136.7788888888889</v>
      </c>
      <c r="AJ319" s="486"/>
      <c r="AK319" s="460"/>
      <c r="AL319" s="640">
        <f t="shared" si="100"/>
        <v>0</v>
      </c>
      <c r="AM319" s="641">
        <f t="shared" si="101"/>
        <v>0</v>
      </c>
      <c r="AN319" s="486"/>
      <c r="AO319" s="460"/>
      <c r="AP319" s="486"/>
      <c r="AQ319" s="460"/>
      <c r="AR319" s="486"/>
      <c r="AS319" s="460"/>
      <c r="AT319" s="486"/>
      <c r="AU319" s="460"/>
      <c r="AV319" s="640">
        <f t="shared" si="102"/>
        <v>0</v>
      </c>
      <c r="AW319" s="640">
        <f t="shared" si="103"/>
        <v>0</v>
      </c>
      <c r="AX319" s="641">
        <f t="shared" si="104"/>
        <v>0</v>
      </c>
      <c r="AY319" s="641">
        <f t="shared" si="105"/>
        <v>0</v>
      </c>
      <c r="AZ319" s="640">
        <f t="shared" si="106"/>
        <v>782.58555555555552</v>
      </c>
      <c r="BA319" s="641">
        <f t="shared" si="107"/>
        <v>681.3122222222222</v>
      </c>
      <c r="BB319" s="543"/>
      <c r="BC319" s="543"/>
    </row>
    <row r="320" spans="1:55" s="365" customFormat="1" ht="15" customHeight="1">
      <c r="A320" s="539" t="s">
        <v>239</v>
      </c>
      <c r="B320" s="540" t="s">
        <v>284</v>
      </c>
      <c r="C320" s="592"/>
      <c r="D320" s="631">
        <v>198923</v>
      </c>
      <c r="E320" s="502">
        <v>10</v>
      </c>
      <c r="F320" s="486"/>
      <c r="G320" s="460"/>
      <c r="H320" s="486"/>
      <c r="I320" s="460"/>
      <c r="J320" s="486">
        <v>8875</v>
      </c>
      <c r="K320" s="542">
        <v>8056</v>
      </c>
      <c r="L320" s="486">
        <v>2503</v>
      </c>
      <c r="M320" s="542">
        <v>2434</v>
      </c>
      <c r="N320" s="486">
        <v>9287</v>
      </c>
      <c r="O320" s="542">
        <v>9928</v>
      </c>
      <c r="P320" s="640">
        <f t="shared" si="90"/>
        <v>20665</v>
      </c>
      <c r="Q320" s="640">
        <f t="shared" si="91"/>
        <v>688.83333333333337</v>
      </c>
      <c r="R320" s="641">
        <f t="shared" si="92"/>
        <v>20418</v>
      </c>
      <c r="S320" s="641">
        <f t="shared" si="93"/>
        <v>680.6</v>
      </c>
      <c r="T320" s="486">
        <v>8251</v>
      </c>
      <c r="U320" s="542">
        <v>7601</v>
      </c>
      <c r="V320" s="640">
        <f t="shared" si="94"/>
        <v>20665</v>
      </c>
      <c r="W320" s="641">
        <f t="shared" si="95"/>
        <v>20418</v>
      </c>
      <c r="X320" s="486"/>
      <c r="Y320" s="501"/>
      <c r="Z320" s="486">
        <v>34558</v>
      </c>
      <c r="AA320" s="542">
        <v>57723</v>
      </c>
      <c r="AB320" s="486">
        <v>22287</v>
      </c>
      <c r="AC320" s="542">
        <v>32372</v>
      </c>
      <c r="AD320" s="486">
        <v>34915</v>
      </c>
      <c r="AE320" s="542">
        <v>70065</v>
      </c>
      <c r="AF320" s="640">
        <f t="shared" si="96"/>
        <v>91760</v>
      </c>
      <c r="AG320" s="640">
        <f t="shared" si="97"/>
        <v>101.95555555555555</v>
      </c>
      <c r="AH320" s="641">
        <f t="shared" si="98"/>
        <v>160160</v>
      </c>
      <c r="AI320" s="641">
        <f t="shared" si="99"/>
        <v>177.95555555555555</v>
      </c>
      <c r="AJ320" s="486"/>
      <c r="AK320" s="460"/>
      <c r="AL320" s="640">
        <f t="shared" si="100"/>
        <v>0</v>
      </c>
      <c r="AM320" s="641">
        <f t="shared" si="101"/>
        <v>0</v>
      </c>
      <c r="AN320" s="486"/>
      <c r="AO320" s="460"/>
      <c r="AP320" s="486"/>
      <c r="AQ320" s="460"/>
      <c r="AR320" s="486"/>
      <c r="AS320" s="460"/>
      <c r="AT320" s="486"/>
      <c r="AU320" s="460"/>
      <c r="AV320" s="640">
        <f t="shared" si="102"/>
        <v>0</v>
      </c>
      <c r="AW320" s="640">
        <f t="shared" si="103"/>
        <v>0</v>
      </c>
      <c r="AX320" s="641">
        <f t="shared" si="104"/>
        <v>0</v>
      </c>
      <c r="AY320" s="641">
        <f t="shared" si="105"/>
        <v>0</v>
      </c>
      <c r="AZ320" s="640">
        <f t="shared" si="106"/>
        <v>790.78888888888889</v>
      </c>
      <c r="BA320" s="641">
        <f t="shared" si="107"/>
        <v>858.55555555555554</v>
      </c>
      <c r="BB320" s="543"/>
      <c r="BC320" s="543"/>
    </row>
    <row r="321" spans="1:55" s="365" customFormat="1" ht="15" customHeight="1">
      <c r="A321" s="539" t="s">
        <v>239</v>
      </c>
      <c r="B321" s="540" t="s">
        <v>285</v>
      </c>
      <c r="C321" s="592"/>
      <c r="D321" s="631">
        <v>199023</v>
      </c>
      <c r="E321" s="502">
        <v>10</v>
      </c>
      <c r="F321" s="486"/>
      <c r="G321" s="460"/>
      <c r="H321" s="486"/>
      <c r="I321" s="460"/>
      <c r="J321" s="486">
        <v>8348.5</v>
      </c>
      <c r="K321" s="542">
        <v>6482</v>
      </c>
      <c r="L321" s="486">
        <v>1322</v>
      </c>
      <c r="M321" s="542">
        <v>1274</v>
      </c>
      <c r="N321" s="486">
        <v>7721.5</v>
      </c>
      <c r="O321" s="542">
        <v>7664</v>
      </c>
      <c r="P321" s="640">
        <f t="shared" si="90"/>
        <v>17392</v>
      </c>
      <c r="Q321" s="640">
        <f t="shared" si="91"/>
        <v>579.73333333333335</v>
      </c>
      <c r="R321" s="641">
        <f t="shared" si="92"/>
        <v>15420</v>
      </c>
      <c r="S321" s="641">
        <f t="shared" si="93"/>
        <v>514</v>
      </c>
      <c r="T321" s="486">
        <v>5766</v>
      </c>
      <c r="U321" s="542">
        <v>5525</v>
      </c>
      <c r="V321" s="640">
        <f t="shared" si="94"/>
        <v>17392</v>
      </c>
      <c r="W321" s="641">
        <f t="shared" si="95"/>
        <v>15420</v>
      </c>
      <c r="X321" s="486"/>
      <c r="Y321" s="501"/>
      <c r="Z321" s="486">
        <v>47705</v>
      </c>
      <c r="AA321" s="542">
        <v>40913</v>
      </c>
      <c r="AB321" s="486">
        <v>20038</v>
      </c>
      <c r="AC321" s="542">
        <v>26159</v>
      </c>
      <c r="AD321" s="486">
        <v>53986</v>
      </c>
      <c r="AE321" s="542">
        <v>55395</v>
      </c>
      <c r="AF321" s="640">
        <f t="shared" si="96"/>
        <v>121729</v>
      </c>
      <c r="AG321" s="640">
        <f t="shared" si="97"/>
        <v>135.25444444444443</v>
      </c>
      <c r="AH321" s="641">
        <f t="shared" si="98"/>
        <v>122467</v>
      </c>
      <c r="AI321" s="641">
        <f t="shared" si="99"/>
        <v>136.07444444444445</v>
      </c>
      <c r="AJ321" s="486"/>
      <c r="AK321" s="460"/>
      <c r="AL321" s="640">
        <f t="shared" si="100"/>
        <v>0</v>
      </c>
      <c r="AM321" s="641">
        <f t="shared" si="101"/>
        <v>0</v>
      </c>
      <c r="AN321" s="486"/>
      <c r="AO321" s="460"/>
      <c r="AP321" s="486"/>
      <c r="AQ321" s="460"/>
      <c r="AR321" s="486"/>
      <c r="AS321" s="460"/>
      <c r="AT321" s="486"/>
      <c r="AU321" s="460"/>
      <c r="AV321" s="640">
        <f t="shared" si="102"/>
        <v>0</v>
      </c>
      <c r="AW321" s="640">
        <f t="shared" si="103"/>
        <v>0</v>
      </c>
      <c r="AX321" s="641">
        <f t="shared" si="104"/>
        <v>0</v>
      </c>
      <c r="AY321" s="641">
        <f t="shared" si="105"/>
        <v>0</v>
      </c>
      <c r="AZ321" s="640">
        <f t="shared" si="106"/>
        <v>714.98777777777775</v>
      </c>
      <c r="BA321" s="641">
        <f t="shared" si="107"/>
        <v>650.07444444444445</v>
      </c>
      <c r="BB321" s="543"/>
      <c r="BC321" s="543"/>
    </row>
    <row r="322" spans="1:55" s="365" customFormat="1" ht="15" customHeight="1">
      <c r="A322" s="539" t="s">
        <v>239</v>
      </c>
      <c r="B322" s="540" t="s">
        <v>286</v>
      </c>
      <c r="C322" s="592"/>
      <c r="D322" s="631">
        <v>199263</v>
      </c>
      <c r="E322" s="502">
        <v>10</v>
      </c>
      <c r="F322" s="486"/>
      <c r="G322" s="460"/>
      <c r="H322" s="486"/>
      <c r="I322" s="460"/>
      <c r="J322" s="486">
        <v>5565</v>
      </c>
      <c r="K322" s="542">
        <v>2738</v>
      </c>
      <c r="L322" s="486">
        <v>1853</v>
      </c>
      <c r="M322" s="542">
        <v>1095</v>
      </c>
      <c r="N322" s="486">
        <v>3637</v>
      </c>
      <c r="O322" s="542">
        <v>2838</v>
      </c>
      <c r="P322" s="640">
        <f t="shared" si="90"/>
        <v>11055</v>
      </c>
      <c r="Q322" s="640">
        <f t="shared" si="91"/>
        <v>368.5</v>
      </c>
      <c r="R322" s="641">
        <f t="shared" si="92"/>
        <v>6671</v>
      </c>
      <c r="S322" s="641">
        <f t="shared" si="93"/>
        <v>222.36666666666667</v>
      </c>
      <c r="T322" s="486">
        <v>1817</v>
      </c>
      <c r="U322" s="542">
        <v>1458</v>
      </c>
      <c r="V322" s="640">
        <f t="shared" si="94"/>
        <v>11055</v>
      </c>
      <c r="W322" s="641">
        <f t="shared" si="95"/>
        <v>6671</v>
      </c>
      <c r="X322" s="486"/>
      <c r="Y322" s="501"/>
      <c r="Z322" s="486">
        <v>27143</v>
      </c>
      <c r="AA322" s="542">
        <v>56978</v>
      </c>
      <c r="AB322" s="486">
        <v>17117</v>
      </c>
      <c r="AC322" s="542">
        <v>29285</v>
      </c>
      <c r="AD322" s="486">
        <v>34509</v>
      </c>
      <c r="AE322" s="542">
        <v>42195</v>
      </c>
      <c r="AF322" s="640">
        <f t="shared" si="96"/>
        <v>78769</v>
      </c>
      <c r="AG322" s="640">
        <f t="shared" si="97"/>
        <v>87.521111111111111</v>
      </c>
      <c r="AH322" s="641">
        <f t="shared" si="98"/>
        <v>128458</v>
      </c>
      <c r="AI322" s="641">
        <f t="shared" si="99"/>
        <v>142.73111111111112</v>
      </c>
      <c r="AJ322" s="486"/>
      <c r="AK322" s="460"/>
      <c r="AL322" s="640">
        <f t="shared" si="100"/>
        <v>0</v>
      </c>
      <c r="AM322" s="641">
        <f t="shared" si="101"/>
        <v>0</v>
      </c>
      <c r="AN322" s="486"/>
      <c r="AO322" s="460"/>
      <c r="AP322" s="486"/>
      <c r="AQ322" s="460"/>
      <c r="AR322" s="486"/>
      <c r="AS322" s="460"/>
      <c r="AT322" s="486"/>
      <c r="AU322" s="460"/>
      <c r="AV322" s="640">
        <f t="shared" si="102"/>
        <v>0</v>
      </c>
      <c r="AW322" s="640">
        <f t="shared" si="103"/>
        <v>0</v>
      </c>
      <c r="AX322" s="641">
        <f t="shared" si="104"/>
        <v>0</v>
      </c>
      <c r="AY322" s="641">
        <f t="shared" si="105"/>
        <v>0</v>
      </c>
      <c r="AZ322" s="640">
        <f t="shared" si="106"/>
        <v>456.02111111111111</v>
      </c>
      <c r="BA322" s="641">
        <f t="shared" si="107"/>
        <v>365.09777777777776</v>
      </c>
      <c r="BB322" s="543"/>
      <c r="BC322" s="543"/>
    </row>
    <row r="323" spans="1:55" s="365" customFormat="1" ht="15" customHeight="1">
      <c r="A323" s="539" t="s">
        <v>239</v>
      </c>
      <c r="B323" s="540" t="s">
        <v>287</v>
      </c>
      <c r="C323" s="592"/>
      <c r="D323" s="631">
        <v>199324</v>
      </c>
      <c r="E323" s="502">
        <v>10</v>
      </c>
      <c r="F323" s="486"/>
      <c r="G323" s="460"/>
      <c r="H323" s="486"/>
      <c r="I323" s="460"/>
      <c r="J323" s="486">
        <v>11116.5</v>
      </c>
      <c r="K323" s="542">
        <v>9997.5</v>
      </c>
      <c r="L323" s="486">
        <v>1927.5</v>
      </c>
      <c r="M323" s="542">
        <v>1874.5</v>
      </c>
      <c r="N323" s="486">
        <v>11416.5</v>
      </c>
      <c r="O323" s="542">
        <v>10789</v>
      </c>
      <c r="P323" s="640">
        <f t="shared" si="90"/>
        <v>24460.5</v>
      </c>
      <c r="Q323" s="640">
        <f t="shared" si="91"/>
        <v>815.35</v>
      </c>
      <c r="R323" s="641">
        <f t="shared" si="92"/>
        <v>22661</v>
      </c>
      <c r="S323" s="641">
        <f t="shared" si="93"/>
        <v>755.36666666666667</v>
      </c>
      <c r="T323" s="486">
        <v>7899.5</v>
      </c>
      <c r="U323" s="542">
        <v>7696</v>
      </c>
      <c r="V323" s="640">
        <f t="shared" si="94"/>
        <v>24460.5</v>
      </c>
      <c r="W323" s="641">
        <f t="shared" si="95"/>
        <v>22661</v>
      </c>
      <c r="X323" s="486"/>
      <c r="Y323" s="501"/>
      <c r="Z323" s="486">
        <v>103711</v>
      </c>
      <c r="AA323" s="542">
        <v>57173</v>
      </c>
      <c r="AB323" s="486">
        <v>29473</v>
      </c>
      <c r="AC323" s="542">
        <v>43830</v>
      </c>
      <c r="AD323" s="486">
        <v>56753</v>
      </c>
      <c r="AE323" s="542">
        <v>94679</v>
      </c>
      <c r="AF323" s="640">
        <f t="shared" si="96"/>
        <v>189937</v>
      </c>
      <c r="AG323" s="640">
        <f t="shared" si="97"/>
        <v>211.04111111111112</v>
      </c>
      <c r="AH323" s="641">
        <f t="shared" si="98"/>
        <v>195682</v>
      </c>
      <c r="AI323" s="641">
        <f t="shared" si="99"/>
        <v>217.42444444444445</v>
      </c>
      <c r="AJ323" s="486"/>
      <c r="AK323" s="460"/>
      <c r="AL323" s="640">
        <f t="shared" si="100"/>
        <v>0</v>
      </c>
      <c r="AM323" s="641">
        <f t="shared" si="101"/>
        <v>0</v>
      </c>
      <c r="AN323" s="486"/>
      <c r="AO323" s="460"/>
      <c r="AP323" s="486"/>
      <c r="AQ323" s="460"/>
      <c r="AR323" s="486"/>
      <c r="AS323" s="460"/>
      <c r="AT323" s="486"/>
      <c r="AU323" s="460"/>
      <c r="AV323" s="640">
        <f t="shared" si="102"/>
        <v>0</v>
      </c>
      <c r="AW323" s="640">
        <f t="shared" si="103"/>
        <v>0</v>
      </c>
      <c r="AX323" s="641">
        <f t="shared" si="104"/>
        <v>0</v>
      </c>
      <c r="AY323" s="641">
        <f t="shared" si="105"/>
        <v>0</v>
      </c>
      <c r="AZ323" s="640">
        <f t="shared" si="106"/>
        <v>1026.3911111111111</v>
      </c>
      <c r="BA323" s="641">
        <f t="shared" si="107"/>
        <v>972.79111111111115</v>
      </c>
      <c r="BB323" s="543"/>
      <c r="BC323" s="543"/>
    </row>
    <row r="324" spans="1:55" s="365" customFormat="1" ht="15" customHeight="1">
      <c r="A324" s="539" t="s">
        <v>239</v>
      </c>
      <c r="B324" s="540" t="s">
        <v>288</v>
      </c>
      <c r="C324" s="592"/>
      <c r="D324" s="631">
        <v>199467</v>
      </c>
      <c r="E324" s="502">
        <v>10</v>
      </c>
      <c r="F324" s="486"/>
      <c r="G324" s="460"/>
      <c r="H324" s="486"/>
      <c r="I324" s="460"/>
      <c r="J324" s="486">
        <v>4848</v>
      </c>
      <c r="K324" s="542">
        <v>4205</v>
      </c>
      <c r="L324" s="486">
        <v>1106</v>
      </c>
      <c r="M324" s="542">
        <v>1259</v>
      </c>
      <c r="N324" s="486">
        <v>4398</v>
      </c>
      <c r="O324" s="542">
        <v>5385</v>
      </c>
      <c r="P324" s="640">
        <f t="shared" si="90"/>
        <v>10352</v>
      </c>
      <c r="Q324" s="640">
        <f t="shared" si="91"/>
        <v>345.06666666666666</v>
      </c>
      <c r="R324" s="641">
        <f t="shared" si="92"/>
        <v>10849</v>
      </c>
      <c r="S324" s="641">
        <f t="shared" si="93"/>
        <v>361.63333333333333</v>
      </c>
      <c r="T324" s="486">
        <v>4751</v>
      </c>
      <c r="U324" s="542">
        <v>4883</v>
      </c>
      <c r="V324" s="640">
        <f t="shared" si="94"/>
        <v>10352</v>
      </c>
      <c r="W324" s="641">
        <f t="shared" si="95"/>
        <v>10849</v>
      </c>
      <c r="X324" s="486"/>
      <c r="Y324" s="501"/>
      <c r="Z324" s="486">
        <v>27585</v>
      </c>
      <c r="AA324" s="542">
        <v>30078</v>
      </c>
      <c r="AB324" s="486">
        <v>14430</v>
      </c>
      <c r="AC324" s="542">
        <v>31503</v>
      </c>
      <c r="AD324" s="486">
        <v>23466</v>
      </c>
      <c r="AE324" s="542">
        <v>46718</v>
      </c>
      <c r="AF324" s="640">
        <f t="shared" si="96"/>
        <v>65481</v>
      </c>
      <c r="AG324" s="640">
        <f t="shared" si="97"/>
        <v>72.756666666666661</v>
      </c>
      <c r="AH324" s="641">
        <f t="shared" si="98"/>
        <v>108299</v>
      </c>
      <c r="AI324" s="641">
        <f t="shared" si="99"/>
        <v>120.33222222222223</v>
      </c>
      <c r="AJ324" s="486"/>
      <c r="AK324" s="460"/>
      <c r="AL324" s="640">
        <f t="shared" si="100"/>
        <v>0</v>
      </c>
      <c r="AM324" s="641">
        <f t="shared" si="101"/>
        <v>0</v>
      </c>
      <c r="AN324" s="486"/>
      <c r="AO324" s="460"/>
      <c r="AP324" s="486"/>
      <c r="AQ324" s="460"/>
      <c r="AR324" s="486"/>
      <c r="AS324" s="460"/>
      <c r="AT324" s="486"/>
      <c r="AU324" s="460"/>
      <c r="AV324" s="640">
        <f t="shared" si="102"/>
        <v>0</v>
      </c>
      <c r="AW324" s="640">
        <f t="shared" si="103"/>
        <v>0</v>
      </c>
      <c r="AX324" s="641">
        <f t="shared" si="104"/>
        <v>0</v>
      </c>
      <c r="AY324" s="641">
        <f t="shared" si="105"/>
        <v>0</v>
      </c>
      <c r="AZ324" s="640">
        <f t="shared" si="106"/>
        <v>417.82333333333332</v>
      </c>
      <c r="BA324" s="641">
        <f t="shared" si="107"/>
        <v>481.96555555555557</v>
      </c>
      <c r="BB324" s="543"/>
      <c r="BC324" s="543"/>
    </row>
    <row r="325" spans="1:55" s="365" customFormat="1" ht="15" customHeight="1">
      <c r="A325" s="539" t="s">
        <v>239</v>
      </c>
      <c r="B325" s="540" t="s">
        <v>265</v>
      </c>
      <c r="C325" s="592" t="s">
        <v>904</v>
      </c>
      <c r="D325" s="631">
        <v>199476</v>
      </c>
      <c r="E325" s="502">
        <v>10</v>
      </c>
      <c r="F325" s="486"/>
      <c r="G325" s="460"/>
      <c r="H325" s="486"/>
      <c r="I325" s="460"/>
      <c r="J325" s="486">
        <v>17552</v>
      </c>
      <c r="K325" s="542">
        <v>16176</v>
      </c>
      <c r="L325" s="486">
        <v>4955</v>
      </c>
      <c r="M325" s="542">
        <v>5203</v>
      </c>
      <c r="N325" s="486">
        <v>18778</v>
      </c>
      <c r="O325" s="542">
        <v>18527</v>
      </c>
      <c r="P325" s="640">
        <f t="shared" si="90"/>
        <v>41285</v>
      </c>
      <c r="Q325" s="640">
        <f t="shared" si="91"/>
        <v>1376.1666666666667</v>
      </c>
      <c r="R325" s="641">
        <f t="shared" si="92"/>
        <v>39906</v>
      </c>
      <c r="S325" s="641">
        <f t="shared" si="93"/>
        <v>1330.2</v>
      </c>
      <c r="T325" s="486">
        <v>8337</v>
      </c>
      <c r="U325" s="542">
        <v>7149</v>
      </c>
      <c r="V325" s="640">
        <f t="shared" si="94"/>
        <v>41285</v>
      </c>
      <c r="W325" s="641">
        <f t="shared" si="95"/>
        <v>39906</v>
      </c>
      <c r="X325" s="486"/>
      <c r="Y325" s="501"/>
      <c r="Z325" s="486">
        <v>238790</v>
      </c>
      <c r="AA325" s="542">
        <v>207542</v>
      </c>
      <c r="AB325" s="486">
        <v>124766</v>
      </c>
      <c r="AC325" s="542">
        <v>141909</v>
      </c>
      <c r="AD325" s="486">
        <v>211115</v>
      </c>
      <c r="AE325" s="542">
        <v>335739</v>
      </c>
      <c r="AF325" s="640">
        <f t="shared" si="96"/>
        <v>574671</v>
      </c>
      <c r="AG325" s="640">
        <f t="shared" si="97"/>
        <v>638.52333333333331</v>
      </c>
      <c r="AH325" s="641">
        <f t="shared" si="98"/>
        <v>685190</v>
      </c>
      <c r="AI325" s="641">
        <f t="shared" si="99"/>
        <v>761.32222222222219</v>
      </c>
      <c r="AJ325" s="486"/>
      <c r="AK325" s="460"/>
      <c r="AL325" s="640">
        <f t="shared" si="100"/>
        <v>0</v>
      </c>
      <c r="AM325" s="641">
        <f t="shared" si="101"/>
        <v>0</v>
      </c>
      <c r="AN325" s="486"/>
      <c r="AO325" s="460"/>
      <c r="AP325" s="486"/>
      <c r="AQ325" s="460"/>
      <c r="AR325" s="486"/>
      <c r="AS325" s="460"/>
      <c r="AT325" s="486"/>
      <c r="AU325" s="460"/>
      <c r="AV325" s="640">
        <f t="shared" si="102"/>
        <v>0</v>
      </c>
      <c r="AW325" s="640">
        <f t="shared" si="103"/>
        <v>0</v>
      </c>
      <c r="AX325" s="641">
        <f t="shared" si="104"/>
        <v>0</v>
      </c>
      <c r="AY325" s="641">
        <f t="shared" si="105"/>
        <v>0</v>
      </c>
      <c r="AZ325" s="640">
        <f t="shared" si="106"/>
        <v>2014.69</v>
      </c>
      <c r="BA325" s="641">
        <f t="shared" si="107"/>
        <v>2091.5222222222224</v>
      </c>
      <c r="BB325" s="543"/>
      <c r="BC325" s="543"/>
    </row>
    <row r="326" spans="1:55" s="365" customFormat="1" ht="15" customHeight="1">
      <c r="A326" s="539" t="s">
        <v>239</v>
      </c>
      <c r="B326" s="540" t="s">
        <v>289</v>
      </c>
      <c r="C326" s="592"/>
      <c r="D326" s="631">
        <v>199485</v>
      </c>
      <c r="E326" s="502">
        <v>10</v>
      </c>
      <c r="F326" s="486"/>
      <c r="G326" s="460"/>
      <c r="H326" s="486"/>
      <c r="I326" s="460"/>
      <c r="J326" s="486">
        <v>15679</v>
      </c>
      <c r="K326" s="542">
        <v>13797</v>
      </c>
      <c r="L326" s="486">
        <v>4532</v>
      </c>
      <c r="M326" s="542">
        <v>3405</v>
      </c>
      <c r="N326" s="486">
        <v>16697</v>
      </c>
      <c r="O326" s="542">
        <v>15631</v>
      </c>
      <c r="P326" s="640">
        <f t="shared" si="90"/>
        <v>36908</v>
      </c>
      <c r="Q326" s="640">
        <f t="shared" si="91"/>
        <v>1230.2666666666667</v>
      </c>
      <c r="R326" s="641">
        <f t="shared" si="92"/>
        <v>32833</v>
      </c>
      <c r="S326" s="641">
        <f t="shared" si="93"/>
        <v>1094.4333333333334</v>
      </c>
      <c r="T326" s="486">
        <v>8885</v>
      </c>
      <c r="U326" s="542">
        <v>7080</v>
      </c>
      <c r="V326" s="640">
        <f t="shared" si="94"/>
        <v>36908</v>
      </c>
      <c r="W326" s="641">
        <f t="shared" si="95"/>
        <v>32833</v>
      </c>
      <c r="X326" s="486"/>
      <c r="Y326" s="501"/>
      <c r="Z326" s="486">
        <v>59555</v>
      </c>
      <c r="AA326" s="542">
        <v>67500</v>
      </c>
      <c r="AB326" s="486">
        <v>27044</v>
      </c>
      <c r="AC326" s="542">
        <v>47873</v>
      </c>
      <c r="AD326" s="486">
        <v>68711</v>
      </c>
      <c r="AE326" s="542">
        <v>74125</v>
      </c>
      <c r="AF326" s="640">
        <f t="shared" si="96"/>
        <v>155310</v>
      </c>
      <c r="AG326" s="640">
        <f t="shared" si="97"/>
        <v>172.56666666666666</v>
      </c>
      <c r="AH326" s="641">
        <f t="shared" si="98"/>
        <v>189498</v>
      </c>
      <c r="AI326" s="641">
        <f t="shared" si="99"/>
        <v>210.55333333333334</v>
      </c>
      <c r="AJ326" s="486"/>
      <c r="AK326" s="460"/>
      <c r="AL326" s="640">
        <f t="shared" si="100"/>
        <v>0</v>
      </c>
      <c r="AM326" s="641">
        <f t="shared" si="101"/>
        <v>0</v>
      </c>
      <c r="AN326" s="486"/>
      <c r="AO326" s="460"/>
      <c r="AP326" s="486"/>
      <c r="AQ326" s="460"/>
      <c r="AR326" s="486"/>
      <c r="AS326" s="460"/>
      <c r="AT326" s="486"/>
      <c r="AU326" s="460"/>
      <c r="AV326" s="640">
        <f t="shared" si="102"/>
        <v>0</v>
      </c>
      <c r="AW326" s="640">
        <f t="shared" si="103"/>
        <v>0</v>
      </c>
      <c r="AX326" s="641">
        <f t="shared" si="104"/>
        <v>0</v>
      </c>
      <c r="AY326" s="641">
        <f t="shared" si="105"/>
        <v>0</v>
      </c>
      <c r="AZ326" s="640">
        <f t="shared" si="106"/>
        <v>1402.8333333333333</v>
      </c>
      <c r="BA326" s="641">
        <f t="shared" si="107"/>
        <v>1304.9866666666667</v>
      </c>
      <c r="BB326" s="543"/>
      <c r="BC326" s="543"/>
    </row>
    <row r="327" spans="1:55" s="365" customFormat="1" ht="15" customHeight="1">
      <c r="A327" s="539" t="s">
        <v>239</v>
      </c>
      <c r="B327" s="540" t="s">
        <v>290</v>
      </c>
      <c r="C327" s="592"/>
      <c r="D327" s="631">
        <v>199625</v>
      </c>
      <c r="E327" s="502">
        <v>10</v>
      </c>
      <c r="F327" s="486"/>
      <c r="G327" s="460"/>
      <c r="H327" s="486"/>
      <c r="I327" s="460"/>
      <c r="J327" s="486">
        <v>15637</v>
      </c>
      <c r="K327" s="542">
        <v>14831</v>
      </c>
      <c r="L327" s="486">
        <v>5483</v>
      </c>
      <c r="M327" s="542">
        <v>5830</v>
      </c>
      <c r="N327" s="486">
        <v>16424</v>
      </c>
      <c r="O327" s="542">
        <v>16237</v>
      </c>
      <c r="P327" s="640">
        <f t="shared" si="90"/>
        <v>37544</v>
      </c>
      <c r="Q327" s="640">
        <f t="shared" si="91"/>
        <v>1251.4666666666667</v>
      </c>
      <c r="R327" s="641">
        <f t="shared" si="92"/>
        <v>36898</v>
      </c>
      <c r="S327" s="641">
        <f t="shared" si="93"/>
        <v>1229.9333333333334</v>
      </c>
      <c r="T327" s="486">
        <v>14222</v>
      </c>
      <c r="U327" s="542">
        <v>12925</v>
      </c>
      <c r="V327" s="640">
        <f t="shared" si="94"/>
        <v>37544</v>
      </c>
      <c r="W327" s="641">
        <f t="shared" si="95"/>
        <v>36898</v>
      </c>
      <c r="X327" s="486"/>
      <c r="Y327" s="501"/>
      <c r="Z327" s="486">
        <v>99937</v>
      </c>
      <c r="AA327" s="542">
        <v>105637</v>
      </c>
      <c r="AB327" s="486">
        <v>37012</v>
      </c>
      <c r="AC327" s="542">
        <v>41765</v>
      </c>
      <c r="AD327" s="486">
        <v>111220</v>
      </c>
      <c r="AE327" s="542">
        <v>136647</v>
      </c>
      <c r="AF327" s="640">
        <f t="shared" si="96"/>
        <v>248169</v>
      </c>
      <c r="AG327" s="640">
        <f t="shared" si="97"/>
        <v>275.74333333333334</v>
      </c>
      <c r="AH327" s="641">
        <f t="shared" si="98"/>
        <v>284049</v>
      </c>
      <c r="AI327" s="641">
        <f t="shared" si="99"/>
        <v>315.61</v>
      </c>
      <c r="AJ327" s="486"/>
      <c r="AK327" s="460"/>
      <c r="AL327" s="640">
        <f t="shared" si="100"/>
        <v>0</v>
      </c>
      <c r="AM327" s="641">
        <f t="shared" si="101"/>
        <v>0</v>
      </c>
      <c r="AN327" s="486"/>
      <c r="AO327" s="460"/>
      <c r="AP327" s="486"/>
      <c r="AQ327" s="460"/>
      <c r="AR327" s="486"/>
      <c r="AS327" s="460"/>
      <c r="AT327" s="486"/>
      <c r="AU327" s="460"/>
      <c r="AV327" s="640">
        <f t="shared" si="102"/>
        <v>0</v>
      </c>
      <c r="AW327" s="640">
        <f t="shared" si="103"/>
        <v>0</v>
      </c>
      <c r="AX327" s="641">
        <f t="shared" si="104"/>
        <v>0</v>
      </c>
      <c r="AY327" s="641">
        <f t="shared" si="105"/>
        <v>0</v>
      </c>
      <c r="AZ327" s="640">
        <f t="shared" si="106"/>
        <v>1527.21</v>
      </c>
      <c r="BA327" s="641">
        <f t="shared" si="107"/>
        <v>1545.5433333333335</v>
      </c>
      <c r="BB327" s="543"/>
      <c r="BC327" s="543"/>
    </row>
    <row r="328" spans="1:55" s="365" customFormat="1" ht="15" customHeight="1">
      <c r="A328" s="539" t="s">
        <v>239</v>
      </c>
      <c r="B328" s="540" t="s">
        <v>292</v>
      </c>
      <c r="C328" s="592"/>
      <c r="D328" s="631">
        <v>199722</v>
      </c>
      <c r="E328" s="502">
        <v>10</v>
      </c>
      <c r="F328" s="486"/>
      <c r="G328" s="460"/>
      <c r="H328" s="486"/>
      <c r="I328" s="460"/>
      <c r="J328" s="486">
        <v>13388</v>
      </c>
      <c r="K328" s="542">
        <v>11406</v>
      </c>
      <c r="L328" s="486">
        <v>4072</v>
      </c>
      <c r="M328" s="542">
        <v>3782</v>
      </c>
      <c r="N328" s="486">
        <v>12428</v>
      </c>
      <c r="O328" s="542">
        <v>11046</v>
      </c>
      <c r="P328" s="640">
        <f t="shared" ref="P328:P391" si="108">SUM(H328,J328,L328,N328)</f>
        <v>29888</v>
      </c>
      <c r="Q328" s="640">
        <f t="shared" ref="Q328:Q391" si="109">+P328/30</f>
        <v>996.26666666666665</v>
      </c>
      <c r="R328" s="641">
        <f t="shared" ref="R328:R391" si="110">SUM(I328,K328,M328,O328)</f>
        <v>26234</v>
      </c>
      <c r="S328" s="641">
        <f t="shared" ref="S328:S391" si="111">+R328/30</f>
        <v>874.4666666666667</v>
      </c>
      <c r="T328" s="486">
        <v>7715</v>
      </c>
      <c r="U328" s="542">
        <v>6465</v>
      </c>
      <c r="V328" s="640">
        <f t="shared" ref="V328:V391" si="112">IF(ISBLANK(T328),0,P328)</f>
        <v>29888</v>
      </c>
      <c r="W328" s="641">
        <f t="shared" ref="W328:W391" si="113">IF(ISBLANK(U328),0,R328)</f>
        <v>26234</v>
      </c>
      <c r="X328" s="486"/>
      <c r="Y328" s="501"/>
      <c r="Z328" s="486">
        <v>134653</v>
      </c>
      <c r="AA328" s="542">
        <v>109083</v>
      </c>
      <c r="AB328" s="486">
        <v>34896</v>
      </c>
      <c r="AC328" s="542">
        <v>59623</v>
      </c>
      <c r="AD328" s="486">
        <v>69726</v>
      </c>
      <c r="AE328" s="542">
        <v>135948</v>
      </c>
      <c r="AF328" s="640">
        <f t="shared" ref="AF328:AF391" si="114">SUM(X328,Z328,AB328,AD328)</f>
        <v>239275</v>
      </c>
      <c r="AG328" s="640">
        <f t="shared" ref="AG328:AG391" si="115">+AF328/900</f>
        <v>265.86111111111109</v>
      </c>
      <c r="AH328" s="641">
        <f t="shared" ref="AH328:AH391" si="116">SUM(Y328,AA328,AC328,AE328)</f>
        <v>304654</v>
      </c>
      <c r="AI328" s="641">
        <f t="shared" ref="AI328:AI391" si="117">+AH328/900</f>
        <v>338.50444444444446</v>
      </c>
      <c r="AJ328" s="486"/>
      <c r="AK328" s="460"/>
      <c r="AL328" s="640">
        <f t="shared" ref="AL328:AL391" si="118">IF(ISBLANK(AJ328),0,AF328)</f>
        <v>0</v>
      </c>
      <c r="AM328" s="641">
        <f t="shared" ref="AM328:AM391" si="119">IF(ISBLANK(AK328),0,AH328)</f>
        <v>0</v>
      </c>
      <c r="AN328" s="486"/>
      <c r="AO328" s="460"/>
      <c r="AP328" s="486"/>
      <c r="AQ328" s="460"/>
      <c r="AR328" s="486"/>
      <c r="AS328" s="460"/>
      <c r="AT328" s="486"/>
      <c r="AU328" s="460"/>
      <c r="AV328" s="640">
        <f t="shared" ref="AV328:AV391" si="120">SUM(AN328,AP328,AR328,AT328)</f>
        <v>0</v>
      </c>
      <c r="AW328" s="640">
        <f t="shared" ref="AW328:AW391" si="121">+AV328/24</f>
        <v>0</v>
      </c>
      <c r="AX328" s="641">
        <f t="shared" ref="AX328:AX391" si="122">SUM(AO328,AQ328,AS328,AU328)</f>
        <v>0</v>
      </c>
      <c r="AY328" s="641">
        <f t="shared" ref="AY328:AY391" si="123">+AX328/24</f>
        <v>0</v>
      </c>
      <c r="AZ328" s="640">
        <f t="shared" ref="AZ328:AZ391" si="124">SUM(Q328,AG328,AW328)</f>
        <v>1262.1277777777777</v>
      </c>
      <c r="BA328" s="641">
        <f t="shared" ref="BA328:BA391" si="125">SUM(S328,AI328,AY328)</f>
        <v>1212.9711111111112</v>
      </c>
      <c r="BB328" s="543"/>
      <c r="BC328" s="543"/>
    </row>
    <row r="329" spans="1:55" s="365" customFormat="1" ht="15" customHeight="1">
      <c r="A329" s="539" t="s">
        <v>239</v>
      </c>
      <c r="B329" s="540" t="s">
        <v>293</v>
      </c>
      <c r="C329" s="592"/>
      <c r="D329" s="631">
        <v>199731</v>
      </c>
      <c r="E329" s="502">
        <v>10</v>
      </c>
      <c r="F329" s="486"/>
      <c r="G329" s="460"/>
      <c r="H329" s="486"/>
      <c r="I329" s="460"/>
      <c r="J329" s="486">
        <v>20636</v>
      </c>
      <c r="K329" s="542">
        <v>17790</v>
      </c>
      <c r="L329" s="486">
        <v>4199</v>
      </c>
      <c r="M329" s="542">
        <v>3768</v>
      </c>
      <c r="N329" s="486">
        <v>19833</v>
      </c>
      <c r="O329" s="542">
        <v>21764</v>
      </c>
      <c r="P329" s="640">
        <f t="shared" si="108"/>
        <v>44668</v>
      </c>
      <c r="Q329" s="640">
        <f t="shared" si="109"/>
        <v>1488.9333333333334</v>
      </c>
      <c r="R329" s="641">
        <f t="shared" si="110"/>
        <v>43322</v>
      </c>
      <c r="S329" s="641">
        <f t="shared" si="111"/>
        <v>1444.0666666666666</v>
      </c>
      <c r="T329" s="486">
        <v>11505</v>
      </c>
      <c r="U329" s="542">
        <v>10601</v>
      </c>
      <c r="V329" s="640">
        <f t="shared" si="112"/>
        <v>44668</v>
      </c>
      <c r="W329" s="641">
        <f t="shared" si="113"/>
        <v>43322</v>
      </c>
      <c r="X329" s="486"/>
      <c r="Y329" s="501"/>
      <c r="Z329" s="486">
        <v>92216</v>
      </c>
      <c r="AA329" s="542">
        <v>108877</v>
      </c>
      <c r="AB329" s="486">
        <v>65790</v>
      </c>
      <c r="AC329" s="542">
        <v>73214</v>
      </c>
      <c r="AD329" s="486">
        <v>94109</v>
      </c>
      <c r="AE329" s="542">
        <v>115339</v>
      </c>
      <c r="AF329" s="640">
        <f t="shared" si="114"/>
        <v>252115</v>
      </c>
      <c r="AG329" s="640">
        <f t="shared" si="115"/>
        <v>280.12777777777779</v>
      </c>
      <c r="AH329" s="641">
        <f t="shared" si="116"/>
        <v>297430</v>
      </c>
      <c r="AI329" s="641">
        <f t="shared" si="117"/>
        <v>330.47777777777776</v>
      </c>
      <c r="AJ329" s="486"/>
      <c r="AK329" s="460"/>
      <c r="AL329" s="640">
        <f t="shared" si="118"/>
        <v>0</v>
      </c>
      <c r="AM329" s="641">
        <f t="shared" si="119"/>
        <v>0</v>
      </c>
      <c r="AN329" s="486"/>
      <c r="AO329" s="460"/>
      <c r="AP329" s="486"/>
      <c r="AQ329" s="460"/>
      <c r="AR329" s="486"/>
      <c r="AS329" s="460"/>
      <c r="AT329" s="486"/>
      <c r="AU329" s="460"/>
      <c r="AV329" s="640">
        <f t="shared" si="120"/>
        <v>0</v>
      </c>
      <c r="AW329" s="640">
        <f t="shared" si="121"/>
        <v>0</v>
      </c>
      <c r="AX329" s="641">
        <f t="shared" si="122"/>
        <v>0</v>
      </c>
      <c r="AY329" s="641">
        <f t="shared" si="123"/>
        <v>0</v>
      </c>
      <c r="AZ329" s="640">
        <f t="shared" si="124"/>
        <v>1769.0611111111111</v>
      </c>
      <c r="BA329" s="641">
        <f t="shared" si="125"/>
        <v>1774.5444444444443</v>
      </c>
      <c r="BB329" s="543"/>
      <c r="BC329" s="543"/>
    </row>
    <row r="330" spans="1:55" s="365" customFormat="1" ht="15" customHeight="1">
      <c r="A330" s="539" t="s">
        <v>239</v>
      </c>
      <c r="B330" s="540" t="s">
        <v>294</v>
      </c>
      <c r="C330" s="592"/>
      <c r="D330" s="631">
        <v>199795</v>
      </c>
      <c r="E330" s="502">
        <v>10</v>
      </c>
      <c r="F330" s="486"/>
      <c r="G330" s="460"/>
      <c r="H330" s="486"/>
      <c r="I330" s="460"/>
      <c r="J330" s="486">
        <v>10574</v>
      </c>
      <c r="K330" s="542">
        <v>9846</v>
      </c>
      <c r="L330" s="486">
        <v>2683</v>
      </c>
      <c r="M330" s="542">
        <v>2445</v>
      </c>
      <c r="N330" s="486">
        <v>10300</v>
      </c>
      <c r="O330" s="542">
        <v>10308</v>
      </c>
      <c r="P330" s="640">
        <f t="shared" si="108"/>
        <v>23557</v>
      </c>
      <c r="Q330" s="640">
        <f t="shared" si="109"/>
        <v>785.23333333333335</v>
      </c>
      <c r="R330" s="641">
        <f t="shared" si="110"/>
        <v>22599</v>
      </c>
      <c r="S330" s="641">
        <f t="shared" si="111"/>
        <v>753.3</v>
      </c>
      <c r="T330" s="486">
        <v>10035</v>
      </c>
      <c r="U330" s="542">
        <v>8733</v>
      </c>
      <c r="V330" s="640">
        <f t="shared" si="112"/>
        <v>23557</v>
      </c>
      <c r="W330" s="641">
        <f t="shared" si="113"/>
        <v>22599</v>
      </c>
      <c r="X330" s="486"/>
      <c r="Y330" s="501"/>
      <c r="Z330" s="486">
        <v>43679</v>
      </c>
      <c r="AA330" s="542">
        <v>46527</v>
      </c>
      <c r="AB330" s="486">
        <v>19456</v>
      </c>
      <c r="AC330" s="542">
        <v>27928</v>
      </c>
      <c r="AD330" s="486">
        <v>42858</v>
      </c>
      <c r="AE330" s="542">
        <v>41509</v>
      </c>
      <c r="AF330" s="640">
        <f t="shared" si="114"/>
        <v>105993</v>
      </c>
      <c r="AG330" s="640">
        <f t="shared" si="115"/>
        <v>117.77</v>
      </c>
      <c r="AH330" s="641">
        <f t="shared" si="116"/>
        <v>115964</v>
      </c>
      <c r="AI330" s="641">
        <f t="shared" si="117"/>
        <v>128.84888888888889</v>
      </c>
      <c r="AJ330" s="486"/>
      <c r="AK330" s="460"/>
      <c r="AL330" s="640">
        <f t="shared" si="118"/>
        <v>0</v>
      </c>
      <c r="AM330" s="641">
        <f t="shared" si="119"/>
        <v>0</v>
      </c>
      <c r="AN330" s="486"/>
      <c r="AO330" s="460"/>
      <c r="AP330" s="486"/>
      <c r="AQ330" s="460"/>
      <c r="AR330" s="486"/>
      <c r="AS330" s="460"/>
      <c r="AT330" s="486"/>
      <c r="AU330" s="460"/>
      <c r="AV330" s="640">
        <f t="shared" si="120"/>
        <v>0</v>
      </c>
      <c r="AW330" s="640">
        <f t="shared" si="121"/>
        <v>0</v>
      </c>
      <c r="AX330" s="641">
        <f t="shared" si="122"/>
        <v>0</v>
      </c>
      <c r="AY330" s="641">
        <f t="shared" si="123"/>
        <v>0</v>
      </c>
      <c r="AZ330" s="640">
        <f t="shared" si="124"/>
        <v>903.00333333333333</v>
      </c>
      <c r="BA330" s="641">
        <f t="shared" si="125"/>
        <v>882.14888888888891</v>
      </c>
      <c r="BB330" s="543"/>
      <c r="BC330" s="543"/>
    </row>
    <row r="331" spans="1:55" s="365" customFormat="1" ht="15" customHeight="1">
      <c r="A331" s="539" t="s">
        <v>239</v>
      </c>
      <c r="B331" s="540" t="s">
        <v>271</v>
      </c>
      <c r="C331" s="592"/>
      <c r="D331" s="631">
        <v>199908</v>
      </c>
      <c r="E331" s="502">
        <v>10</v>
      </c>
      <c r="F331" s="486"/>
      <c r="G331" s="460"/>
      <c r="H331" s="486"/>
      <c r="I331" s="460"/>
      <c r="J331" s="486">
        <v>18183</v>
      </c>
      <c r="K331" s="542">
        <v>15894</v>
      </c>
      <c r="L331" s="486">
        <v>4681</v>
      </c>
      <c r="M331" s="542">
        <v>4218</v>
      </c>
      <c r="N331" s="486">
        <v>18012</v>
      </c>
      <c r="O331" s="542">
        <v>16921</v>
      </c>
      <c r="P331" s="640">
        <f t="shared" si="108"/>
        <v>40876</v>
      </c>
      <c r="Q331" s="640">
        <f t="shared" si="109"/>
        <v>1362.5333333333333</v>
      </c>
      <c r="R331" s="641">
        <f t="shared" si="110"/>
        <v>37033</v>
      </c>
      <c r="S331" s="641">
        <f t="shared" si="111"/>
        <v>1234.4333333333334</v>
      </c>
      <c r="T331" s="486">
        <v>11187</v>
      </c>
      <c r="U331" s="542">
        <v>10487</v>
      </c>
      <c r="V331" s="640">
        <f t="shared" si="112"/>
        <v>40876</v>
      </c>
      <c r="W331" s="641">
        <f t="shared" si="113"/>
        <v>37033</v>
      </c>
      <c r="X331" s="486"/>
      <c r="Y331" s="501"/>
      <c r="Z331" s="486">
        <v>51003</v>
      </c>
      <c r="AA331" s="542">
        <v>46930</v>
      </c>
      <c r="AB331" s="486">
        <v>17918</v>
      </c>
      <c r="AC331" s="542">
        <v>34823</v>
      </c>
      <c r="AD331" s="486">
        <v>45077</v>
      </c>
      <c r="AE331" s="542">
        <v>57068</v>
      </c>
      <c r="AF331" s="640">
        <f t="shared" si="114"/>
        <v>113998</v>
      </c>
      <c r="AG331" s="640">
        <f t="shared" si="115"/>
        <v>126.66444444444444</v>
      </c>
      <c r="AH331" s="641">
        <f t="shared" si="116"/>
        <v>138821</v>
      </c>
      <c r="AI331" s="641">
        <f t="shared" si="117"/>
        <v>154.24555555555557</v>
      </c>
      <c r="AJ331" s="486"/>
      <c r="AK331" s="460"/>
      <c r="AL331" s="640">
        <f t="shared" si="118"/>
        <v>0</v>
      </c>
      <c r="AM331" s="641">
        <f t="shared" si="119"/>
        <v>0</v>
      </c>
      <c r="AN331" s="486"/>
      <c r="AO331" s="460"/>
      <c r="AP331" s="486"/>
      <c r="AQ331" s="460"/>
      <c r="AR331" s="486"/>
      <c r="AS331" s="460"/>
      <c r="AT331" s="486"/>
      <c r="AU331" s="460"/>
      <c r="AV331" s="640">
        <f t="shared" si="120"/>
        <v>0</v>
      </c>
      <c r="AW331" s="640">
        <f t="shared" si="121"/>
        <v>0</v>
      </c>
      <c r="AX331" s="641">
        <f t="shared" si="122"/>
        <v>0</v>
      </c>
      <c r="AY331" s="641">
        <f t="shared" si="123"/>
        <v>0</v>
      </c>
      <c r="AZ331" s="640">
        <f t="shared" si="124"/>
        <v>1489.1977777777777</v>
      </c>
      <c r="BA331" s="641">
        <f t="shared" si="125"/>
        <v>1388.6788888888889</v>
      </c>
      <c r="BB331" s="543"/>
      <c r="BC331" s="543"/>
    </row>
    <row r="332" spans="1:55" s="365" customFormat="1" ht="15" customHeight="1">
      <c r="A332" s="539" t="s">
        <v>239</v>
      </c>
      <c r="B332" s="540" t="s">
        <v>295</v>
      </c>
      <c r="C332" s="592"/>
      <c r="D332" s="631">
        <v>199953</v>
      </c>
      <c r="E332" s="502">
        <v>10</v>
      </c>
      <c r="F332" s="486"/>
      <c r="G332" s="460"/>
      <c r="H332" s="486"/>
      <c r="I332" s="460"/>
      <c r="J332" s="486">
        <v>14556.5</v>
      </c>
      <c r="K332" s="542">
        <v>13898</v>
      </c>
      <c r="L332" s="486">
        <v>5246</v>
      </c>
      <c r="M332" s="542">
        <v>5200</v>
      </c>
      <c r="N332" s="486">
        <v>16177</v>
      </c>
      <c r="O332" s="542">
        <v>14776.5</v>
      </c>
      <c r="P332" s="640">
        <f t="shared" si="108"/>
        <v>35979.5</v>
      </c>
      <c r="Q332" s="640">
        <f t="shared" si="109"/>
        <v>1199.3166666666666</v>
      </c>
      <c r="R332" s="641">
        <f t="shared" si="110"/>
        <v>33874.5</v>
      </c>
      <c r="S332" s="641">
        <f t="shared" si="111"/>
        <v>1129.1500000000001</v>
      </c>
      <c r="T332" s="486">
        <v>10837.5</v>
      </c>
      <c r="U332" s="542">
        <v>9980.5</v>
      </c>
      <c r="V332" s="640">
        <f t="shared" si="112"/>
        <v>35979.5</v>
      </c>
      <c r="W332" s="641">
        <f t="shared" si="113"/>
        <v>33874.5</v>
      </c>
      <c r="X332" s="486"/>
      <c r="Y332" s="501"/>
      <c r="Z332" s="486">
        <v>66889</v>
      </c>
      <c r="AA332" s="542">
        <v>67026</v>
      </c>
      <c r="AB332" s="486">
        <v>24323</v>
      </c>
      <c r="AC332" s="542">
        <v>42507</v>
      </c>
      <c r="AD332" s="486">
        <v>61238</v>
      </c>
      <c r="AE332" s="542">
        <v>74384</v>
      </c>
      <c r="AF332" s="640">
        <f t="shared" si="114"/>
        <v>152450</v>
      </c>
      <c r="AG332" s="640">
        <f t="shared" si="115"/>
        <v>169.38888888888889</v>
      </c>
      <c r="AH332" s="641">
        <f t="shared" si="116"/>
        <v>183917</v>
      </c>
      <c r="AI332" s="641">
        <f t="shared" si="117"/>
        <v>204.35222222222222</v>
      </c>
      <c r="AJ332" s="486"/>
      <c r="AK332" s="460"/>
      <c r="AL332" s="640">
        <f t="shared" si="118"/>
        <v>0</v>
      </c>
      <c r="AM332" s="641">
        <f t="shared" si="119"/>
        <v>0</v>
      </c>
      <c r="AN332" s="486"/>
      <c r="AO332" s="460"/>
      <c r="AP332" s="486"/>
      <c r="AQ332" s="460"/>
      <c r="AR332" s="486"/>
      <c r="AS332" s="460"/>
      <c r="AT332" s="486"/>
      <c r="AU332" s="460"/>
      <c r="AV332" s="640">
        <f t="shared" si="120"/>
        <v>0</v>
      </c>
      <c r="AW332" s="640">
        <f t="shared" si="121"/>
        <v>0</v>
      </c>
      <c r="AX332" s="641">
        <f t="shared" si="122"/>
        <v>0</v>
      </c>
      <c r="AY332" s="641">
        <f t="shared" si="123"/>
        <v>0</v>
      </c>
      <c r="AZ332" s="640">
        <f t="shared" si="124"/>
        <v>1368.7055555555555</v>
      </c>
      <c r="BA332" s="641">
        <f t="shared" si="125"/>
        <v>1333.5022222222224</v>
      </c>
      <c r="BB332" s="543"/>
      <c r="BC332" s="543"/>
    </row>
    <row r="333" spans="1:55" ht="13.5" thickBot="1">
      <c r="A333" s="468" t="s">
        <v>867</v>
      </c>
      <c r="B333" s="469"/>
      <c r="C333" s="470"/>
      <c r="D333" s="471"/>
      <c r="E333" s="471"/>
      <c r="F333" s="467"/>
      <c r="G333" s="459"/>
      <c r="H333" s="472"/>
      <c r="I333" s="459"/>
      <c r="J333" s="472"/>
      <c r="K333" s="459"/>
      <c r="L333" s="472"/>
      <c r="M333" s="459"/>
      <c r="N333" s="472"/>
      <c r="O333" s="459"/>
      <c r="P333" s="640">
        <f t="shared" si="108"/>
        <v>0</v>
      </c>
      <c r="Q333" s="640">
        <f t="shared" si="109"/>
        <v>0</v>
      </c>
      <c r="R333" s="641">
        <f t="shared" si="110"/>
        <v>0</v>
      </c>
      <c r="S333" s="641">
        <f t="shared" si="111"/>
        <v>0</v>
      </c>
      <c r="T333" s="472"/>
      <c r="U333" s="459"/>
      <c r="V333" s="640">
        <f t="shared" si="112"/>
        <v>0</v>
      </c>
      <c r="W333" s="641">
        <f t="shared" si="113"/>
        <v>0</v>
      </c>
      <c r="X333" s="472"/>
      <c r="Y333" s="459"/>
      <c r="Z333" s="472"/>
      <c r="AA333" s="459"/>
      <c r="AB333" s="472"/>
      <c r="AC333" s="459"/>
      <c r="AD333" s="472"/>
      <c r="AE333" s="459"/>
      <c r="AF333" s="640">
        <f t="shared" si="114"/>
        <v>0</v>
      </c>
      <c r="AG333" s="640">
        <f t="shared" si="115"/>
        <v>0</v>
      </c>
      <c r="AH333" s="641">
        <f t="shared" si="116"/>
        <v>0</v>
      </c>
      <c r="AI333" s="641">
        <f t="shared" si="117"/>
        <v>0</v>
      </c>
      <c r="AJ333" s="472"/>
      <c r="AK333" s="459"/>
      <c r="AL333" s="640">
        <f t="shared" si="118"/>
        <v>0</v>
      </c>
      <c r="AM333" s="641">
        <f t="shared" si="119"/>
        <v>0</v>
      </c>
      <c r="AN333" s="472"/>
      <c r="AO333" s="459"/>
      <c r="AP333" s="472"/>
      <c r="AQ333" s="459"/>
      <c r="AR333" s="472"/>
      <c r="AS333" s="459"/>
      <c r="AT333" s="472"/>
      <c r="AU333" s="459"/>
      <c r="AV333" s="640">
        <f t="shared" si="120"/>
        <v>0</v>
      </c>
      <c r="AW333" s="640">
        <f t="shared" si="121"/>
        <v>0</v>
      </c>
      <c r="AX333" s="641">
        <f t="shared" si="122"/>
        <v>0</v>
      </c>
      <c r="AY333" s="641">
        <f t="shared" si="123"/>
        <v>0</v>
      </c>
      <c r="AZ333" s="640">
        <f t="shared" si="124"/>
        <v>0</v>
      </c>
      <c r="BA333" s="641">
        <f t="shared" si="125"/>
        <v>0</v>
      </c>
    </row>
    <row r="334" spans="1:55" s="365" customFormat="1" ht="12.6" customHeight="1">
      <c r="A334" s="440" t="s">
        <v>311</v>
      </c>
      <c r="B334" s="441" t="s">
        <v>312</v>
      </c>
      <c r="C334" s="442" t="s">
        <v>909</v>
      </c>
      <c r="D334" s="632">
        <v>365374</v>
      </c>
      <c r="E334" s="544">
        <v>12</v>
      </c>
      <c r="F334" s="495"/>
      <c r="G334" s="496"/>
      <c r="H334" s="495"/>
      <c r="I334" s="496"/>
      <c r="J334" s="495"/>
      <c r="K334" s="496"/>
      <c r="L334" s="495"/>
      <c r="M334" s="496"/>
      <c r="N334" s="495"/>
      <c r="O334" s="496"/>
      <c r="P334" s="640">
        <f t="shared" si="108"/>
        <v>0</v>
      </c>
      <c r="Q334" s="640">
        <f t="shared" si="109"/>
        <v>0</v>
      </c>
      <c r="R334" s="641">
        <f t="shared" si="110"/>
        <v>0</v>
      </c>
      <c r="S334" s="641">
        <f t="shared" si="111"/>
        <v>0</v>
      </c>
      <c r="T334" s="495"/>
      <c r="U334" s="496"/>
      <c r="V334" s="640">
        <f t="shared" si="112"/>
        <v>0</v>
      </c>
      <c r="W334" s="641">
        <f t="shared" si="113"/>
        <v>0</v>
      </c>
      <c r="X334" s="495"/>
      <c r="Y334" s="496"/>
      <c r="Z334" s="495"/>
      <c r="AA334" s="496"/>
      <c r="AB334" s="495"/>
      <c r="AC334" s="496"/>
      <c r="AD334" s="545">
        <v>970575</v>
      </c>
      <c r="AE334" s="546">
        <v>436806</v>
      </c>
      <c r="AF334" s="640">
        <f t="shared" si="114"/>
        <v>970575</v>
      </c>
      <c r="AG334" s="640">
        <f t="shared" si="115"/>
        <v>1078.4166666666667</v>
      </c>
      <c r="AH334" s="641">
        <f t="shared" si="116"/>
        <v>436806</v>
      </c>
      <c r="AI334" s="641">
        <f t="shared" si="117"/>
        <v>485.34</v>
      </c>
      <c r="AJ334" s="495"/>
      <c r="AK334" s="496"/>
      <c r="AL334" s="640">
        <f t="shared" si="118"/>
        <v>0</v>
      </c>
      <c r="AM334" s="641">
        <f t="shared" si="119"/>
        <v>0</v>
      </c>
      <c r="AN334" s="495"/>
      <c r="AO334" s="496"/>
      <c r="AP334" s="495"/>
      <c r="AQ334" s="496"/>
      <c r="AR334" s="495"/>
      <c r="AS334" s="496"/>
      <c r="AT334" s="495"/>
      <c r="AU334" s="496"/>
      <c r="AV334" s="640">
        <f t="shared" si="120"/>
        <v>0</v>
      </c>
      <c r="AW334" s="640">
        <f t="shared" si="121"/>
        <v>0</v>
      </c>
      <c r="AX334" s="641">
        <f t="shared" si="122"/>
        <v>0</v>
      </c>
      <c r="AY334" s="641">
        <f t="shared" si="123"/>
        <v>0</v>
      </c>
      <c r="AZ334" s="640">
        <f t="shared" si="124"/>
        <v>1078.4166666666667</v>
      </c>
      <c r="BA334" s="641">
        <f t="shared" si="125"/>
        <v>485.34</v>
      </c>
    </row>
    <row r="335" spans="1:55" s="365" customFormat="1" ht="12.6" customHeight="1">
      <c r="A335" s="409" t="s">
        <v>311</v>
      </c>
      <c r="B335" s="407" t="s">
        <v>313</v>
      </c>
      <c r="C335" s="408" t="s">
        <v>909</v>
      </c>
      <c r="D335" s="618">
        <v>245999</v>
      </c>
      <c r="E335" s="520">
        <v>12</v>
      </c>
      <c r="F335" s="495"/>
      <c r="G335" s="496"/>
      <c r="H335" s="495"/>
      <c r="I335" s="496"/>
      <c r="J335" s="495"/>
      <c r="K335" s="496"/>
      <c r="L335" s="495"/>
      <c r="M335" s="496"/>
      <c r="N335" s="495"/>
      <c r="O335" s="496"/>
      <c r="P335" s="640">
        <f t="shared" si="108"/>
        <v>0</v>
      </c>
      <c r="Q335" s="640">
        <f t="shared" si="109"/>
        <v>0</v>
      </c>
      <c r="R335" s="641">
        <f t="shared" si="110"/>
        <v>0</v>
      </c>
      <c r="S335" s="641">
        <f t="shared" si="111"/>
        <v>0</v>
      </c>
      <c r="T335" s="495"/>
      <c r="U335" s="496"/>
      <c r="V335" s="640">
        <f t="shared" si="112"/>
        <v>0</v>
      </c>
      <c r="W335" s="641">
        <f t="shared" si="113"/>
        <v>0</v>
      </c>
      <c r="X335" s="495"/>
      <c r="Y335" s="496"/>
      <c r="Z335" s="495"/>
      <c r="AA335" s="496"/>
      <c r="AB335" s="495"/>
      <c r="AC335" s="496"/>
      <c r="AD335" s="545">
        <v>1514425.9</v>
      </c>
      <c r="AE335" s="546">
        <v>485462</v>
      </c>
      <c r="AF335" s="640">
        <f t="shared" si="114"/>
        <v>1514425.9</v>
      </c>
      <c r="AG335" s="640">
        <f t="shared" si="115"/>
        <v>1682.6954444444443</v>
      </c>
      <c r="AH335" s="641">
        <f t="shared" si="116"/>
        <v>485462</v>
      </c>
      <c r="AI335" s="641">
        <f t="shared" si="117"/>
        <v>539.40222222222224</v>
      </c>
      <c r="AJ335" s="495"/>
      <c r="AK335" s="496"/>
      <c r="AL335" s="640">
        <f t="shared" si="118"/>
        <v>0</v>
      </c>
      <c r="AM335" s="641">
        <f t="shared" si="119"/>
        <v>0</v>
      </c>
      <c r="AN335" s="495"/>
      <c r="AO335" s="496"/>
      <c r="AP335" s="495"/>
      <c r="AQ335" s="496"/>
      <c r="AR335" s="495"/>
      <c r="AS335" s="496"/>
      <c r="AT335" s="495"/>
      <c r="AU335" s="496"/>
      <c r="AV335" s="640">
        <f t="shared" si="120"/>
        <v>0</v>
      </c>
      <c r="AW335" s="640">
        <f t="shared" si="121"/>
        <v>0</v>
      </c>
      <c r="AX335" s="641">
        <f t="shared" si="122"/>
        <v>0</v>
      </c>
      <c r="AY335" s="641">
        <f t="shared" si="123"/>
        <v>0</v>
      </c>
      <c r="AZ335" s="640">
        <f t="shared" si="124"/>
        <v>1682.6954444444443</v>
      </c>
      <c r="BA335" s="641">
        <f t="shared" si="125"/>
        <v>539.40222222222224</v>
      </c>
    </row>
    <row r="336" spans="1:55" s="365" customFormat="1" ht="12.6" customHeight="1">
      <c r="A336" s="409" t="s">
        <v>311</v>
      </c>
      <c r="B336" s="407" t="s">
        <v>315</v>
      </c>
      <c r="C336" s="408" t="s">
        <v>914</v>
      </c>
      <c r="D336" s="618">
        <v>261375</v>
      </c>
      <c r="E336" s="520">
        <v>12</v>
      </c>
      <c r="F336" s="495"/>
      <c r="G336" s="496"/>
      <c r="H336" s="495"/>
      <c r="I336" s="496"/>
      <c r="J336" s="495"/>
      <c r="K336" s="496"/>
      <c r="L336" s="495"/>
      <c r="M336" s="496"/>
      <c r="N336" s="495"/>
      <c r="O336" s="496"/>
      <c r="P336" s="640">
        <f t="shared" si="108"/>
        <v>0</v>
      </c>
      <c r="Q336" s="640">
        <f t="shared" si="109"/>
        <v>0</v>
      </c>
      <c r="R336" s="641">
        <f t="shared" si="110"/>
        <v>0</v>
      </c>
      <c r="S336" s="641">
        <f t="shared" si="111"/>
        <v>0</v>
      </c>
      <c r="T336" s="495"/>
      <c r="U336" s="496"/>
      <c r="V336" s="640">
        <f t="shared" si="112"/>
        <v>0</v>
      </c>
      <c r="W336" s="641">
        <f t="shared" si="113"/>
        <v>0</v>
      </c>
      <c r="X336" s="495"/>
      <c r="Y336" s="496"/>
      <c r="Z336" s="495"/>
      <c r="AA336" s="496"/>
      <c r="AB336" s="495"/>
      <c r="AC336" s="496"/>
      <c r="AD336" s="545">
        <v>1309950</v>
      </c>
      <c r="AE336" s="546">
        <v>672079</v>
      </c>
      <c r="AF336" s="640">
        <f t="shared" si="114"/>
        <v>1309950</v>
      </c>
      <c r="AG336" s="640">
        <f t="shared" si="115"/>
        <v>1455.5</v>
      </c>
      <c r="AH336" s="641">
        <f t="shared" si="116"/>
        <v>672079</v>
      </c>
      <c r="AI336" s="641">
        <f t="shared" si="117"/>
        <v>746.7544444444444</v>
      </c>
      <c r="AJ336" s="495"/>
      <c r="AK336" s="496"/>
      <c r="AL336" s="640">
        <f t="shared" si="118"/>
        <v>0</v>
      </c>
      <c r="AM336" s="641">
        <f t="shared" si="119"/>
        <v>0</v>
      </c>
      <c r="AN336" s="495"/>
      <c r="AO336" s="496"/>
      <c r="AP336" s="495"/>
      <c r="AQ336" s="496"/>
      <c r="AR336" s="495"/>
      <c r="AS336" s="496"/>
      <c r="AT336" s="495"/>
      <c r="AU336" s="496"/>
      <c r="AV336" s="640">
        <f t="shared" si="120"/>
        <v>0</v>
      </c>
      <c r="AW336" s="640">
        <f t="shared" si="121"/>
        <v>0</v>
      </c>
      <c r="AX336" s="641">
        <f t="shared" si="122"/>
        <v>0</v>
      </c>
      <c r="AY336" s="641">
        <f t="shared" si="123"/>
        <v>0</v>
      </c>
      <c r="AZ336" s="640">
        <f t="shared" si="124"/>
        <v>1455.5</v>
      </c>
      <c r="BA336" s="641">
        <f t="shared" si="125"/>
        <v>746.7544444444444</v>
      </c>
    </row>
    <row r="337" spans="1:53" s="365" customFormat="1" ht="12.6" customHeight="1">
      <c r="A337" s="409" t="s">
        <v>311</v>
      </c>
      <c r="B337" s="407" t="s">
        <v>316</v>
      </c>
      <c r="C337" s="408"/>
      <c r="D337" s="618">
        <v>365213</v>
      </c>
      <c r="E337" s="520">
        <v>13</v>
      </c>
      <c r="F337" s="495"/>
      <c r="G337" s="496"/>
      <c r="H337" s="495"/>
      <c r="I337" s="496"/>
      <c r="J337" s="495"/>
      <c r="K337" s="496"/>
      <c r="L337" s="495"/>
      <c r="M337" s="496"/>
      <c r="N337" s="495"/>
      <c r="O337" s="496"/>
      <c r="P337" s="640">
        <f t="shared" si="108"/>
        <v>0</v>
      </c>
      <c r="Q337" s="640">
        <f t="shared" si="109"/>
        <v>0</v>
      </c>
      <c r="R337" s="641">
        <f t="shared" si="110"/>
        <v>0</v>
      </c>
      <c r="S337" s="641">
        <f t="shared" si="111"/>
        <v>0</v>
      </c>
      <c r="T337" s="495"/>
      <c r="U337" s="496"/>
      <c r="V337" s="640">
        <f t="shared" si="112"/>
        <v>0</v>
      </c>
      <c r="W337" s="641">
        <f t="shared" si="113"/>
        <v>0</v>
      </c>
      <c r="X337" s="495"/>
      <c r="Y337" s="496"/>
      <c r="Z337" s="495"/>
      <c r="AA337" s="496"/>
      <c r="AB337" s="495"/>
      <c r="AC337" s="496"/>
      <c r="AD337" s="545">
        <v>465419.4</v>
      </c>
      <c r="AE337" s="546">
        <v>223511</v>
      </c>
      <c r="AF337" s="640">
        <f t="shared" si="114"/>
        <v>465419.4</v>
      </c>
      <c r="AG337" s="640">
        <f t="shared" si="115"/>
        <v>517.13266666666664</v>
      </c>
      <c r="AH337" s="641">
        <f t="shared" si="116"/>
        <v>223511</v>
      </c>
      <c r="AI337" s="641">
        <f t="shared" si="117"/>
        <v>248.34555555555556</v>
      </c>
      <c r="AJ337" s="495"/>
      <c r="AK337" s="496"/>
      <c r="AL337" s="640">
        <f t="shared" si="118"/>
        <v>0</v>
      </c>
      <c r="AM337" s="641">
        <f t="shared" si="119"/>
        <v>0</v>
      </c>
      <c r="AN337" s="495"/>
      <c r="AO337" s="496"/>
      <c r="AP337" s="495"/>
      <c r="AQ337" s="496"/>
      <c r="AR337" s="495"/>
      <c r="AS337" s="496"/>
      <c r="AT337" s="495"/>
      <c r="AU337" s="496"/>
      <c r="AV337" s="640">
        <f t="shared" si="120"/>
        <v>0</v>
      </c>
      <c r="AW337" s="640">
        <f t="shared" si="121"/>
        <v>0</v>
      </c>
      <c r="AX337" s="641">
        <f t="shared" si="122"/>
        <v>0</v>
      </c>
      <c r="AY337" s="641">
        <f t="shared" si="123"/>
        <v>0</v>
      </c>
      <c r="AZ337" s="640">
        <f t="shared" si="124"/>
        <v>517.13266666666664</v>
      </c>
      <c r="BA337" s="641">
        <f t="shared" si="125"/>
        <v>248.34555555555556</v>
      </c>
    </row>
    <row r="338" spans="1:53" s="365" customFormat="1" ht="12.6" customHeight="1">
      <c r="A338" s="409" t="s">
        <v>311</v>
      </c>
      <c r="B338" s="407" t="s">
        <v>317</v>
      </c>
      <c r="C338" s="408"/>
      <c r="D338" s="618">
        <v>364946</v>
      </c>
      <c r="E338" s="520">
        <v>13</v>
      </c>
      <c r="F338" s="495"/>
      <c r="G338" s="496"/>
      <c r="H338" s="495"/>
      <c r="I338" s="496"/>
      <c r="J338" s="495"/>
      <c r="K338" s="496"/>
      <c r="L338" s="495"/>
      <c r="M338" s="496"/>
      <c r="N338" s="495"/>
      <c r="O338" s="496"/>
      <c r="P338" s="640">
        <f t="shared" si="108"/>
        <v>0</v>
      </c>
      <c r="Q338" s="640">
        <f t="shared" si="109"/>
        <v>0</v>
      </c>
      <c r="R338" s="641">
        <f t="shared" si="110"/>
        <v>0</v>
      </c>
      <c r="S338" s="641">
        <f t="shared" si="111"/>
        <v>0</v>
      </c>
      <c r="T338" s="495"/>
      <c r="U338" s="496"/>
      <c r="V338" s="640">
        <f t="shared" si="112"/>
        <v>0</v>
      </c>
      <c r="W338" s="641">
        <f t="shared" si="113"/>
        <v>0</v>
      </c>
      <c r="X338" s="495"/>
      <c r="Y338" s="496"/>
      <c r="Z338" s="495"/>
      <c r="AA338" s="496"/>
      <c r="AB338" s="495"/>
      <c r="AC338" s="496"/>
      <c r="AD338" s="545">
        <v>256418.1</v>
      </c>
      <c r="AE338" s="546">
        <v>154785</v>
      </c>
      <c r="AF338" s="640">
        <f t="shared" si="114"/>
        <v>256418.1</v>
      </c>
      <c r="AG338" s="640">
        <f t="shared" si="115"/>
        <v>284.90899999999999</v>
      </c>
      <c r="AH338" s="641">
        <f t="shared" si="116"/>
        <v>154785</v>
      </c>
      <c r="AI338" s="641">
        <f t="shared" si="117"/>
        <v>171.98333333333332</v>
      </c>
      <c r="AJ338" s="495"/>
      <c r="AK338" s="496"/>
      <c r="AL338" s="640">
        <f t="shared" si="118"/>
        <v>0</v>
      </c>
      <c r="AM338" s="641">
        <f t="shared" si="119"/>
        <v>0</v>
      </c>
      <c r="AN338" s="495"/>
      <c r="AO338" s="496"/>
      <c r="AP338" s="495"/>
      <c r="AQ338" s="496"/>
      <c r="AR338" s="495"/>
      <c r="AS338" s="496"/>
      <c r="AT338" s="495"/>
      <c r="AU338" s="496"/>
      <c r="AV338" s="640">
        <f t="shared" si="120"/>
        <v>0</v>
      </c>
      <c r="AW338" s="640">
        <f t="shared" si="121"/>
        <v>0</v>
      </c>
      <c r="AX338" s="641">
        <f t="shared" si="122"/>
        <v>0</v>
      </c>
      <c r="AY338" s="641">
        <f t="shared" si="123"/>
        <v>0</v>
      </c>
      <c r="AZ338" s="640">
        <f t="shared" si="124"/>
        <v>284.90899999999999</v>
      </c>
      <c r="BA338" s="641">
        <f t="shared" si="125"/>
        <v>171.98333333333332</v>
      </c>
    </row>
    <row r="339" spans="1:53" s="365" customFormat="1" ht="12.6" customHeight="1">
      <c r="A339" s="409" t="s">
        <v>311</v>
      </c>
      <c r="B339" s="407" t="s">
        <v>318</v>
      </c>
      <c r="C339" s="408"/>
      <c r="D339" s="618">
        <v>246017</v>
      </c>
      <c r="E339" s="520">
        <v>13</v>
      </c>
      <c r="F339" s="495"/>
      <c r="G339" s="496"/>
      <c r="H339" s="495"/>
      <c r="I339" s="496"/>
      <c r="J339" s="495"/>
      <c r="K339" s="496"/>
      <c r="L339" s="495"/>
      <c r="M339" s="496"/>
      <c r="N339" s="495"/>
      <c r="O339" s="496"/>
      <c r="P339" s="640">
        <f t="shared" si="108"/>
        <v>0</v>
      </c>
      <c r="Q339" s="640">
        <f t="shared" si="109"/>
        <v>0</v>
      </c>
      <c r="R339" s="641">
        <f t="shared" si="110"/>
        <v>0</v>
      </c>
      <c r="S339" s="641">
        <f t="shared" si="111"/>
        <v>0</v>
      </c>
      <c r="T339" s="495"/>
      <c r="U339" s="496"/>
      <c r="V339" s="640">
        <f t="shared" si="112"/>
        <v>0</v>
      </c>
      <c r="W339" s="641">
        <f t="shared" si="113"/>
        <v>0</v>
      </c>
      <c r="X339" s="495"/>
      <c r="Y339" s="496"/>
      <c r="Z339" s="495"/>
      <c r="AA339" s="496"/>
      <c r="AB339" s="495"/>
      <c r="AC339" s="496"/>
      <c r="AD339" s="545">
        <v>677725.7</v>
      </c>
      <c r="AE339" s="546">
        <v>454439</v>
      </c>
      <c r="AF339" s="640">
        <f t="shared" si="114"/>
        <v>677725.7</v>
      </c>
      <c r="AG339" s="640">
        <f t="shared" si="115"/>
        <v>753.0285555555555</v>
      </c>
      <c r="AH339" s="641">
        <f t="shared" si="116"/>
        <v>454439</v>
      </c>
      <c r="AI339" s="641">
        <f t="shared" si="117"/>
        <v>504.93222222222221</v>
      </c>
      <c r="AJ339" s="495"/>
      <c r="AK339" s="496"/>
      <c r="AL339" s="640">
        <f t="shared" si="118"/>
        <v>0</v>
      </c>
      <c r="AM339" s="641">
        <f t="shared" si="119"/>
        <v>0</v>
      </c>
      <c r="AN339" s="495"/>
      <c r="AO339" s="496"/>
      <c r="AP339" s="495"/>
      <c r="AQ339" s="496"/>
      <c r="AR339" s="495"/>
      <c r="AS339" s="496"/>
      <c r="AT339" s="495"/>
      <c r="AU339" s="496"/>
      <c r="AV339" s="640">
        <f t="shared" si="120"/>
        <v>0</v>
      </c>
      <c r="AW339" s="640">
        <f t="shared" si="121"/>
        <v>0</v>
      </c>
      <c r="AX339" s="641">
        <f t="shared" si="122"/>
        <v>0</v>
      </c>
      <c r="AY339" s="641">
        <f t="shared" si="123"/>
        <v>0</v>
      </c>
      <c r="AZ339" s="640">
        <f t="shared" si="124"/>
        <v>753.0285555555555</v>
      </c>
      <c r="BA339" s="641">
        <f t="shared" si="125"/>
        <v>504.93222222222221</v>
      </c>
    </row>
    <row r="340" spans="1:53" s="365" customFormat="1" ht="12.6" customHeight="1">
      <c r="A340" s="409" t="s">
        <v>311</v>
      </c>
      <c r="B340" s="407" t="s">
        <v>319</v>
      </c>
      <c r="C340" s="408"/>
      <c r="D340" s="618">
        <v>375656</v>
      </c>
      <c r="E340" s="520">
        <v>13</v>
      </c>
      <c r="F340" s="495"/>
      <c r="G340" s="496"/>
      <c r="H340" s="495"/>
      <c r="I340" s="496"/>
      <c r="J340" s="495"/>
      <c r="K340" s="496"/>
      <c r="L340" s="495"/>
      <c r="M340" s="496"/>
      <c r="N340" s="495"/>
      <c r="O340" s="496"/>
      <c r="P340" s="640">
        <f t="shared" si="108"/>
        <v>0</v>
      </c>
      <c r="Q340" s="640">
        <f t="shared" si="109"/>
        <v>0</v>
      </c>
      <c r="R340" s="641">
        <f t="shared" si="110"/>
        <v>0</v>
      </c>
      <c r="S340" s="641">
        <f t="shared" si="111"/>
        <v>0</v>
      </c>
      <c r="T340" s="495"/>
      <c r="U340" s="496"/>
      <c r="V340" s="640">
        <f t="shared" si="112"/>
        <v>0</v>
      </c>
      <c r="W340" s="641">
        <f t="shared" si="113"/>
        <v>0</v>
      </c>
      <c r="X340" s="495"/>
      <c r="Y340" s="496"/>
      <c r="Z340" s="495"/>
      <c r="AA340" s="496"/>
      <c r="AB340" s="495"/>
      <c r="AC340" s="496"/>
      <c r="AD340" s="545">
        <v>126730.5</v>
      </c>
      <c r="AE340" s="546">
        <v>35130</v>
      </c>
      <c r="AF340" s="640">
        <f t="shared" si="114"/>
        <v>126730.5</v>
      </c>
      <c r="AG340" s="640">
        <f t="shared" si="115"/>
        <v>140.81166666666667</v>
      </c>
      <c r="AH340" s="641">
        <f t="shared" si="116"/>
        <v>35130</v>
      </c>
      <c r="AI340" s="641">
        <f t="shared" si="117"/>
        <v>39.033333333333331</v>
      </c>
      <c r="AJ340" s="495"/>
      <c r="AK340" s="496"/>
      <c r="AL340" s="640">
        <f t="shared" si="118"/>
        <v>0</v>
      </c>
      <c r="AM340" s="641">
        <f t="shared" si="119"/>
        <v>0</v>
      </c>
      <c r="AN340" s="495"/>
      <c r="AO340" s="496"/>
      <c r="AP340" s="495"/>
      <c r="AQ340" s="496"/>
      <c r="AR340" s="495"/>
      <c r="AS340" s="496"/>
      <c r="AT340" s="495"/>
      <c r="AU340" s="496"/>
      <c r="AV340" s="640">
        <f t="shared" si="120"/>
        <v>0</v>
      </c>
      <c r="AW340" s="640">
        <f t="shared" si="121"/>
        <v>0</v>
      </c>
      <c r="AX340" s="641">
        <f t="shared" si="122"/>
        <v>0</v>
      </c>
      <c r="AY340" s="641">
        <f t="shared" si="123"/>
        <v>0</v>
      </c>
      <c r="AZ340" s="640">
        <f t="shared" si="124"/>
        <v>140.81166666666667</v>
      </c>
      <c r="BA340" s="641">
        <f t="shared" si="125"/>
        <v>39.033333333333331</v>
      </c>
    </row>
    <row r="341" spans="1:53" s="365" customFormat="1" ht="12.6" customHeight="1">
      <c r="A341" s="409" t="s">
        <v>311</v>
      </c>
      <c r="B341" s="407" t="s">
        <v>320</v>
      </c>
      <c r="C341" s="408"/>
      <c r="D341" s="618">
        <v>418348</v>
      </c>
      <c r="E341" s="520">
        <v>13</v>
      </c>
      <c r="F341" s="495"/>
      <c r="G341" s="496"/>
      <c r="H341" s="495"/>
      <c r="I341" s="496"/>
      <c r="J341" s="495"/>
      <c r="K341" s="496"/>
      <c r="L341" s="495"/>
      <c r="M341" s="496"/>
      <c r="N341" s="495"/>
      <c r="O341" s="496"/>
      <c r="P341" s="640">
        <f t="shared" si="108"/>
        <v>0</v>
      </c>
      <c r="Q341" s="640">
        <f t="shared" si="109"/>
        <v>0</v>
      </c>
      <c r="R341" s="641">
        <f t="shared" si="110"/>
        <v>0</v>
      </c>
      <c r="S341" s="641">
        <f t="shared" si="111"/>
        <v>0</v>
      </c>
      <c r="T341" s="495"/>
      <c r="U341" s="496"/>
      <c r="V341" s="640">
        <f t="shared" si="112"/>
        <v>0</v>
      </c>
      <c r="W341" s="641">
        <f t="shared" si="113"/>
        <v>0</v>
      </c>
      <c r="X341" s="495"/>
      <c r="Y341" s="496"/>
      <c r="Z341" s="495"/>
      <c r="AA341" s="496"/>
      <c r="AB341" s="495"/>
      <c r="AC341" s="496"/>
      <c r="AD341" s="545">
        <v>487232.9</v>
      </c>
      <c r="AE341" s="546">
        <v>206781</v>
      </c>
      <c r="AF341" s="640">
        <f t="shared" si="114"/>
        <v>487232.9</v>
      </c>
      <c r="AG341" s="640">
        <f t="shared" si="115"/>
        <v>541.36988888888891</v>
      </c>
      <c r="AH341" s="641">
        <f t="shared" si="116"/>
        <v>206781</v>
      </c>
      <c r="AI341" s="641">
        <f t="shared" si="117"/>
        <v>229.75666666666666</v>
      </c>
      <c r="AJ341" s="495"/>
      <c r="AK341" s="496"/>
      <c r="AL341" s="640">
        <f t="shared" si="118"/>
        <v>0</v>
      </c>
      <c r="AM341" s="641">
        <f t="shared" si="119"/>
        <v>0</v>
      </c>
      <c r="AN341" s="495"/>
      <c r="AO341" s="496"/>
      <c r="AP341" s="495"/>
      <c r="AQ341" s="496"/>
      <c r="AR341" s="495"/>
      <c r="AS341" s="496"/>
      <c r="AT341" s="495"/>
      <c r="AU341" s="496"/>
      <c r="AV341" s="640">
        <f t="shared" si="120"/>
        <v>0</v>
      </c>
      <c r="AW341" s="640">
        <f t="shared" si="121"/>
        <v>0</v>
      </c>
      <c r="AX341" s="641">
        <f t="shared" si="122"/>
        <v>0</v>
      </c>
      <c r="AY341" s="641">
        <f t="shared" si="123"/>
        <v>0</v>
      </c>
      <c r="AZ341" s="640">
        <f t="shared" si="124"/>
        <v>541.36988888888891</v>
      </c>
      <c r="BA341" s="641">
        <f t="shared" si="125"/>
        <v>229.75666666666666</v>
      </c>
    </row>
    <row r="342" spans="1:53" s="365" customFormat="1" ht="12.6" customHeight="1">
      <c r="A342" s="409" t="s">
        <v>311</v>
      </c>
      <c r="B342" s="407" t="s">
        <v>321</v>
      </c>
      <c r="C342" s="523"/>
      <c r="D342" s="618">
        <v>375683</v>
      </c>
      <c r="E342" s="520">
        <v>13</v>
      </c>
      <c r="F342" s="495"/>
      <c r="G342" s="496"/>
      <c r="H342" s="495"/>
      <c r="I342" s="496"/>
      <c r="J342" s="495"/>
      <c r="K342" s="496"/>
      <c r="L342" s="495"/>
      <c r="M342" s="496"/>
      <c r="N342" s="495"/>
      <c r="O342" s="496"/>
      <c r="P342" s="640">
        <f t="shared" si="108"/>
        <v>0</v>
      </c>
      <c r="Q342" s="640">
        <f t="shared" si="109"/>
        <v>0</v>
      </c>
      <c r="R342" s="641">
        <f t="shared" si="110"/>
        <v>0</v>
      </c>
      <c r="S342" s="641">
        <f t="shared" si="111"/>
        <v>0</v>
      </c>
      <c r="T342" s="495"/>
      <c r="U342" s="496"/>
      <c r="V342" s="640">
        <f t="shared" si="112"/>
        <v>0</v>
      </c>
      <c r="W342" s="641">
        <f t="shared" si="113"/>
        <v>0</v>
      </c>
      <c r="X342" s="495"/>
      <c r="Y342" s="496"/>
      <c r="Z342" s="495"/>
      <c r="AA342" s="496"/>
      <c r="AB342" s="495"/>
      <c r="AC342" s="496"/>
      <c r="AD342" s="545">
        <v>1009352.8</v>
      </c>
      <c r="AE342" s="546">
        <v>299823</v>
      </c>
      <c r="AF342" s="640">
        <f t="shared" si="114"/>
        <v>1009352.8</v>
      </c>
      <c r="AG342" s="640">
        <f t="shared" si="115"/>
        <v>1121.5031111111111</v>
      </c>
      <c r="AH342" s="641">
        <f t="shared" si="116"/>
        <v>299823</v>
      </c>
      <c r="AI342" s="641">
        <f t="shared" si="117"/>
        <v>333.13666666666666</v>
      </c>
      <c r="AJ342" s="495"/>
      <c r="AK342" s="496"/>
      <c r="AL342" s="640">
        <f t="shared" si="118"/>
        <v>0</v>
      </c>
      <c r="AM342" s="641">
        <f t="shared" si="119"/>
        <v>0</v>
      </c>
      <c r="AN342" s="495"/>
      <c r="AO342" s="496"/>
      <c r="AP342" s="495"/>
      <c r="AQ342" s="496"/>
      <c r="AR342" s="495"/>
      <c r="AS342" s="496"/>
      <c r="AT342" s="495"/>
      <c r="AU342" s="496"/>
      <c r="AV342" s="640">
        <f t="shared" si="120"/>
        <v>0</v>
      </c>
      <c r="AW342" s="640">
        <f t="shared" si="121"/>
        <v>0</v>
      </c>
      <c r="AX342" s="641">
        <f t="shared" si="122"/>
        <v>0</v>
      </c>
      <c r="AY342" s="641">
        <f t="shared" si="123"/>
        <v>0</v>
      </c>
      <c r="AZ342" s="640">
        <f t="shared" si="124"/>
        <v>1121.5031111111111</v>
      </c>
      <c r="BA342" s="641">
        <f t="shared" si="125"/>
        <v>333.13666666666666</v>
      </c>
    </row>
    <row r="343" spans="1:53" s="365" customFormat="1" ht="12.6" customHeight="1">
      <c r="A343" s="409" t="s">
        <v>311</v>
      </c>
      <c r="B343" s="407" t="s">
        <v>322</v>
      </c>
      <c r="C343" s="408"/>
      <c r="D343" s="618">
        <v>364548</v>
      </c>
      <c r="E343" s="520">
        <v>13</v>
      </c>
      <c r="F343" s="495"/>
      <c r="G343" s="496"/>
      <c r="H343" s="495"/>
      <c r="I343" s="496"/>
      <c r="J343" s="495"/>
      <c r="K343" s="496"/>
      <c r="L343" s="495"/>
      <c r="M343" s="496"/>
      <c r="N343" s="495"/>
      <c r="O343" s="496"/>
      <c r="P343" s="640">
        <f t="shared" si="108"/>
        <v>0</v>
      </c>
      <c r="Q343" s="640">
        <f t="shared" si="109"/>
        <v>0</v>
      </c>
      <c r="R343" s="641">
        <f t="shared" si="110"/>
        <v>0</v>
      </c>
      <c r="S343" s="641">
        <f t="shared" si="111"/>
        <v>0</v>
      </c>
      <c r="T343" s="495"/>
      <c r="U343" s="496"/>
      <c r="V343" s="640">
        <f t="shared" si="112"/>
        <v>0</v>
      </c>
      <c r="W343" s="641">
        <f t="shared" si="113"/>
        <v>0</v>
      </c>
      <c r="X343" s="495"/>
      <c r="Y343" s="496"/>
      <c r="Z343" s="495"/>
      <c r="AA343" s="496"/>
      <c r="AB343" s="495"/>
      <c r="AC343" s="496"/>
      <c r="AD343" s="545">
        <v>683487</v>
      </c>
      <c r="AE343" s="546">
        <v>369250</v>
      </c>
      <c r="AF343" s="640">
        <f t="shared" si="114"/>
        <v>683487</v>
      </c>
      <c r="AG343" s="640">
        <f t="shared" si="115"/>
        <v>759.43</v>
      </c>
      <c r="AH343" s="641">
        <f t="shared" si="116"/>
        <v>369250</v>
      </c>
      <c r="AI343" s="641">
        <f t="shared" si="117"/>
        <v>410.27777777777777</v>
      </c>
      <c r="AJ343" s="495"/>
      <c r="AK343" s="496"/>
      <c r="AL343" s="640">
        <f t="shared" si="118"/>
        <v>0</v>
      </c>
      <c r="AM343" s="641">
        <f t="shared" si="119"/>
        <v>0</v>
      </c>
      <c r="AN343" s="495"/>
      <c r="AO343" s="496"/>
      <c r="AP343" s="495"/>
      <c r="AQ343" s="496"/>
      <c r="AR343" s="495"/>
      <c r="AS343" s="496"/>
      <c r="AT343" s="495"/>
      <c r="AU343" s="496"/>
      <c r="AV343" s="640">
        <f t="shared" si="120"/>
        <v>0</v>
      </c>
      <c r="AW343" s="640">
        <f t="shared" si="121"/>
        <v>0</v>
      </c>
      <c r="AX343" s="641">
        <f t="shared" si="122"/>
        <v>0</v>
      </c>
      <c r="AY343" s="641">
        <f t="shared" si="123"/>
        <v>0</v>
      </c>
      <c r="AZ343" s="640">
        <f t="shared" si="124"/>
        <v>759.43</v>
      </c>
      <c r="BA343" s="641">
        <f t="shared" si="125"/>
        <v>410.27777777777777</v>
      </c>
    </row>
    <row r="344" spans="1:53" s="365" customFormat="1" ht="12.6" customHeight="1">
      <c r="A344" s="406" t="s">
        <v>311</v>
      </c>
      <c r="B344" s="407" t="s">
        <v>323</v>
      </c>
      <c r="C344" s="410"/>
      <c r="D344" s="618">
        <v>428019</v>
      </c>
      <c r="E344" s="520">
        <v>13</v>
      </c>
      <c r="F344" s="495"/>
      <c r="G344" s="496"/>
      <c r="H344" s="495"/>
      <c r="I344" s="496"/>
      <c r="J344" s="495"/>
      <c r="K344" s="496"/>
      <c r="L344" s="495"/>
      <c r="M344" s="496"/>
      <c r="N344" s="495"/>
      <c r="O344" s="496"/>
      <c r="P344" s="640">
        <f t="shared" si="108"/>
        <v>0</v>
      </c>
      <c r="Q344" s="640">
        <f t="shared" si="109"/>
        <v>0</v>
      </c>
      <c r="R344" s="641">
        <f t="shared" si="110"/>
        <v>0</v>
      </c>
      <c r="S344" s="641">
        <f t="shared" si="111"/>
        <v>0</v>
      </c>
      <c r="T344" s="495"/>
      <c r="U344" s="496"/>
      <c r="V344" s="640">
        <f t="shared" si="112"/>
        <v>0</v>
      </c>
      <c r="W344" s="641">
        <f t="shared" si="113"/>
        <v>0</v>
      </c>
      <c r="X344" s="495"/>
      <c r="Y344" s="496"/>
      <c r="Z344" s="495"/>
      <c r="AA344" s="496"/>
      <c r="AB344" s="495"/>
      <c r="AC344" s="496"/>
      <c r="AD344" s="545">
        <v>233309</v>
      </c>
      <c r="AE344" s="546">
        <v>98754</v>
      </c>
      <c r="AF344" s="640">
        <f t="shared" si="114"/>
        <v>233309</v>
      </c>
      <c r="AG344" s="640">
        <f t="shared" si="115"/>
        <v>259.23222222222222</v>
      </c>
      <c r="AH344" s="641">
        <f t="shared" si="116"/>
        <v>98754</v>
      </c>
      <c r="AI344" s="641">
        <f t="shared" si="117"/>
        <v>109.72666666666667</v>
      </c>
      <c r="AJ344" s="495"/>
      <c r="AK344" s="496"/>
      <c r="AL344" s="640">
        <f t="shared" si="118"/>
        <v>0</v>
      </c>
      <c r="AM344" s="641">
        <f t="shared" si="119"/>
        <v>0</v>
      </c>
      <c r="AN344" s="495"/>
      <c r="AO344" s="496"/>
      <c r="AP344" s="495"/>
      <c r="AQ344" s="496"/>
      <c r="AR344" s="495"/>
      <c r="AS344" s="496"/>
      <c r="AT344" s="495"/>
      <c r="AU344" s="496"/>
      <c r="AV344" s="640">
        <f t="shared" si="120"/>
        <v>0</v>
      </c>
      <c r="AW344" s="640">
        <f t="shared" si="121"/>
        <v>0</v>
      </c>
      <c r="AX344" s="641">
        <f t="shared" si="122"/>
        <v>0</v>
      </c>
      <c r="AY344" s="641">
        <f t="shared" si="123"/>
        <v>0</v>
      </c>
      <c r="AZ344" s="640">
        <f t="shared" si="124"/>
        <v>259.23222222222222</v>
      </c>
      <c r="BA344" s="641">
        <f t="shared" si="125"/>
        <v>109.72666666666667</v>
      </c>
    </row>
    <row r="345" spans="1:53" s="365" customFormat="1" ht="12.6" customHeight="1">
      <c r="A345" s="409" t="s">
        <v>311</v>
      </c>
      <c r="B345" s="407" t="s">
        <v>324</v>
      </c>
      <c r="C345" s="408"/>
      <c r="D345" s="618">
        <v>208053</v>
      </c>
      <c r="E345" s="520">
        <v>13</v>
      </c>
      <c r="F345" s="495"/>
      <c r="G345" s="496"/>
      <c r="H345" s="495"/>
      <c r="I345" s="496"/>
      <c r="J345" s="495"/>
      <c r="K345" s="496"/>
      <c r="L345" s="495"/>
      <c r="M345" s="496"/>
      <c r="N345" s="495"/>
      <c r="O345" s="496"/>
      <c r="P345" s="640">
        <f t="shared" si="108"/>
        <v>0</v>
      </c>
      <c r="Q345" s="640">
        <f t="shared" si="109"/>
        <v>0</v>
      </c>
      <c r="R345" s="641">
        <f t="shared" si="110"/>
        <v>0</v>
      </c>
      <c r="S345" s="641">
        <f t="shared" si="111"/>
        <v>0</v>
      </c>
      <c r="T345" s="495"/>
      <c r="U345" s="496"/>
      <c r="V345" s="640">
        <f t="shared" si="112"/>
        <v>0</v>
      </c>
      <c r="W345" s="641">
        <f t="shared" si="113"/>
        <v>0</v>
      </c>
      <c r="X345" s="495"/>
      <c r="Y345" s="496"/>
      <c r="Z345" s="495"/>
      <c r="AA345" s="496"/>
      <c r="AB345" s="495"/>
      <c r="AC345" s="496"/>
      <c r="AD345" s="545">
        <v>204946.9</v>
      </c>
      <c r="AE345" s="546">
        <v>141360</v>
      </c>
      <c r="AF345" s="640">
        <f t="shared" si="114"/>
        <v>204946.9</v>
      </c>
      <c r="AG345" s="640">
        <f t="shared" si="115"/>
        <v>227.71877777777777</v>
      </c>
      <c r="AH345" s="641">
        <f t="shared" si="116"/>
        <v>141360</v>
      </c>
      <c r="AI345" s="641">
        <f t="shared" si="117"/>
        <v>157.06666666666666</v>
      </c>
      <c r="AJ345" s="495"/>
      <c r="AK345" s="496"/>
      <c r="AL345" s="640">
        <f t="shared" si="118"/>
        <v>0</v>
      </c>
      <c r="AM345" s="641">
        <f t="shared" si="119"/>
        <v>0</v>
      </c>
      <c r="AN345" s="495"/>
      <c r="AO345" s="496"/>
      <c r="AP345" s="495"/>
      <c r="AQ345" s="496"/>
      <c r="AR345" s="495"/>
      <c r="AS345" s="496"/>
      <c r="AT345" s="495"/>
      <c r="AU345" s="496"/>
      <c r="AV345" s="640">
        <f t="shared" si="120"/>
        <v>0</v>
      </c>
      <c r="AW345" s="640">
        <f t="shared" si="121"/>
        <v>0</v>
      </c>
      <c r="AX345" s="641">
        <f t="shared" si="122"/>
        <v>0</v>
      </c>
      <c r="AY345" s="641">
        <f t="shared" si="123"/>
        <v>0</v>
      </c>
      <c r="AZ345" s="640">
        <f t="shared" si="124"/>
        <v>227.71877777777777</v>
      </c>
      <c r="BA345" s="641">
        <f t="shared" si="125"/>
        <v>157.06666666666666</v>
      </c>
    </row>
    <row r="346" spans="1:53" s="365" customFormat="1" ht="12.6" customHeight="1">
      <c r="A346" s="409" t="s">
        <v>311</v>
      </c>
      <c r="B346" s="407" t="s">
        <v>325</v>
      </c>
      <c r="C346" s="408"/>
      <c r="D346" s="618">
        <v>418296</v>
      </c>
      <c r="E346" s="520">
        <v>13</v>
      </c>
      <c r="F346" s="495"/>
      <c r="G346" s="496"/>
      <c r="H346" s="495"/>
      <c r="I346" s="496"/>
      <c r="J346" s="495"/>
      <c r="K346" s="496"/>
      <c r="L346" s="495"/>
      <c r="M346" s="496"/>
      <c r="N346" s="495"/>
      <c r="O346" s="496"/>
      <c r="P346" s="640">
        <f t="shared" si="108"/>
        <v>0</v>
      </c>
      <c r="Q346" s="640">
        <f t="shared" si="109"/>
        <v>0</v>
      </c>
      <c r="R346" s="641">
        <f t="shared" si="110"/>
        <v>0</v>
      </c>
      <c r="S346" s="641">
        <f t="shared" si="111"/>
        <v>0</v>
      </c>
      <c r="T346" s="495"/>
      <c r="U346" s="496"/>
      <c r="V346" s="640">
        <f t="shared" si="112"/>
        <v>0</v>
      </c>
      <c r="W346" s="641">
        <f t="shared" si="113"/>
        <v>0</v>
      </c>
      <c r="X346" s="495"/>
      <c r="Y346" s="496"/>
      <c r="Z346" s="495"/>
      <c r="AA346" s="496"/>
      <c r="AB346" s="495"/>
      <c r="AC346" s="496"/>
      <c r="AD346" s="545">
        <v>517115.4</v>
      </c>
      <c r="AE346" s="546">
        <v>316864</v>
      </c>
      <c r="AF346" s="640">
        <f t="shared" si="114"/>
        <v>517115.4</v>
      </c>
      <c r="AG346" s="640">
        <f t="shared" si="115"/>
        <v>574.57266666666669</v>
      </c>
      <c r="AH346" s="641">
        <f t="shared" si="116"/>
        <v>316864</v>
      </c>
      <c r="AI346" s="641">
        <f t="shared" si="117"/>
        <v>352.07111111111112</v>
      </c>
      <c r="AJ346" s="495"/>
      <c r="AK346" s="496"/>
      <c r="AL346" s="640">
        <f t="shared" si="118"/>
        <v>0</v>
      </c>
      <c r="AM346" s="641">
        <f t="shared" si="119"/>
        <v>0</v>
      </c>
      <c r="AN346" s="495"/>
      <c r="AO346" s="496"/>
      <c r="AP346" s="495"/>
      <c r="AQ346" s="496"/>
      <c r="AR346" s="495"/>
      <c r="AS346" s="496"/>
      <c r="AT346" s="495"/>
      <c r="AU346" s="496"/>
      <c r="AV346" s="640">
        <f t="shared" si="120"/>
        <v>0</v>
      </c>
      <c r="AW346" s="640">
        <f t="shared" si="121"/>
        <v>0</v>
      </c>
      <c r="AX346" s="641">
        <f t="shared" si="122"/>
        <v>0</v>
      </c>
      <c r="AY346" s="641">
        <f t="shared" si="123"/>
        <v>0</v>
      </c>
      <c r="AZ346" s="640">
        <f t="shared" si="124"/>
        <v>574.57266666666669</v>
      </c>
      <c r="BA346" s="641">
        <f t="shared" si="125"/>
        <v>352.07111111111112</v>
      </c>
    </row>
    <row r="347" spans="1:53" s="365" customFormat="1" ht="12.6" customHeight="1">
      <c r="A347" s="409" t="s">
        <v>311</v>
      </c>
      <c r="B347" s="407" t="s">
        <v>326</v>
      </c>
      <c r="C347" s="408"/>
      <c r="D347" s="618">
        <v>421540</v>
      </c>
      <c r="E347" s="520">
        <v>13</v>
      </c>
      <c r="F347" s="495"/>
      <c r="G347" s="496"/>
      <c r="H347" s="495"/>
      <c r="I347" s="496"/>
      <c r="J347" s="495"/>
      <c r="K347" s="496"/>
      <c r="L347" s="495"/>
      <c r="M347" s="496"/>
      <c r="N347" s="495"/>
      <c r="O347" s="496"/>
      <c r="P347" s="640">
        <f t="shared" si="108"/>
        <v>0</v>
      </c>
      <c r="Q347" s="640">
        <f t="shared" si="109"/>
        <v>0</v>
      </c>
      <c r="R347" s="641">
        <f t="shared" si="110"/>
        <v>0</v>
      </c>
      <c r="S347" s="641">
        <f t="shared" si="111"/>
        <v>0</v>
      </c>
      <c r="T347" s="495"/>
      <c r="U347" s="496"/>
      <c r="V347" s="640">
        <f t="shared" si="112"/>
        <v>0</v>
      </c>
      <c r="W347" s="641">
        <f t="shared" si="113"/>
        <v>0</v>
      </c>
      <c r="X347" s="495"/>
      <c r="Y347" s="496"/>
      <c r="Z347" s="495"/>
      <c r="AA347" s="496"/>
      <c r="AB347" s="495"/>
      <c r="AC347" s="496"/>
      <c r="AD347" s="545">
        <v>99576.7</v>
      </c>
      <c r="AE347" s="546">
        <v>94745</v>
      </c>
      <c r="AF347" s="640">
        <f t="shared" si="114"/>
        <v>99576.7</v>
      </c>
      <c r="AG347" s="640">
        <f t="shared" si="115"/>
        <v>110.64077777777777</v>
      </c>
      <c r="AH347" s="641">
        <f t="shared" si="116"/>
        <v>94745</v>
      </c>
      <c r="AI347" s="641">
        <f t="shared" si="117"/>
        <v>105.27222222222223</v>
      </c>
      <c r="AJ347" s="495"/>
      <c r="AK347" s="496"/>
      <c r="AL347" s="640">
        <f t="shared" si="118"/>
        <v>0</v>
      </c>
      <c r="AM347" s="641">
        <f t="shared" si="119"/>
        <v>0</v>
      </c>
      <c r="AN347" s="495"/>
      <c r="AO347" s="496"/>
      <c r="AP347" s="495"/>
      <c r="AQ347" s="496"/>
      <c r="AR347" s="495"/>
      <c r="AS347" s="496"/>
      <c r="AT347" s="495"/>
      <c r="AU347" s="496"/>
      <c r="AV347" s="640">
        <f t="shared" si="120"/>
        <v>0</v>
      </c>
      <c r="AW347" s="640">
        <f t="shared" si="121"/>
        <v>0</v>
      </c>
      <c r="AX347" s="641">
        <f t="shared" si="122"/>
        <v>0</v>
      </c>
      <c r="AY347" s="641">
        <f t="shared" si="123"/>
        <v>0</v>
      </c>
      <c r="AZ347" s="640">
        <f t="shared" si="124"/>
        <v>110.64077777777777</v>
      </c>
      <c r="BA347" s="641">
        <f t="shared" si="125"/>
        <v>105.27222222222223</v>
      </c>
    </row>
    <row r="348" spans="1:53" s="365" customFormat="1" ht="12.6" customHeight="1">
      <c r="A348" s="409" t="s">
        <v>311</v>
      </c>
      <c r="B348" s="407" t="s">
        <v>327</v>
      </c>
      <c r="C348" s="408"/>
      <c r="D348" s="618">
        <v>421559</v>
      </c>
      <c r="E348" s="520">
        <v>13</v>
      </c>
      <c r="F348" s="495"/>
      <c r="G348" s="496"/>
      <c r="H348" s="495"/>
      <c r="I348" s="496"/>
      <c r="J348" s="495"/>
      <c r="K348" s="496"/>
      <c r="L348" s="495"/>
      <c r="M348" s="496"/>
      <c r="N348" s="495"/>
      <c r="O348" s="496"/>
      <c r="P348" s="640">
        <f t="shared" si="108"/>
        <v>0</v>
      </c>
      <c r="Q348" s="640">
        <f t="shared" si="109"/>
        <v>0</v>
      </c>
      <c r="R348" s="641">
        <f t="shared" si="110"/>
        <v>0</v>
      </c>
      <c r="S348" s="641">
        <f t="shared" si="111"/>
        <v>0</v>
      </c>
      <c r="T348" s="495"/>
      <c r="U348" s="496"/>
      <c r="V348" s="640">
        <f t="shared" si="112"/>
        <v>0</v>
      </c>
      <c r="W348" s="641">
        <f t="shared" si="113"/>
        <v>0</v>
      </c>
      <c r="X348" s="495"/>
      <c r="Y348" s="496"/>
      <c r="Z348" s="495"/>
      <c r="AA348" s="496"/>
      <c r="AB348" s="495"/>
      <c r="AC348" s="496"/>
      <c r="AD348" s="545">
        <v>114030</v>
      </c>
      <c r="AE348" s="546">
        <v>63600</v>
      </c>
      <c r="AF348" s="640">
        <f t="shared" si="114"/>
        <v>114030</v>
      </c>
      <c r="AG348" s="640">
        <f t="shared" si="115"/>
        <v>126.7</v>
      </c>
      <c r="AH348" s="641">
        <f t="shared" si="116"/>
        <v>63600</v>
      </c>
      <c r="AI348" s="641">
        <f t="shared" si="117"/>
        <v>70.666666666666671</v>
      </c>
      <c r="AJ348" s="495"/>
      <c r="AK348" s="496"/>
      <c r="AL348" s="640">
        <f t="shared" si="118"/>
        <v>0</v>
      </c>
      <c r="AM348" s="641">
        <f t="shared" si="119"/>
        <v>0</v>
      </c>
      <c r="AN348" s="495"/>
      <c r="AO348" s="496"/>
      <c r="AP348" s="495"/>
      <c r="AQ348" s="496"/>
      <c r="AR348" s="495"/>
      <c r="AS348" s="496"/>
      <c r="AT348" s="495"/>
      <c r="AU348" s="496"/>
      <c r="AV348" s="640">
        <f t="shared" si="120"/>
        <v>0</v>
      </c>
      <c r="AW348" s="640">
        <f t="shared" si="121"/>
        <v>0</v>
      </c>
      <c r="AX348" s="641">
        <f t="shared" si="122"/>
        <v>0</v>
      </c>
      <c r="AY348" s="641">
        <f t="shared" si="123"/>
        <v>0</v>
      </c>
      <c r="AZ348" s="640">
        <f t="shared" si="124"/>
        <v>126.7</v>
      </c>
      <c r="BA348" s="641">
        <f t="shared" si="125"/>
        <v>70.666666666666671</v>
      </c>
    </row>
    <row r="349" spans="1:53" s="365" customFormat="1" ht="12.6" customHeight="1">
      <c r="A349" s="409" t="s">
        <v>311</v>
      </c>
      <c r="B349" s="407" t="s">
        <v>328</v>
      </c>
      <c r="C349" s="408"/>
      <c r="D349" s="618">
        <v>208026</v>
      </c>
      <c r="E349" s="520">
        <v>13</v>
      </c>
      <c r="F349" s="495"/>
      <c r="G349" s="496"/>
      <c r="H349" s="495"/>
      <c r="I349" s="496"/>
      <c r="J349" s="495"/>
      <c r="K349" s="496"/>
      <c r="L349" s="495"/>
      <c r="M349" s="496"/>
      <c r="N349" s="495"/>
      <c r="O349" s="496"/>
      <c r="P349" s="640">
        <f t="shared" si="108"/>
        <v>0</v>
      </c>
      <c r="Q349" s="640">
        <f t="shared" si="109"/>
        <v>0</v>
      </c>
      <c r="R349" s="641">
        <f t="shared" si="110"/>
        <v>0</v>
      </c>
      <c r="S349" s="641">
        <f t="shared" si="111"/>
        <v>0</v>
      </c>
      <c r="T349" s="495"/>
      <c r="U349" s="496"/>
      <c r="V349" s="640">
        <f t="shared" si="112"/>
        <v>0</v>
      </c>
      <c r="W349" s="641">
        <f t="shared" si="113"/>
        <v>0</v>
      </c>
      <c r="X349" s="495"/>
      <c r="Y349" s="496"/>
      <c r="Z349" s="495"/>
      <c r="AA349" s="496"/>
      <c r="AB349" s="495"/>
      <c r="AC349" s="496"/>
      <c r="AD349" s="545">
        <v>228733.2</v>
      </c>
      <c r="AE349" s="546">
        <v>116634</v>
      </c>
      <c r="AF349" s="640">
        <f t="shared" si="114"/>
        <v>228733.2</v>
      </c>
      <c r="AG349" s="640">
        <f t="shared" si="115"/>
        <v>254.14800000000002</v>
      </c>
      <c r="AH349" s="641">
        <f t="shared" si="116"/>
        <v>116634</v>
      </c>
      <c r="AI349" s="641">
        <f t="shared" si="117"/>
        <v>129.59333333333333</v>
      </c>
      <c r="AJ349" s="495"/>
      <c r="AK349" s="496"/>
      <c r="AL349" s="640">
        <f t="shared" si="118"/>
        <v>0</v>
      </c>
      <c r="AM349" s="641">
        <f t="shared" si="119"/>
        <v>0</v>
      </c>
      <c r="AN349" s="495"/>
      <c r="AO349" s="496"/>
      <c r="AP349" s="495"/>
      <c r="AQ349" s="496"/>
      <c r="AR349" s="495"/>
      <c r="AS349" s="496"/>
      <c r="AT349" s="495"/>
      <c r="AU349" s="496"/>
      <c r="AV349" s="640">
        <f t="shared" si="120"/>
        <v>0</v>
      </c>
      <c r="AW349" s="640">
        <f t="shared" si="121"/>
        <v>0</v>
      </c>
      <c r="AX349" s="641">
        <f t="shared" si="122"/>
        <v>0</v>
      </c>
      <c r="AY349" s="641">
        <f t="shared" si="123"/>
        <v>0</v>
      </c>
      <c r="AZ349" s="640">
        <f t="shared" si="124"/>
        <v>254.14800000000002</v>
      </c>
      <c r="BA349" s="641">
        <f t="shared" si="125"/>
        <v>129.59333333333333</v>
      </c>
    </row>
    <row r="350" spans="1:53" s="365" customFormat="1" ht="12.6" customHeight="1">
      <c r="A350" s="409" t="s">
        <v>311</v>
      </c>
      <c r="B350" s="407" t="s">
        <v>329</v>
      </c>
      <c r="C350" s="408"/>
      <c r="D350" s="618">
        <v>375692</v>
      </c>
      <c r="E350" s="520">
        <v>13</v>
      </c>
      <c r="F350" s="495"/>
      <c r="G350" s="496"/>
      <c r="H350" s="495"/>
      <c r="I350" s="496"/>
      <c r="J350" s="495"/>
      <c r="K350" s="496"/>
      <c r="L350" s="495"/>
      <c r="M350" s="496"/>
      <c r="N350" s="495"/>
      <c r="O350" s="496"/>
      <c r="P350" s="640">
        <f t="shared" si="108"/>
        <v>0</v>
      </c>
      <c r="Q350" s="640">
        <f t="shared" si="109"/>
        <v>0</v>
      </c>
      <c r="R350" s="641">
        <f t="shared" si="110"/>
        <v>0</v>
      </c>
      <c r="S350" s="641">
        <f t="shared" si="111"/>
        <v>0</v>
      </c>
      <c r="T350" s="495"/>
      <c r="U350" s="496"/>
      <c r="V350" s="640">
        <f t="shared" si="112"/>
        <v>0</v>
      </c>
      <c r="W350" s="641">
        <f t="shared" si="113"/>
        <v>0</v>
      </c>
      <c r="X350" s="495"/>
      <c r="Y350" s="496"/>
      <c r="Z350" s="495"/>
      <c r="AA350" s="496"/>
      <c r="AB350" s="495"/>
      <c r="AC350" s="496"/>
      <c r="AD350" s="545">
        <v>203282</v>
      </c>
      <c r="AE350" s="546">
        <v>53380</v>
      </c>
      <c r="AF350" s="640">
        <f t="shared" si="114"/>
        <v>203282</v>
      </c>
      <c r="AG350" s="640">
        <f t="shared" si="115"/>
        <v>225.86888888888888</v>
      </c>
      <c r="AH350" s="641">
        <f t="shared" si="116"/>
        <v>53380</v>
      </c>
      <c r="AI350" s="641">
        <f t="shared" si="117"/>
        <v>59.31111111111111</v>
      </c>
      <c r="AJ350" s="495"/>
      <c r="AK350" s="496"/>
      <c r="AL350" s="640">
        <f t="shared" si="118"/>
        <v>0</v>
      </c>
      <c r="AM350" s="641">
        <f t="shared" si="119"/>
        <v>0</v>
      </c>
      <c r="AN350" s="495"/>
      <c r="AO350" s="496"/>
      <c r="AP350" s="495"/>
      <c r="AQ350" s="496"/>
      <c r="AR350" s="495"/>
      <c r="AS350" s="496"/>
      <c r="AT350" s="495"/>
      <c r="AU350" s="496"/>
      <c r="AV350" s="640">
        <f t="shared" si="120"/>
        <v>0</v>
      </c>
      <c r="AW350" s="640">
        <f t="shared" si="121"/>
        <v>0</v>
      </c>
      <c r="AX350" s="641">
        <f t="shared" si="122"/>
        <v>0</v>
      </c>
      <c r="AY350" s="641">
        <f t="shared" si="123"/>
        <v>0</v>
      </c>
      <c r="AZ350" s="640">
        <f t="shared" si="124"/>
        <v>225.86888888888888</v>
      </c>
      <c r="BA350" s="641">
        <f t="shared" si="125"/>
        <v>59.31111111111111</v>
      </c>
    </row>
    <row r="351" spans="1:53" s="365" customFormat="1" ht="12.6" customHeight="1">
      <c r="A351" s="409" t="s">
        <v>311</v>
      </c>
      <c r="B351" s="407" t="s">
        <v>330</v>
      </c>
      <c r="C351" s="408"/>
      <c r="D351" s="618">
        <v>375708</v>
      </c>
      <c r="E351" s="520">
        <v>13</v>
      </c>
      <c r="F351" s="495"/>
      <c r="G351" s="496"/>
      <c r="H351" s="495"/>
      <c r="I351" s="496"/>
      <c r="J351" s="495"/>
      <c r="K351" s="496"/>
      <c r="L351" s="495"/>
      <c r="M351" s="496"/>
      <c r="N351" s="495"/>
      <c r="O351" s="496"/>
      <c r="P351" s="640">
        <f t="shared" si="108"/>
        <v>0</v>
      </c>
      <c r="Q351" s="640">
        <f t="shared" si="109"/>
        <v>0</v>
      </c>
      <c r="R351" s="641">
        <f t="shared" si="110"/>
        <v>0</v>
      </c>
      <c r="S351" s="641">
        <f t="shared" si="111"/>
        <v>0</v>
      </c>
      <c r="T351" s="495"/>
      <c r="U351" s="496"/>
      <c r="V351" s="640">
        <f t="shared" si="112"/>
        <v>0</v>
      </c>
      <c r="W351" s="641">
        <f t="shared" si="113"/>
        <v>0</v>
      </c>
      <c r="X351" s="495"/>
      <c r="Y351" s="496"/>
      <c r="Z351" s="495"/>
      <c r="AA351" s="496"/>
      <c r="AB351" s="495"/>
      <c r="AC351" s="496"/>
      <c r="AD351" s="545">
        <v>151019.5</v>
      </c>
      <c r="AE351" s="546">
        <v>92863</v>
      </c>
      <c r="AF351" s="640">
        <f t="shared" si="114"/>
        <v>151019.5</v>
      </c>
      <c r="AG351" s="640">
        <f t="shared" si="115"/>
        <v>167.79944444444445</v>
      </c>
      <c r="AH351" s="641">
        <f t="shared" si="116"/>
        <v>92863</v>
      </c>
      <c r="AI351" s="641">
        <f t="shared" si="117"/>
        <v>103.18111111111111</v>
      </c>
      <c r="AJ351" s="495"/>
      <c r="AK351" s="496"/>
      <c r="AL351" s="640">
        <f t="shared" si="118"/>
        <v>0</v>
      </c>
      <c r="AM351" s="641">
        <f t="shared" si="119"/>
        <v>0</v>
      </c>
      <c r="AN351" s="495"/>
      <c r="AO351" s="496"/>
      <c r="AP351" s="495"/>
      <c r="AQ351" s="496"/>
      <c r="AR351" s="495"/>
      <c r="AS351" s="496"/>
      <c r="AT351" s="495"/>
      <c r="AU351" s="496"/>
      <c r="AV351" s="640">
        <f t="shared" si="120"/>
        <v>0</v>
      </c>
      <c r="AW351" s="640">
        <f t="shared" si="121"/>
        <v>0</v>
      </c>
      <c r="AX351" s="641">
        <f t="shared" si="122"/>
        <v>0</v>
      </c>
      <c r="AY351" s="641">
        <f t="shared" si="123"/>
        <v>0</v>
      </c>
      <c r="AZ351" s="640">
        <f t="shared" si="124"/>
        <v>167.79944444444445</v>
      </c>
      <c r="BA351" s="641">
        <f t="shared" si="125"/>
        <v>103.18111111111111</v>
      </c>
    </row>
    <row r="352" spans="1:53" s="365" customFormat="1" ht="12.6" customHeight="1">
      <c r="A352" s="409" t="s">
        <v>311</v>
      </c>
      <c r="B352" s="407" t="s">
        <v>331</v>
      </c>
      <c r="C352" s="408"/>
      <c r="D352" s="618">
        <v>375717</v>
      </c>
      <c r="E352" s="520">
        <v>13</v>
      </c>
      <c r="F352" s="495"/>
      <c r="G352" s="496"/>
      <c r="H352" s="495"/>
      <c r="I352" s="496"/>
      <c r="J352" s="495"/>
      <c r="K352" s="496"/>
      <c r="L352" s="495"/>
      <c r="M352" s="496"/>
      <c r="N352" s="495"/>
      <c r="O352" s="496"/>
      <c r="P352" s="640">
        <f t="shared" si="108"/>
        <v>0</v>
      </c>
      <c r="Q352" s="640">
        <f t="shared" si="109"/>
        <v>0</v>
      </c>
      <c r="R352" s="641">
        <f t="shared" si="110"/>
        <v>0</v>
      </c>
      <c r="S352" s="641">
        <f t="shared" si="111"/>
        <v>0</v>
      </c>
      <c r="T352" s="495"/>
      <c r="U352" s="496"/>
      <c r="V352" s="640">
        <f t="shared" si="112"/>
        <v>0</v>
      </c>
      <c r="W352" s="641">
        <f t="shared" si="113"/>
        <v>0</v>
      </c>
      <c r="X352" s="495"/>
      <c r="Y352" s="496"/>
      <c r="Z352" s="495"/>
      <c r="AA352" s="496"/>
      <c r="AB352" s="495"/>
      <c r="AC352" s="496"/>
      <c r="AD352" s="545">
        <v>71652</v>
      </c>
      <c r="AE352" s="546">
        <v>58173</v>
      </c>
      <c r="AF352" s="640">
        <f t="shared" si="114"/>
        <v>71652</v>
      </c>
      <c r="AG352" s="640">
        <f t="shared" si="115"/>
        <v>79.61333333333333</v>
      </c>
      <c r="AH352" s="641">
        <f t="shared" si="116"/>
        <v>58173</v>
      </c>
      <c r="AI352" s="641">
        <f t="shared" si="117"/>
        <v>64.63666666666667</v>
      </c>
      <c r="AJ352" s="495"/>
      <c r="AK352" s="496"/>
      <c r="AL352" s="640">
        <f t="shared" si="118"/>
        <v>0</v>
      </c>
      <c r="AM352" s="641">
        <f t="shared" si="119"/>
        <v>0</v>
      </c>
      <c r="AN352" s="495"/>
      <c r="AO352" s="496"/>
      <c r="AP352" s="495"/>
      <c r="AQ352" s="496"/>
      <c r="AR352" s="495"/>
      <c r="AS352" s="496"/>
      <c r="AT352" s="495"/>
      <c r="AU352" s="496"/>
      <c r="AV352" s="640">
        <f t="shared" si="120"/>
        <v>0</v>
      </c>
      <c r="AW352" s="640">
        <f t="shared" si="121"/>
        <v>0</v>
      </c>
      <c r="AX352" s="641">
        <f t="shared" si="122"/>
        <v>0</v>
      </c>
      <c r="AY352" s="641">
        <f t="shared" si="123"/>
        <v>0</v>
      </c>
      <c r="AZ352" s="640">
        <f t="shared" si="124"/>
        <v>79.61333333333333</v>
      </c>
      <c r="BA352" s="641">
        <f t="shared" si="125"/>
        <v>64.63666666666667</v>
      </c>
    </row>
    <row r="353" spans="1:53" s="365" customFormat="1" ht="12.6" customHeight="1">
      <c r="A353" s="409" t="s">
        <v>311</v>
      </c>
      <c r="B353" s="407" t="s">
        <v>332</v>
      </c>
      <c r="C353" s="408"/>
      <c r="D353" s="618">
        <v>375735</v>
      </c>
      <c r="E353" s="520">
        <v>13</v>
      </c>
      <c r="F353" s="495"/>
      <c r="G353" s="496"/>
      <c r="H353" s="495"/>
      <c r="I353" s="496"/>
      <c r="J353" s="495"/>
      <c r="K353" s="496"/>
      <c r="L353" s="495"/>
      <c r="M353" s="496"/>
      <c r="N353" s="495"/>
      <c r="O353" s="496"/>
      <c r="P353" s="640">
        <f t="shared" si="108"/>
        <v>0</v>
      </c>
      <c r="Q353" s="640">
        <f t="shared" si="109"/>
        <v>0</v>
      </c>
      <c r="R353" s="641">
        <f t="shared" si="110"/>
        <v>0</v>
      </c>
      <c r="S353" s="641">
        <f t="shared" si="111"/>
        <v>0</v>
      </c>
      <c r="T353" s="495"/>
      <c r="U353" s="496"/>
      <c r="V353" s="640">
        <f t="shared" si="112"/>
        <v>0</v>
      </c>
      <c r="W353" s="641">
        <f t="shared" si="113"/>
        <v>0</v>
      </c>
      <c r="X353" s="495"/>
      <c r="Y353" s="496"/>
      <c r="Z353" s="495"/>
      <c r="AA353" s="496"/>
      <c r="AB353" s="495"/>
      <c r="AC353" s="496"/>
      <c r="AD353" s="545">
        <v>164047</v>
      </c>
      <c r="AE353" s="546">
        <v>94645</v>
      </c>
      <c r="AF353" s="640">
        <f t="shared" si="114"/>
        <v>164047</v>
      </c>
      <c r="AG353" s="640">
        <f t="shared" si="115"/>
        <v>182.27444444444444</v>
      </c>
      <c r="AH353" s="641">
        <f t="shared" si="116"/>
        <v>94645</v>
      </c>
      <c r="AI353" s="641">
        <f t="shared" si="117"/>
        <v>105.16111111111111</v>
      </c>
      <c r="AJ353" s="495"/>
      <c r="AK353" s="496"/>
      <c r="AL353" s="640">
        <f t="shared" si="118"/>
        <v>0</v>
      </c>
      <c r="AM353" s="641">
        <f t="shared" si="119"/>
        <v>0</v>
      </c>
      <c r="AN353" s="495"/>
      <c r="AO353" s="496"/>
      <c r="AP353" s="495"/>
      <c r="AQ353" s="496"/>
      <c r="AR353" s="495"/>
      <c r="AS353" s="496"/>
      <c r="AT353" s="495"/>
      <c r="AU353" s="496"/>
      <c r="AV353" s="640">
        <f t="shared" si="120"/>
        <v>0</v>
      </c>
      <c r="AW353" s="640">
        <f t="shared" si="121"/>
        <v>0</v>
      </c>
      <c r="AX353" s="641">
        <f t="shared" si="122"/>
        <v>0</v>
      </c>
      <c r="AY353" s="641">
        <f t="shared" si="123"/>
        <v>0</v>
      </c>
      <c r="AZ353" s="640">
        <f t="shared" si="124"/>
        <v>182.27444444444444</v>
      </c>
      <c r="BA353" s="641">
        <f t="shared" si="125"/>
        <v>105.16111111111111</v>
      </c>
    </row>
    <row r="354" spans="1:53" s="365" customFormat="1" ht="12.6" customHeight="1">
      <c r="A354" s="409" t="s">
        <v>311</v>
      </c>
      <c r="B354" s="407" t="s">
        <v>333</v>
      </c>
      <c r="C354" s="408"/>
      <c r="D354" s="618">
        <v>375726</v>
      </c>
      <c r="E354" s="520">
        <v>13</v>
      </c>
      <c r="F354" s="495"/>
      <c r="G354" s="496"/>
      <c r="H354" s="495"/>
      <c r="I354" s="496"/>
      <c r="J354" s="495"/>
      <c r="K354" s="496"/>
      <c r="L354" s="495"/>
      <c r="M354" s="496"/>
      <c r="N354" s="495"/>
      <c r="O354" s="496"/>
      <c r="P354" s="640">
        <f t="shared" si="108"/>
        <v>0</v>
      </c>
      <c r="Q354" s="640">
        <f t="shared" si="109"/>
        <v>0</v>
      </c>
      <c r="R354" s="641">
        <f t="shared" si="110"/>
        <v>0</v>
      </c>
      <c r="S354" s="641">
        <f t="shared" si="111"/>
        <v>0</v>
      </c>
      <c r="T354" s="495"/>
      <c r="U354" s="496"/>
      <c r="V354" s="640">
        <f t="shared" si="112"/>
        <v>0</v>
      </c>
      <c r="W354" s="641">
        <f t="shared" si="113"/>
        <v>0</v>
      </c>
      <c r="X354" s="495"/>
      <c r="Y354" s="496"/>
      <c r="Z354" s="495"/>
      <c r="AA354" s="496"/>
      <c r="AB354" s="495"/>
      <c r="AC354" s="496"/>
      <c r="AD354" s="545">
        <v>241451</v>
      </c>
      <c r="AE354" s="546">
        <v>160450</v>
      </c>
      <c r="AF354" s="640">
        <f t="shared" si="114"/>
        <v>241451</v>
      </c>
      <c r="AG354" s="640">
        <f t="shared" si="115"/>
        <v>268.2788888888889</v>
      </c>
      <c r="AH354" s="641">
        <f t="shared" si="116"/>
        <v>160450</v>
      </c>
      <c r="AI354" s="641">
        <f t="shared" si="117"/>
        <v>178.27777777777777</v>
      </c>
      <c r="AJ354" s="495"/>
      <c r="AK354" s="496"/>
      <c r="AL354" s="640">
        <f t="shared" si="118"/>
        <v>0</v>
      </c>
      <c r="AM354" s="641">
        <f t="shared" si="119"/>
        <v>0</v>
      </c>
      <c r="AN354" s="495"/>
      <c r="AO354" s="496"/>
      <c r="AP354" s="495"/>
      <c r="AQ354" s="496"/>
      <c r="AR354" s="495"/>
      <c r="AS354" s="496"/>
      <c r="AT354" s="495"/>
      <c r="AU354" s="496"/>
      <c r="AV354" s="640">
        <f t="shared" si="120"/>
        <v>0</v>
      </c>
      <c r="AW354" s="640">
        <f t="shared" si="121"/>
        <v>0</v>
      </c>
      <c r="AX354" s="641">
        <f t="shared" si="122"/>
        <v>0</v>
      </c>
      <c r="AY354" s="641">
        <f t="shared" si="123"/>
        <v>0</v>
      </c>
      <c r="AZ354" s="640">
        <f t="shared" si="124"/>
        <v>268.2788888888889</v>
      </c>
      <c r="BA354" s="641">
        <f t="shared" si="125"/>
        <v>178.27777777777777</v>
      </c>
    </row>
    <row r="355" spans="1:53" s="365" customFormat="1" ht="12.6" customHeight="1">
      <c r="A355" s="409" t="s">
        <v>311</v>
      </c>
      <c r="B355" s="407" t="s">
        <v>334</v>
      </c>
      <c r="C355" s="408"/>
      <c r="D355" s="618">
        <v>375744</v>
      </c>
      <c r="E355" s="520">
        <v>13</v>
      </c>
      <c r="F355" s="495"/>
      <c r="G355" s="496"/>
      <c r="H355" s="495"/>
      <c r="I355" s="496"/>
      <c r="J355" s="495"/>
      <c r="K355" s="496"/>
      <c r="L355" s="495"/>
      <c r="M355" s="496"/>
      <c r="N355" s="495"/>
      <c r="O355" s="496"/>
      <c r="P355" s="640">
        <f t="shared" si="108"/>
        <v>0</v>
      </c>
      <c r="Q355" s="640">
        <f t="shared" si="109"/>
        <v>0</v>
      </c>
      <c r="R355" s="641">
        <f t="shared" si="110"/>
        <v>0</v>
      </c>
      <c r="S355" s="641">
        <f t="shared" si="111"/>
        <v>0</v>
      </c>
      <c r="T355" s="495"/>
      <c r="U355" s="496"/>
      <c r="V355" s="640">
        <f t="shared" si="112"/>
        <v>0</v>
      </c>
      <c r="W355" s="641">
        <f t="shared" si="113"/>
        <v>0</v>
      </c>
      <c r="X355" s="495"/>
      <c r="Y355" s="496"/>
      <c r="Z355" s="495"/>
      <c r="AA355" s="496"/>
      <c r="AB355" s="495"/>
      <c r="AC355" s="496"/>
      <c r="AD355" s="545">
        <v>203094</v>
      </c>
      <c r="AE355" s="546">
        <v>130317</v>
      </c>
      <c r="AF355" s="640">
        <f t="shared" si="114"/>
        <v>203094</v>
      </c>
      <c r="AG355" s="640">
        <f t="shared" si="115"/>
        <v>225.66</v>
      </c>
      <c r="AH355" s="641">
        <f t="shared" si="116"/>
        <v>130317</v>
      </c>
      <c r="AI355" s="641">
        <f t="shared" si="117"/>
        <v>144.79666666666665</v>
      </c>
      <c r="AJ355" s="495"/>
      <c r="AK355" s="496"/>
      <c r="AL355" s="640">
        <f t="shared" si="118"/>
        <v>0</v>
      </c>
      <c r="AM355" s="641">
        <f t="shared" si="119"/>
        <v>0</v>
      </c>
      <c r="AN355" s="495"/>
      <c r="AO355" s="496"/>
      <c r="AP355" s="495"/>
      <c r="AQ355" s="496"/>
      <c r="AR355" s="495"/>
      <c r="AS355" s="496"/>
      <c r="AT355" s="495"/>
      <c r="AU355" s="496"/>
      <c r="AV355" s="640">
        <f t="shared" si="120"/>
        <v>0</v>
      </c>
      <c r="AW355" s="640">
        <f t="shared" si="121"/>
        <v>0</v>
      </c>
      <c r="AX355" s="641">
        <f t="shared" si="122"/>
        <v>0</v>
      </c>
      <c r="AY355" s="641">
        <f t="shared" si="123"/>
        <v>0</v>
      </c>
      <c r="AZ355" s="640">
        <f t="shared" si="124"/>
        <v>225.66</v>
      </c>
      <c r="BA355" s="641">
        <f t="shared" si="125"/>
        <v>144.79666666666665</v>
      </c>
    </row>
    <row r="356" spans="1:53" s="365" customFormat="1" ht="12.6" customHeight="1">
      <c r="A356" s="409" t="s">
        <v>311</v>
      </c>
      <c r="B356" s="407" t="s">
        <v>335</v>
      </c>
      <c r="C356" s="408"/>
      <c r="D356" s="618">
        <v>375753</v>
      </c>
      <c r="E356" s="520">
        <v>13</v>
      </c>
      <c r="F356" s="495"/>
      <c r="G356" s="496"/>
      <c r="H356" s="495"/>
      <c r="I356" s="496"/>
      <c r="J356" s="495"/>
      <c r="K356" s="496"/>
      <c r="L356" s="495"/>
      <c r="M356" s="496"/>
      <c r="N356" s="495"/>
      <c r="O356" s="496"/>
      <c r="P356" s="640">
        <f t="shared" si="108"/>
        <v>0</v>
      </c>
      <c r="Q356" s="640">
        <f t="shared" si="109"/>
        <v>0</v>
      </c>
      <c r="R356" s="641">
        <f t="shared" si="110"/>
        <v>0</v>
      </c>
      <c r="S356" s="641">
        <f t="shared" si="111"/>
        <v>0</v>
      </c>
      <c r="T356" s="495"/>
      <c r="U356" s="496"/>
      <c r="V356" s="640">
        <f t="shared" si="112"/>
        <v>0</v>
      </c>
      <c r="W356" s="641">
        <f t="shared" si="113"/>
        <v>0</v>
      </c>
      <c r="X356" s="495"/>
      <c r="Y356" s="496"/>
      <c r="Z356" s="495"/>
      <c r="AA356" s="496"/>
      <c r="AB356" s="495"/>
      <c r="AC356" s="496"/>
      <c r="AD356" s="545">
        <v>15054</v>
      </c>
      <c r="AE356" s="546">
        <v>5346</v>
      </c>
      <c r="AF356" s="640">
        <f t="shared" si="114"/>
        <v>15054</v>
      </c>
      <c r="AG356" s="640">
        <f t="shared" si="115"/>
        <v>16.726666666666667</v>
      </c>
      <c r="AH356" s="641">
        <f t="shared" si="116"/>
        <v>5346</v>
      </c>
      <c r="AI356" s="641">
        <f t="shared" si="117"/>
        <v>5.94</v>
      </c>
      <c r="AJ356" s="495"/>
      <c r="AK356" s="496"/>
      <c r="AL356" s="640">
        <f t="shared" si="118"/>
        <v>0</v>
      </c>
      <c r="AM356" s="641">
        <f t="shared" si="119"/>
        <v>0</v>
      </c>
      <c r="AN356" s="495"/>
      <c r="AO356" s="496"/>
      <c r="AP356" s="495"/>
      <c r="AQ356" s="496"/>
      <c r="AR356" s="495"/>
      <c r="AS356" s="496"/>
      <c r="AT356" s="495"/>
      <c r="AU356" s="496"/>
      <c r="AV356" s="640">
        <f t="shared" si="120"/>
        <v>0</v>
      </c>
      <c r="AW356" s="640">
        <f t="shared" si="121"/>
        <v>0</v>
      </c>
      <c r="AX356" s="641">
        <f t="shared" si="122"/>
        <v>0</v>
      </c>
      <c r="AY356" s="641">
        <f t="shared" si="123"/>
        <v>0</v>
      </c>
      <c r="AZ356" s="640">
        <f t="shared" si="124"/>
        <v>16.726666666666667</v>
      </c>
      <c r="BA356" s="641">
        <f t="shared" si="125"/>
        <v>5.94</v>
      </c>
    </row>
    <row r="357" spans="1:53" s="365" customFormat="1" ht="12.6" customHeight="1">
      <c r="A357" s="409" t="s">
        <v>311</v>
      </c>
      <c r="B357" s="407" t="s">
        <v>336</v>
      </c>
      <c r="C357" s="408"/>
      <c r="D357" s="618">
        <v>405748</v>
      </c>
      <c r="E357" s="520">
        <v>13</v>
      </c>
      <c r="F357" s="495"/>
      <c r="G357" s="496"/>
      <c r="H357" s="495"/>
      <c r="I357" s="496"/>
      <c r="J357" s="495"/>
      <c r="K357" s="496"/>
      <c r="L357" s="495"/>
      <c r="M357" s="496"/>
      <c r="N357" s="495"/>
      <c r="O357" s="496"/>
      <c r="P357" s="640">
        <f t="shared" si="108"/>
        <v>0</v>
      </c>
      <c r="Q357" s="640">
        <f t="shared" si="109"/>
        <v>0</v>
      </c>
      <c r="R357" s="641">
        <f t="shared" si="110"/>
        <v>0</v>
      </c>
      <c r="S357" s="641">
        <f t="shared" si="111"/>
        <v>0</v>
      </c>
      <c r="T357" s="495"/>
      <c r="U357" s="496"/>
      <c r="V357" s="640">
        <f t="shared" si="112"/>
        <v>0</v>
      </c>
      <c r="W357" s="641">
        <f t="shared" si="113"/>
        <v>0</v>
      </c>
      <c r="X357" s="495"/>
      <c r="Y357" s="496"/>
      <c r="Z357" s="495"/>
      <c r="AA357" s="496"/>
      <c r="AB357" s="495"/>
      <c r="AC357" s="496"/>
      <c r="AD357" s="545">
        <v>79776</v>
      </c>
      <c r="AE357" s="546">
        <v>12186</v>
      </c>
      <c r="AF357" s="640">
        <f t="shared" si="114"/>
        <v>79776</v>
      </c>
      <c r="AG357" s="640">
        <f t="shared" si="115"/>
        <v>88.64</v>
      </c>
      <c r="AH357" s="641">
        <f t="shared" si="116"/>
        <v>12186</v>
      </c>
      <c r="AI357" s="641">
        <f t="shared" si="117"/>
        <v>13.54</v>
      </c>
      <c r="AJ357" s="495"/>
      <c r="AK357" s="496"/>
      <c r="AL357" s="640">
        <f t="shared" si="118"/>
        <v>0</v>
      </c>
      <c r="AM357" s="641">
        <f t="shared" si="119"/>
        <v>0</v>
      </c>
      <c r="AN357" s="495"/>
      <c r="AO357" s="496"/>
      <c r="AP357" s="495"/>
      <c r="AQ357" s="496"/>
      <c r="AR357" s="495"/>
      <c r="AS357" s="496"/>
      <c r="AT357" s="495"/>
      <c r="AU357" s="496"/>
      <c r="AV357" s="640">
        <f t="shared" si="120"/>
        <v>0</v>
      </c>
      <c r="AW357" s="640">
        <f t="shared" si="121"/>
        <v>0</v>
      </c>
      <c r="AX357" s="641">
        <f t="shared" si="122"/>
        <v>0</v>
      </c>
      <c r="AY357" s="641">
        <f t="shared" si="123"/>
        <v>0</v>
      </c>
      <c r="AZ357" s="640">
        <f t="shared" si="124"/>
        <v>88.64</v>
      </c>
      <c r="BA357" s="641">
        <f t="shared" si="125"/>
        <v>13.54</v>
      </c>
    </row>
    <row r="358" spans="1:53" s="365" customFormat="1" ht="12.6" customHeight="1">
      <c r="A358" s="409" t="s">
        <v>311</v>
      </c>
      <c r="B358" s="407" t="s">
        <v>337</v>
      </c>
      <c r="C358" s="408"/>
      <c r="D358" s="618">
        <v>375762</v>
      </c>
      <c r="E358" s="520">
        <v>13</v>
      </c>
      <c r="F358" s="495"/>
      <c r="G358" s="496"/>
      <c r="H358" s="495"/>
      <c r="I358" s="496"/>
      <c r="J358" s="495"/>
      <c r="K358" s="496"/>
      <c r="L358" s="495"/>
      <c r="M358" s="496"/>
      <c r="N358" s="495"/>
      <c r="O358" s="496"/>
      <c r="P358" s="640">
        <f t="shared" si="108"/>
        <v>0</v>
      </c>
      <c r="Q358" s="640">
        <f t="shared" si="109"/>
        <v>0</v>
      </c>
      <c r="R358" s="641">
        <f t="shared" si="110"/>
        <v>0</v>
      </c>
      <c r="S358" s="641">
        <f t="shared" si="111"/>
        <v>0</v>
      </c>
      <c r="T358" s="495"/>
      <c r="U358" s="496"/>
      <c r="V358" s="640">
        <f t="shared" si="112"/>
        <v>0</v>
      </c>
      <c r="W358" s="641">
        <f t="shared" si="113"/>
        <v>0</v>
      </c>
      <c r="X358" s="495"/>
      <c r="Y358" s="496"/>
      <c r="Z358" s="495"/>
      <c r="AA358" s="496"/>
      <c r="AB358" s="495"/>
      <c r="AC358" s="496"/>
      <c r="AD358" s="545">
        <v>57855</v>
      </c>
      <c r="AE358" s="546">
        <v>28473</v>
      </c>
      <c r="AF358" s="640">
        <f t="shared" si="114"/>
        <v>57855</v>
      </c>
      <c r="AG358" s="640">
        <f t="shared" si="115"/>
        <v>64.283333333333331</v>
      </c>
      <c r="AH358" s="641">
        <f t="shared" si="116"/>
        <v>28473</v>
      </c>
      <c r="AI358" s="641">
        <f t="shared" si="117"/>
        <v>31.636666666666667</v>
      </c>
      <c r="AJ358" s="495"/>
      <c r="AK358" s="496"/>
      <c r="AL358" s="640">
        <f t="shared" si="118"/>
        <v>0</v>
      </c>
      <c r="AM358" s="641">
        <f t="shared" si="119"/>
        <v>0</v>
      </c>
      <c r="AN358" s="495"/>
      <c r="AO358" s="496"/>
      <c r="AP358" s="495"/>
      <c r="AQ358" s="496"/>
      <c r="AR358" s="495"/>
      <c r="AS358" s="496"/>
      <c r="AT358" s="495"/>
      <c r="AU358" s="496"/>
      <c r="AV358" s="640">
        <f t="shared" si="120"/>
        <v>0</v>
      </c>
      <c r="AW358" s="640">
        <f t="shared" si="121"/>
        <v>0</v>
      </c>
      <c r="AX358" s="641">
        <f t="shared" si="122"/>
        <v>0</v>
      </c>
      <c r="AY358" s="641">
        <f t="shared" si="123"/>
        <v>0</v>
      </c>
      <c r="AZ358" s="640">
        <f t="shared" si="124"/>
        <v>64.283333333333331</v>
      </c>
      <c r="BA358" s="641">
        <f t="shared" si="125"/>
        <v>31.636666666666667</v>
      </c>
    </row>
    <row r="359" spans="1:53" s="365" customFormat="1" ht="12.6" customHeight="1">
      <c r="A359" s="409" t="s">
        <v>311</v>
      </c>
      <c r="B359" s="407" t="s">
        <v>338</v>
      </c>
      <c r="C359" s="408"/>
      <c r="D359" s="618">
        <v>365480</v>
      </c>
      <c r="E359" s="520">
        <v>13</v>
      </c>
      <c r="F359" s="495"/>
      <c r="G359" s="496"/>
      <c r="H359" s="495"/>
      <c r="I359" s="496"/>
      <c r="J359" s="495"/>
      <c r="K359" s="496"/>
      <c r="L359" s="495"/>
      <c r="M359" s="496"/>
      <c r="N359" s="495"/>
      <c r="O359" s="496"/>
      <c r="P359" s="640">
        <f t="shared" si="108"/>
        <v>0</v>
      </c>
      <c r="Q359" s="640">
        <f t="shared" si="109"/>
        <v>0</v>
      </c>
      <c r="R359" s="641">
        <f t="shared" si="110"/>
        <v>0</v>
      </c>
      <c r="S359" s="641">
        <f t="shared" si="111"/>
        <v>0</v>
      </c>
      <c r="T359" s="495"/>
      <c r="U359" s="496"/>
      <c r="V359" s="640">
        <f t="shared" si="112"/>
        <v>0</v>
      </c>
      <c r="W359" s="641">
        <f t="shared" si="113"/>
        <v>0</v>
      </c>
      <c r="X359" s="495"/>
      <c r="Y359" s="496"/>
      <c r="Z359" s="495"/>
      <c r="AA359" s="496"/>
      <c r="AB359" s="495"/>
      <c r="AC359" s="496"/>
      <c r="AD359" s="545">
        <v>546093.80000000005</v>
      </c>
      <c r="AE359" s="546">
        <v>261413</v>
      </c>
      <c r="AF359" s="640">
        <f t="shared" si="114"/>
        <v>546093.80000000005</v>
      </c>
      <c r="AG359" s="640">
        <f t="shared" si="115"/>
        <v>606.77088888888898</v>
      </c>
      <c r="AH359" s="641">
        <f t="shared" si="116"/>
        <v>261413</v>
      </c>
      <c r="AI359" s="641">
        <f t="shared" si="117"/>
        <v>290.45888888888891</v>
      </c>
      <c r="AJ359" s="495"/>
      <c r="AK359" s="496"/>
      <c r="AL359" s="640">
        <f t="shared" si="118"/>
        <v>0</v>
      </c>
      <c r="AM359" s="641">
        <f t="shared" si="119"/>
        <v>0</v>
      </c>
      <c r="AN359" s="495"/>
      <c r="AO359" s="496"/>
      <c r="AP359" s="495"/>
      <c r="AQ359" s="496"/>
      <c r="AR359" s="495"/>
      <c r="AS359" s="496"/>
      <c r="AT359" s="495"/>
      <c r="AU359" s="496"/>
      <c r="AV359" s="640">
        <f t="shared" si="120"/>
        <v>0</v>
      </c>
      <c r="AW359" s="640">
        <f t="shared" si="121"/>
        <v>0</v>
      </c>
      <c r="AX359" s="641">
        <f t="shared" si="122"/>
        <v>0</v>
      </c>
      <c r="AY359" s="641">
        <f t="shared" si="123"/>
        <v>0</v>
      </c>
      <c r="AZ359" s="640">
        <f t="shared" si="124"/>
        <v>606.77088888888898</v>
      </c>
      <c r="BA359" s="641">
        <f t="shared" si="125"/>
        <v>290.45888888888891</v>
      </c>
    </row>
    <row r="360" spans="1:53" s="365" customFormat="1" ht="12.6" customHeight="1">
      <c r="A360" s="409" t="s">
        <v>311</v>
      </c>
      <c r="B360" s="407" t="s">
        <v>314</v>
      </c>
      <c r="C360" s="408"/>
      <c r="D360" s="618">
        <v>363165</v>
      </c>
      <c r="E360" s="520">
        <v>13</v>
      </c>
      <c r="F360" s="495"/>
      <c r="G360" s="496"/>
      <c r="H360" s="495"/>
      <c r="I360" s="496"/>
      <c r="J360" s="495"/>
      <c r="K360" s="496"/>
      <c r="L360" s="495"/>
      <c r="M360" s="496"/>
      <c r="N360" s="495"/>
      <c r="O360" s="496"/>
      <c r="P360" s="640">
        <f t="shared" si="108"/>
        <v>0</v>
      </c>
      <c r="Q360" s="640">
        <f t="shared" si="109"/>
        <v>0</v>
      </c>
      <c r="R360" s="641">
        <f t="shared" si="110"/>
        <v>0</v>
      </c>
      <c r="S360" s="641">
        <f t="shared" si="111"/>
        <v>0</v>
      </c>
      <c r="T360" s="495"/>
      <c r="U360" s="496"/>
      <c r="V360" s="640">
        <f t="shared" si="112"/>
        <v>0</v>
      </c>
      <c r="W360" s="641">
        <f t="shared" si="113"/>
        <v>0</v>
      </c>
      <c r="X360" s="495"/>
      <c r="Y360" s="496"/>
      <c r="Z360" s="495"/>
      <c r="AA360" s="496"/>
      <c r="AB360" s="495"/>
      <c r="AC360" s="496"/>
      <c r="AD360" s="545">
        <v>694158.8</v>
      </c>
      <c r="AE360" s="546">
        <v>205995</v>
      </c>
      <c r="AF360" s="640">
        <f t="shared" si="114"/>
        <v>694158.8</v>
      </c>
      <c r="AG360" s="640">
        <f t="shared" si="115"/>
        <v>771.28755555555563</v>
      </c>
      <c r="AH360" s="641">
        <f t="shared" si="116"/>
        <v>205995</v>
      </c>
      <c r="AI360" s="641">
        <f t="shared" si="117"/>
        <v>228.88333333333333</v>
      </c>
      <c r="AJ360" s="495"/>
      <c r="AK360" s="496"/>
      <c r="AL360" s="640">
        <f t="shared" si="118"/>
        <v>0</v>
      </c>
      <c r="AM360" s="641">
        <f t="shared" si="119"/>
        <v>0</v>
      </c>
      <c r="AN360" s="495"/>
      <c r="AO360" s="496"/>
      <c r="AP360" s="495"/>
      <c r="AQ360" s="496"/>
      <c r="AR360" s="495"/>
      <c r="AS360" s="496"/>
      <c r="AT360" s="495"/>
      <c r="AU360" s="496"/>
      <c r="AV360" s="640">
        <f t="shared" si="120"/>
        <v>0</v>
      </c>
      <c r="AW360" s="640">
        <f t="shared" si="121"/>
        <v>0</v>
      </c>
      <c r="AX360" s="641">
        <f t="shared" si="122"/>
        <v>0</v>
      </c>
      <c r="AY360" s="641">
        <f t="shared" si="123"/>
        <v>0</v>
      </c>
      <c r="AZ360" s="640">
        <f t="shared" si="124"/>
        <v>771.28755555555563</v>
      </c>
      <c r="BA360" s="641">
        <f t="shared" si="125"/>
        <v>228.88333333333333</v>
      </c>
    </row>
    <row r="361" spans="1:53" s="365" customFormat="1" ht="12.6" customHeight="1">
      <c r="A361" s="409" t="s">
        <v>311</v>
      </c>
      <c r="B361" s="407" t="s">
        <v>339</v>
      </c>
      <c r="C361" s="523"/>
      <c r="D361" s="618">
        <v>418320</v>
      </c>
      <c r="E361" s="520">
        <v>13</v>
      </c>
      <c r="F361" s="495"/>
      <c r="G361" s="496"/>
      <c r="H361" s="495"/>
      <c r="I361" s="496"/>
      <c r="J361" s="495"/>
      <c r="K361" s="496"/>
      <c r="L361" s="495"/>
      <c r="M361" s="496"/>
      <c r="N361" s="495"/>
      <c r="O361" s="496"/>
      <c r="P361" s="640">
        <f t="shared" si="108"/>
        <v>0</v>
      </c>
      <c r="Q361" s="640">
        <f t="shared" si="109"/>
        <v>0</v>
      </c>
      <c r="R361" s="641">
        <f t="shared" si="110"/>
        <v>0</v>
      </c>
      <c r="S361" s="641">
        <f t="shared" si="111"/>
        <v>0</v>
      </c>
      <c r="T361" s="495"/>
      <c r="U361" s="496"/>
      <c r="V361" s="640">
        <f t="shared" si="112"/>
        <v>0</v>
      </c>
      <c r="W361" s="641">
        <f t="shared" si="113"/>
        <v>0</v>
      </c>
      <c r="X361" s="495"/>
      <c r="Y361" s="496"/>
      <c r="Z361" s="495"/>
      <c r="AA361" s="496"/>
      <c r="AB361" s="495"/>
      <c r="AC361" s="496"/>
      <c r="AD361" s="545">
        <v>924678</v>
      </c>
      <c r="AE361" s="546">
        <v>314042</v>
      </c>
      <c r="AF361" s="640">
        <f t="shared" si="114"/>
        <v>924678</v>
      </c>
      <c r="AG361" s="640">
        <f t="shared" si="115"/>
        <v>1027.42</v>
      </c>
      <c r="AH361" s="641">
        <f t="shared" si="116"/>
        <v>314042</v>
      </c>
      <c r="AI361" s="641">
        <f t="shared" si="117"/>
        <v>348.93555555555554</v>
      </c>
      <c r="AJ361" s="495"/>
      <c r="AK361" s="496"/>
      <c r="AL361" s="640">
        <f t="shared" si="118"/>
        <v>0</v>
      </c>
      <c r="AM361" s="641">
        <f t="shared" si="119"/>
        <v>0</v>
      </c>
      <c r="AN361" s="495"/>
      <c r="AO361" s="496"/>
      <c r="AP361" s="495"/>
      <c r="AQ361" s="496"/>
      <c r="AR361" s="495"/>
      <c r="AS361" s="496"/>
      <c r="AT361" s="495"/>
      <c r="AU361" s="496"/>
      <c r="AV361" s="640">
        <f t="shared" si="120"/>
        <v>0</v>
      </c>
      <c r="AW361" s="640">
        <f t="shared" si="121"/>
        <v>0</v>
      </c>
      <c r="AX361" s="641">
        <f t="shared" si="122"/>
        <v>0</v>
      </c>
      <c r="AY361" s="641">
        <f t="shared" si="123"/>
        <v>0</v>
      </c>
      <c r="AZ361" s="640">
        <f t="shared" si="124"/>
        <v>1027.42</v>
      </c>
      <c r="BA361" s="641">
        <f t="shared" si="125"/>
        <v>348.93555555555554</v>
      </c>
    </row>
    <row r="362" spans="1:53" s="365" customFormat="1" ht="12.6" customHeight="1">
      <c r="A362" s="409" t="s">
        <v>311</v>
      </c>
      <c r="B362" s="407" t="s">
        <v>340</v>
      </c>
      <c r="C362" s="523"/>
      <c r="D362" s="618">
        <v>431017</v>
      </c>
      <c r="E362" s="520">
        <v>13</v>
      </c>
      <c r="F362" s="495"/>
      <c r="G362" s="496"/>
      <c r="H362" s="495"/>
      <c r="I362" s="496"/>
      <c r="J362" s="495"/>
      <c r="K362" s="496"/>
      <c r="L362" s="495"/>
      <c r="M362" s="496"/>
      <c r="N362" s="495"/>
      <c r="O362" s="496"/>
      <c r="P362" s="640">
        <f t="shared" si="108"/>
        <v>0</v>
      </c>
      <c r="Q362" s="640">
        <f t="shared" si="109"/>
        <v>0</v>
      </c>
      <c r="R362" s="641">
        <f t="shared" si="110"/>
        <v>0</v>
      </c>
      <c r="S362" s="641">
        <f t="shared" si="111"/>
        <v>0</v>
      </c>
      <c r="T362" s="495"/>
      <c r="U362" s="496"/>
      <c r="V362" s="640">
        <f t="shared" si="112"/>
        <v>0</v>
      </c>
      <c r="W362" s="641">
        <f t="shared" si="113"/>
        <v>0</v>
      </c>
      <c r="X362" s="495"/>
      <c r="Y362" s="496"/>
      <c r="Z362" s="495"/>
      <c r="AA362" s="496"/>
      <c r="AB362" s="495"/>
      <c r="AC362" s="496"/>
      <c r="AD362" s="545">
        <v>564600</v>
      </c>
      <c r="AE362" s="546">
        <v>216071</v>
      </c>
      <c r="AF362" s="640">
        <f t="shared" si="114"/>
        <v>564600</v>
      </c>
      <c r="AG362" s="640">
        <f t="shared" si="115"/>
        <v>627.33333333333337</v>
      </c>
      <c r="AH362" s="641">
        <f t="shared" si="116"/>
        <v>216071</v>
      </c>
      <c r="AI362" s="641">
        <f t="shared" si="117"/>
        <v>240.07888888888888</v>
      </c>
      <c r="AJ362" s="495"/>
      <c r="AK362" s="496"/>
      <c r="AL362" s="640">
        <f t="shared" si="118"/>
        <v>0</v>
      </c>
      <c r="AM362" s="641">
        <f t="shared" si="119"/>
        <v>0</v>
      </c>
      <c r="AN362" s="495"/>
      <c r="AO362" s="496"/>
      <c r="AP362" s="495"/>
      <c r="AQ362" s="496"/>
      <c r="AR362" s="495"/>
      <c r="AS362" s="496"/>
      <c r="AT362" s="495"/>
      <c r="AU362" s="496"/>
      <c r="AV362" s="640">
        <f t="shared" si="120"/>
        <v>0</v>
      </c>
      <c r="AW362" s="640">
        <f t="shared" si="121"/>
        <v>0</v>
      </c>
      <c r="AX362" s="641">
        <f t="shared" si="122"/>
        <v>0</v>
      </c>
      <c r="AY362" s="641">
        <f t="shared" si="123"/>
        <v>0</v>
      </c>
      <c r="AZ362" s="640">
        <f t="shared" si="124"/>
        <v>627.33333333333337</v>
      </c>
      <c r="BA362" s="641">
        <f t="shared" si="125"/>
        <v>240.07888888888888</v>
      </c>
    </row>
    <row r="363" spans="1:53" s="365" customFormat="1" ht="12.6" customHeight="1">
      <c r="A363" s="409" t="s">
        <v>311</v>
      </c>
      <c r="B363" s="443" t="s">
        <v>341</v>
      </c>
      <c r="C363" s="523"/>
      <c r="D363" s="618">
        <v>248606</v>
      </c>
      <c r="E363" s="520">
        <v>13</v>
      </c>
      <c r="F363" s="495"/>
      <c r="G363" s="496"/>
      <c r="H363" s="495"/>
      <c r="I363" s="496"/>
      <c r="J363" s="495"/>
      <c r="K363" s="496"/>
      <c r="L363" s="495"/>
      <c r="M363" s="496"/>
      <c r="N363" s="495"/>
      <c r="O363" s="496"/>
      <c r="P363" s="640">
        <f t="shared" si="108"/>
        <v>0</v>
      </c>
      <c r="Q363" s="640">
        <f t="shared" si="109"/>
        <v>0</v>
      </c>
      <c r="R363" s="641">
        <f t="shared" si="110"/>
        <v>0</v>
      </c>
      <c r="S363" s="641">
        <f t="shared" si="111"/>
        <v>0</v>
      </c>
      <c r="T363" s="495"/>
      <c r="U363" s="496"/>
      <c r="V363" s="640">
        <f t="shared" si="112"/>
        <v>0</v>
      </c>
      <c r="W363" s="641">
        <f t="shared" si="113"/>
        <v>0</v>
      </c>
      <c r="X363" s="495"/>
      <c r="Y363" s="496"/>
      <c r="Z363" s="495"/>
      <c r="AA363" s="496"/>
      <c r="AB363" s="495"/>
      <c r="AC363" s="496"/>
      <c r="AD363" s="545">
        <v>1970282.5</v>
      </c>
      <c r="AE363" s="546">
        <v>431879</v>
      </c>
      <c r="AF363" s="640">
        <f t="shared" si="114"/>
        <v>1970282.5</v>
      </c>
      <c r="AG363" s="640">
        <f t="shared" si="115"/>
        <v>2189.2027777777776</v>
      </c>
      <c r="AH363" s="641">
        <f t="shared" si="116"/>
        <v>431879</v>
      </c>
      <c r="AI363" s="641">
        <f t="shared" si="117"/>
        <v>479.86555555555555</v>
      </c>
      <c r="AJ363" s="495"/>
      <c r="AK363" s="496"/>
      <c r="AL363" s="640">
        <f t="shared" si="118"/>
        <v>0</v>
      </c>
      <c r="AM363" s="641">
        <f t="shared" si="119"/>
        <v>0</v>
      </c>
      <c r="AN363" s="495"/>
      <c r="AO363" s="496"/>
      <c r="AP363" s="495"/>
      <c r="AQ363" s="496"/>
      <c r="AR363" s="495"/>
      <c r="AS363" s="496"/>
      <c r="AT363" s="495"/>
      <c r="AU363" s="496"/>
      <c r="AV363" s="640">
        <f t="shared" si="120"/>
        <v>0</v>
      </c>
      <c r="AW363" s="640">
        <f t="shared" si="121"/>
        <v>0</v>
      </c>
      <c r="AX363" s="641">
        <f t="shared" si="122"/>
        <v>0</v>
      </c>
      <c r="AY363" s="641">
        <f t="shared" si="123"/>
        <v>0</v>
      </c>
      <c r="AZ363" s="640">
        <f t="shared" si="124"/>
        <v>2189.2027777777776</v>
      </c>
      <c r="BA363" s="641">
        <f t="shared" si="125"/>
        <v>479.86555555555555</v>
      </c>
    </row>
    <row r="364" spans="1:53" s="365" customFormat="1" ht="12.6" customHeight="1">
      <c r="A364" s="409" t="s">
        <v>311</v>
      </c>
      <c r="B364" s="407" t="s">
        <v>342</v>
      </c>
      <c r="C364" s="408"/>
      <c r="D364" s="618">
        <v>420459</v>
      </c>
      <c r="E364" s="520">
        <v>13</v>
      </c>
      <c r="F364" s="495"/>
      <c r="G364" s="496"/>
      <c r="H364" s="495"/>
      <c r="I364" s="496"/>
      <c r="J364" s="495"/>
      <c r="K364" s="496"/>
      <c r="L364" s="495"/>
      <c r="M364" s="496"/>
      <c r="N364" s="495"/>
      <c r="O364" s="496"/>
      <c r="P364" s="640">
        <f t="shared" si="108"/>
        <v>0</v>
      </c>
      <c r="Q364" s="640">
        <f t="shared" si="109"/>
        <v>0</v>
      </c>
      <c r="R364" s="641">
        <f t="shared" si="110"/>
        <v>0</v>
      </c>
      <c r="S364" s="641">
        <f t="shared" si="111"/>
        <v>0</v>
      </c>
      <c r="T364" s="495"/>
      <c r="U364" s="496"/>
      <c r="V364" s="640">
        <f t="shared" si="112"/>
        <v>0</v>
      </c>
      <c r="W364" s="641">
        <f t="shared" si="113"/>
        <v>0</v>
      </c>
      <c r="X364" s="495"/>
      <c r="Y364" s="496"/>
      <c r="Z364" s="495"/>
      <c r="AA364" s="496"/>
      <c r="AB364" s="495"/>
      <c r="AC364" s="496"/>
      <c r="AD364" s="545">
        <v>268268</v>
      </c>
      <c r="AE364" s="546">
        <v>173539</v>
      </c>
      <c r="AF364" s="640">
        <f t="shared" si="114"/>
        <v>268268</v>
      </c>
      <c r="AG364" s="640">
        <f t="shared" si="115"/>
        <v>298.07555555555558</v>
      </c>
      <c r="AH364" s="641">
        <f t="shared" si="116"/>
        <v>173539</v>
      </c>
      <c r="AI364" s="641">
        <f t="shared" si="117"/>
        <v>192.82111111111112</v>
      </c>
      <c r="AJ364" s="495"/>
      <c r="AK364" s="496"/>
      <c r="AL364" s="640">
        <f t="shared" si="118"/>
        <v>0</v>
      </c>
      <c r="AM364" s="641">
        <f t="shared" si="119"/>
        <v>0</v>
      </c>
      <c r="AN364" s="495"/>
      <c r="AO364" s="496"/>
      <c r="AP364" s="495"/>
      <c r="AQ364" s="496"/>
      <c r="AR364" s="495"/>
      <c r="AS364" s="496"/>
      <c r="AT364" s="495"/>
      <c r="AU364" s="496"/>
      <c r="AV364" s="640">
        <f t="shared" si="120"/>
        <v>0</v>
      </c>
      <c r="AW364" s="640">
        <f t="shared" si="121"/>
        <v>0</v>
      </c>
      <c r="AX364" s="641">
        <f t="shared" si="122"/>
        <v>0</v>
      </c>
      <c r="AY364" s="641">
        <f t="shared" si="123"/>
        <v>0</v>
      </c>
      <c r="AZ364" s="640">
        <f t="shared" si="124"/>
        <v>298.07555555555558</v>
      </c>
      <c r="BA364" s="641">
        <f t="shared" si="125"/>
        <v>192.82111111111112</v>
      </c>
    </row>
    <row r="365" spans="1:53" s="365" customFormat="1" ht="12.6" customHeight="1">
      <c r="A365" s="409" t="s">
        <v>311</v>
      </c>
      <c r="B365" s="407" t="s">
        <v>343</v>
      </c>
      <c r="C365" s="408"/>
      <c r="D365" s="618">
        <v>456560</v>
      </c>
      <c r="E365" s="520">
        <v>13</v>
      </c>
      <c r="F365" s="495"/>
      <c r="G365" s="496"/>
      <c r="H365" s="495"/>
      <c r="I365" s="496"/>
      <c r="J365" s="495"/>
      <c r="K365" s="496"/>
      <c r="L365" s="495"/>
      <c r="M365" s="496"/>
      <c r="N365" s="495"/>
      <c r="O365" s="496"/>
      <c r="P365" s="640">
        <f t="shared" si="108"/>
        <v>0</v>
      </c>
      <c r="Q365" s="640">
        <f t="shared" si="109"/>
        <v>0</v>
      </c>
      <c r="R365" s="641">
        <f t="shared" si="110"/>
        <v>0</v>
      </c>
      <c r="S365" s="641">
        <f t="shared" si="111"/>
        <v>0</v>
      </c>
      <c r="T365" s="495"/>
      <c r="U365" s="496"/>
      <c r="V365" s="640">
        <f t="shared" si="112"/>
        <v>0</v>
      </c>
      <c r="W365" s="641">
        <f t="shared" si="113"/>
        <v>0</v>
      </c>
      <c r="X365" s="495"/>
      <c r="Y365" s="496"/>
      <c r="Z365" s="495"/>
      <c r="AA365" s="496"/>
      <c r="AB365" s="495"/>
      <c r="AC365" s="496"/>
      <c r="AD365" s="545">
        <v>188328</v>
      </c>
      <c r="AE365" s="546">
        <v>95716</v>
      </c>
      <c r="AF365" s="640">
        <f t="shared" si="114"/>
        <v>188328</v>
      </c>
      <c r="AG365" s="640">
        <f t="shared" si="115"/>
        <v>209.25333333333333</v>
      </c>
      <c r="AH365" s="641">
        <f t="shared" si="116"/>
        <v>95716</v>
      </c>
      <c r="AI365" s="641">
        <f t="shared" si="117"/>
        <v>106.35111111111111</v>
      </c>
      <c r="AJ365" s="495"/>
      <c r="AK365" s="496"/>
      <c r="AL365" s="640">
        <f t="shared" si="118"/>
        <v>0</v>
      </c>
      <c r="AM365" s="641">
        <f t="shared" si="119"/>
        <v>0</v>
      </c>
      <c r="AN365" s="495"/>
      <c r="AO365" s="496"/>
      <c r="AP365" s="495"/>
      <c r="AQ365" s="496"/>
      <c r="AR365" s="495"/>
      <c r="AS365" s="496"/>
      <c r="AT365" s="495"/>
      <c r="AU365" s="496"/>
      <c r="AV365" s="640">
        <f t="shared" si="120"/>
        <v>0</v>
      </c>
      <c r="AW365" s="640">
        <f t="shared" si="121"/>
        <v>0</v>
      </c>
      <c r="AX365" s="641">
        <f t="shared" si="122"/>
        <v>0</v>
      </c>
      <c r="AY365" s="641">
        <f t="shared" si="123"/>
        <v>0</v>
      </c>
      <c r="AZ365" s="640">
        <f t="shared" si="124"/>
        <v>209.25333333333333</v>
      </c>
      <c r="BA365" s="641">
        <f t="shared" si="125"/>
        <v>106.35111111111111</v>
      </c>
    </row>
    <row r="366" spans="1:53" s="365" customFormat="1" ht="12.6" customHeight="1">
      <c r="A366" s="409" t="s">
        <v>311</v>
      </c>
      <c r="B366" s="407" t="s">
        <v>344</v>
      </c>
      <c r="C366" s="408"/>
      <c r="D366" s="618">
        <v>432074</v>
      </c>
      <c r="E366" s="520">
        <v>13</v>
      </c>
      <c r="F366" s="495"/>
      <c r="G366" s="496"/>
      <c r="H366" s="495"/>
      <c r="I366" s="496"/>
      <c r="J366" s="495"/>
      <c r="K366" s="496"/>
      <c r="L366" s="495"/>
      <c r="M366" s="496"/>
      <c r="N366" s="495"/>
      <c r="O366" s="496"/>
      <c r="P366" s="640">
        <f t="shared" si="108"/>
        <v>0</v>
      </c>
      <c r="Q366" s="640">
        <f t="shared" si="109"/>
        <v>0</v>
      </c>
      <c r="R366" s="641">
        <f t="shared" si="110"/>
        <v>0</v>
      </c>
      <c r="S366" s="641">
        <f t="shared" si="111"/>
        <v>0</v>
      </c>
      <c r="T366" s="495"/>
      <c r="U366" s="496"/>
      <c r="V366" s="640">
        <f t="shared" si="112"/>
        <v>0</v>
      </c>
      <c r="W366" s="641">
        <f t="shared" si="113"/>
        <v>0</v>
      </c>
      <c r="X366" s="495"/>
      <c r="Y366" s="496"/>
      <c r="Z366" s="495"/>
      <c r="AA366" s="496"/>
      <c r="AB366" s="495"/>
      <c r="AC366" s="496"/>
      <c r="AD366" s="545">
        <v>144608</v>
      </c>
      <c r="AE366" s="546">
        <v>85937</v>
      </c>
      <c r="AF366" s="640">
        <f t="shared" si="114"/>
        <v>144608</v>
      </c>
      <c r="AG366" s="640">
        <f t="shared" si="115"/>
        <v>160.67555555555555</v>
      </c>
      <c r="AH366" s="641">
        <f t="shared" si="116"/>
        <v>85937</v>
      </c>
      <c r="AI366" s="641">
        <f t="shared" si="117"/>
        <v>95.48555555555555</v>
      </c>
      <c r="AJ366" s="495"/>
      <c r="AK366" s="496"/>
      <c r="AL366" s="640">
        <f t="shared" si="118"/>
        <v>0</v>
      </c>
      <c r="AM366" s="641">
        <f t="shared" si="119"/>
        <v>0</v>
      </c>
      <c r="AN366" s="495"/>
      <c r="AO366" s="496"/>
      <c r="AP366" s="495"/>
      <c r="AQ366" s="496"/>
      <c r="AR366" s="495"/>
      <c r="AS366" s="496"/>
      <c r="AT366" s="495"/>
      <c r="AU366" s="496"/>
      <c r="AV366" s="640">
        <f t="shared" si="120"/>
        <v>0</v>
      </c>
      <c r="AW366" s="640">
        <f t="shared" si="121"/>
        <v>0</v>
      </c>
      <c r="AX366" s="641">
        <f t="shared" si="122"/>
        <v>0</v>
      </c>
      <c r="AY366" s="641">
        <f t="shared" si="123"/>
        <v>0</v>
      </c>
      <c r="AZ366" s="640">
        <f t="shared" si="124"/>
        <v>160.67555555555555</v>
      </c>
      <c r="BA366" s="641">
        <f t="shared" si="125"/>
        <v>95.48555555555555</v>
      </c>
    </row>
    <row r="367" spans="1:53" s="365" customFormat="1" ht="12.6" customHeight="1">
      <c r="A367" s="409" t="s">
        <v>311</v>
      </c>
      <c r="B367" s="407" t="s">
        <v>345</v>
      </c>
      <c r="C367" s="408"/>
      <c r="D367" s="618">
        <v>418339</v>
      </c>
      <c r="E367" s="520">
        <v>13</v>
      </c>
      <c r="F367" s="495"/>
      <c r="G367" s="496"/>
      <c r="H367" s="495"/>
      <c r="I367" s="496"/>
      <c r="J367" s="495"/>
      <c r="K367" s="496"/>
      <c r="L367" s="495"/>
      <c r="M367" s="496"/>
      <c r="N367" s="495"/>
      <c r="O367" s="496"/>
      <c r="P367" s="640">
        <f t="shared" si="108"/>
        <v>0</v>
      </c>
      <c r="Q367" s="640">
        <f t="shared" si="109"/>
        <v>0</v>
      </c>
      <c r="R367" s="641">
        <f t="shared" si="110"/>
        <v>0</v>
      </c>
      <c r="S367" s="641">
        <f t="shared" si="111"/>
        <v>0</v>
      </c>
      <c r="T367" s="495"/>
      <c r="U367" s="496"/>
      <c r="V367" s="640">
        <f t="shared" si="112"/>
        <v>0</v>
      </c>
      <c r="W367" s="641">
        <f t="shared" si="113"/>
        <v>0</v>
      </c>
      <c r="X367" s="495"/>
      <c r="Y367" s="496"/>
      <c r="Z367" s="495"/>
      <c r="AA367" s="496"/>
      <c r="AB367" s="495"/>
      <c r="AC367" s="496"/>
      <c r="AD367" s="545">
        <v>291293.5</v>
      </c>
      <c r="AE367" s="546">
        <v>159015</v>
      </c>
      <c r="AF367" s="640">
        <f t="shared" si="114"/>
        <v>291293.5</v>
      </c>
      <c r="AG367" s="640">
        <f t="shared" si="115"/>
        <v>323.65944444444443</v>
      </c>
      <c r="AH367" s="641">
        <f t="shared" si="116"/>
        <v>159015</v>
      </c>
      <c r="AI367" s="641">
        <f t="shared" si="117"/>
        <v>176.68333333333334</v>
      </c>
      <c r="AJ367" s="495"/>
      <c r="AK367" s="496"/>
      <c r="AL367" s="640">
        <f t="shared" si="118"/>
        <v>0</v>
      </c>
      <c r="AM367" s="641">
        <f t="shared" si="119"/>
        <v>0</v>
      </c>
      <c r="AN367" s="495"/>
      <c r="AO367" s="496"/>
      <c r="AP367" s="495"/>
      <c r="AQ367" s="496"/>
      <c r="AR367" s="495"/>
      <c r="AS367" s="496"/>
      <c r="AT367" s="495"/>
      <c r="AU367" s="496"/>
      <c r="AV367" s="640">
        <f t="shared" si="120"/>
        <v>0</v>
      </c>
      <c r="AW367" s="640">
        <f t="shared" si="121"/>
        <v>0</v>
      </c>
      <c r="AX367" s="641">
        <f t="shared" si="122"/>
        <v>0</v>
      </c>
      <c r="AY367" s="641">
        <f t="shared" si="123"/>
        <v>0</v>
      </c>
      <c r="AZ367" s="640">
        <f t="shared" si="124"/>
        <v>323.65944444444443</v>
      </c>
      <c r="BA367" s="641">
        <f t="shared" si="125"/>
        <v>176.68333333333334</v>
      </c>
    </row>
    <row r="368" spans="1:53" s="365" customFormat="1" ht="12.6" customHeight="1">
      <c r="A368" s="409" t="s">
        <v>311</v>
      </c>
      <c r="B368" s="407" t="s">
        <v>346</v>
      </c>
      <c r="C368" s="408"/>
      <c r="D368" s="618">
        <v>366623</v>
      </c>
      <c r="E368" s="520">
        <v>13</v>
      </c>
      <c r="F368" s="495"/>
      <c r="G368" s="496"/>
      <c r="H368" s="495"/>
      <c r="I368" s="496"/>
      <c r="J368" s="495"/>
      <c r="K368" s="496"/>
      <c r="L368" s="495"/>
      <c r="M368" s="496"/>
      <c r="N368" s="495"/>
      <c r="O368" s="496"/>
      <c r="P368" s="640">
        <f t="shared" si="108"/>
        <v>0</v>
      </c>
      <c r="Q368" s="640">
        <f t="shared" si="109"/>
        <v>0</v>
      </c>
      <c r="R368" s="641">
        <f t="shared" si="110"/>
        <v>0</v>
      </c>
      <c r="S368" s="641">
        <f t="shared" si="111"/>
        <v>0</v>
      </c>
      <c r="T368" s="495"/>
      <c r="U368" s="496"/>
      <c r="V368" s="640">
        <f t="shared" si="112"/>
        <v>0</v>
      </c>
      <c r="W368" s="641">
        <f t="shared" si="113"/>
        <v>0</v>
      </c>
      <c r="X368" s="495"/>
      <c r="Y368" s="496"/>
      <c r="Z368" s="495"/>
      <c r="AA368" s="496"/>
      <c r="AB368" s="495"/>
      <c r="AC368" s="496"/>
      <c r="AD368" s="545">
        <v>90094.5</v>
      </c>
      <c r="AE368" s="546">
        <v>60225</v>
      </c>
      <c r="AF368" s="640">
        <f t="shared" si="114"/>
        <v>90094.5</v>
      </c>
      <c r="AG368" s="640">
        <f t="shared" si="115"/>
        <v>100.105</v>
      </c>
      <c r="AH368" s="641">
        <f t="shared" si="116"/>
        <v>60225</v>
      </c>
      <c r="AI368" s="641">
        <f t="shared" si="117"/>
        <v>66.916666666666671</v>
      </c>
      <c r="AJ368" s="495"/>
      <c r="AK368" s="496"/>
      <c r="AL368" s="640">
        <f t="shared" si="118"/>
        <v>0</v>
      </c>
      <c r="AM368" s="641">
        <f t="shared" si="119"/>
        <v>0</v>
      </c>
      <c r="AN368" s="495"/>
      <c r="AO368" s="496"/>
      <c r="AP368" s="495"/>
      <c r="AQ368" s="496"/>
      <c r="AR368" s="495"/>
      <c r="AS368" s="496"/>
      <c r="AT368" s="495"/>
      <c r="AU368" s="496"/>
      <c r="AV368" s="640">
        <f t="shared" si="120"/>
        <v>0</v>
      </c>
      <c r="AW368" s="640">
        <f t="shared" si="121"/>
        <v>0</v>
      </c>
      <c r="AX368" s="641">
        <f t="shared" si="122"/>
        <v>0</v>
      </c>
      <c r="AY368" s="641">
        <f t="shared" si="123"/>
        <v>0</v>
      </c>
      <c r="AZ368" s="640">
        <f t="shared" si="124"/>
        <v>100.105</v>
      </c>
      <c r="BA368" s="641">
        <f t="shared" si="125"/>
        <v>66.916666666666671</v>
      </c>
    </row>
    <row r="369" spans="1:53" s="365" customFormat="1" ht="12.6" customHeight="1">
      <c r="A369" s="409" t="s">
        <v>311</v>
      </c>
      <c r="B369" s="407" t="s">
        <v>347</v>
      </c>
      <c r="C369" s="408"/>
      <c r="D369" s="618">
        <v>407601</v>
      </c>
      <c r="E369" s="520">
        <v>13</v>
      </c>
      <c r="F369" s="495"/>
      <c r="G369" s="496"/>
      <c r="H369" s="495"/>
      <c r="I369" s="496"/>
      <c r="J369" s="495"/>
      <c r="K369" s="496"/>
      <c r="L369" s="495"/>
      <c r="M369" s="496"/>
      <c r="N369" s="495"/>
      <c r="O369" s="496"/>
      <c r="P369" s="640">
        <f t="shared" si="108"/>
        <v>0</v>
      </c>
      <c r="Q369" s="640">
        <f t="shared" si="109"/>
        <v>0</v>
      </c>
      <c r="R369" s="641">
        <f t="shared" si="110"/>
        <v>0</v>
      </c>
      <c r="S369" s="641">
        <f t="shared" si="111"/>
        <v>0</v>
      </c>
      <c r="T369" s="495"/>
      <c r="U369" s="496"/>
      <c r="V369" s="640">
        <f t="shared" si="112"/>
        <v>0</v>
      </c>
      <c r="W369" s="641">
        <f t="shared" si="113"/>
        <v>0</v>
      </c>
      <c r="X369" s="495"/>
      <c r="Y369" s="496"/>
      <c r="Z369" s="495"/>
      <c r="AA369" s="496"/>
      <c r="AB369" s="495"/>
      <c r="AC369" s="496"/>
      <c r="AD369" s="545">
        <v>59402</v>
      </c>
      <c r="AE369" s="546">
        <v>37854</v>
      </c>
      <c r="AF369" s="640">
        <f t="shared" si="114"/>
        <v>59402</v>
      </c>
      <c r="AG369" s="640">
        <f t="shared" si="115"/>
        <v>66.002222222222215</v>
      </c>
      <c r="AH369" s="641">
        <f t="shared" si="116"/>
        <v>37854</v>
      </c>
      <c r="AI369" s="641">
        <f t="shared" si="117"/>
        <v>42.06</v>
      </c>
      <c r="AJ369" s="495"/>
      <c r="AK369" s="496"/>
      <c r="AL369" s="640">
        <f t="shared" si="118"/>
        <v>0</v>
      </c>
      <c r="AM369" s="641">
        <f t="shared" si="119"/>
        <v>0</v>
      </c>
      <c r="AN369" s="495"/>
      <c r="AO369" s="496"/>
      <c r="AP369" s="495"/>
      <c r="AQ369" s="496"/>
      <c r="AR369" s="495"/>
      <c r="AS369" s="496"/>
      <c r="AT369" s="495"/>
      <c r="AU369" s="496"/>
      <c r="AV369" s="640">
        <f t="shared" si="120"/>
        <v>0</v>
      </c>
      <c r="AW369" s="640">
        <f t="shared" si="121"/>
        <v>0</v>
      </c>
      <c r="AX369" s="641">
        <f t="shared" si="122"/>
        <v>0</v>
      </c>
      <c r="AY369" s="641">
        <f t="shared" si="123"/>
        <v>0</v>
      </c>
      <c r="AZ369" s="640">
        <f t="shared" si="124"/>
        <v>66.002222222222215</v>
      </c>
      <c r="BA369" s="641">
        <f t="shared" si="125"/>
        <v>42.06</v>
      </c>
    </row>
    <row r="370" spans="1:53" s="365" customFormat="1" ht="12.6" customHeight="1">
      <c r="A370" s="409" t="s">
        <v>311</v>
      </c>
      <c r="B370" s="407" t="s">
        <v>348</v>
      </c>
      <c r="C370" s="408"/>
      <c r="D370" s="618">
        <v>364627</v>
      </c>
      <c r="E370" s="520">
        <v>13</v>
      </c>
      <c r="F370" s="495"/>
      <c r="G370" s="496"/>
      <c r="H370" s="495"/>
      <c r="I370" s="496"/>
      <c r="J370" s="495"/>
      <c r="K370" s="496"/>
      <c r="L370" s="495"/>
      <c r="M370" s="496"/>
      <c r="N370" s="495"/>
      <c r="O370" s="496"/>
      <c r="P370" s="640">
        <f t="shared" si="108"/>
        <v>0</v>
      </c>
      <c r="Q370" s="640">
        <f t="shared" si="109"/>
        <v>0</v>
      </c>
      <c r="R370" s="641">
        <f t="shared" si="110"/>
        <v>0</v>
      </c>
      <c r="S370" s="641">
        <f t="shared" si="111"/>
        <v>0</v>
      </c>
      <c r="T370" s="495"/>
      <c r="U370" s="496"/>
      <c r="V370" s="640">
        <f t="shared" si="112"/>
        <v>0</v>
      </c>
      <c r="W370" s="641">
        <f t="shared" si="113"/>
        <v>0</v>
      </c>
      <c r="X370" s="495"/>
      <c r="Y370" s="496"/>
      <c r="Z370" s="495"/>
      <c r="AA370" s="496"/>
      <c r="AB370" s="495"/>
      <c r="AC370" s="496"/>
      <c r="AD370" s="545">
        <v>289198</v>
      </c>
      <c r="AE370" s="546">
        <v>159048</v>
      </c>
      <c r="AF370" s="640">
        <f t="shared" si="114"/>
        <v>289198</v>
      </c>
      <c r="AG370" s="640">
        <f t="shared" si="115"/>
        <v>321.33111111111111</v>
      </c>
      <c r="AH370" s="641">
        <f t="shared" si="116"/>
        <v>159048</v>
      </c>
      <c r="AI370" s="641">
        <f t="shared" si="117"/>
        <v>176.72</v>
      </c>
      <c r="AJ370" s="495"/>
      <c r="AK370" s="496"/>
      <c r="AL370" s="640">
        <f t="shared" si="118"/>
        <v>0</v>
      </c>
      <c r="AM370" s="641">
        <f t="shared" si="119"/>
        <v>0</v>
      </c>
      <c r="AN370" s="495"/>
      <c r="AO370" s="496"/>
      <c r="AP370" s="495"/>
      <c r="AQ370" s="496"/>
      <c r="AR370" s="495"/>
      <c r="AS370" s="496"/>
      <c r="AT370" s="495"/>
      <c r="AU370" s="496"/>
      <c r="AV370" s="640">
        <f t="shared" si="120"/>
        <v>0</v>
      </c>
      <c r="AW370" s="640">
        <f t="shared" si="121"/>
        <v>0</v>
      </c>
      <c r="AX370" s="641">
        <f t="shared" si="122"/>
        <v>0</v>
      </c>
      <c r="AY370" s="641">
        <f t="shared" si="123"/>
        <v>0</v>
      </c>
      <c r="AZ370" s="640">
        <f t="shared" si="124"/>
        <v>321.33111111111111</v>
      </c>
      <c r="BA370" s="641">
        <f t="shared" si="125"/>
        <v>176.72</v>
      </c>
    </row>
    <row r="371" spans="1:53" s="365" customFormat="1" ht="12.6" customHeight="1">
      <c r="A371" s="409" t="s">
        <v>311</v>
      </c>
      <c r="B371" s="407" t="s">
        <v>349</v>
      </c>
      <c r="C371" s="408"/>
      <c r="D371" s="618">
        <v>206905</v>
      </c>
      <c r="E371" s="520">
        <v>13</v>
      </c>
      <c r="F371" s="495"/>
      <c r="G371" s="496"/>
      <c r="H371" s="495"/>
      <c r="I371" s="496"/>
      <c r="J371" s="495"/>
      <c r="K371" s="496"/>
      <c r="L371" s="495"/>
      <c r="M371" s="496"/>
      <c r="N371" s="495"/>
      <c r="O371" s="496"/>
      <c r="P371" s="640">
        <f t="shared" si="108"/>
        <v>0</v>
      </c>
      <c r="Q371" s="640">
        <f t="shared" si="109"/>
        <v>0</v>
      </c>
      <c r="R371" s="641">
        <f t="shared" si="110"/>
        <v>0</v>
      </c>
      <c r="S371" s="641">
        <f t="shared" si="111"/>
        <v>0</v>
      </c>
      <c r="T371" s="495"/>
      <c r="U371" s="496"/>
      <c r="V371" s="640">
        <f t="shared" si="112"/>
        <v>0</v>
      </c>
      <c r="W371" s="641">
        <f t="shared" si="113"/>
        <v>0</v>
      </c>
      <c r="X371" s="495"/>
      <c r="Y371" s="496"/>
      <c r="Z371" s="495"/>
      <c r="AA371" s="496"/>
      <c r="AB371" s="495"/>
      <c r="AC371" s="496"/>
      <c r="AD371" s="545">
        <v>182868.6</v>
      </c>
      <c r="AE371" s="546">
        <v>124016</v>
      </c>
      <c r="AF371" s="640">
        <f t="shared" si="114"/>
        <v>182868.6</v>
      </c>
      <c r="AG371" s="640">
        <f t="shared" si="115"/>
        <v>203.18733333333333</v>
      </c>
      <c r="AH371" s="641">
        <f t="shared" si="116"/>
        <v>124016</v>
      </c>
      <c r="AI371" s="641">
        <f t="shared" si="117"/>
        <v>137.79555555555555</v>
      </c>
      <c r="AJ371" s="495"/>
      <c r="AK371" s="496"/>
      <c r="AL371" s="640">
        <f t="shared" si="118"/>
        <v>0</v>
      </c>
      <c r="AM371" s="641">
        <f t="shared" si="119"/>
        <v>0</v>
      </c>
      <c r="AN371" s="495"/>
      <c r="AO371" s="496"/>
      <c r="AP371" s="495"/>
      <c r="AQ371" s="496"/>
      <c r="AR371" s="495"/>
      <c r="AS371" s="496"/>
      <c r="AT371" s="495"/>
      <c r="AU371" s="496"/>
      <c r="AV371" s="640">
        <f t="shared" si="120"/>
        <v>0</v>
      </c>
      <c r="AW371" s="640">
        <f t="shared" si="121"/>
        <v>0</v>
      </c>
      <c r="AX371" s="641">
        <f t="shared" si="122"/>
        <v>0</v>
      </c>
      <c r="AY371" s="641">
        <f t="shared" si="123"/>
        <v>0</v>
      </c>
      <c r="AZ371" s="640">
        <f t="shared" si="124"/>
        <v>203.18733333333333</v>
      </c>
      <c r="BA371" s="641">
        <f t="shared" si="125"/>
        <v>137.79555555555555</v>
      </c>
    </row>
    <row r="372" spans="1:53" s="365" customFormat="1" ht="12.6" customHeight="1">
      <c r="A372" s="409" t="s">
        <v>311</v>
      </c>
      <c r="B372" s="407" t="s">
        <v>350</v>
      </c>
      <c r="C372" s="408"/>
      <c r="D372" s="618">
        <v>250993</v>
      </c>
      <c r="E372" s="520">
        <v>13</v>
      </c>
      <c r="F372" s="495"/>
      <c r="G372" s="496"/>
      <c r="H372" s="495"/>
      <c r="I372" s="496"/>
      <c r="J372" s="495"/>
      <c r="K372" s="496"/>
      <c r="L372" s="495"/>
      <c r="M372" s="496"/>
      <c r="N372" s="495"/>
      <c r="O372" s="496"/>
      <c r="P372" s="640">
        <f t="shared" si="108"/>
        <v>0</v>
      </c>
      <c r="Q372" s="640">
        <f t="shared" si="109"/>
        <v>0</v>
      </c>
      <c r="R372" s="641">
        <f t="shared" si="110"/>
        <v>0</v>
      </c>
      <c r="S372" s="641">
        <f t="shared" si="111"/>
        <v>0</v>
      </c>
      <c r="T372" s="495"/>
      <c r="U372" s="496"/>
      <c r="V372" s="640">
        <f t="shared" si="112"/>
        <v>0</v>
      </c>
      <c r="W372" s="641">
        <f t="shared" si="113"/>
        <v>0</v>
      </c>
      <c r="X372" s="495"/>
      <c r="Y372" s="496"/>
      <c r="Z372" s="495"/>
      <c r="AA372" s="496"/>
      <c r="AB372" s="495"/>
      <c r="AC372" s="496"/>
      <c r="AD372" s="545">
        <v>456748.1</v>
      </c>
      <c r="AE372" s="546">
        <v>151656</v>
      </c>
      <c r="AF372" s="640">
        <f t="shared" si="114"/>
        <v>456748.1</v>
      </c>
      <c r="AG372" s="640">
        <f t="shared" si="115"/>
        <v>507.49788888888884</v>
      </c>
      <c r="AH372" s="641">
        <f t="shared" si="116"/>
        <v>151656</v>
      </c>
      <c r="AI372" s="641">
        <f t="shared" si="117"/>
        <v>168.50666666666666</v>
      </c>
      <c r="AJ372" s="495"/>
      <c r="AK372" s="496"/>
      <c r="AL372" s="640">
        <f t="shared" si="118"/>
        <v>0</v>
      </c>
      <c r="AM372" s="641">
        <f t="shared" si="119"/>
        <v>0</v>
      </c>
      <c r="AN372" s="495"/>
      <c r="AO372" s="496"/>
      <c r="AP372" s="495"/>
      <c r="AQ372" s="496"/>
      <c r="AR372" s="495"/>
      <c r="AS372" s="496"/>
      <c r="AT372" s="495"/>
      <c r="AU372" s="496"/>
      <c r="AV372" s="640">
        <f t="shared" si="120"/>
        <v>0</v>
      </c>
      <c r="AW372" s="640">
        <f t="shared" si="121"/>
        <v>0</v>
      </c>
      <c r="AX372" s="641">
        <f t="shared" si="122"/>
        <v>0</v>
      </c>
      <c r="AY372" s="641">
        <f t="shared" si="123"/>
        <v>0</v>
      </c>
      <c r="AZ372" s="640">
        <f t="shared" si="124"/>
        <v>507.49788888888884</v>
      </c>
      <c r="BA372" s="641">
        <f t="shared" si="125"/>
        <v>168.50666666666666</v>
      </c>
    </row>
    <row r="373" spans="1:53" s="365" customFormat="1" ht="12.6" customHeight="1">
      <c r="A373" s="409" t="s">
        <v>311</v>
      </c>
      <c r="B373" s="407" t="s">
        <v>351</v>
      </c>
      <c r="C373" s="408"/>
      <c r="D373" s="618">
        <v>365198</v>
      </c>
      <c r="E373" s="520">
        <v>13</v>
      </c>
      <c r="F373" s="495"/>
      <c r="G373" s="496"/>
      <c r="H373" s="495"/>
      <c r="I373" s="496"/>
      <c r="J373" s="495"/>
      <c r="K373" s="496"/>
      <c r="L373" s="495"/>
      <c r="M373" s="496"/>
      <c r="N373" s="495"/>
      <c r="O373" s="496"/>
      <c r="P373" s="640">
        <f t="shared" si="108"/>
        <v>0</v>
      </c>
      <c r="Q373" s="640">
        <f t="shared" si="109"/>
        <v>0</v>
      </c>
      <c r="R373" s="641">
        <f t="shared" si="110"/>
        <v>0</v>
      </c>
      <c r="S373" s="641">
        <f t="shared" si="111"/>
        <v>0</v>
      </c>
      <c r="T373" s="495"/>
      <c r="U373" s="496"/>
      <c r="V373" s="640">
        <f t="shared" si="112"/>
        <v>0</v>
      </c>
      <c r="W373" s="641">
        <f t="shared" si="113"/>
        <v>0</v>
      </c>
      <c r="X373" s="495"/>
      <c r="Y373" s="496"/>
      <c r="Z373" s="495"/>
      <c r="AA373" s="496"/>
      <c r="AB373" s="495"/>
      <c r="AC373" s="496"/>
      <c r="AD373" s="545">
        <v>785593.7</v>
      </c>
      <c r="AE373" s="546">
        <v>245095</v>
      </c>
      <c r="AF373" s="640">
        <f t="shared" si="114"/>
        <v>785593.7</v>
      </c>
      <c r="AG373" s="640">
        <f t="shared" si="115"/>
        <v>872.88188888888885</v>
      </c>
      <c r="AH373" s="641">
        <f t="shared" si="116"/>
        <v>245095</v>
      </c>
      <c r="AI373" s="641">
        <f t="shared" si="117"/>
        <v>272.32777777777778</v>
      </c>
      <c r="AJ373" s="495"/>
      <c r="AK373" s="496"/>
      <c r="AL373" s="640">
        <f t="shared" si="118"/>
        <v>0</v>
      </c>
      <c r="AM373" s="641">
        <f t="shared" si="119"/>
        <v>0</v>
      </c>
      <c r="AN373" s="495"/>
      <c r="AO373" s="496"/>
      <c r="AP373" s="495"/>
      <c r="AQ373" s="496"/>
      <c r="AR373" s="495"/>
      <c r="AS373" s="496"/>
      <c r="AT373" s="495"/>
      <c r="AU373" s="496"/>
      <c r="AV373" s="640">
        <f t="shared" si="120"/>
        <v>0</v>
      </c>
      <c r="AW373" s="640">
        <f t="shared" si="121"/>
        <v>0</v>
      </c>
      <c r="AX373" s="641">
        <f t="shared" si="122"/>
        <v>0</v>
      </c>
      <c r="AY373" s="641">
        <f t="shared" si="123"/>
        <v>0</v>
      </c>
      <c r="AZ373" s="640">
        <f t="shared" si="124"/>
        <v>872.88188888888885</v>
      </c>
      <c r="BA373" s="641">
        <f t="shared" si="125"/>
        <v>272.32777777777778</v>
      </c>
    </row>
    <row r="374" spans="1:53" s="365" customFormat="1" ht="12.6" customHeight="1">
      <c r="A374" s="409" t="s">
        <v>311</v>
      </c>
      <c r="B374" s="407" t="s">
        <v>352</v>
      </c>
      <c r="C374" s="408"/>
      <c r="D374" s="618">
        <v>368364</v>
      </c>
      <c r="E374" s="520">
        <v>13</v>
      </c>
      <c r="F374" s="495"/>
      <c r="G374" s="496"/>
      <c r="H374" s="495"/>
      <c r="I374" s="496"/>
      <c r="J374" s="495"/>
      <c r="K374" s="496"/>
      <c r="L374" s="495"/>
      <c r="M374" s="496"/>
      <c r="N374" s="495"/>
      <c r="O374" s="496"/>
      <c r="P374" s="640">
        <f t="shared" si="108"/>
        <v>0</v>
      </c>
      <c r="Q374" s="640">
        <f t="shared" si="109"/>
        <v>0</v>
      </c>
      <c r="R374" s="641">
        <f t="shared" si="110"/>
        <v>0</v>
      </c>
      <c r="S374" s="641">
        <f t="shared" si="111"/>
        <v>0</v>
      </c>
      <c r="T374" s="495"/>
      <c r="U374" s="496"/>
      <c r="V374" s="640">
        <f t="shared" si="112"/>
        <v>0</v>
      </c>
      <c r="W374" s="641">
        <f t="shared" si="113"/>
        <v>0</v>
      </c>
      <c r="X374" s="495"/>
      <c r="Y374" s="496"/>
      <c r="Z374" s="495"/>
      <c r="AA374" s="496"/>
      <c r="AB374" s="495"/>
      <c r="AC374" s="496"/>
      <c r="AD374" s="545">
        <v>198633.5</v>
      </c>
      <c r="AE374" s="546">
        <v>155110</v>
      </c>
      <c r="AF374" s="640">
        <f t="shared" si="114"/>
        <v>198633.5</v>
      </c>
      <c r="AG374" s="640">
        <f t="shared" si="115"/>
        <v>220.70388888888888</v>
      </c>
      <c r="AH374" s="641">
        <f t="shared" si="116"/>
        <v>155110</v>
      </c>
      <c r="AI374" s="641">
        <f t="shared" si="117"/>
        <v>172.34444444444443</v>
      </c>
      <c r="AJ374" s="495"/>
      <c r="AK374" s="496"/>
      <c r="AL374" s="640">
        <f t="shared" si="118"/>
        <v>0</v>
      </c>
      <c r="AM374" s="641">
        <f t="shared" si="119"/>
        <v>0</v>
      </c>
      <c r="AN374" s="495"/>
      <c r="AO374" s="496"/>
      <c r="AP374" s="495"/>
      <c r="AQ374" s="496"/>
      <c r="AR374" s="495"/>
      <c r="AS374" s="496"/>
      <c r="AT374" s="495"/>
      <c r="AU374" s="496"/>
      <c r="AV374" s="640">
        <f t="shared" si="120"/>
        <v>0</v>
      </c>
      <c r="AW374" s="640">
        <f t="shared" si="121"/>
        <v>0</v>
      </c>
      <c r="AX374" s="641">
        <f t="shared" si="122"/>
        <v>0</v>
      </c>
      <c r="AY374" s="641">
        <f t="shared" si="123"/>
        <v>0</v>
      </c>
      <c r="AZ374" s="640">
        <f t="shared" si="124"/>
        <v>220.70388888888888</v>
      </c>
      <c r="BA374" s="641">
        <f t="shared" si="125"/>
        <v>172.34444444444443</v>
      </c>
    </row>
    <row r="375" spans="1:53" s="365" customFormat="1" ht="12.6" customHeight="1">
      <c r="A375" s="409" t="s">
        <v>311</v>
      </c>
      <c r="B375" s="407" t="s">
        <v>353</v>
      </c>
      <c r="C375" s="408"/>
      <c r="D375" s="618">
        <v>418287</v>
      </c>
      <c r="E375" s="520">
        <v>13</v>
      </c>
      <c r="F375" s="495"/>
      <c r="G375" s="496"/>
      <c r="H375" s="495"/>
      <c r="I375" s="496"/>
      <c r="J375" s="495"/>
      <c r="K375" s="496"/>
      <c r="L375" s="495"/>
      <c r="M375" s="496"/>
      <c r="N375" s="495"/>
      <c r="O375" s="496"/>
      <c r="P375" s="640">
        <f t="shared" si="108"/>
        <v>0</v>
      </c>
      <c r="Q375" s="640">
        <f t="shared" si="109"/>
        <v>0</v>
      </c>
      <c r="R375" s="641">
        <f t="shared" si="110"/>
        <v>0</v>
      </c>
      <c r="S375" s="641">
        <f t="shared" si="111"/>
        <v>0</v>
      </c>
      <c r="T375" s="495"/>
      <c r="U375" s="496"/>
      <c r="V375" s="640">
        <f t="shared" si="112"/>
        <v>0</v>
      </c>
      <c r="W375" s="641">
        <f t="shared" si="113"/>
        <v>0</v>
      </c>
      <c r="X375" s="495"/>
      <c r="Y375" s="496"/>
      <c r="Z375" s="495"/>
      <c r="AA375" s="496"/>
      <c r="AB375" s="495"/>
      <c r="AC375" s="496"/>
      <c r="AD375" s="545">
        <v>309395</v>
      </c>
      <c r="AE375" s="546">
        <v>205091</v>
      </c>
      <c r="AF375" s="640">
        <f t="shared" si="114"/>
        <v>309395</v>
      </c>
      <c r="AG375" s="640">
        <f t="shared" si="115"/>
        <v>343.77222222222224</v>
      </c>
      <c r="AH375" s="641">
        <f t="shared" si="116"/>
        <v>205091</v>
      </c>
      <c r="AI375" s="641">
        <f t="shared" si="117"/>
        <v>227.87888888888889</v>
      </c>
      <c r="AJ375" s="495"/>
      <c r="AK375" s="496"/>
      <c r="AL375" s="640">
        <f t="shared" si="118"/>
        <v>0</v>
      </c>
      <c r="AM375" s="641">
        <f t="shared" si="119"/>
        <v>0</v>
      </c>
      <c r="AN375" s="495"/>
      <c r="AO375" s="496"/>
      <c r="AP375" s="495"/>
      <c r="AQ375" s="496"/>
      <c r="AR375" s="495"/>
      <c r="AS375" s="496"/>
      <c r="AT375" s="495"/>
      <c r="AU375" s="496"/>
      <c r="AV375" s="640">
        <f t="shared" si="120"/>
        <v>0</v>
      </c>
      <c r="AW375" s="640">
        <f t="shared" si="121"/>
        <v>0</v>
      </c>
      <c r="AX375" s="641">
        <f t="shared" si="122"/>
        <v>0</v>
      </c>
      <c r="AY375" s="641">
        <f t="shared" si="123"/>
        <v>0</v>
      </c>
      <c r="AZ375" s="640">
        <f t="shared" si="124"/>
        <v>343.77222222222224</v>
      </c>
      <c r="BA375" s="641">
        <f t="shared" si="125"/>
        <v>227.87888888888889</v>
      </c>
    </row>
    <row r="376" spans="1:53" s="365" customFormat="1" ht="12.6" customHeight="1">
      <c r="A376" s="409" t="s">
        <v>311</v>
      </c>
      <c r="B376" s="407" t="s">
        <v>354</v>
      </c>
      <c r="C376" s="408"/>
      <c r="D376" s="618">
        <v>207607</v>
      </c>
      <c r="E376" s="520">
        <v>13</v>
      </c>
      <c r="F376" s="495"/>
      <c r="G376" s="496"/>
      <c r="H376" s="495"/>
      <c r="I376" s="496"/>
      <c r="J376" s="495"/>
      <c r="K376" s="496"/>
      <c r="L376" s="495"/>
      <c r="M376" s="496"/>
      <c r="N376" s="495"/>
      <c r="O376" s="496"/>
      <c r="P376" s="640">
        <f t="shared" si="108"/>
        <v>0</v>
      </c>
      <c r="Q376" s="640">
        <f t="shared" si="109"/>
        <v>0</v>
      </c>
      <c r="R376" s="641">
        <f t="shared" si="110"/>
        <v>0</v>
      </c>
      <c r="S376" s="641">
        <f t="shared" si="111"/>
        <v>0</v>
      </c>
      <c r="T376" s="495"/>
      <c r="U376" s="496"/>
      <c r="V376" s="640">
        <f t="shared" si="112"/>
        <v>0</v>
      </c>
      <c r="W376" s="641">
        <f t="shared" si="113"/>
        <v>0</v>
      </c>
      <c r="X376" s="495"/>
      <c r="Y376" s="496"/>
      <c r="Z376" s="495"/>
      <c r="AA376" s="496"/>
      <c r="AB376" s="495"/>
      <c r="AC376" s="496"/>
      <c r="AD376" s="545">
        <v>333342</v>
      </c>
      <c r="AE376" s="546">
        <v>248842</v>
      </c>
      <c r="AF376" s="640">
        <f t="shared" si="114"/>
        <v>333342</v>
      </c>
      <c r="AG376" s="640">
        <f t="shared" si="115"/>
        <v>370.38</v>
      </c>
      <c r="AH376" s="641">
        <f t="shared" si="116"/>
        <v>248842</v>
      </c>
      <c r="AI376" s="641">
        <f t="shared" si="117"/>
        <v>276.49111111111114</v>
      </c>
      <c r="AJ376" s="495"/>
      <c r="AK376" s="496"/>
      <c r="AL376" s="640">
        <f t="shared" si="118"/>
        <v>0</v>
      </c>
      <c r="AM376" s="641">
        <f t="shared" si="119"/>
        <v>0</v>
      </c>
      <c r="AN376" s="495"/>
      <c r="AO376" s="496"/>
      <c r="AP376" s="495"/>
      <c r="AQ376" s="496"/>
      <c r="AR376" s="495"/>
      <c r="AS376" s="496"/>
      <c r="AT376" s="495"/>
      <c r="AU376" s="496"/>
      <c r="AV376" s="640">
        <f t="shared" si="120"/>
        <v>0</v>
      </c>
      <c r="AW376" s="640">
        <f t="shared" si="121"/>
        <v>0</v>
      </c>
      <c r="AX376" s="641">
        <f t="shared" si="122"/>
        <v>0</v>
      </c>
      <c r="AY376" s="641">
        <f t="shared" si="123"/>
        <v>0</v>
      </c>
      <c r="AZ376" s="640">
        <f t="shared" si="124"/>
        <v>370.38</v>
      </c>
      <c r="BA376" s="641">
        <f t="shared" si="125"/>
        <v>276.49111111111114</v>
      </c>
    </row>
    <row r="377" spans="1:53" s="365" customFormat="1" ht="12.6" customHeight="1">
      <c r="A377" s="409" t="s">
        <v>311</v>
      </c>
      <c r="B377" s="407" t="s">
        <v>355</v>
      </c>
      <c r="C377" s="407"/>
      <c r="D377" s="618">
        <v>261393</v>
      </c>
      <c r="E377" s="520">
        <v>13</v>
      </c>
      <c r="F377" s="495"/>
      <c r="G377" s="496"/>
      <c r="H377" s="495"/>
      <c r="I377" s="496"/>
      <c r="J377" s="495"/>
      <c r="K377" s="496"/>
      <c r="L377" s="495"/>
      <c r="M377" s="496"/>
      <c r="N377" s="495"/>
      <c r="O377" s="496"/>
      <c r="P377" s="640">
        <f t="shared" si="108"/>
        <v>0</v>
      </c>
      <c r="Q377" s="640">
        <f t="shared" si="109"/>
        <v>0</v>
      </c>
      <c r="R377" s="641">
        <f t="shared" si="110"/>
        <v>0</v>
      </c>
      <c r="S377" s="641">
        <f t="shared" si="111"/>
        <v>0</v>
      </c>
      <c r="T377" s="495"/>
      <c r="U377" s="496"/>
      <c r="V377" s="640">
        <f t="shared" si="112"/>
        <v>0</v>
      </c>
      <c r="W377" s="641">
        <f t="shared" si="113"/>
        <v>0</v>
      </c>
      <c r="X377" s="495"/>
      <c r="Y377" s="496"/>
      <c r="Z377" s="495"/>
      <c r="AA377" s="496"/>
      <c r="AB377" s="495"/>
      <c r="AC377" s="496"/>
      <c r="AD377" s="545">
        <v>424787.5</v>
      </c>
      <c r="AE377" s="546">
        <v>318692</v>
      </c>
      <c r="AF377" s="640">
        <f t="shared" si="114"/>
        <v>424787.5</v>
      </c>
      <c r="AG377" s="640">
        <f t="shared" si="115"/>
        <v>471.98611111111109</v>
      </c>
      <c r="AH377" s="641">
        <f t="shared" si="116"/>
        <v>318692</v>
      </c>
      <c r="AI377" s="641">
        <f t="shared" si="117"/>
        <v>354.10222222222222</v>
      </c>
      <c r="AJ377" s="495"/>
      <c r="AK377" s="496"/>
      <c r="AL377" s="640">
        <f t="shared" si="118"/>
        <v>0</v>
      </c>
      <c r="AM377" s="641">
        <f t="shared" si="119"/>
        <v>0</v>
      </c>
      <c r="AN377" s="495"/>
      <c r="AO377" s="496"/>
      <c r="AP377" s="495"/>
      <c r="AQ377" s="496"/>
      <c r="AR377" s="495"/>
      <c r="AS377" s="496"/>
      <c r="AT377" s="495"/>
      <c r="AU377" s="496"/>
      <c r="AV377" s="640">
        <f t="shared" si="120"/>
        <v>0</v>
      </c>
      <c r="AW377" s="640">
        <f t="shared" si="121"/>
        <v>0</v>
      </c>
      <c r="AX377" s="641">
        <f t="shared" si="122"/>
        <v>0</v>
      </c>
      <c r="AY377" s="641">
        <f t="shared" si="123"/>
        <v>0</v>
      </c>
      <c r="AZ377" s="640">
        <f t="shared" si="124"/>
        <v>471.98611111111109</v>
      </c>
      <c r="BA377" s="641">
        <f t="shared" si="125"/>
        <v>354.10222222222222</v>
      </c>
    </row>
    <row r="378" spans="1:53" s="365" customFormat="1" ht="12.6" customHeight="1">
      <c r="A378" s="409" t="s">
        <v>311</v>
      </c>
      <c r="B378" s="411" t="s">
        <v>809</v>
      </c>
      <c r="C378" s="407"/>
      <c r="D378" s="633">
        <v>482264</v>
      </c>
      <c r="E378" s="520">
        <v>13</v>
      </c>
      <c r="F378" s="495"/>
      <c r="G378" s="496"/>
      <c r="H378" s="495"/>
      <c r="I378" s="496"/>
      <c r="J378" s="495"/>
      <c r="K378" s="496"/>
      <c r="L378" s="495"/>
      <c r="M378" s="496"/>
      <c r="N378" s="495"/>
      <c r="O378" s="496"/>
      <c r="P378" s="640">
        <f t="shared" si="108"/>
        <v>0</v>
      </c>
      <c r="Q378" s="640">
        <f t="shared" si="109"/>
        <v>0</v>
      </c>
      <c r="R378" s="641">
        <f t="shared" si="110"/>
        <v>0</v>
      </c>
      <c r="S378" s="641">
        <f t="shared" si="111"/>
        <v>0</v>
      </c>
      <c r="T378" s="495"/>
      <c r="U378" s="496"/>
      <c r="V378" s="640">
        <f t="shared" si="112"/>
        <v>0</v>
      </c>
      <c r="W378" s="641">
        <f t="shared" si="113"/>
        <v>0</v>
      </c>
      <c r="X378" s="495"/>
      <c r="Y378" s="496"/>
      <c r="Z378" s="495"/>
      <c r="AA378" s="496"/>
      <c r="AB378" s="495"/>
      <c r="AC378" s="496"/>
      <c r="AD378" s="545">
        <v>251858</v>
      </c>
      <c r="AE378" s="546">
        <v>210342</v>
      </c>
      <c r="AF378" s="640">
        <f t="shared" si="114"/>
        <v>251858</v>
      </c>
      <c r="AG378" s="640">
        <f t="shared" si="115"/>
        <v>279.84222222222223</v>
      </c>
      <c r="AH378" s="641">
        <f t="shared" si="116"/>
        <v>210342</v>
      </c>
      <c r="AI378" s="641">
        <f t="shared" si="117"/>
        <v>233.71333333333334</v>
      </c>
      <c r="AJ378" s="495"/>
      <c r="AK378" s="496"/>
      <c r="AL378" s="640">
        <f t="shared" si="118"/>
        <v>0</v>
      </c>
      <c r="AM378" s="641">
        <f t="shared" si="119"/>
        <v>0</v>
      </c>
      <c r="AN378" s="495"/>
      <c r="AO378" s="496"/>
      <c r="AP378" s="495"/>
      <c r="AQ378" s="496"/>
      <c r="AR378" s="495"/>
      <c r="AS378" s="496"/>
      <c r="AT378" s="495"/>
      <c r="AU378" s="496"/>
      <c r="AV378" s="640">
        <f t="shared" si="120"/>
        <v>0</v>
      </c>
      <c r="AW378" s="640">
        <f t="shared" si="121"/>
        <v>0</v>
      </c>
      <c r="AX378" s="641">
        <f t="shared" si="122"/>
        <v>0</v>
      </c>
      <c r="AY378" s="641">
        <f t="shared" si="123"/>
        <v>0</v>
      </c>
      <c r="AZ378" s="640">
        <f t="shared" si="124"/>
        <v>279.84222222222223</v>
      </c>
      <c r="BA378" s="641">
        <f t="shared" si="125"/>
        <v>233.71333333333334</v>
      </c>
    </row>
    <row r="379" spans="1:53" s="365" customFormat="1" ht="12.6" customHeight="1">
      <c r="A379" s="409" t="s">
        <v>311</v>
      </c>
      <c r="B379" s="407" t="s">
        <v>356</v>
      </c>
      <c r="C379" s="408"/>
      <c r="D379" s="618">
        <v>261384</v>
      </c>
      <c r="E379" s="520">
        <v>13</v>
      </c>
      <c r="F379" s="495"/>
      <c r="G379" s="496"/>
      <c r="H379" s="495"/>
      <c r="I379" s="496"/>
      <c r="J379" s="495"/>
      <c r="K379" s="496"/>
      <c r="L379" s="495"/>
      <c r="M379" s="496"/>
      <c r="N379" s="495"/>
      <c r="O379" s="496"/>
      <c r="P379" s="640">
        <f t="shared" si="108"/>
        <v>0</v>
      </c>
      <c r="Q379" s="640">
        <f t="shared" si="109"/>
        <v>0</v>
      </c>
      <c r="R379" s="641">
        <f t="shared" si="110"/>
        <v>0</v>
      </c>
      <c r="S379" s="641">
        <f t="shared" si="111"/>
        <v>0</v>
      </c>
      <c r="T379" s="495"/>
      <c r="U379" s="496"/>
      <c r="V379" s="640">
        <f t="shared" si="112"/>
        <v>0</v>
      </c>
      <c r="W379" s="641">
        <f t="shared" si="113"/>
        <v>0</v>
      </c>
      <c r="X379" s="495"/>
      <c r="Y379" s="496"/>
      <c r="Z379" s="495"/>
      <c r="AA379" s="496"/>
      <c r="AB379" s="495"/>
      <c r="AC379" s="496"/>
      <c r="AD379" s="545">
        <v>433976</v>
      </c>
      <c r="AE379" s="546">
        <v>287920</v>
      </c>
      <c r="AF379" s="640">
        <f t="shared" si="114"/>
        <v>433976</v>
      </c>
      <c r="AG379" s="640">
        <f t="shared" si="115"/>
        <v>482.19555555555553</v>
      </c>
      <c r="AH379" s="641">
        <f t="shared" si="116"/>
        <v>287920</v>
      </c>
      <c r="AI379" s="641">
        <f t="shared" si="117"/>
        <v>319.9111111111111</v>
      </c>
      <c r="AJ379" s="495"/>
      <c r="AK379" s="496"/>
      <c r="AL379" s="640">
        <f t="shared" si="118"/>
        <v>0</v>
      </c>
      <c r="AM379" s="641">
        <f t="shared" si="119"/>
        <v>0</v>
      </c>
      <c r="AN379" s="495"/>
      <c r="AO379" s="496"/>
      <c r="AP379" s="495"/>
      <c r="AQ379" s="496"/>
      <c r="AR379" s="495"/>
      <c r="AS379" s="496"/>
      <c r="AT379" s="495"/>
      <c r="AU379" s="496"/>
      <c r="AV379" s="640">
        <f t="shared" si="120"/>
        <v>0</v>
      </c>
      <c r="AW379" s="640">
        <f t="shared" si="121"/>
        <v>0</v>
      </c>
      <c r="AX379" s="641">
        <f t="shared" si="122"/>
        <v>0</v>
      </c>
      <c r="AY379" s="641">
        <f t="shared" si="123"/>
        <v>0</v>
      </c>
      <c r="AZ379" s="640">
        <f t="shared" si="124"/>
        <v>482.19555555555553</v>
      </c>
      <c r="BA379" s="641">
        <f t="shared" si="125"/>
        <v>319.9111111111111</v>
      </c>
    </row>
    <row r="380" spans="1:53" s="365" customFormat="1" ht="12.6" customHeight="1">
      <c r="A380" s="409" t="s">
        <v>311</v>
      </c>
      <c r="B380" s="411" t="s">
        <v>810</v>
      </c>
      <c r="C380" s="408"/>
      <c r="D380" s="633">
        <v>482273</v>
      </c>
      <c r="E380" s="520">
        <v>13</v>
      </c>
      <c r="F380" s="495"/>
      <c r="G380" s="496"/>
      <c r="H380" s="495"/>
      <c r="I380" s="496"/>
      <c r="J380" s="495"/>
      <c r="K380" s="496"/>
      <c r="L380" s="495"/>
      <c r="M380" s="496"/>
      <c r="N380" s="495"/>
      <c r="O380" s="496"/>
      <c r="P380" s="640">
        <f t="shared" si="108"/>
        <v>0</v>
      </c>
      <c r="Q380" s="640">
        <f t="shared" si="109"/>
        <v>0</v>
      </c>
      <c r="R380" s="641">
        <f t="shared" si="110"/>
        <v>0</v>
      </c>
      <c r="S380" s="641">
        <f t="shared" si="111"/>
        <v>0</v>
      </c>
      <c r="T380" s="495"/>
      <c r="U380" s="496"/>
      <c r="V380" s="640">
        <f t="shared" si="112"/>
        <v>0</v>
      </c>
      <c r="W380" s="641">
        <f t="shared" si="113"/>
        <v>0</v>
      </c>
      <c r="X380" s="495"/>
      <c r="Y380" s="496"/>
      <c r="Z380" s="495"/>
      <c r="AA380" s="496"/>
      <c r="AB380" s="495"/>
      <c r="AC380" s="496"/>
      <c r="AD380" s="545">
        <v>126993</v>
      </c>
      <c r="AE380" s="546">
        <v>97281</v>
      </c>
      <c r="AF380" s="640">
        <f t="shared" si="114"/>
        <v>126993</v>
      </c>
      <c r="AG380" s="640">
        <f t="shared" si="115"/>
        <v>141.10333333333332</v>
      </c>
      <c r="AH380" s="641">
        <f t="shared" si="116"/>
        <v>97281</v>
      </c>
      <c r="AI380" s="641">
        <f t="shared" si="117"/>
        <v>108.09</v>
      </c>
      <c r="AJ380" s="495"/>
      <c r="AK380" s="496"/>
      <c r="AL380" s="640">
        <f t="shared" si="118"/>
        <v>0</v>
      </c>
      <c r="AM380" s="641">
        <f t="shared" si="119"/>
        <v>0</v>
      </c>
      <c r="AN380" s="495"/>
      <c r="AO380" s="496"/>
      <c r="AP380" s="495"/>
      <c r="AQ380" s="496"/>
      <c r="AR380" s="495"/>
      <c r="AS380" s="496"/>
      <c r="AT380" s="495"/>
      <c r="AU380" s="496"/>
      <c r="AV380" s="640">
        <f t="shared" si="120"/>
        <v>0</v>
      </c>
      <c r="AW380" s="640">
        <f t="shared" si="121"/>
        <v>0</v>
      </c>
      <c r="AX380" s="641">
        <f t="shared" si="122"/>
        <v>0</v>
      </c>
      <c r="AY380" s="641">
        <f t="shared" si="123"/>
        <v>0</v>
      </c>
      <c r="AZ380" s="640">
        <f t="shared" si="124"/>
        <v>141.10333333333332</v>
      </c>
      <c r="BA380" s="641">
        <f t="shared" si="125"/>
        <v>108.09</v>
      </c>
    </row>
    <row r="381" spans="1:53" s="365" customFormat="1" ht="12.6" customHeight="1">
      <c r="A381" s="409" t="s">
        <v>311</v>
      </c>
      <c r="B381" s="407" t="s">
        <v>357</v>
      </c>
      <c r="C381" s="408"/>
      <c r="D381" s="618">
        <v>418357</v>
      </c>
      <c r="E381" s="520">
        <v>13</v>
      </c>
      <c r="F381" s="547"/>
      <c r="G381" s="496"/>
      <c r="H381" s="495"/>
      <c r="I381" s="496"/>
      <c r="J381" s="495"/>
      <c r="K381" s="496"/>
      <c r="L381" s="495"/>
      <c r="M381" s="496"/>
      <c r="N381" s="495"/>
      <c r="O381" s="496"/>
      <c r="P381" s="640">
        <f t="shared" si="108"/>
        <v>0</v>
      </c>
      <c r="Q381" s="640">
        <f t="shared" si="109"/>
        <v>0</v>
      </c>
      <c r="R381" s="641">
        <f t="shared" si="110"/>
        <v>0</v>
      </c>
      <c r="S381" s="641">
        <f t="shared" si="111"/>
        <v>0</v>
      </c>
      <c r="T381" s="495"/>
      <c r="U381" s="496"/>
      <c r="V381" s="640">
        <f t="shared" si="112"/>
        <v>0</v>
      </c>
      <c r="W381" s="641">
        <f t="shared" si="113"/>
        <v>0</v>
      </c>
      <c r="X381" s="495"/>
      <c r="Y381" s="496"/>
      <c r="Z381" s="495"/>
      <c r="AA381" s="496"/>
      <c r="AB381" s="495"/>
      <c r="AC381" s="496"/>
      <c r="AD381" s="545">
        <v>131116.70000000001</v>
      </c>
      <c r="AE381" s="546">
        <v>67290</v>
      </c>
      <c r="AF381" s="640">
        <f t="shared" si="114"/>
        <v>131116.70000000001</v>
      </c>
      <c r="AG381" s="640">
        <f t="shared" si="115"/>
        <v>145.68522222222222</v>
      </c>
      <c r="AH381" s="641">
        <f t="shared" si="116"/>
        <v>67290</v>
      </c>
      <c r="AI381" s="641">
        <f t="shared" si="117"/>
        <v>74.766666666666666</v>
      </c>
      <c r="AJ381" s="495"/>
      <c r="AK381" s="496"/>
      <c r="AL381" s="640">
        <f t="shared" si="118"/>
        <v>0</v>
      </c>
      <c r="AM381" s="641">
        <f t="shared" si="119"/>
        <v>0</v>
      </c>
      <c r="AN381" s="495"/>
      <c r="AO381" s="496"/>
      <c r="AP381" s="495"/>
      <c r="AQ381" s="496"/>
      <c r="AR381" s="495"/>
      <c r="AS381" s="496"/>
      <c r="AT381" s="495"/>
      <c r="AU381" s="496"/>
      <c r="AV381" s="640">
        <f t="shared" si="120"/>
        <v>0</v>
      </c>
      <c r="AW381" s="640">
        <f t="shared" si="121"/>
        <v>0</v>
      </c>
      <c r="AX381" s="641">
        <f t="shared" si="122"/>
        <v>0</v>
      </c>
      <c r="AY381" s="641">
        <f t="shared" si="123"/>
        <v>0</v>
      </c>
      <c r="AZ381" s="640">
        <f t="shared" si="124"/>
        <v>145.68522222222222</v>
      </c>
      <c r="BA381" s="641">
        <f t="shared" si="125"/>
        <v>74.766666666666666</v>
      </c>
    </row>
    <row r="382" spans="1:53" s="365" customFormat="1" ht="12.6" customHeight="1">
      <c r="A382" s="409" t="s">
        <v>311</v>
      </c>
      <c r="B382" s="407" t="s">
        <v>358</v>
      </c>
      <c r="C382" s="408"/>
      <c r="D382" s="618">
        <v>418302</v>
      </c>
      <c r="E382" s="520">
        <v>13</v>
      </c>
      <c r="F382" s="547"/>
      <c r="G382" s="496"/>
      <c r="H382" s="495"/>
      <c r="I382" s="496"/>
      <c r="J382" s="495"/>
      <c r="K382" s="496"/>
      <c r="L382" s="495"/>
      <c r="M382" s="496"/>
      <c r="N382" s="495"/>
      <c r="O382" s="496"/>
      <c r="P382" s="640">
        <f t="shared" si="108"/>
        <v>0</v>
      </c>
      <c r="Q382" s="640">
        <f t="shared" si="109"/>
        <v>0</v>
      </c>
      <c r="R382" s="641">
        <f t="shared" si="110"/>
        <v>0</v>
      </c>
      <c r="S382" s="641">
        <f t="shared" si="111"/>
        <v>0</v>
      </c>
      <c r="T382" s="495"/>
      <c r="U382" s="496"/>
      <c r="V382" s="640">
        <f t="shared" si="112"/>
        <v>0</v>
      </c>
      <c r="W382" s="641">
        <f t="shared" si="113"/>
        <v>0</v>
      </c>
      <c r="X382" s="495"/>
      <c r="Y382" s="496"/>
      <c r="Z382" s="495"/>
      <c r="AA382" s="496"/>
      <c r="AB382" s="495"/>
      <c r="AC382" s="496"/>
      <c r="AD382" s="545">
        <v>344865.8</v>
      </c>
      <c r="AE382" s="546">
        <v>172100</v>
      </c>
      <c r="AF382" s="640">
        <f t="shared" si="114"/>
        <v>344865.8</v>
      </c>
      <c r="AG382" s="640">
        <f t="shared" si="115"/>
        <v>383.18422222222222</v>
      </c>
      <c r="AH382" s="641">
        <f t="shared" si="116"/>
        <v>172100</v>
      </c>
      <c r="AI382" s="641">
        <f t="shared" si="117"/>
        <v>191.22222222222223</v>
      </c>
      <c r="AJ382" s="495"/>
      <c r="AK382" s="496"/>
      <c r="AL382" s="640">
        <f t="shared" si="118"/>
        <v>0</v>
      </c>
      <c r="AM382" s="641">
        <f t="shared" si="119"/>
        <v>0</v>
      </c>
      <c r="AN382" s="495"/>
      <c r="AO382" s="496"/>
      <c r="AP382" s="495"/>
      <c r="AQ382" s="496"/>
      <c r="AR382" s="495"/>
      <c r="AS382" s="496"/>
      <c r="AT382" s="495"/>
      <c r="AU382" s="496"/>
      <c r="AV382" s="640">
        <f t="shared" si="120"/>
        <v>0</v>
      </c>
      <c r="AW382" s="640">
        <f t="shared" si="121"/>
        <v>0</v>
      </c>
      <c r="AX382" s="641">
        <f t="shared" si="122"/>
        <v>0</v>
      </c>
      <c r="AY382" s="641">
        <f t="shared" si="123"/>
        <v>0</v>
      </c>
      <c r="AZ382" s="640">
        <f t="shared" si="124"/>
        <v>383.18422222222222</v>
      </c>
      <c r="BA382" s="641">
        <f t="shared" si="125"/>
        <v>191.22222222222223</v>
      </c>
    </row>
    <row r="383" spans="1:53" s="365" customFormat="1" ht="12.6" customHeight="1">
      <c r="A383" s="423" t="s">
        <v>489</v>
      </c>
      <c r="B383" s="424" t="s">
        <v>490</v>
      </c>
      <c r="C383" s="425"/>
      <c r="D383" s="626">
        <v>217882</v>
      </c>
      <c r="E383" s="524">
        <v>1</v>
      </c>
      <c r="F383" s="495"/>
      <c r="G383" s="496"/>
      <c r="H383" s="528"/>
      <c r="I383" s="496"/>
      <c r="J383" s="528">
        <v>278087</v>
      </c>
      <c r="K383" s="496">
        <v>289745</v>
      </c>
      <c r="L383" s="528">
        <v>37821</v>
      </c>
      <c r="M383" s="496">
        <v>38247</v>
      </c>
      <c r="N383" s="528">
        <v>313062</v>
      </c>
      <c r="O383" s="496">
        <v>323315</v>
      </c>
      <c r="P383" s="640">
        <f t="shared" si="108"/>
        <v>628970</v>
      </c>
      <c r="Q383" s="640">
        <f t="shared" si="109"/>
        <v>20965.666666666668</v>
      </c>
      <c r="R383" s="641">
        <f t="shared" si="110"/>
        <v>651307</v>
      </c>
      <c r="S383" s="641">
        <f t="shared" si="111"/>
        <v>21710.233333333334</v>
      </c>
      <c r="T383" s="528">
        <v>193</v>
      </c>
      <c r="U383" s="496">
        <v>201</v>
      </c>
      <c r="V383" s="640">
        <f t="shared" si="112"/>
        <v>628970</v>
      </c>
      <c r="W383" s="641">
        <f t="shared" si="113"/>
        <v>651307</v>
      </c>
      <c r="X383" s="528"/>
      <c r="Y383" s="496"/>
      <c r="Z383" s="528"/>
      <c r="AA383" s="496"/>
      <c r="AB383" s="528"/>
      <c r="AC383" s="496"/>
      <c r="AD383" s="528"/>
      <c r="AE383" s="496"/>
      <c r="AF383" s="640">
        <f t="shared" si="114"/>
        <v>0</v>
      </c>
      <c r="AG383" s="640">
        <f t="shared" si="115"/>
        <v>0</v>
      </c>
      <c r="AH383" s="641">
        <f t="shared" si="116"/>
        <v>0</v>
      </c>
      <c r="AI383" s="641">
        <f t="shared" si="117"/>
        <v>0</v>
      </c>
      <c r="AJ383" s="528"/>
      <c r="AK383" s="496"/>
      <c r="AL383" s="640">
        <f t="shared" si="118"/>
        <v>0</v>
      </c>
      <c r="AM383" s="641">
        <f t="shared" si="119"/>
        <v>0</v>
      </c>
      <c r="AN383" s="528"/>
      <c r="AO383" s="496"/>
      <c r="AP383" s="528">
        <v>41544</v>
      </c>
      <c r="AQ383" s="496">
        <v>40322</v>
      </c>
      <c r="AR383" s="528">
        <v>18335</v>
      </c>
      <c r="AS383" s="496">
        <v>17942</v>
      </c>
      <c r="AT383" s="528">
        <v>43439</v>
      </c>
      <c r="AU383" s="496">
        <v>44426</v>
      </c>
      <c r="AV383" s="640">
        <f t="shared" si="120"/>
        <v>103318</v>
      </c>
      <c r="AW383" s="640">
        <f t="shared" si="121"/>
        <v>4304.916666666667</v>
      </c>
      <c r="AX383" s="641">
        <f t="shared" si="122"/>
        <v>102690</v>
      </c>
      <c r="AY383" s="641">
        <f t="shared" si="123"/>
        <v>4278.75</v>
      </c>
      <c r="AZ383" s="640">
        <f t="shared" si="124"/>
        <v>25270.583333333336</v>
      </c>
      <c r="BA383" s="641">
        <f t="shared" si="125"/>
        <v>25988.983333333334</v>
      </c>
    </row>
    <row r="384" spans="1:53" s="365" customFormat="1" ht="12.6" customHeight="1">
      <c r="A384" s="423" t="s">
        <v>489</v>
      </c>
      <c r="B384" s="424" t="s">
        <v>491</v>
      </c>
      <c r="C384" s="425"/>
      <c r="D384" s="626">
        <v>218663</v>
      </c>
      <c r="E384" s="524">
        <v>1</v>
      </c>
      <c r="F384" s="495"/>
      <c r="G384" s="496"/>
      <c r="H384" s="528"/>
      <c r="I384" s="496"/>
      <c r="J384" s="528">
        <v>380399</v>
      </c>
      <c r="K384" s="496">
        <v>374567</v>
      </c>
      <c r="L384" s="528">
        <v>49747</v>
      </c>
      <c r="M384" s="496">
        <v>46185</v>
      </c>
      <c r="N384" s="528">
        <v>407477</v>
      </c>
      <c r="O384" s="496">
        <v>397546</v>
      </c>
      <c r="P384" s="640">
        <f t="shared" si="108"/>
        <v>837623</v>
      </c>
      <c r="Q384" s="640">
        <f t="shared" si="109"/>
        <v>27920.766666666666</v>
      </c>
      <c r="R384" s="641">
        <f t="shared" si="110"/>
        <v>818298</v>
      </c>
      <c r="S384" s="641">
        <f t="shared" si="111"/>
        <v>27276.6</v>
      </c>
      <c r="T384" s="528">
        <v>31</v>
      </c>
      <c r="U384" s="496">
        <v>34</v>
      </c>
      <c r="V384" s="640">
        <f t="shared" si="112"/>
        <v>837623</v>
      </c>
      <c r="W384" s="641">
        <f t="shared" si="113"/>
        <v>818298</v>
      </c>
      <c r="X384" s="528"/>
      <c r="Y384" s="496"/>
      <c r="Z384" s="528"/>
      <c r="AA384" s="496"/>
      <c r="AB384" s="528"/>
      <c r="AC384" s="496"/>
      <c r="AD384" s="528"/>
      <c r="AE384" s="496"/>
      <c r="AF384" s="640">
        <f t="shared" si="114"/>
        <v>0</v>
      </c>
      <c r="AG384" s="640">
        <f t="shared" si="115"/>
        <v>0</v>
      </c>
      <c r="AH384" s="641">
        <f t="shared" si="116"/>
        <v>0</v>
      </c>
      <c r="AI384" s="641">
        <f t="shared" si="117"/>
        <v>0</v>
      </c>
      <c r="AJ384" s="528"/>
      <c r="AK384" s="496"/>
      <c r="AL384" s="640">
        <f t="shared" si="118"/>
        <v>0</v>
      </c>
      <c r="AM384" s="641">
        <f t="shared" si="119"/>
        <v>0</v>
      </c>
      <c r="AN384" s="528"/>
      <c r="AO384" s="496"/>
      <c r="AP384" s="528">
        <v>73935</v>
      </c>
      <c r="AQ384" s="496">
        <v>77524</v>
      </c>
      <c r="AR384" s="528">
        <v>24450</v>
      </c>
      <c r="AS384" s="496">
        <v>26610</v>
      </c>
      <c r="AT384" s="528">
        <v>80396</v>
      </c>
      <c r="AU384" s="496">
        <v>83401</v>
      </c>
      <c r="AV384" s="640">
        <f t="shared" si="120"/>
        <v>178781</v>
      </c>
      <c r="AW384" s="640">
        <f t="shared" si="121"/>
        <v>7449.208333333333</v>
      </c>
      <c r="AX384" s="641">
        <f t="shared" si="122"/>
        <v>187535</v>
      </c>
      <c r="AY384" s="641">
        <f t="shared" si="123"/>
        <v>7813.958333333333</v>
      </c>
      <c r="AZ384" s="640">
        <f t="shared" si="124"/>
        <v>35369.974999999999</v>
      </c>
      <c r="BA384" s="641">
        <f t="shared" si="125"/>
        <v>35090.558333333334</v>
      </c>
    </row>
    <row r="385" spans="1:53" s="365" customFormat="1" ht="12.6" customHeight="1">
      <c r="A385" s="423" t="s">
        <v>489</v>
      </c>
      <c r="B385" s="424" t="s">
        <v>492</v>
      </c>
      <c r="C385" s="425"/>
      <c r="D385" s="626">
        <v>217819</v>
      </c>
      <c r="E385" s="524">
        <v>3</v>
      </c>
      <c r="F385" s="495"/>
      <c r="G385" s="496"/>
      <c r="H385" s="528"/>
      <c r="I385" s="496"/>
      <c r="J385" s="528">
        <v>130713</v>
      </c>
      <c r="K385" s="496">
        <v>126725</v>
      </c>
      <c r="L385" s="528">
        <v>15498</v>
      </c>
      <c r="M385" s="496">
        <v>14510</v>
      </c>
      <c r="N385" s="528">
        <v>133970</v>
      </c>
      <c r="O385" s="496">
        <v>142627</v>
      </c>
      <c r="P385" s="640">
        <f t="shared" si="108"/>
        <v>280181</v>
      </c>
      <c r="Q385" s="640">
        <f t="shared" si="109"/>
        <v>9339.3666666666668</v>
      </c>
      <c r="R385" s="641">
        <f t="shared" si="110"/>
        <v>283862</v>
      </c>
      <c r="S385" s="641">
        <f t="shared" si="111"/>
        <v>9462.0666666666675</v>
      </c>
      <c r="T385" s="528">
        <v>777</v>
      </c>
      <c r="U385" s="496">
        <v>520</v>
      </c>
      <c r="V385" s="640">
        <f t="shared" si="112"/>
        <v>280181</v>
      </c>
      <c r="W385" s="641">
        <f t="shared" si="113"/>
        <v>283862</v>
      </c>
      <c r="X385" s="528"/>
      <c r="Y385" s="496"/>
      <c r="Z385" s="528"/>
      <c r="AA385" s="496"/>
      <c r="AB385" s="528"/>
      <c r="AC385" s="496"/>
      <c r="AD385" s="528"/>
      <c r="AE385" s="496"/>
      <c r="AF385" s="640">
        <f t="shared" si="114"/>
        <v>0</v>
      </c>
      <c r="AG385" s="640">
        <f t="shared" si="115"/>
        <v>0</v>
      </c>
      <c r="AH385" s="641">
        <f t="shared" si="116"/>
        <v>0</v>
      </c>
      <c r="AI385" s="641">
        <f t="shared" si="117"/>
        <v>0</v>
      </c>
      <c r="AJ385" s="528"/>
      <c r="AK385" s="496"/>
      <c r="AL385" s="640">
        <f t="shared" si="118"/>
        <v>0</v>
      </c>
      <c r="AM385" s="641">
        <f t="shared" si="119"/>
        <v>0</v>
      </c>
      <c r="AN385" s="528"/>
      <c r="AO385" s="496"/>
      <c r="AP385" s="528">
        <v>6457</v>
      </c>
      <c r="AQ385" s="496">
        <v>6078</v>
      </c>
      <c r="AR385" s="528">
        <v>4291</v>
      </c>
      <c r="AS385" s="496">
        <v>4040</v>
      </c>
      <c r="AT385" s="528">
        <v>5644</v>
      </c>
      <c r="AU385" s="496">
        <v>5734</v>
      </c>
      <c r="AV385" s="640">
        <f t="shared" si="120"/>
        <v>16392</v>
      </c>
      <c r="AW385" s="640">
        <f t="shared" si="121"/>
        <v>683</v>
      </c>
      <c r="AX385" s="641">
        <f t="shared" si="122"/>
        <v>15852</v>
      </c>
      <c r="AY385" s="641">
        <f t="shared" si="123"/>
        <v>660.5</v>
      </c>
      <c r="AZ385" s="640">
        <f t="shared" si="124"/>
        <v>10022.366666666667</v>
      </c>
      <c r="BA385" s="641">
        <f t="shared" si="125"/>
        <v>10122.566666666668</v>
      </c>
    </row>
    <row r="386" spans="1:53" s="365" customFormat="1" ht="12.6" customHeight="1">
      <c r="A386" s="423" t="s">
        <v>489</v>
      </c>
      <c r="B386" s="424" t="s">
        <v>493</v>
      </c>
      <c r="C386" s="427"/>
      <c r="D386" s="626">
        <v>217864</v>
      </c>
      <c r="E386" s="524">
        <v>3</v>
      </c>
      <c r="F386" s="495"/>
      <c r="G386" s="496"/>
      <c r="H386" s="528"/>
      <c r="I386" s="496"/>
      <c r="J386" s="528">
        <v>46280</v>
      </c>
      <c r="K386" s="496">
        <v>44715</v>
      </c>
      <c r="L386" s="528">
        <v>5770</v>
      </c>
      <c r="M386" s="496">
        <v>5693</v>
      </c>
      <c r="N386" s="528">
        <v>46368</v>
      </c>
      <c r="O386" s="496">
        <v>44702</v>
      </c>
      <c r="P386" s="640">
        <f t="shared" si="108"/>
        <v>98418</v>
      </c>
      <c r="Q386" s="640">
        <f t="shared" si="109"/>
        <v>3280.6</v>
      </c>
      <c r="R386" s="641">
        <f t="shared" si="110"/>
        <v>95110</v>
      </c>
      <c r="S386" s="641">
        <f t="shared" si="111"/>
        <v>3170.3333333333335</v>
      </c>
      <c r="T386" s="528">
        <v>3</v>
      </c>
      <c r="U386" s="496">
        <v>9</v>
      </c>
      <c r="V386" s="640">
        <f t="shared" si="112"/>
        <v>98418</v>
      </c>
      <c r="W386" s="641">
        <f t="shared" si="113"/>
        <v>95110</v>
      </c>
      <c r="X386" s="528"/>
      <c r="Y386" s="496"/>
      <c r="Z386" s="528"/>
      <c r="AA386" s="496"/>
      <c r="AB386" s="528"/>
      <c r="AC386" s="496"/>
      <c r="AD386" s="528"/>
      <c r="AE386" s="496"/>
      <c r="AF386" s="640">
        <f t="shared" si="114"/>
        <v>0</v>
      </c>
      <c r="AG386" s="640">
        <f t="shared" si="115"/>
        <v>0</v>
      </c>
      <c r="AH386" s="641">
        <f t="shared" si="116"/>
        <v>0</v>
      </c>
      <c r="AI386" s="641">
        <f t="shared" si="117"/>
        <v>0</v>
      </c>
      <c r="AJ386" s="528"/>
      <c r="AK386" s="496"/>
      <c r="AL386" s="640">
        <f t="shared" si="118"/>
        <v>0</v>
      </c>
      <c r="AM386" s="641">
        <f t="shared" si="119"/>
        <v>0</v>
      </c>
      <c r="AN386" s="528"/>
      <c r="AO386" s="496"/>
      <c r="AP386" s="528">
        <v>5035</v>
      </c>
      <c r="AQ386" s="496">
        <v>6142</v>
      </c>
      <c r="AR386" s="528">
        <v>4062</v>
      </c>
      <c r="AS386" s="496">
        <v>4951</v>
      </c>
      <c r="AT386" s="528">
        <v>5574</v>
      </c>
      <c r="AU386" s="496">
        <v>5895</v>
      </c>
      <c r="AV386" s="640">
        <f t="shared" si="120"/>
        <v>14671</v>
      </c>
      <c r="AW386" s="640">
        <f t="shared" si="121"/>
        <v>611.29166666666663</v>
      </c>
      <c r="AX386" s="641">
        <f t="shared" si="122"/>
        <v>16988</v>
      </c>
      <c r="AY386" s="641">
        <f t="shared" si="123"/>
        <v>707.83333333333337</v>
      </c>
      <c r="AZ386" s="640">
        <f t="shared" si="124"/>
        <v>3891.8916666666664</v>
      </c>
      <c r="BA386" s="641">
        <f t="shared" si="125"/>
        <v>3878.166666666667</v>
      </c>
    </row>
    <row r="387" spans="1:53" s="365" customFormat="1" ht="12.6" customHeight="1">
      <c r="A387" s="423" t="s">
        <v>489</v>
      </c>
      <c r="B387" s="424" t="s">
        <v>494</v>
      </c>
      <c r="C387" s="425"/>
      <c r="D387" s="626">
        <v>218964</v>
      </c>
      <c r="E387" s="524">
        <v>3</v>
      </c>
      <c r="F387" s="495"/>
      <c r="G387" s="496"/>
      <c r="H387" s="528"/>
      <c r="I387" s="496"/>
      <c r="J387" s="528">
        <v>62726.5</v>
      </c>
      <c r="K387" s="496">
        <v>57958</v>
      </c>
      <c r="L387" s="528">
        <v>5725.5</v>
      </c>
      <c r="M387" s="496">
        <v>5633</v>
      </c>
      <c r="N387" s="528">
        <v>63850.5</v>
      </c>
      <c r="O387" s="496">
        <v>56476</v>
      </c>
      <c r="P387" s="640">
        <f t="shared" si="108"/>
        <v>132302.5</v>
      </c>
      <c r="Q387" s="640">
        <f t="shared" si="109"/>
        <v>4410.083333333333</v>
      </c>
      <c r="R387" s="641">
        <f t="shared" si="110"/>
        <v>120067</v>
      </c>
      <c r="S387" s="641">
        <f t="shared" si="111"/>
        <v>4002.2333333333331</v>
      </c>
      <c r="T387" s="528">
        <v>1110</v>
      </c>
      <c r="U387" s="496">
        <v>1065</v>
      </c>
      <c r="V387" s="640">
        <f t="shared" si="112"/>
        <v>132302.5</v>
      </c>
      <c r="W387" s="641">
        <f t="shared" si="113"/>
        <v>120067</v>
      </c>
      <c r="X387" s="528"/>
      <c r="Y387" s="496"/>
      <c r="Z387" s="528"/>
      <c r="AA387" s="496"/>
      <c r="AB387" s="528"/>
      <c r="AC387" s="496"/>
      <c r="AD387" s="528"/>
      <c r="AE387" s="496"/>
      <c r="AF387" s="640">
        <f t="shared" si="114"/>
        <v>0</v>
      </c>
      <c r="AG387" s="640">
        <f t="shared" si="115"/>
        <v>0</v>
      </c>
      <c r="AH387" s="641">
        <f t="shared" si="116"/>
        <v>0</v>
      </c>
      <c r="AI387" s="641">
        <f t="shared" si="117"/>
        <v>0</v>
      </c>
      <c r="AJ387" s="528"/>
      <c r="AK387" s="496"/>
      <c r="AL387" s="640">
        <f t="shared" si="118"/>
        <v>0</v>
      </c>
      <c r="AM387" s="641">
        <f t="shared" si="119"/>
        <v>0</v>
      </c>
      <c r="AN387" s="528"/>
      <c r="AO387" s="496"/>
      <c r="AP387" s="528">
        <v>6734</v>
      </c>
      <c r="AQ387" s="496">
        <v>7880</v>
      </c>
      <c r="AR387" s="528">
        <v>4773</v>
      </c>
      <c r="AS387" s="496">
        <v>5110</v>
      </c>
      <c r="AT387" s="528">
        <v>7860</v>
      </c>
      <c r="AU387" s="496">
        <v>7798</v>
      </c>
      <c r="AV387" s="640">
        <f t="shared" si="120"/>
        <v>19367</v>
      </c>
      <c r="AW387" s="640">
        <f t="shared" si="121"/>
        <v>806.95833333333337</v>
      </c>
      <c r="AX387" s="641">
        <f t="shared" si="122"/>
        <v>20788</v>
      </c>
      <c r="AY387" s="641">
        <f t="shared" si="123"/>
        <v>866.16666666666663</v>
      </c>
      <c r="AZ387" s="640">
        <f t="shared" si="124"/>
        <v>5217.0416666666661</v>
      </c>
      <c r="BA387" s="641">
        <f t="shared" si="125"/>
        <v>4868.3999999999996</v>
      </c>
    </row>
    <row r="388" spans="1:53" s="365" customFormat="1" ht="12.6" customHeight="1">
      <c r="A388" s="423" t="s">
        <v>489</v>
      </c>
      <c r="B388" s="424" t="s">
        <v>495</v>
      </c>
      <c r="C388" s="444"/>
      <c r="D388" s="626">
        <v>218724</v>
      </c>
      <c r="E388" s="524">
        <v>4</v>
      </c>
      <c r="F388" s="495"/>
      <c r="G388" s="496"/>
      <c r="H388" s="528"/>
      <c r="I388" s="496"/>
      <c r="J388" s="528">
        <v>128539</v>
      </c>
      <c r="K388" s="496">
        <v>124068</v>
      </c>
      <c r="L388" s="528">
        <v>17440</v>
      </c>
      <c r="M388" s="496">
        <v>15819</v>
      </c>
      <c r="N388" s="528">
        <v>137780</v>
      </c>
      <c r="O388" s="496">
        <v>143105</v>
      </c>
      <c r="P388" s="640">
        <f t="shared" si="108"/>
        <v>283759</v>
      </c>
      <c r="Q388" s="640">
        <f t="shared" si="109"/>
        <v>9458.6333333333332</v>
      </c>
      <c r="R388" s="641">
        <f t="shared" si="110"/>
        <v>282992</v>
      </c>
      <c r="S388" s="641">
        <f t="shared" si="111"/>
        <v>9433.0666666666675</v>
      </c>
      <c r="T388" s="528">
        <v>2560</v>
      </c>
      <c r="U388" s="496">
        <v>2472</v>
      </c>
      <c r="V388" s="640">
        <f t="shared" si="112"/>
        <v>283759</v>
      </c>
      <c r="W388" s="641">
        <f t="shared" si="113"/>
        <v>282992</v>
      </c>
      <c r="X388" s="528"/>
      <c r="Y388" s="496"/>
      <c r="Z388" s="528"/>
      <c r="AA388" s="496"/>
      <c r="AB388" s="528"/>
      <c r="AC388" s="496"/>
      <c r="AD388" s="528"/>
      <c r="AE388" s="496"/>
      <c r="AF388" s="640">
        <f t="shared" si="114"/>
        <v>0</v>
      </c>
      <c r="AG388" s="640">
        <f t="shared" si="115"/>
        <v>0</v>
      </c>
      <c r="AH388" s="641">
        <f t="shared" si="116"/>
        <v>0</v>
      </c>
      <c r="AI388" s="641">
        <f t="shared" si="117"/>
        <v>0</v>
      </c>
      <c r="AJ388" s="528"/>
      <c r="AK388" s="496"/>
      <c r="AL388" s="640">
        <f t="shared" si="118"/>
        <v>0</v>
      </c>
      <c r="AM388" s="641">
        <f t="shared" si="119"/>
        <v>0</v>
      </c>
      <c r="AN388" s="528"/>
      <c r="AO388" s="496"/>
      <c r="AP388" s="528">
        <v>4166</v>
      </c>
      <c r="AQ388" s="496">
        <v>4352</v>
      </c>
      <c r="AR388" s="528">
        <v>4125</v>
      </c>
      <c r="AS388" s="496">
        <v>3715</v>
      </c>
      <c r="AT388" s="528">
        <v>4100</v>
      </c>
      <c r="AU388" s="496">
        <v>4254</v>
      </c>
      <c r="AV388" s="640">
        <f t="shared" si="120"/>
        <v>12391</v>
      </c>
      <c r="AW388" s="640">
        <f t="shared" si="121"/>
        <v>516.29166666666663</v>
      </c>
      <c r="AX388" s="641">
        <f t="shared" si="122"/>
        <v>12321</v>
      </c>
      <c r="AY388" s="641">
        <f t="shared" si="123"/>
        <v>513.375</v>
      </c>
      <c r="AZ388" s="640">
        <f t="shared" si="124"/>
        <v>9974.9249999999993</v>
      </c>
      <c r="BA388" s="641">
        <f t="shared" si="125"/>
        <v>9946.4416666666675</v>
      </c>
    </row>
    <row r="389" spans="1:53" s="365" customFormat="1" ht="12.6" customHeight="1">
      <c r="A389" s="423" t="s">
        <v>489</v>
      </c>
      <c r="B389" s="424" t="s">
        <v>496</v>
      </c>
      <c r="C389" s="445"/>
      <c r="D389" s="626">
        <v>218061</v>
      </c>
      <c r="E389" s="524">
        <v>5</v>
      </c>
      <c r="F389" s="495"/>
      <c r="G389" s="496"/>
      <c r="H389" s="528"/>
      <c r="I389" s="496"/>
      <c r="J389" s="528">
        <v>42314</v>
      </c>
      <c r="K389" s="496">
        <v>39846</v>
      </c>
      <c r="L389" s="528">
        <v>3092</v>
      </c>
      <c r="M389" s="496">
        <v>2838</v>
      </c>
      <c r="N389" s="528">
        <v>46182</v>
      </c>
      <c r="O389" s="496">
        <v>44201</v>
      </c>
      <c r="P389" s="640">
        <f t="shared" si="108"/>
        <v>91588</v>
      </c>
      <c r="Q389" s="640">
        <f t="shared" si="109"/>
        <v>3052.9333333333334</v>
      </c>
      <c r="R389" s="641">
        <f t="shared" si="110"/>
        <v>86885</v>
      </c>
      <c r="S389" s="641">
        <f t="shared" si="111"/>
        <v>2896.1666666666665</v>
      </c>
      <c r="T389" s="528">
        <v>4814</v>
      </c>
      <c r="U389" s="496">
        <v>4965</v>
      </c>
      <c r="V389" s="640">
        <f t="shared" si="112"/>
        <v>91588</v>
      </c>
      <c r="W389" s="641">
        <f t="shared" si="113"/>
        <v>86885</v>
      </c>
      <c r="X389" s="528"/>
      <c r="Y389" s="496"/>
      <c r="Z389" s="528"/>
      <c r="AA389" s="496"/>
      <c r="AB389" s="528"/>
      <c r="AC389" s="496"/>
      <c r="AD389" s="528"/>
      <c r="AE389" s="496"/>
      <c r="AF389" s="640">
        <f t="shared" si="114"/>
        <v>0</v>
      </c>
      <c r="AG389" s="640">
        <f t="shared" si="115"/>
        <v>0</v>
      </c>
      <c r="AH389" s="641">
        <f t="shared" si="116"/>
        <v>0</v>
      </c>
      <c r="AI389" s="641">
        <f t="shared" si="117"/>
        <v>0</v>
      </c>
      <c r="AJ389" s="528"/>
      <c r="AK389" s="496"/>
      <c r="AL389" s="640">
        <f t="shared" si="118"/>
        <v>0</v>
      </c>
      <c r="AM389" s="641">
        <f t="shared" si="119"/>
        <v>0</v>
      </c>
      <c r="AN389" s="528"/>
      <c r="AO389" s="496"/>
      <c r="AP389" s="528">
        <v>3164</v>
      </c>
      <c r="AQ389" s="496">
        <v>3027</v>
      </c>
      <c r="AR389" s="528">
        <v>3259</v>
      </c>
      <c r="AS389" s="496">
        <v>2869</v>
      </c>
      <c r="AT389" s="528">
        <v>4420</v>
      </c>
      <c r="AU389" s="496">
        <v>3119</v>
      </c>
      <c r="AV389" s="640">
        <f t="shared" si="120"/>
        <v>10843</v>
      </c>
      <c r="AW389" s="640">
        <f t="shared" si="121"/>
        <v>451.79166666666669</v>
      </c>
      <c r="AX389" s="641">
        <f t="shared" si="122"/>
        <v>9015</v>
      </c>
      <c r="AY389" s="641">
        <f t="shared" si="123"/>
        <v>375.625</v>
      </c>
      <c r="AZ389" s="640">
        <f t="shared" si="124"/>
        <v>3504.7249999999999</v>
      </c>
      <c r="BA389" s="641">
        <f t="shared" si="125"/>
        <v>3271.7916666666665</v>
      </c>
    </row>
    <row r="390" spans="1:53" s="365" customFormat="1" ht="12.6" customHeight="1">
      <c r="A390" s="423" t="s">
        <v>489</v>
      </c>
      <c r="B390" s="424" t="s">
        <v>497</v>
      </c>
      <c r="C390" s="445"/>
      <c r="D390" s="626">
        <v>218733</v>
      </c>
      <c r="E390" s="524">
        <v>5</v>
      </c>
      <c r="F390" s="495"/>
      <c r="G390" s="496"/>
      <c r="H390" s="528"/>
      <c r="I390" s="496"/>
      <c r="J390" s="528">
        <v>28262</v>
      </c>
      <c r="K390" s="496">
        <v>23585</v>
      </c>
      <c r="L390" s="528">
        <v>2270</v>
      </c>
      <c r="M390" s="496">
        <v>2338</v>
      </c>
      <c r="N390" s="528">
        <v>28376</v>
      </c>
      <c r="O390" s="496">
        <v>29280</v>
      </c>
      <c r="P390" s="640">
        <f t="shared" si="108"/>
        <v>58908</v>
      </c>
      <c r="Q390" s="640">
        <f t="shared" si="109"/>
        <v>1963.6</v>
      </c>
      <c r="R390" s="641">
        <f t="shared" si="110"/>
        <v>55203</v>
      </c>
      <c r="S390" s="641">
        <f t="shared" si="111"/>
        <v>1840.1</v>
      </c>
      <c r="T390" s="528">
        <v>138</v>
      </c>
      <c r="U390" s="496">
        <v>144</v>
      </c>
      <c r="V390" s="640">
        <f t="shared" si="112"/>
        <v>58908</v>
      </c>
      <c r="W390" s="641">
        <f t="shared" si="113"/>
        <v>55203</v>
      </c>
      <c r="X390" s="528"/>
      <c r="Y390" s="496"/>
      <c r="Z390" s="528"/>
      <c r="AA390" s="496"/>
      <c r="AB390" s="528"/>
      <c r="AC390" s="496"/>
      <c r="AD390" s="528"/>
      <c r="AE390" s="496"/>
      <c r="AF390" s="640">
        <f t="shared" si="114"/>
        <v>0</v>
      </c>
      <c r="AG390" s="640">
        <f t="shared" si="115"/>
        <v>0</v>
      </c>
      <c r="AH390" s="641">
        <f t="shared" si="116"/>
        <v>0</v>
      </c>
      <c r="AI390" s="641">
        <f t="shared" si="117"/>
        <v>0</v>
      </c>
      <c r="AJ390" s="528"/>
      <c r="AK390" s="496"/>
      <c r="AL390" s="640">
        <f t="shared" si="118"/>
        <v>0</v>
      </c>
      <c r="AM390" s="641">
        <f t="shared" si="119"/>
        <v>0</v>
      </c>
      <c r="AN390" s="528"/>
      <c r="AO390" s="496"/>
      <c r="AP390" s="528">
        <v>2158</v>
      </c>
      <c r="AQ390" s="496">
        <v>2247</v>
      </c>
      <c r="AR390" s="528">
        <v>956</v>
      </c>
      <c r="AS390" s="496">
        <v>1201</v>
      </c>
      <c r="AT390" s="528">
        <v>2447</v>
      </c>
      <c r="AU390" s="496">
        <v>2375</v>
      </c>
      <c r="AV390" s="640">
        <f t="shared" si="120"/>
        <v>5561</v>
      </c>
      <c r="AW390" s="640">
        <f t="shared" si="121"/>
        <v>231.70833333333334</v>
      </c>
      <c r="AX390" s="641">
        <f t="shared" si="122"/>
        <v>5823</v>
      </c>
      <c r="AY390" s="641">
        <f t="shared" si="123"/>
        <v>242.625</v>
      </c>
      <c r="AZ390" s="640">
        <f t="shared" si="124"/>
        <v>2195.3083333333334</v>
      </c>
      <c r="BA390" s="641">
        <f t="shared" si="125"/>
        <v>2082.7249999999999</v>
      </c>
    </row>
    <row r="391" spans="1:53" s="365" customFormat="1" ht="12.6" customHeight="1">
      <c r="A391" s="423" t="s">
        <v>489</v>
      </c>
      <c r="B391" s="424" t="s">
        <v>498</v>
      </c>
      <c r="C391" s="593" t="s">
        <v>891</v>
      </c>
      <c r="D391" s="626">
        <v>218229</v>
      </c>
      <c r="E391" s="524">
        <v>6</v>
      </c>
      <c r="F391" s="495"/>
      <c r="G391" s="496"/>
      <c r="H391" s="528"/>
      <c r="I391" s="496"/>
      <c r="J391" s="528">
        <v>41599.5</v>
      </c>
      <c r="K391" s="496">
        <v>43699.5</v>
      </c>
      <c r="L391" s="528">
        <v>3449.5</v>
      </c>
      <c r="M391" s="496">
        <v>4476</v>
      </c>
      <c r="N391" s="528">
        <v>49907</v>
      </c>
      <c r="O391" s="496">
        <v>51620</v>
      </c>
      <c r="P391" s="640">
        <f t="shared" si="108"/>
        <v>94956</v>
      </c>
      <c r="Q391" s="640">
        <f t="shared" si="109"/>
        <v>3165.2</v>
      </c>
      <c r="R391" s="641">
        <f t="shared" si="110"/>
        <v>99795.5</v>
      </c>
      <c r="S391" s="641">
        <f t="shared" si="111"/>
        <v>3326.5166666666669</v>
      </c>
      <c r="T391" s="528">
        <v>663</v>
      </c>
      <c r="U391" s="496">
        <v>1068</v>
      </c>
      <c r="V391" s="640">
        <f t="shared" si="112"/>
        <v>94956</v>
      </c>
      <c r="W391" s="641">
        <f t="shared" si="113"/>
        <v>99795.5</v>
      </c>
      <c r="X391" s="528"/>
      <c r="Y391" s="496"/>
      <c r="Z391" s="528"/>
      <c r="AA391" s="496"/>
      <c r="AB391" s="528"/>
      <c r="AC391" s="496"/>
      <c r="AD391" s="528"/>
      <c r="AE391" s="496"/>
      <c r="AF391" s="640">
        <f t="shared" si="114"/>
        <v>0</v>
      </c>
      <c r="AG391" s="640">
        <f t="shared" si="115"/>
        <v>0</v>
      </c>
      <c r="AH391" s="641">
        <f t="shared" si="116"/>
        <v>0</v>
      </c>
      <c r="AI391" s="641">
        <f t="shared" si="117"/>
        <v>0</v>
      </c>
      <c r="AJ391" s="528"/>
      <c r="AK391" s="496"/>
      <c r="AL391" s="640">
        <f t="shared" si="118"/>
        <v>0</v>
      </c>
      <c r="AM391" s="641">
        <f t="shared" si="119"/>
        <v>0</v>
      </c>
      <c r="AN391" s="528"/>
      <c r="AO391" s="496"/>
      <c r="AP391" s="528">
        <v>608</v>
      </c>
      <c r="AQ391" s="496">
        <v>890</v>
      </c>
      <c r="AR391" s="528">
        <v>665</v>
      </c>
      <c r="AS391" s="496">
        <v>916</v>
      </c>
      <c r="AT391" s="528">
        <v>886</v>
      </c>
      <c r="AU391" s="496">
        <v>1541</v>
      </c>
      <c r="AV391" s="640">
        <f t="shared" si="120"/>
        <v>2159</v>
      </c>
      <c r="AW391" s="640">
        <f t="shared" si="121"/>
        <v>89.958333333333329</v>
      </c>
      <c r="AX391" s="641">
        <f t="shared" si="122"/>
        <v>3347</v>
      </c>
      <c r="AY391" s="641">
        <f t="shared" si="123"/>
        <v>139.45833333333334</v>
      </c>
      <c r="AZ391" s="640">
        <f t="shared" si="124"/>
        <v>3255.1583333333333</v>
      </c>
      <c r="BA391" s="641">
        <f t="shared" si="125"/>
        <v>3465.9750000000004</v>
      </c>
    </row>
    <row r="392" spans="1:53" s="365" customFormat="1" ht="12.6" customHeight="1">
      <c r="A392" s="423" t="s">
        <v>489</v>
      </c>
      <c r="B392" s="579" t="s">
        <v>499</v>
      </c>
      <c r="C392" s="577" t="s">
        <v>892</v>
      </c>
      <c r="D392" s="634">
        <v>218645</v>
      </c>
      <c r="E392" s="578">
        <v>5</v>
      </c>
      <c r="F392" s="495"/>
      <c r="G392" s="496"/>
      <c r="H392" s="528"/>
      <c r="I392" s="496"/>
      <c r="J392" s="528">
        <v>37525</v>
      </c>
      <c r="K392" s="496">
        <v>36287</v>
      </c>
      <c r="L392" s="528">
        <v>5890</v>
      </c>
      <c r="M392" s="496">
        <v>6304</v>
      </c>
      <c r="N392" s="528">
        <v>42006</v>
      </c>
      <c r="O392" s="496">
        <v>39700</v>
      </c>
      <c r="P392" s="640">
        <f t="shared" ref="P392:P455" si="126">SUM(H392,J392,L392,N392)</f>
        <v>85421</v>
      </c>
      <c r="Q392" s="640">
        <f t="shared" ref="Q392:Q455" si="127">+P392/30</f>
        <v>2847.3666666666668</v>
      </c>
      <c r="R392" s="641">
        <f t="shared" ref="R392:R455" si="128">SUM(I392,K392,M392,O392)</f>
        <v>82291</v>
      </c>
      <c r="S392" s="641">
        <f t="shared" ref="S392:S455" si="129">+R392/30</f>
        <v>2743.0333333333333</v>
      </c>
      <c r="T392" s="528">
        <v>2063</v>
      </c>
      <c r="U392" s="496">
        <v>2734</v>
      </c>
      <c r="V392" s="640">
        <f t="shared" ref="V392:V455" si="130">IF(ISBLANK(T392),0,P392)</f>
        <v>85421</v>
      </c>
      <c r="W392" s="641">
        <f t="shared" ref="W392:W455" si="131">IF(ISBLANK(U392),0,R392)</f>
        <v>82291</v>
      </c>
      <c r="X392" s="528"/>
      <c r="Y392" s="496"/>
      <c r="Z392" s="528"/>
      <c r="AA392" s="496"/>
      <c r="AB392" s="528"/>
      <c r="AC392" s="496"/>
      <c r="AD392" s="528"/>
      <c r="AE392" s="496"/>
      <c r="AF392" s="640">
        <f t="shared" ref="AF392:AF455" si="132">SUM(X392,Z392,AB392,AD392)</f>
        <v>0</v>
      </c>
      <c r="AG392" s="640">
        <f t="shared" ref="AG392:AG455" si="133">+AF392/900</f>
        <v>0</v>
      </c>
      <c r="AH392" s="641">
        <f t="shared" ref="AH392:AH455" si="134">SUM(Y392,AA392,AC392,AE392)</f>
        <v>0</v>
      </c>
      <c r="AI392" s="641">
        <f t="shared" ref="AI392:AI455" si="135">+AH392/900</f>
        <v>0</v>
      </c>
      <c r="AJ392" s="528"/>
      <c r="AK392" s="496"/>
      <c r="AL392" s="640">
        <f t="shared" ref="AL392:AL455" si="136">IF(ISBLANK(AJ392),0,AF392)</f>
        <v>0</v>
      </c>
      <c r="AM392" s="641">
        <f t="shared" ref="AM392:AM455" si="137">IF(ISBLANK(AK392),0,AH392)</f>
        <v>0</v>
      </c>
      <c r="AN392" s="528"/>
      <c r="AO392" s="496"/>
      <c r="AP392" s="528">
        <v>2517</v>
      </c>
      <c r="AQ392" s="496">
        <v>5067</v>
      </c>
      <c r="AR392" s="528">
        <v>1833</v>
      </c>
      <c r="AS392" s="496">
        <v>3707</v>
      </c>
      <c r="AT392" s="528">
        <v>3712</v>
      </c>
      <c r="AU392" s="496">
        <v>4454</v>
      </c>
      <c r="AV392" s="640">
        <f t="shared" ref="AV392:AV455" si="138">SUM(AN392,AP392,AR392,AT392)</f>
        <v>8062</v>
      </c>
      <c r="AW392" s="640">
        <f t="shared" ref="AW392:AW455" si="139">+AV392/24</f>
        <v>335.91666666666669</v>
      </c>
      <c r="AX392" s="641">
        <f t="shared" ref="AX392:AX455" si="140">SUM(AO392,AQ392,AS392,AU392)</f>
        <v>13228</v>
      </c>
      <c r="AY392" s="641">
        <f t="shared" ref="AY392:AY455" si="141">+AX392/24</f>
        <v>551.16666666666663</v>
      </c>
      <c r="AZ392" s="640">
        <f t="shared" ref="AZ392:AZ455" si="142">SUM(Q392,AG392,AW392)</f>
        <v>3183.2833333333333</v>
      </c>
      <c r="BA392" s="641">
        <f t="shared" ref="BA392:BA455" si="143">SUM(S392,AI392,AY392)</f>
        <v>3294.2</v>
      </c>
    </row>
    <row r="393" spans="1:53" s="365" customFormat="1" ht="12.6" customHeight="1">
      <c r="A393" s="423" t="s">
        <v>489</v>
      </c>
      <c r="B393" s="424" t="s">
        <v>500</v>
      </c>
      <c r="C393" s="548"/>
      <c r="D393" s="626">
        <v>218654</v>
      </c>
      <c r="E393" s="524">
        <v>6</v>
      </c>
      <c r="F393" s="495"/>
      <c r="G393" s="496"/>
      <c r="H393" s="528"/>
      <c r="I393" s="496"/>
      <c r="J393" s="528">
        <v>26682</v>
      </c>
      <c r="K393" s="496">
        <v>24139</v>
      </c>
      <c r="L393" s="528">
        <v>4024</v>
      </c>
      <c r="M393" s="496">
        <v>3640</v>
      </c>
      <c r="N393" s="528">
        <v>27074</v>
      </c>
      <c r="O393" s="496">
        <v>26579</v>
      </c>
      <c r="P393" s="640">
        <f t="shared" si="126"/>
        <v>57780</v>
      </c>
      <c r="Q393" s="640">
        <f t="shared" si="127"/>
        <v>1926</v>
      </c>
      <c r="R393" s="641">
        <f t="shared" si="128"/>
        <v>54358</v>
      </c>
      <c r="S393" s="641">
        <f t="shared" si="129"/>
        <v>1811.9333333333334</v>
      </c>
      <c r="T393" s="528">
        <v>1274</v>
      </c>
      <c r="U393" s="496">
        <v>1549</v>
      </c>
      <c r="V393" s="640">
        <f t="shared" si="130"/>
        <v>57780</v>
      </c>
      <c r="W393" s="641">
        <f t="shared" si="131"/>
        <v>54358</v>
      </c>
      <c r="X393" s="528"/>
      <c r="Y393" s="496"/>
      <c r="Z393" s="528"/>
      <c r="AA393" s="496"/>
      <c r="AB393" s="528"/>
      <c r="AC393" s="496"/>
      <c r="AD393" s="528"/>
      <c r="AE393" s="496"/>
      <c r="AF393" s="640">
        <f t="shared" si="132"/>
        <v>0</v>
      </c>
      <c r="AG393" s="640">
        <f t="shared" si="133"/>
        <v>0</v>
      </c>
      <c r="AH393" s="641">
        <f t="shared" si="134"/>
        <v>0</v>
      </c>
      <c r="AI393" s="641">
        <f t="shared" si="135"/>
        <v>0</v>
      </c>
      <c r="AJ393" s="528"/>
      <c r="AK393" s="496"/>
      <c r="AL393" s="640">
        <f t="shared" si="136"/>
        <v>0</v>
      </c>
      <c r="AM393" s="641">
        <f t="shared" si="137"/>
        <v>0</v>
      </c>
      <c r="AN393" s="528"/>
      <c r="AO393" s="496"/>
      <c r="AP393" s="528">
        <v>48</v>
      </c>
      <c r="AQ393" s="496">
        <v>48</v>
      </c>
      <c r="AR393" s="528"/>
      <c r="AS393" s="496">
        <v>66</v>
      </c>
      <c r="AT393" s="528">
        <v>48</v>
      </c>
      <c r="AU393" s="496">
        <v>90</v>
      </c>
      <c r="AV393" s="640">
        <f t="shared" si="138"/>
        <v>96</v>
      </c>
      <c r="AW393" s="640">
        <f t="shared" si="139"/>
        <v>4</v>
      </c>
      <c r="AX393" s="641">
        <f t="shared" si="140"/>
        <v>204</v>
      </c>
      <c r="AY393" s="641">
        <f t="shared" si="141"/>
        <v>8.5</v>
      </c>
      <c r="AZ393" s="640">
        <f t="shared" si="142"/>
        <v>1930</v>
      </c>
      <c r="BA393" s="641">
        <f t="shared" si="143"/>
        <v>1820.4333333333334</v>
      </c>
    </row>
    <row r="394" spans="1:53" s="365" customFormat="1" ht="12.6" customHeight="1">
      <c r="A394" s="423" t="s">
        <v>489</v>
      </c>
      <c r="B394" s="424" t="s">
        <v>501</v>
      </c>
      <c r="C394" s="593" t="s">
        <v>891</v>
      </c>
      <c r="D394" s="626">
        <v>218742</v>
      </c>
      <c r="E394" s="524">
        <v>6</v>
      </c>
      <c r="F394" s="495"/>
      <c r="G394" s="496"/>
      <c r="H394" s="528"/>
      <c r="I394" s="496"/>
      <c r="J394" s="528">
        <v>67923</v>
      </c>
      <c r="K394" s="496">
        <v>63925</v>
      </c>
      <c r="L394" s="528">
        <v>10120</v>
      </c>
      <c r="M394" s="496">
        <v>9641</v>
      </c>
      <c r="N394" s="528">
        <v>71420</v>
      </c>
      <c r="O394" s="496">
        <v>64607</v>
      </c>
      <c r="P394" s="640">
        <f t="shared" si="126"/>
        <v>149463</v>
      </c>
      <c r="Q394" s="640">
        <f t="shared" si="127"/>
        <v>4982.1000000000004</v>
      </c>
      <c r="R394" s="641">
        <f t="shared" si="128"/>
        <v>138173</v>
      </c>
      <c r="S394" s="641">
        <f t="shared" si="129"/>
        <v>4605.7666666666664</v>
      </c>
      <c r="T394" s="528">
        <v>4463</v>
      </c>
      <c r="U394" s="496">
        <v>4454</v>
      </c>
      <c r="V394" s="640">
        <f t="shared" si="130"/>
        <v>149463</v>
      </c>
      <c r="W394" s="641">
        <f t="shared" si="131"/>
        <v>138173</v>
      </c>
      <c r="X394" s="528"/>
      <c r="Y394" s="496"/>
      <c r="Z394" s="528"/>
      <c r="AA394" s="496"/>
      <c r="AB394" s="528"/>
      <c r="AC394" s="496"/>
      <c r="AD394" s="528"/>
      <c r="AE394" s="496"/>
      <c r="AF394" s="640">
        <f t="shared" si="132"/>
        <v>0</v>
      </c>
      <c r="AG394" s="640">
        <f t="shared" si="133"/>
        <v>0</v>
      </c>
      <c r="AH394" s="641">
        <f t="shared" si="134"/>
        <v>0</v>
      </c>
      <c r="AI394" s="641">
        <f t="shared" si="135"/>
        <v>0</v>
      </c>
      <c r="AJ394" s="528"/>
      <c r="AK394" s="496"/>
      <c r="AL394" s="640">
        <f t="shared" si="136"/>
        <v>0</v>
      </c>
      <c r="AM394" s="641">
        <f t="shared" si="137"/>
        <v>0</v>
      </c>
      <c r="AN394" s="528"/>
      <c r="AO394" s="496"/>
      <c r="AP394" s="528">
        <v>2335</v>
      </c>
      <c r="AQ394" s="496">
        <v>2414</v>
      </c>
      <c r="AR394" s="528">
        <v>2010</v>
      </c>
      <c r="AS394" s="496">
        <v>1944</v>
      </c>
      <c r="AT394" s="528">
        <v>2706</v>
      </c>
      <c r="AU394" s="496">
        <v>2460</v>
      </c>
      <c r="AV394" s="640">
        <f t="shared" si="138"/>
        <v>7051</v>
      </c>
      <c r="AW394" s="640">
        <f t="shared" si="139"/>
        <v>293.79166666666669</v>
      </c>
      <c r="AX394" s="641">
        <f t="shared" si="140"/>
        <v>6818</v>
      </c>
      <c r="AY394" s="641">
        <f t="shared" si="141"/>
        <v>284.08333333333331</v>
      </c>
      <c r="AZ394" s="640">
        <f t="shared" si="142"/>
        <v>5275.8916666666673</v>
      </c>
      <c r="BA394" s="641">
        <f t="shared" si="143"/>
        <v>4889.8499999999995</v>
      </c>
    </row>
    <row r="395" spans="1:53" s="365" customFormat="1" ht="12.6" customHeight="1">
      <c r="A395" s="423" t="s">
        <v>489</v>
      </c>
      <c r="B395" s="424" t="s">
        <v>503</v>
      </c>
      <c r="C395" s="548"/>
      <c r="D395" s="626">
        <v>218113</v>
      </c>
      <c r="E395" s="524">
        <v>8</v>
      </c>
      <c r="F395" s="495"/>
      <c r="G395" s="496"/>
      <c r="H395" s="528"/>
      <c r="I395" s="496"/>
      <c r="J395" s="528">
        <v>90725</v>
      </c>
      <c r="K395" s="496">
        <v>82567</v>
      </c>
      <c r="L395" s="528">
        <v>32803</v>
      </c>
      <c r="M395" s="496">
        <v>32267</v>
      </c>
      <c r="N395" s="528">
        <v>100387</v>
      </c>
      <c r="O395" s="496">
        <v>92449</v>
      </c>
      <c r="P395" s="640">
        <f t="shared" si="126"/>
        <v>223915</v>
      </c>
      <c r="Q395" s="640">
        <f t="shared" si="127"/>
        <v>7463.833333333333</v>
      </c>
      <c r="R395" s="641">
        <f t="shared" si="128"/>
        <v>207283</v>
      </c>
      <c r="S395" s="641">
        <f t="shared" si="129"/>
        <v>6909.4333333333334</v>
      </c>
      <c r="T395" s="528">
        <v>18654</v>
      </c>
      <c r="U395" s="496">
        <v>17340</v>
      </c>
      <c r="V395" s="640">
        <f t="shared" si="130"/>
        <v>223915</v>
      </c>
      <c r="W395" s="641">
        <f t="shared" si="131"/>
        <v>207283</v>
      </c>
      <c r="X395" s="528"/>
      <c r="Y395" s="496"/>
      <c r="Z395" s="528"/>
      <c r="AA395" s="496"/>
      <c r="AB395" s="528"/>
      <c r="AC395" s="496"/>
      <c r="AD395" s="528"/>
      <c r="AE395" s="496"/>
      <c r="AF395" s="640">
        <f t="shared" si="132"/>
        <v>0</v>
      </c>
      <c r="AG395" s="640">
        <f t="shared" si="133"/>
        <v>0</v>
      </c>
      <c r="AH395" s="641">
        <f t="shared" si="134"/>
        <v>0</v>
      </c>
      <c r="AI395" s="641">
        <f t="shared" si="135"/>
        <v>0</v>
      </c>
      <c r="AJ395" s="528"/>
      <c r="AK395" s="496"/>
      <c r="AL395" s="640">
        <f t="shared" si="136"/>
        <v>0</v>
      </c>
      <c r="AM395" s="641">
        <f t="shared" si="137"/>
        <v>0</v>
      </c>
      <c r="AN395" s="528"/>
      <c r="AO395" s="496"/>
      <c r="AP395" s="528"/>
      <c r="AQ395" s="496"/>
      <c r="AR395" s="528"/>
      <c r="AS395" s="496"/>
      <c r="AT395" s="528"/>
      <c r="AU395" s="496"/>
      <c r="AV395" s="640">
        <f t="shared" si="138"/>
        <v>0</v>
      </c>
      <c r="AW395" s="640">
        <f t="shared" si="139"/>
        <v>0</v>
      </c>
      <c r="AX395" s="641">
        <f t="shared" si="140"/>
        <v>0</v>
      </c>
      <c r="AY395" s="641">
        <f t="shared" si="141"/>
        <v>0</v>
      </c>
      <c r="AZ395" s="640">
        <f t="shared" si="142"/>
        <v>7463.833333333333</v>
      </c>
      <c r="BA395" s="641">
        <f t="shared" si="143"/>
        <v>6909.4333333333334</v>
      </c>
    </row>
    <row r="396" spans="1:53" s="365" customFormat="1" ht="12.6" customHeight="1">
      <c r="A396" s="423" t="s">
        <v>489</v>
      </c>
      <c r="B396" s="424" t="s">
        <v>504</v>
      </c>
      <c r="C396" s="593" t="s">
        <v>915</v>
      </c>
      <c r="D396" s="626">
        <v>218140</v>
      </c>
      <c r="E396" s="524">
        <v>8</v>
      </c>
      <c r="F396" s="495"/>
      <c r="G396" s="496"/>
      <c r="H396" s="528"/>
      <c r="I396" s="496"/>
      <c r="J396" s="528">
        <v>62140</v>
      </c>
      <c r="K396" s="496">
        <v>58168</v>
      </c>
      <c r="L396" s="528">
        <v>21329</v>
      </c>
      <c r="M396" s="496">
        <v>22065</v>
      </c>
      <c r="N396" s="528">
        <v>65184</v>
      </c>
      <c r="O396" s="496">
        <v>63357</v>
      </c>
      <c r="P396" s="640">
        <f t="shared" si="126"/>
        <v>148653</v>
      </c>
      <c r="Q396" s="640">
        <f t="shared" si="127"/>
        <v>4955.1000000000004</v>
      </c>
      <c r="R396" s="641">
        <f t="shared" si="128"/>
        <v>143590</v>
      </c>
      <c r="S396" s="641">
        <f t="shared" si="129"/>
        <v>4786.333333333333</v>
      </c>
      <c r="T396" s="528">
        <v>10087</v>
      </c>
      <c r="U396" s="496">
        <v>13425</v>
      </c>
      <c r="V396" s="640">
        <f t="shared" si="130"/>
        <v>148653</v>
      </c>
      <c r="W396" s="641">
        <f t="shared" si="131"/>
        <v>143590</v>
      </c>
      <c r="X396" s="528"/>
      <c r="Y396" s="496"/>
      <c r="Z396" s="528"/>
      <c r="AA396" s="496"/>
      <c r="AB396" s="528"/>
      <c r="AC396" s="496"/>
      <c r="AD396" s="528"/>
      <c r="AE396" s="496"/>
      <c r="AF396" s="640">
        <f t="shared" si="132"/>
        <v>0</v>
      </c>
      <c r="AG396" s="640">
        <f t="shared" si="133"/>
        <v>0</v>
      </c>
      <c r="AH396" s="641">
        <f t="shared" si="134"/>
        <v>0</v>
      </c>
      <c r="AI396" s="641">
        <f t="shared" si="135"/>
        <v>0</v>
      </c>
      <c r="AJ396" s="528"/>
      <c r="AK396" s="496"/>
      <c r="AL396" s="640">
        <f t="shared" si="136"/>
        <v>0</v>
      </c>
      <c r="AM396" s="641">
        <f t="shared" si="137"/>
        <v>0</v>
      </c>
      <c r="AN396" s="528"/>
      <c r="AO396" s="496"/>
      <c r="AP396" s="528"/>
      <c r="AQ396" s="496"/>
      <c r="AR396" s="528"/>
      <c r="AS396" s="496"/>
      <c r="AT396" s="528"/>
      <c r="AU396" s="496"/>
      <c r="AV396" s="640">
        <f t="shared" si="138"/>
        <v>0</v>
      </c>
      <c r="AW396" s="640">
        <f t="shared" si="139"/>
        <v>0</v>
      </c>
      <c r="AX396" s="641">
        <f t="shared" si="140"/>
        <v>0</v>
      </c>
      <c r="AY396" s="641">
        <f t="shared" si="141"/>
        <v>0</v>
      </c>
      <c r="AZ396" s="640">
        <f t="shared" si="142"/>
        <v>4955.1000000000004</v>
      </c>
      <c r="BA396" s="641">
        <f t="shared" si="143"/>
        <v>4786.333333333333</v>
      </c>
    </row>
    <row r="397" spans="1:53" s="365" customFormat="1" ht="12.6" customHeight="1">
      <c r="A397" s="423" t="s">
        <v>489</v>
      </c>
      <c r="B397" s="424" t="s">
        <v>505</v>
      </c>
      <c r="C397" s="445"/>
      <c r="D397" s="626">
        <v>218353</v>
      </c>
      <c r="E397" s="524">
        <v>8</v>
      </c>
      <c r="F397" s="495"/>
      <c r="G397" s="496"/>
      <c r="H397" s="528"/>
      <c r="I397" s="496"/>
      <c r="J397" s="528">
        <v>82915</v>
      </c>
      <c r="K397" s="496">
        <v>75537</v>
      </c>
      <c r="L397" s="528">
        <v>28199</v>
      </c>
      <c r="M397" s="496">
        <v>28235</v>
      </c>
      <c r="N397" s="528">
        <v>86052</v>
      </c>
      <c r="O397" s="496">
        <v>84255</v>
      </c>
      <c r="P397" s="640">
        <f t="shared" si="126"/>
        <v>197166</v>
      </c>
      <c r="Q397" s="640">
        <f t="shared" si="127"/>
        <v>6572.2</v>
      </c>
      <c r="R397" s="641">
        <f t="shared" si="128"/>
        <v>188027</v>
      </c>
      <c r="S397" s="641">
        <f t="shared" si="129"/>
        <v>6267.5666666666666</v>
      </c>
      <c r="T397" s="528">
        <v>8502</v>
      </c>
      <c r="U397" s="496">
        <v>11429</v>
      </c>
      <c r="V397" s="640">
        <f t="shared" si="130"/>
        <v>197166</v>
      </c>
      <c r="W397" s="641">
        <f t="shared" si="131"/>
        <v>188027</v>
      </c>
      <c r="X397" s="528"/>
      <c r="Y397" s="496"/>
      <c r="Z397" s="528"/>
      <c r="AA397" s="496"/>
      <c r="AB397" s="528"/>
      <c r="AC397" s="496"/>
      <c r="AD397" s="528"/>
      <c r="AE397" s="496"/>
      <c r="AF397" s="640">
        <f t="shared" si="132"/>
        <v>0</v>
      </c>
      <c r="AG397" s="640">
        <f t="shared" si="133"/>
        <v>0</v>
      </c>
      <c r="AH397" s="641">
        <f t="shared" si="134"/>
        <v>0</v>
      </c>
      <c r="AI397" s="641">
        <f t="shared" si="135"/>
        <v>0</v>
      </c>
      <c r="AJ397" s="528"/>
      <c r="AK397" s="496"/>
      <c r="AL397" s="640">
        <f t="shared" si="136"/>
        <v>0</v>
      </c>
      <c r="AM397" s="641">
        <f t="shared" si="137"/>
        <v>0</v>
      </c>
      <c r="AN397" s="528"/>
      <c r="AO397" s="496"/>
      <c r="AP397" s="528"/>
      <c r="AQ397" s="496"/>
      <c r="AR397" s="528"/>
      <c r="AS397" s="496"/>
      <c r="AT397" s="528"/>
      <c r="AU397" s="496"/>
      <c r="AV397" s="640">
        <f t="shared" si="138"/>
        <v>0</v>
      </c>
      <c r="AW397" s="640">
        <f t="shared" si="139"/>
        <v>0</v>
      </c>
      <c r="AX397" s="641">
        <f t="shared" si="140"/>
        <v>0</v>
      </c>
      <c r="AY397" s="641">
        <f t="shared" si="141"/>
        <v>0</v>
      </c>
      <c r="AZ397" s="640">
        <f t="shared" si="142"/>
        <v>6572.2</v>
      </c>
      <c r="BA397" s="641">
        <f t="shared" si="143"/>
        <v>6267.5666666666666</v>
      </c>
    </row>
    <row r="398" spans="1:53" s="365" customFormat="1" ht="12.6" customHeight="1">
      <c r="A398" s="423" t="s">
        <v>489</v>
      </c>
      <c r="B398" s="424" t="s">
        <v>508</v>
      </c>
      <c r="C398" s="445"/>
      <c r="D398" s="626">
        <v>218894</v>
      </c>
      <c r="E398" s="524">
        <v>8</v>
      </c>
      <c r="F398" s="495"/>
      <c r="G398" s="496"/>
      <c r="H398" s="528"/>
      <c r="I398" s="496"/>
      <c r="J398" s="528">
        <v>98156</v>
      </c>
      <c r="K398" s="496">
        <v>92864</v>
      </c>
      <c r="L398" s="528">
        <v>43408</v>
      </c>
      <c r="M398" s="496">
        <v>39543</v>
      </c>
      <c r="N398" s="528">
        <v>105011</v>
      </c>
      <c r="O398" s="496">
        <v>101176</v>
      </c>
      <c r="P398" s="640">
        <f t="shared" si="126"/>
        <v>246575</v>
      </c>
      <c r="Q398" s="640">
        <f t="shared" si="127"/>
        <v>8219.1666666666661</v>
      </c>
      <c r="R398" s="641">
        <f t="shared" si="128"/>
        <v>233583</v>
      </c>
      <c r="S398" s="641">
        <f t="shared" si="129"/>
        <v>7786.1</v>
      </c>
      <c r="T398" s="528">
        <v>34175</v>
      </c>
      <c r="U398" s="496">
        <v>34473</v>
      </c>
      <c r="V398" s="640">
        <f t="shared" si="130"/>
        <v>246575</v>
      </c>
      <c r="W398" s="641">
        <f t="shared" si="131"/>
        <v>233583</v>
      </c>
      <c r="X398" s="528"/>
      <c r="Y398" s="496"/>
      <c r="Z398" s="528"/>
      <c r="AA398" s="496"/>
      <c r="AB398" s="528"/>
      <c r="AC398" s="496"/>
      <c r="AD398" s="528"/>
      <c r="AE398" s="496"/>
      <c r="AF398" s="640">
        <f t="shared" si="132"/>
        <v>0</v>
      </c>
      <c r="AG398" s="640">
        <f t="shared" si="133"/>
        <v>0</v>
      </c>
      <c r="AH398" s="641">
        <f t="shared" si="134"/>
        <v>0</v>
      </c>
      <c r="AI398" s="641">
        <f t="shared" si="135"/>
        <v>0</v>
      </c>
      <c r="AJ398" s="528"/>
      <c r="AK398" s="496"/>
      <c r="AL398" s="640">
        <f t="shared" si="136"/>
        <v>0</v>
      </c>
      <c r="AM398" s="641">
        <f t="shared" si="137"/>
        <v>0</v>
      </c>
      <c r="AN398" s="528"/>
      <c r="AO398" s="496"/>
      <c r="AP398" s="528"/>
      <c r="AQ398" s="496"/>
      <c r="AR398" s="528"/>
      <c r="AS398" s="496"/>
      <c r="AT398" s="528"/>
      <c r="AU398" s="496"/>
      <c r="AV398" s="640">
        <f t="shared" si="138"/>
        <v>0</v>
      </c>
      <c r="AW398" s="640">
        <f t="shared" si="139"/>
        <v>0</v>
      </c>
      <c r="AX398" s="641">
        <f t="shared" si="140"/>
        <v>0</v>
      </c>
      <c r="AY398" s="641">
        <f t="shared" si="141"/>
        <v>0</v>
      </c>
      <c r="AZ398" s="640">
        <f t="shared" si="142"/>
        <v>8219.1666666666661</v>
      </c>
      <c r="BA398" s="641">
        <f t="shared" si="143"/>
        <v>7786.1</v>
      </c>
    </row>
    <row r="399" spans="1:53" s="365" customFormat="1" ht="12.6" customHeight="1">
      <c r="A399" s="423" t="s">
        <v>489</v>
      </c>
      <c r="B399" s="424" t="s">
        <v>510</v>
      </c>
      <c r="C399" s="593" t="s">
        <v>903</v>
      </c>
      <c r="D399" s="626">
        <v>218858</v>
      </c>
      <c r="E399" s="524">
        <v>9</v>
      </c>
      <c r="F399" s="495"/>
      <c r="G399" s="496"/>
      <c r="H399" s="528"/>
      <c r="I399" s="496"/>
      <c r="J399" s="528">
        <v>28097</v>
      </c>
      <c r="K399" s="496">
        <v>23540</v>
      </c>
      <c r="L399" s="528">
        <v>11741</v>
      </c>
      <c r="M399" s="496">
        <v>10664</v>
      </c>
      <c r="N399" s="528">
        <v>25823</v>
      </c>
      <c r="O399" s="496">
        <v>23429</v>
      </c>
      <c r="P399" s="640">
        <f t="shared" si="126"/>
        <v>65661</v>
      </c>
      <c r="Q399" s="640">
        <f t="shared" si="127"/>
        <v>2188.6999999999998</v>
      </c>
      <c r="R399" s="641">
        <f t="shared" si="128"/>
        <v>57633</v>
      </c>
      <c r="S399" s="641">
        <f t="shared" si="129"/>
        <v>1921.1</v>
      </c>
      <c r="T399" s="528">
        <v>10470</v>
      </c>
      <c r="U399" s="496">
        <v>9543</v>
      </c>
      <c r="V399" s="640">
        <f t="shared" si="130"/>
        <v>65661</v>
      </c>
      <c r="W399" s="641">
        <f t="shared" si="131"/>
        <v>57633</v>
      </c>
      <c r="X399" s="528"/>
      <c r="Y399" s="496"/>
      <c r="Z399" s="528"/>
      <c r="AA399" s="496"/>
      <c r="AB399" s="528"/>
      <c r="AC399" s="496"/>
      <c r="AD399" s="528"/>
      <c r="AE399" s="496"/>
      <c r="AF399" s="640">
        <f t="shared" si="132"/>
        <v>0</v>
      </c>
      <c r="AG399" s="640">
        <f t="shared" si="133"/>
        <v>0</v>
      </c>
      <c r="AH399" s="641">
        <f t="shared" si="134"/>
        <v>0</v>
      </c>
      <c r="AI399" s="641">
        <f t="shared" si="135"/>
        <v>0</v>
      </c>
      <c r="AJ399" s="528"/>
      <c r="AK399" s="496"/>
      <c r="AL399" s="640">
        <f t="shared" si="136"/>
        <v>0</v>
      </c>
      <c r="AM399" s="641">
        <f t="shared" si="137"/>
        <v>0</v>
      </c>
      <c r="AN399" s="528"/>
      <c r="AO399" s="496"/>
      <c r="AP399" s="528"/>
      <c r="AQ399" s="496"/>
      <c r="AR399" s="528"/>
      <c r="AS399" s="496"/>
      <c r="AT399" s="528"/>
      <c r="AU399" s="496"/>
      <c r="AV399" s="640">
        <f t="shared" si="138"/>
        <v>0</v>
      </c>
      <c r="AW399" s="640">
        <f t="shared" si="139"/>
        <v>0</v>
      </c>
      <c r="AX399" s="641">
        <f t="shared" si="140"/>
        <v>0</v>
      </c>
      <c r="AY399" s="641">
        <f t="shared" si="141"/>
        <v>0</v>
      </c>
      <c r="AZ399" s="640">
        <f t="shared" si="142"/>
        <v>2188.6999999999998</v>
      </c>
      <c r="BA399" s="641">
        <f t="shared" si="143"/>
        <v>1921.1</v>
      </c>
    </row>
    <row r="400" spans="1:53" s="365" customFormat="1" ht="12.6" customHeight="1">
      <c r="A400" s="423" t="s">
        <v>489</v>
      </c>
      <c r="B400" s="424" t="s">
        <v>502</v>
      </c>
      <c r="C400" s="444"/>
      <c r="D400" s="626">
        <v>218025</v>
      </c>
      <c r="E400" s="524">
        <v>9</v>
      </c>
      <c r="F400" s="495"/>
      <c r="G400" s="496"/>
      <c r="H400" s="528"/>
      <c r="I400" s="496"/>
      <c r="J400" s="528">
        <v>29923</v>
      </c>
      <c r="K400" s="496">
        <v>25348</v>
      </c>
      <c r="L400" s="528">
        <v>10333</v>
      </c>
      <c r="M400" s="496">
        <v>8946</v>
      </c>
      <c r="N400" s="528">
        <v>30826</v>
      </c>
      <c r="O400" s="496">
        <v>26253</v>
      </c>
      <c r="P400" s="640">
        <f t="shared" si="126"/>
        <v>71082</v>
      </c>
      <c r="Q400" s="640">
        <f t="shared" si="127"/>
        <v>2369.4</v>
      </c>
      <c r="R400" s="641">
        <f t="shared" si="128"/>
        <v>60547</v>
      </c>
      <c r="S400" s="641">
        <f t="shared" si="129"/>
        <v>2018.2333333333333</v>
      </c>
      <c r="T400" s="528">
        <v>6508</v>
      </c>
      <c r="U400" s="496">
        <v>7110</v>
      </c>
      <c r="V400" s="640">
        <f t="shared" si="130"/>
        <v>71082</v>
      </c>
      <c r="W400" s="641">
        <f t="shared" si="131"/>
        <v>60547</v>
      </c>
      <c r="X400" s="528"/>
      <c r="Y400" s="496"/>
      <c r="Z400" s="528"/>
      <c r="AA400" s="496"/>
      <c r="AB400" s="528"/>
      <c r="AC400" s="496"/>
      <c r="AD400" s="528"/>
      <c r="AE400" s="496"/>
      <c r="AF400" s="640">
        <f t="shared" si="132"/>
        <v>0</v>
      </c>
      <c r="AG400" s="640">
        <f t="shared" si="133"/>
        <v>0</v>
      </c>
      <c r="AH400" s="641">
        <f t="shared" si="134"/>
        <v>0</v>
      </c>
      <c r="AI400" s="641">
        <f t="shared" si="135"/>
        <v>0</v>
      </c>
      <c r="AJ400" s="528"/>
      <c r="AK400" s="496"/>
      <c r="AL400" s="640">
        <f t="shared" si="136"/>
        <v>0</v>
      </c>
      <c r="AM400" s="641">
        <f t="shared" si="137"/>
        <v>0</v>
      </c>
      <c r="AN400" s="528"/>
      <c r="AO400" s="496"/>
      <c r="AP400" s="528"/>
      <c r="AQ400" s="496"/>
      <c r="AR400" s="528"/>
      <c r="AS400" s="496"/>
      <c r="AT400" s="528"/>
      <c r="AU400" s="496"/>
      <c r="AV400" s="640">
        <f t="shared" si="138"/>
        <v>0</v>
      </c>
      <c r="AW400" s="640">
        <f t="shared" si="139"/>
        <v>0</v>
      </c>
      <c r="AX400" s="641">
        <f t="shared" si="140"/>
        <v>0</v>
      </c>
      <c r="AY400" s="641">
        <f t="shared" si="141"/>
        <v>0</v>
      </c>
      <c r="AZ400" s="640">
        <f t="shared" si="142"/>
        <v>2369.4</v>
      </c>
      <c r="BA400" s="641">
        <f t="shared" si="143"/>
        <v>2018.2333333333333</v>
      </c>
    </row>
    <row r="401" spans="1:53" s="365" customFormat="1" ht="12.6" customHeight="1">
      <c r="A401" s="423" t="s">
        <v>489</v>
      </c>
      <c r="B401" s="424" t="s">
        <v>506</v>
      </c>
      <c r="C401" s="444"/>
      <c r="D401" s="626">
        <v>218520</v>
      </c>
      <c r="E401" s="524">
        <v>9</v>
      </c>
      <c r="F401" s="495"/>
      <c r="G401" s="496"/>
      <c r="H401" s="528"/>
      <c r="I401" s="496"/>
      <c r="J401" s="528">
        <v>42756</v>
      </c>
      <c r="K401" s="496">
        <v>39760</v>
      </c>
      <c r="L401" s="528">
        <v>18949</v>
      </c>
      <c r="M401" s="496">
        <v>17232</v>
      </c>
      <c r="N401" s="528">
        <v>44444</v>
      </c>
      <c r="O401" s="496">
        <v>41817</v>
      </c>
      <c r="P401" s="640">
        <f t="shared" si="126"/>
        <v>106149</v>
      </c>
      <c r="Q401" s="640">
        <f t="shared" si="127"/>
        <v>3538.3</v>
      </c>
      <c r="R401" s="641">
        <f t="shared" si="128"/>
        <v>98809</v>
      </c>
      <c r="S401" s="641">
        <f t="shared" si="129"/>
        <v>3293.6333333333332</v>
      </c>
      <c r="T401" s="528">
        <v>13670</v>
      </c>
      <c r="U401" s="496">
        <v>13721</v>
      </c>
      <c r="V401" s="640">
        <f t="shared" si="130"/>
        <v>106149</v>
      </c>
      <c r="W401" s="641">
        <f t="shared" si="131"/>
        <v>98809</v>
      </c>
      <c r="X401" s="528"/>
      <c r="Y401" s="496"/>
      <c r="Z401" s="528"/>
      <c r="AA401" s="496"/>
      <c r="AB401" s="528"/>
      <c r="AC401" s="496"/>
      <c r="AD401" s="528"/>
      <c r="AE401" s="496"/>
      <c r="AF401" s="640">
        <f t="shared" si="132"/>
        <v>0</v>
      </c>
      <c r="AG401" s="640">
        <f t="shared" si="133"/>
        <v>0</v>
      </c>
      <c r="AH401" s="641">
        <f t="shared" si="134"/>
        <v>0</v>
      </c>
      <c r="AI401" s="641">
        <f t="shared" si="135"/>
        <v>0</v>
      </c>
      <c r="AJ401" s="528"/>
      <c r="AK401" s="496"/>
      <c r="AL401" s="640">
        <f t="shared" si="136"/>
        <v>0</v>
      </c>
      <c r="AM401" s="641">
        <f t="shared" si="137"/>
        <v>0</v>
      </c>
      <c r="AN401" s="528"/>
      <c r="AO401" s="496"/>
      <c r="AP401" s="528"/>
      <c r="AQ401" s="496"/>
      <c r="AR401" s="528"/>
      <c r="AS401" s="496"/>
      <c r="AT401" s="528"/>
      <c r="AU401" s="496"/>
      <c r="AV401" s="640">
        <f t="shared" si="138"/>
        <v>0</v>
      </c>
      <c r="AW401" s="640">
        <f t="shared" si="139"/>
        <v>0</v>
      </c>
      <c r="AX401" s="641">
        <f t="shared" si="140"/>
        <v>0</v>
      </c>
      <c r="AY401" s="641">
        <f t="shared" si="141"/>
        <v>0</v>
      </c>
      <c r="AZ401" s="640">
        <f t="shared" si="142"/>
        <v>3538.3</v>
      </c>
      <c r="BA401" s="641">
        <f t="shared" si="143"/>
        <v>3293.6333333333332</v>
      </c>
    </row>
    <row r="402" spans="1:53" s="365" customFormat="1" ht="12.6" customHeight="1">
      <c r="A402" s="423" t="s">
        <v>489</v>
      </c>
      <c r="B402" s="424" t="s">
        <v>512</v>
      </c>
      <c r="C402" s="445"/>
      <c r="D402" s="626">
        <v>218830</v>
      </c>
      <c r="E402" s="524">
        <v>9</v>
      </c>
      <c r="F402" s="495"/>
      <c r="G402" s="496"/>
      <c r="H402" s="528"/>
      <c r="I402" s="496"/>
      <c r="J402" s="528">
        <v>40908</v>
      </c>
      <c r="K402" s="496">
        <v>36732</v>
      </c>
      <c r="L402" s="528">
        <v>12364</v>
      </c>
      <c r="M402" s="496">
        <v>12615</v>
      </c>
      <c r="N402" s="528">
        <v>39650</v>
      </c>
      <c r="O402" s="496">
        <v>58991</v>
      </c>
      <c r="P402" s="640">
        <f t="shared" si="126"/>
        <v>92922</v>
      </c>
      <c r="Q402" s="640">
        <f t="shared" si="127"/>
        <v>3097.4</v>
      </c>
      <c r="R402" s="641">
        <f t="shared" si="128"/>
        <v>108338</v>
      </c>
      <c r="S402" s="641">
        <f t="shared" si="129"/>
        <v>3611.2666666666669</v>
      </c>
      <c r="T402" s="528">
        <v>10694</v>
      </c>
      <c r="U402" s="496">
        <v>12447</v>
      </c>
      <c r="V402" s="640">
        <f t="shared" si="130"/>
        <v>92922</v>
      </c>
      <c r="W402" s="641">
        <f t="shared" si="131"/>
        <v>108338</v>
      </c>
      <c r="X402" s="528"/>
      <c r="Y402" s="496"/>
      <c r="Z402" s="528"/>
      <c r="AA402" s="496"/>
      <c r="AB402" s="528"/>
      <c r="AC402" s="496"/>
      <c r="AD402" s="528"/>
      <c r="AE402" s="496"/>
      <c r="AF402" s="640">
        <f t="shared" si="132"/>
        <v>0</v>
      </c>
      <c r="AG402" s="640">
        <f t="shared" si="133"/>
        <v>0</v>
      </c>
      <c r="AH402" s="641">
        <f t="shared" si="134"/>
        <v>0</v>
      </c>
      <c r="AI402" s="641">
        <f t="shared" si="135"/>
        <v>0</v>
      </c>
      <c r="AJ402" s="528"/>
      <c r="AK402" s="496"/>
      <c r="AL402" s="640">
        <f t="shared" si="136"/>
        <v>0</v>
      </c>
      <c r="AM402" s="641">
        <f t="shared" si="137"/>
        <v>0</v>
      </c>
      <c r="AN402" s="528"/>
      <c r="AO402" s="496"/>
      <c r="AP402" s="528"/>
      <c r="AQ402" s="496"/>
      <c r="AR402" s="528"/>
      <c r="AS402" s="496"/>
      <c r="AT402" s="528"/>
      <c r="AU402" s="496"/>
      <c r="AV402" s="640">
        <f t="shared" si="138"/>
        <v>0</v>
      </c>
      <c r="AW402" s="640">
        <f t="shared" si="139"/>
        <v>0</v>
      </c>
      <c r="AX402" s="641">
        <f t="shared" si="140"/>
        <v>0</v>
      </c>
      <c r="AY402" s="641">
        <f t="shared" si="141"/>
        <v>0</v>
      </c>
      <c r="AZ402" s="640">
        <f t="shared" si="142"/>
        <v>3097.4</v>
      </c>
      <c r="BA402" s="641">
        <f t="shared" si="143"/>
        <v>3611.2666666666669</v>
      </c>
    </row>
    <row r="403" spans="1:53" s="365" customFormat="1" ht="12.6" customHeight="1">
      <c r="A403" s="423" t="s">
        <v>489</v>
      </c>
      <c r="B403" s="424" t="s">
        <v>507</v>
      </c>
      <c r="C403" s="444"/>
      <c r="D403" s="626">
        <v>218885</v>
      </c>
      <c r="E403" s="524">
        <v>9</v>
      </c>
      <c r="F403" s="495"/>
      <c r="G403" s="496"/>
      <c r="H403" s="528"/>
      <c r="I403" s="496"/>
      <c r="J403" s="528">
        <v>59374</v>
      </c>
      <c r="K403" s="496">
        <v>56396</v>
      </c>
      <c r="L403" s="528">
        <v>19731</v>
      </c>
      <c r="M403" s="496">
        <v>19319</v>
      </c>
      <c r="N403" s="528">
        <v>62102</v>
      </c>
      <c r="O403" s="496">
        <v>62737</v>
      </c>
      <c r="P403" s="640">
        <f t="shared" si="126"/>
        <v>141207</v>
      </c>
      <c r="Q403" s="640">
        <f t="shared" si="127"/>
        <v>4706.8999999999996</v>
      </c>
      <c r="R403" s="641">
        <f t="shared" si="128"/>
        <v>138452</v>
      </c>
      <c r="S403" s="641">
        <f t="shared" si="129"/>
        <v>4615.0666666666666</v>
      </c>
      <c r="T403" s="528">
        <v>7782</v>
      </c>
      <c r="U403" s="496">
        <v>7002</v>
      </c>
      <c r="V403" s="640">
        <f t="shared" si="130"/>
        <v>141207</v>
      </c>
      <c r="W403" s="641">
        <f t="shared" si="131"/>
        <v>138452</v>
      </c>
      <c r="X403" s="528"/>
      <c r="Y403" s="496"/>
      <c r="Z403" s="528"/>
      <c r="AA403" s="496"/>
      <c r="AB403" s="528"/>
      <c r="AC403" s="496"/>
      <c r="AD403" s="528"/>
      <c r="AE403" s="496"/>
      <c r="AF403" s="640">
        <f t="shared" si="132"/>
        <v>0</v>
      </c>
      <c r="AG403" s="640">
        <f t="shared" si="133"/>
        <v>0</v>
      </c>
      <c r="AH403" s="641">
        <f t="shared" si="134"/>
        <v>0</v>
      </c>
      <c r="AI403" s="641">
        <f t="shared" si="135"/>
        <v>0</v>
      </c>
      <c r="AJ403" s="528"/>
      <c r="AK403" s="496"/>
      <c r="AL403" s="640">
        <f t="shared" si="136"/>
        <v>0</v>
      </c>
      <c r="AM403" s="641">
        <f t="shared" si="137"/>
        <v>0</v>
      </c>
      <c r="AN403" s="528"/>
      <c r="AO403" s="496"/>
      <c r="AP403" s="528"/>
      <c r="AQ403" s="496"/>
      <c r="AR403" s="528"/>
      <c r="AS403" s="496"/>
      <c r="AT403" s="528"/>
      <c r="AU403" s="496"/>
      <c r="AV403" s="640">
        <f t="shared" si="138"/>
        <v>0</v>
      </c>
      <c r="AW403" s="640">
        <f t="shared" si="139"/>
        <v>0</v>
      </c>
      <c r="AX403" s="641">
        <f t="shared" si="140"/>
        <v>0</v>
      </c>
      <c r="AY403" s="641">
        <f t="shared" si="141"/>
        <v>0</v>
      </c>
      <c r="AZ403" s="640">
        <f t="shared" si="142"/>
        <v>4706.8999999999996</v>
      </c>
      <c r="BA403" s="641">
        <f t="shared" si="143"/>
        <v>4615.0666666666666</v>
      </c>
    </row>
    <row r="404" spans="1:53" s="365" customFormat="1" ht="12.6" customHeight="1">
      <c r="A404" s="423" t="s">
        <v>489</v>
      </c>
      <c r="B404" s="424" t="s">
        <v>513</v>
      </c>
      <c r="C404" s="445"/>
      <c r="D404" s="626">
        <v>218991</v>
      </c>
      <c r="E404" s="524">
        <v>9</v>
      </c>
      <c r="F404" s="495"/>
      <c r="G404" s="496"/>
      <c r="H404" s="528"/>
      <c r="I404" s="496"/>
      <c r="J404" s="528">
        <v>40559</v>
      </c>
      <c r="K404" s="496">
        <v>37057</v>
      </c>
      <c r="L404" s="528">
        <v>12895</v>
      </c>
      <c r="M404" s="496">
        <v>10857</v>
      </c>
      <c r="N404" s="528">
        <v>43493</v>
      </c>
      <c r="O404" s="496">
        <v>40036</v>
      </c>
      <c r="P404" s="640">
        <f t="shared" si="126"/>
        <v>96947</v>
      </c>
      <c r="Q404" s="640">
        <f t="shared" si="127"/>
        <v>3231.5666666666666</v>
      </c>
      <c r="R404" s="641">
        <f t="shared" si="128"/>
        <v>87950</v>
      </c>
      <c r="S404" s="641">
        <f t="shared" si="129"/>
        <v>2931.6666666666665</v>
      </c>
      <c r="T404" s="528">
        <v>7688</v>
      </c>
      <c r="U404" s="496">
        <v>8126</v>
      </c>
      <c r="V404" s="640">
        <f t="shared" si="130"/>
        <v>96947</v>
      </c>
      <c r="W404" s="641">
        <f t="shared" si="131"/>
        <v>87950</v>
      </c>
      <c r="X404" s="528"/>
      <c r="Y404" s="496"/>
      <c r="Z404" s="528"/>
      <c r="AA404" s="496"/>
      <c r="AB404" s="528"/>
      <c r="AC404" s="496"/>
      <c r="AD404" s="528"/>
      <c r="AE404" s="496"/>
      <c r="AF404" s="640">
        <f t="shared" si="132"/>
        <v>0</v>
      </c>
      <c r="AG404" s="640">
        <f t="shared" si="133"/>
        <v>0</v>
      </c>
      <c r="AH404" s="641">
        <f t="shared" si="134"/>
        <v>0</v>
      </c>
      <c r="AI404" s="641">
        <f t="shared" si="135"/>
        <v>0</v>
      </c>
      <c r="AJ404" s="528"/>
      <c r="AK404" s="496"/>
      <c r="AL404" s="640">
        <f t="shared" si="136"/>
        <v>0</v>
      </c>
      <c r="AM404" s="641">
        <f t="shared" si="137"/>
        <v>0</v>
      </c>
      <c r="AN404" s="528"/>
      <c r="AO404" s="496"/>
      <c r="AP404" s="528"/>
      <c r="AQ404" s="496"/>
      <c r="AR404" s="528"/>
      <c r="AS404" s="496"/>
      <c r="AT404" s="528"/>
      <c r="AU404" s="496"/>
      <c r="AV404" s="640">
        <f t="shared" si="138"/>
        <v>0</v>
      </c>
      <c r="AW404" s="640">
        <f t="shared" si="139"/>
        <v>0</v>
      </c>
      <c r="AX404" s="641">
        <f t="shared" si="140"/>
        <v>0</v>
      </c>
      <c r="AY404" s="641">
        <f t="shared" si="141"/>
        <v>0</v>
      </c>
      <c r="AZ404" s="640">
        <f t="shared" si="142"/>
        <v>3231.5666666666666</v>
      </c>
      <c r="BA404" s="641">
        <f t="shared" si="143"/>
        <v>2931.6666666666665</v>
      </c>
    </row>
    <row r="405" spans="1:53" s="365" customFormat="1" ht="12.6" customHeight="1">
      <c r="A405" s="423" t="s">
        <v>489</v>
      </c>
      <c r="B405" s="424" t="s">
        <v>509</v>
      </c>
      <c r="C405" s="444"/>
      <c r="D405" s="626">
        <v>217615</v>
      </c>
      <c r="E405" s="524">
        <v>10</v>
      </c>
      <c r="F405" s="495"/>
      <c r="G405" s="496"/>
      <c r="H405" s="528"/>
      <c r="I405" s="496"/>
      <c r="J405" s="528">
        <v>17459</v>
      </c>
      <c r="K405" s="496">
        <v>16325</v>
      </c>
      <c r="L405" s="528">
        <v>7354</v>
      </c>
      <c r="M405" s="496">
        <v>7171</v>
      </c>
      <c r="N405" s="528">
        <v>17502</v>
      </c>
      <c r="O405" s="496">
        <v>16786</v>
      </c>
      <c r="P405" s="640">
        <f t="shared" si="126"/>
        <v>42315</v>
      </c>
      <c r="Q405" s="640">
        <f t="shared" si="127"/>
        <v>1410.5</v>
      </c>
      <c r="R405" s="641">
        <f t="shared" si="128"/>
        <v>40282</v>
      </c>
      <c r="S405" s="641">
        <f t="shared" si="129"/>
        <v>1342.7333333333333</v>
      </c>
      <c r="T405" s="528">
        <v>2401</v>
      </c>
      <c r="U405" s="496">
        <v>2481</v>
      </c>
      <c r="V405" s="640">
        <f t="shared" si="130"/>
        <v>42315</v>
      </c>
      <c r="W405" s="641">
        <f t="shared" si="131"/>
        <v>40282</v>
      </c>
      <c r="X405" s="528"/>
      <c r="Y405" s="496"/>
      <c r="Z405" s="528"/>
      <c r="AA405" s="496"/>
      <c r="AB405" s="528"/>
      <c r="AC405" s="496"/>
      <c r="AD405" s="528"/>
      <c r="AE405" s="496"/>
      <c r="AF405" s="640">
        <f t="shared" si="132"/>
        <v>0</v>
      </c>
      <c r="AG405" s="640">
        <f t="shared" si="133"/>
        <v>0</v>
      </c>
      <c r="AH405" s="641">
        <f t="shared" si="134"/>
        <v>0</v>
      </c>
      <c r="AI405" s="641">
        <f t="shared" si="135"/>
        <v>0</v>
      </c>
      <c r="AJ405" s="528"/>
      <c r="AK405" s="496"/>
      <c r="AL405" s="640">
        <f t="shared" si="136"/>
        <v>0</v>
      </c>
      <c r="AM405" s="641">
        <f t="shared" si="137"/>
        <v>0</v>
      </c>
      <c r="AN405" s="528"/>
      <c r="AO405" s="496"/>
      <c r="AP405" s="528"/>
      <c r="AQ405" s="496"/>
      <c r="AR405" s="528"/>
      <c r="AS405" s="496"/>
      <c r="AT405" s="528"/>
      <c r="AU405" s="496"/>
      <c r="AV405" s="640">
        <f t="shared" si="138"/>
        <v>0</v>
      </c>
      <c r="AW405" s="640">
        <f t="shared" si="139"/>
        <v>0</v>
      </c>
      <c r="AX405" s="641">
        <f t="shared" si="140"/>
        <v>0</v>
      </c>
      <c r="AY405" s="641">
        <f t="shared" si="141"/>
        <v>0</v>
      </c>
      <c r="AZ405" s="640">
        <f t="shared" si="142"/>
        <v>1410.5</v>
      </c>
      <c r="BA405" s="641">
        <f t="shared" si="143"/>
        <v>1342.7333333333333</v>
      </c>
    </row>
    <row r="406" spans="1:53" s="365" customFormat="1" ht="12.6" customHeight="1">
      <c r="A406" s="423" t="s">
        <v>489</v>
      </c>
      <c r="B406" s="424" t="s">
        <v>514</v>
      </c>
      <c r="C406" s="425"/>
      <c r="D406" s="626">
        <v>217989</v>
      </c>
      <c r="E406" s="524">
        <v>10</v>
      </c>
      <c r="F406" s="495"/>
      <c r="G406" s="496"/>
      <c r="H406" s="528"/>
      <c r="I406" s="496"/>
      <c r="J406" s="528">
        <v>5292</v>
      </c>
      <c r="K406" s="496">
        <v>4753</v>
      </c>
      <c r="L406" s="528">
        <v>2498</v>
      </c>
      <c r="M406" s="496">
        <v>2200</v>
      </c>
      <c r="N406" s="528">
        <v>4864</v>
      </c>
      <c r="O406" s="496">
        <v>6265</v>
      </c>
      <c r="P406" s="640">
        <f t="shared" si="126"/>
        <v>12654</v>
      </c>
      <c r="Q406" s="640">
        <f t="shared" si="127"/>
        <v>421.8</v>
      </c>
      <c r="R406" s="641">
        <f t="shared" si="128"/>
        <v>13218</v>
      </c>
      <c r="S406" s="641">
        <f t="shared" si="129"/>
        <v>440.6</v>
      </c>
      <c r="T406" s="528">
        <v>3232</v>
      </c>
      <c r="U406" s="496">
        <v>3201</v>
      </c>
      <c r="V406" s="640">
        <f t="shared" si="130"/>
        <v>12654</v>
      </c>
      <c r="W406" s="641">
        <f t="shared" si="131"/>
        <v>13218</v>
      </c>
      <c r="X406" s="528"/>
      <c r="Y406" s="496"/>
      <c r="Z406" s="528"/>
      <c r="AA406" s="496"/>
      <c r="AB406" s="528"/>
      <c r="AC406" s="496"/>
      <c r="AD406" s="528"/>
      <c r="AE406" s="496"/>
      <c r="AF406" s="640">
        <f t="shared" si="132"/>
        <v>0</v>
      </c>
      <c r="AG406" s="640">
        <f t="shared" si="133"/>
        <v>0</v>
      </c>
      <c r="AH406" s="641">
        <f t="shared" si="134"/>
        <v>0</v>
      </c>
      <c r="AI406" s="641">
        <f t="shared" si="135"/>
        <v>0</v>
      </c>
      <c r="AJ406" s="528"/>
      <c r="AK406" s="496"/>
      <c r="AL406" s="640">
        <f t="shared" si="136"/>
        <v>0</v>
      </c>
      <c r="AM406" s="641">
        <f t="shared" si="137"/>
        <v>0</v>
      </c>
      <c r="AN406" s="528"/>
      <c r="AO406" s="496"/>
      <c r="AP406" s="528"/>
      <c r="AQ406" s="496"/>
      <c r="AR406" s="528"/>
      <c r="AS406" s="496"/>
      <c r="AT406" s="528"/>
      <c r="AU406" s="496"/>
      <c r="AV406" s="640">
        <f t="shared" si="138"/>
        <v>0</v>
      </c>
      <c r="AW406" s="640">
        <f t="shared" si="139"/>
        <v>0</v>
      </c>
      <c r="AX406" s="641">
        <f t="shared" si="140"/>
        <v>0</v>
      </c>
      <c r="AY406" s="641">
        <f t="shared" si="141"/>
        <v>0</v>
      </c>
      <c r="AZ406" s="640">
        <f t="shared" si="142"/>
        <v>421.8</v>
      </c>
      <c r="BA406" s="641">
        <f t="shared" si="143"/>
        <v>440.6</v>
      </c>
    </row>
    <row r="407" spans="1:53" s="365" customFormat="1" ht="12.6" customHeight="1">
      <c r="A407" s="423" t="s">
        <v>489</v>
      </c>
      <c r="B407" s="424" t="s">
        <v>515</v>
      </c>
      <c r="C407" s="425"/>
      <c r="D407" s="626">
        <v>217837</v>
      </c>
      <c r="E407" s="524">
        <v>10</v>
      </c>
      <c r="F407" s="495"/>
      <c r="G407" s="496"/>
      <c r="H407" s="528"/>
      <c r="I407" s="496"/>
      <c r="J407" s="528">
        <v>11735</v>
      </c>
      <c r="K407" s="496">
        <v>11134</v>
      </c>
      <c r="L407" s="528">
        <v>5252</v>
      </c>
      <c r="M407" s="496">
        <v>6085</v>
      </c>
      <c r="N407" s="528">
        <v>11705</v>
      </c>
      <c r="O407" s="496">
        <v>13076</v>
      </c>
      <c r="P407" s="640">
        <f t="shared" si="126"/>
        <v>28692</v>
      </c>
      <c r="Q407" s="640">
        <f t="shared" si="127"/>
        <v>956.4</v>
      </c>
      <c r="R407" s="641">
        <f t="shared" si="128"/>
        <v>30295</v>
      </c>
      <c r="S407" s="641">
        <f t="shared" si="129"/>
        <v>1009.8333333333334</v>
      </c>
      <c r="T407" s="528">
        <v>6757</v>
      </c>
      <c r="U407" s="496">
        <v>8756</v>
      </c>
      <c r="V407" s="640">
        <f t="shared" si="130"/>
        <v>28692</v>
      </c>
      <c r="W407" s="641">
        <f t="shared" si="131"/>
        <v>30295</v>
      </c>
      <c r="X407" s="528"/>
      <c r="Y407" s="496"/>
      <c r="Z407" s="528"/>
      <c r="AA407" s="496"/>
      <c r="AB407" s="528"/>
      <c r="AC407" s="496"/>
      <c r="AD407" s="528"/>
      <c r="AE407" s="496"/>
      <c r="AF407" s="640">
        <f t="shared" si="132"/>
        <v>0</v>
      </c>
      <c r="AG407" s="640">
        <f t="shared" si="133"/>
        <v>0</v>
      </c>
      <c r="AH407" s="641">
        <f t="shared" si="134"/>
        <v>0</v>
      </c>
      <c r="AI407" s="641">
        <f t="shared" si="135"/>
        <v>0</v>
      </c>
      <c r="AJ407" s="528"/>
      <c r="AK407" s="496"/>
      <c r="AL407" s="640">
        <f t="shared" si="136"/>
        <v>0</v>
      </c>
      <c r="AM407" s="641">
        <f t="shared" si="137"/>
        <v>0</v>
      </c>
      <c r="AN407" s="528"/>
      <c r="AO407" s="496"/>
      <c r="AP407" s="528"/>
      <c r="AQ407" s="496"/>
      <c r="AR407" s="528"/>
      <c r="AS407" s="496"/>
      <c r="AT407" s="528"/>
      <c r="AU407" s="496"/>
      <c r="AV407" s="640">
        <f t="shared" si="138"/>
        <v>0</v>
      </c>
      <c r="AW407" s="640">
        <f t="shared" si="139"/>
        <v>0</v>
      </c>
      <c r="AX407" s="641">
        <f t="shared" si="140"/>
        <v>0</v>
      </c>
      <c r="AY407" s="641">
        <f t="shared" si="141"/>
        <v>0</v>
      </c>
      <c r="AZ407" s="640">
        <f t="shared" si="142"/>
        <v>956.4</v>
      </c>
      <c r="BA407" s="641">
        <f t="shared" si="143"/>
        <v>1009.8333333333334</v>
      </c>
    </row>
    <row r="408" spans="1:53" s="365" customFormat="1" ht="12.6" customHeight="1">
      <c r="A408" s="423" t="s">
        <v>489</v>
      </c>
      <c r="B408" s="424" t="s">
        <v>511</v>
      </c>
      <c r="C408" s="444"/>
      <c r="D408" s="626">
        <v>218487</v>
      </c>
      <c r="E408" s="524">
        <v>10</v>
      </c>
      <c r="F408" s="495"/>
      <c r="G408" s="496"/>
      <c r="H408" s="528"/>
      <c r="I408" s="496"/>
      <c r="J408" s="528">
        <v>20317</v>
      </c>
      <c r="K408" s="496">
        <v>18433</v>
      </c>
      <c r="L408" s="528">
        <v>8554</v>
      </c>
      <c r="M408" s="496">
        <v>9334</v>
      </c>
      <c r="N408" s="528">
        <v>19487</v>
      </c>
      <c r="O408" s="496">
        <v>19188</v>
      </c>
      <c r="P408" s="640">
        <f t="shared" si="126"/>
        <v>48358</v>
      </c>
      <c r="Q408" s="640">
        <f t="shared" si="127"/>
        <v>1611.9333333333334</v>
      </c>
      <c r="R408" s="641">
        <f t="shared" si="128"/>
        <v>46955</v>
      </c>
      <c r="S408" s="641">
        <f t="shared" si="129"/>
        <v>1565.1666666666667</v>
      </c>
      <c r="T408" s="528">
        <v>8319</v>
      </c>
      <c r="U408" s="496">
        <v>8702</v>
      </c>
      <c r="V408" s="640">
        <f t="shared" si="130"/>
        <v>48358</v>
      </c>
      <c r="W408" s="641">
        <f t="shared" si="131"/>
        <v>46955</v>
      </c>
      <c r="X408" s="528"/>
      <c r="Y408" s="496"/>
      <c r="Z408" s="528"/>
      <c r="AA408" s="496"/>
      <c r="AB408" s="528"/>
      <c r="AC408" s="496"/>
      <c r="AD408" s="528"/>
      <c r="AE408" s="496"/>
      <c r="AF408" s="640">
        <f t="shared" si="132"/>
        <v>0</v>
      </c>
      <c r="AG408" s="640">
        <f t="shared" si="133"/>
        <v>0</v>
      </c>
      <c r="AH408" s="641">
        <f t="shared" si="134"/>
        <v>0</v>
      </c>
      <c r="AI408" s="641">
        <f t="shared" si="135"/>
        <v>0</v>
      </c>
      <c r="AJ408" s="528"/>
      <c r="AK408" s="496"/>
      <c r="AL408" s="640">
        <f t="shared" si="136"/>
        <v>0</v>
      </c>
      <c r="AM408" s="641">
        <f t="shared" si="137"/>
        <v>0</v>
      </c>
      <c r="AN408" s="528"/>
      <c r="AO408" s="496"/>
      <c r="AP408" s="528"/>
      <c r="AQ408" s="496"/>
      <c r="AR408" s="528"/>
      <c r="AS408" s="496"/>
      <c r="AT408" s="528"/>
      <c r="AU408" s="496"/>
      <c r="AV408" s="640">
        <f t="shared" si="138"/>
        <v>0</v>
      </c>
      <c r="AW408" s="640">
        <f t="shared" si="139"/>
        <v>0</v>
      </c>
      <c r="AX408" s="641">
        <f t="shared" si="140"/>
        <v>0</v>
      </c>
      <c r="AY408" s="641">
        <f t="shared" si="141"/>
        <v>0</v>
      </c>
      <c r="AZ408" s="640">
        <f t="shared" si="142"/>
        <v>1611.9333333333334</v>
      </c>
      <c r="BA408" s="641">
        <f t="shared" si="143"/>
        <v>1565.1666666666667</v>
      </c>
    </row>
    <row r="409" spans="1:53" s="365" customFormat="1" ht="12.6" customHeight="1">
      <c r="A409" s="423" t="s">
        <v>489</v>
      </c>
      <c r="B409" s="424" t="s">
        <v>516</v>
      </c>
      <c r="C409" s="425"/>
      <c r="D409" s="626">
        <v>217712</v>
      </c>
      <c r="E409" s="524">
        <v>10</v>
      </c>
      <c r="F409" s="495"/>
      <c r="G409" s="496"/>
      <c r="H409" s="528"/>
      <c r="I409" s="496"/>
      <c r="J409" s="528">
        <v>17906</v>
      </c>
      <c r="K409" s="496">
        <v>15986</v>
      </c>
      <c r="L409" s="528">
        <v>7258</v>
      </c>
      <c r="M409" s="496">
        <v>6393</v>
      </c>
      <c r="N409" s="528">
        <v>17633</v>
      </c>
      <c r="O409" s="496">
        <v>16578</v>
      </c>
      <c r="P409" s="640">
        <f t="shared" si="126"/>
        <v>42797</v>
      </c>
      <c r="Q409" s="640">
        <f t="shared" si="127"/>
        <v>1426.5666666666666</v>
      </c>
      <c r="R409" s="641">
        <f t="shared" si="128"/>
        <v>38957</v>
      </c>
      <c r="S409" s="641">
        <f t="shared" si="129"/>
        <v>1298.5666666666666</v>
      </c>
      <c r="T409" s="528">
        <v>5341</v>
      </c>
      <c r="U409" s="496">
        <v>6020</v>
      </c>
      <c r="V409" s="640">
        <f t="shared" si="130"/>
        <v>42797</v>
      </c>
      <c r="W409" s="641">
        <f t="shared" si="131"/>
        <v>38957</v>
      </c>
      <c r="X409" s="528"/>
      <c r="Y409" s="496"/>
      <c r="Z409" s="528"/>
      <c r="AA409" s="496"/>
      <c r="AB409" s="528"/>
      <c r="AC409" s="496"/>
      <c r="AD409" s="528"/>
      <c r="AE409" s="496"/>
      <c r="AF409" s="640">
        <f t="shared" si="132"/>
        <v>0</v>
      </c>
      <c r="AG409" s="640">
        <f t="shared" si="133"/>
        <v>0</v>
      </c>
      <c r="AH409" s="641">
        <f t="shared" si="134"/>
        <v>0</v>
      </c>
      <c r="AI409" s="641">
        <f t="shared" si="135"/>
        <v>0</v>
      </c>
      <c r="AJ409" s="528"/>
      <c r="AK409" s="496"/>
      <c r="AL409" s="640">
        <f t="shared" si="136"/>
        <v>0</v>
      </c>
      <c r="AM409" s="641">
        <f t="shared" si="137"/>
        <v>0</v>
      </c>
      <c r="AN409" s="528"/>
      <c r="AO409" s="496"/>
      <c r="AP409" s="528"/>
      <c r="AQ409" s="496"/>
      <c r="AR409" s="528"/>
      <c r="AS409" s="496"/>
      <c r="AT409" s="528"/>
      <c r="AU409" s="496"/>
      <c r="AV409" s="640">
        <f t="shared" si="138"/>
        <v>0</v>
      </c>
      <c r="AW409" s="640">
        <f t="shared" si="139"/>
        <v>0</v>
      </c>
      <c r="AX409" s="641">
        <f t="shared" si="140"/>
        <v>0</v>
      </c>
      <c r="AY409" s="641">
        <f t="shared" si="141"/>
        <v>0</v>
      </c>
      <c r="AZ409" s="640">
        <f t="shared" si="142"/>
        <v>1426.5666666666666</v>
      </c>
      <c r="BA409" s="641">
        <f t="shared" si="143"/>
        <v>1298.5666666666666</v>
      </c>
    </row>
    <row r="410" spans="1:53" s="365" customFormat="1" ht="12.6" customHeight="1">
      <c r="A410" s="423" t="s">
        <v>489</v>
      </c>
      <c r="B410" s="424" t="s">
        <v>517</v>
      </c>
      <c r="C410" s="425"/>
      <c r="D410" s="626">
        <v>218672</v>
      </c>
      <c r="E410" s="524">
        <v>10</v>
      </c>
      <c r="F410" s="495"/>
      <c r="G410" s="496"/>
      <c r="H410" s="528"/>
      <c r="I410" s="496"/>
      <c r="J410" s="528">
        <v>14692</v>
      </c>
      <c r="K410" s="496">
        <v>15675</v>
      </c>
      <c r="L410" s="528">
        <v>3448</v>
      </c>
      <c r="M410" s="496">
        <v>3092</v>
      </c>
      <c r="N410" s="528">
        <v>17416</v>
      </c>
      <c r="O410" s="496">
        <v>17140</v>
      </c>
      <c r="P410" s="640">
        <f t="shared" si="126"/>
        <v>35556</v>
      </c>
      <c r="Q410" s="640">
        <f t="shared" si="127"/>
        <v>1185.2</v>
      </c>
      <c r="R410" s="641">
        <f t="shared" si="128"/>
        <v>35907</v>
      </c>
      <c r="S410" s="641">
        <f t="shared" si="129"/>
        <v>1196.9000000000001</v>
      </c>
      <c r="T410" s="528">
        <v>13210</v>
      </c>
      <c r="U410" s="496">
        <v>14619</v>
      </c>
      <c r="V410" s="640">
        <f t="shared" si="130"/>
        <v>35556</v>
      </c>
      <c r="W410" s="641">
        <f t="shared" si="131"/>
        <v>35907</v>
      </c>
      <c r="X410" s="528"/>
      <c r="Y410" s="496"/>
      <c r="Z410" s="528"/>
      <c r="AA410" s="496"/>
      <c r="AB410" s="528"/>
      <c r="AC410" s="496"/>
      <c r="AD410" s="528"/>
      <c r="AE410" s="496"/>
      <c r="AF410" s="640">
        <f t="shared" si="132"/>
        <v>0</v>
      </c>
      <c r="AG410" s="640">
        <f t="shared" si="133"/>
        <v>0</v>
      </c>
      <c r="AH410" s="641">
        <f t="shared" si="134"/>
        <v>0</v>
      </c>
      <c r="AI410" s="641">
        <f t="shared" si="135"/>
        <v>0</v>
      </c>
      <c r="AJ410" s="528"/>
      <c r="AK410" s="496"/>
      <c r="AL410" s="640">
        <f t="shared" si="136"/>
        <v>0</v>
      </c>
      <c r="AM410" s="641">
        <f t="shared" si="137"/>
        <v>0</v>
      </c>
      <c r="AN410" s="528"/>
      <c r="AO410" s="496"/>
      <c r="AP410" s="528"/>
      <c r="AQ410" s="496"/>
      <c r="AR410" s="528"/>
      <c r="AS410" s="496"/>
      <c r="AT410" s="528"/>
      <c r="AU410" s="496"/>
      <c r="AV410" s="640">
        <f t="shared" si="138"/>
        <v>0</v>
      </c>
      <c r="AW410" s="640">
        <f t="shared" si="139"/>
        <v>0</v>
      </c>
      <c r="AX410" s="641">
        <f t="shared" si="140"/>
        <v>0</v>
      </c>
      <c r="AY410" s="641">
        <f t="shared" si="141"/>
        <v>0</v>
      </c>
      <c r="AZ410" s="640">
        <f t="shared" si="142"/>
        <v>1185.2</v>
      </c>
      <c r="BA410" s="641">
        <f t="shared" si="143"/>
        <v>1196.9000000000001</v>
      </c>
    </row>
    <row r="411" spans="1:53" s="365" customFormat="1" ht="12.6" customHeight="1">
      <c r="A411" s="423" t="s">
        <v>489</v>
      </c>
      <c r="B411" s="424" t="s">
        <v>518</v>
      </c>
      <c r="C411" s="425"/>
      <c r="D411" s="626">
        <v>218681</v>
      </c>
      <c r="E411" s="524">
        <v>10</v>
      </c>
      <c r="F411" s="495"/>
      <c r="G411" s="496"/>
      <c r="H411" s="528"/>
      <c r="I411" s="496"/>
      <c r="J411" s="528">
        <v>8338</v>
      </c>
      <c r="K411" s="496">
        <v>8220</v>
      </c>
      <c r="L411" s="528">
        <v>1108</v>
      </c>
      <c r="M411" s="496">
        <v>1141</v>
      </c>
      <c r="N411" s="528">
        <v>9621</v>
      </c>
      <c r="O411" s="496">
        <v>7999</v>
      </c>
      <c r="P411" s="640">
        <f t="shared" si="126"/>
        <v>19067</v>
      </c>
      <c r="Q411" s="640">
        <f t="shared" si="127"/>
        <v>635.56666666666672</v>
      </c>
      <c r="R411" s="641">
        <f t="shared" si="128"/>
        <v>17360</v>
      </c>
      <c r="S411" s="641">
        <f t="shared" si="129"/>
        <v>578.66666666666663</v>
      </c>
      <c r="T411" s="528">
        <v>5828</v>
      </c>
      <c r="U411" s="496">
        <v>5424</v>
      </c>
      <c r="V411" s="640">
        <f t="shared" si="130"/>
        <v>19067</v>
      </c>
      <c r="W411" s="641">
        <f t="shared" si="131"/>
        <v>17360</v>
      </c>
      <c r="X411" s="528"/>
      <c r="Y411" s="496"/>
      <c r="Z411" s="528"/>
      <c r="AA411" s="496"/>
      <c r="AB411" s="528"/>
      <c r="AC411" s="496"/>
      <c r="AD411" s="528"/>
      <c r="AE411" s="496"/>
      <c r="AF411" s="640">
        <f t="shared" si="132"/>
        <v>0</v>
      </c>
      <c r="AG411" s="640">
        <f t="shared" si="133"/>
        <v>0</v>
      </c>
      <c r="AH411" s="641">
        <f t="shared" si="134"/>
        <v>0</v>
      </c>
      <c r="AI411" s="641">
        <f t="shared" si="135"/>
        <v>0</v>
      </c>
      <c r="AJ411" s="528"/>
      <c r="AK411" s="496"/>
      <c r="AL411" s="640">
        <f t="shared" si="136"/>
        <v>0</v>
      </c>
      <c r="AM411" s="641">
        <f t="shared" si="137"/>
        <v>0</v>
      </c>
      <c r="AN411" s="528"/>
      <c r="AO411" s="496"/>
      <c r="AP411" s="528"/>
      <c r="AQ411" s="496"/>
      <c r="AR411" s="528"/>
      <c r="AS411" s="496"/>
      <c r="AT411" s="528"/>
      <c r="AU411" s="496"/>
      <c r="AV411" s="640">
        <f t="shared" si="138"/>
        <v>0</v>
      </c>
      <c r="AW411" s="640">
        <f t="shared" si="139"/>
        <v>0</v>
      </c>
      <c r="AX411" s="641">
        <f t="shared" si="140"/>
        <v>0</v>
      </c>
      <c r="AY411" s="641">
        <f t="shared" si="141"/>
        <v>0</v>
      </c>
      <c r="AZ411" s="640">
        <f t="shared" si="142"/>
        <v>635.56666666666672</v>
      </c>
      <c r="BA411" s="641">
        <f t="shared" si="143"/>
        <v>578.66666666666663</v>
      </c>
    </row>
    <row r="412" spans="1:53" s="365" customFormat="1" ht="12.6" customHeight="1">
      <c r="A412" s="423" t="s">
        <v>489</v>
      </c>
      <c r="B412" s="424" t="s">
        <v>519</v>
      </c>
      <c r="C412" s="445"/>
      <c r="D412" s="626">
        <v>218690</v>
      </c>
      <c r="E412" s="524">
        <v>10</v>
      </c>
      <c r="F412" s="495"/>
      <c r="G412" s="496"/>
      <c r="H412" s="528"/>
      <c r="I412" s="496"/>
      <c r="J412" s="528">
        <v>10821</v>
      </c>
      <c r="K412" s="496">
        <v>10326</v>
      </c>
      <c r="L412" s="528">
        <v>1831</v>
      </c>
      <c r="M412" s="496">
        <v>1553</v>
      </c>
      <c r="N412" s="528">
        <v>12496</v>
      </c>
      <c r="O412" s="496">
        <v>12736</v>
      </c>
      <c r="P412" s="640">
        <f t="shared" si="126"/>
        <v>25148</v>
      </c>
      <c r="Q412" s="640">
        <f t="shared" si="127"/>
        <v>838.26666666666665</v>
      </c>
      <c r="R412" s="641">
        <f t="shared" si="128"/>
        <v>24615</v>
      </c>
      <c r="S412" s="641">
        <f t="shared" si="129"/>
        <v>820.5</v>
      </c>
      <c r="T412" s="528">
        <v>9035</v>
      </c>
      <c r="U412" s="496">
        <v>9594</v>
      </c>
      <c r="V412" s="640">
        <f t="shared" si="130"/>
        <v>25148</v>
      </c>
      <c r="W412" s="641">
        <f t="shared" si="131"/>
        <v>24615</v>
      </c>
      <c r="X412" s="528"/>
      <c r="Y412" s="496"/>
      <c r="Z412" s="528"/>
      <c r="AA412" s="496"/>
      <c r="AB412" s="528"/>
      <c r="AC412" s="496"/>
      <c r="AD412" s="528"/>
      <c r="AE412" s="496"/>
      <c r="AF412" s="640">
        <f t="shared" si="132"/>
        <v>0</v>
      </c>
      <c r="AG412" s="640">
        <f t="shared" si="133"/>
        <v>0</v>
      </c>
      <c r="AH412" s="641">
        <f t="shared" si="134"/>
        <v>0</v>
      </c>
      <c r="AI412" s="641">
        <f t="shared" si="135"/>
        <v>0</v>
      </c>
      <c r="AJ412" s="528"/>
      <c r="AK412" s="496"/>
      <c r="AL412" s="640">
        <f t="shared" si="136"/>
        <v>0</v>
      </c>
      <c r="AM412" s="641">
        <f t="shared" si="137"/>
        <v>0</v>
      </c>
      <c r="AN412" s="528"/>
      <c r="AO412" s="496"/>
      <c r="AP412" s="528"/>
      <c r="AQ412" s="496"/>
      <c r="AR412" s="528"/>
      <c r="AS412" s="496"/>
      <c r="AT412" s="528"/>
      <c r="AU412" s="496"/>
      <c r="AV412" s="640">
        <f t="shared" si="138"/>
        <v>0</v>
      </c>
      <c r="AW412" s="640">
        <f t="shared" si="139"/>
        <v>0</v>
      </c>
      <c r="AX412" s="641">
        <f t="shared" si="140"/>
        <v>0</v>
      </c>
      <c r="AY412" s="641">
        <f t="shared" si="141"/>
        <v>0</v>
      </c>
      <c r="AZ412" s="640">
        <f t="shared" si="142"/>
        <v>838.26666666666665</v>
      </c>
      <c r="BA412" s="641">
        <f t="shared" si="143"/>
        <v>820.5</v>
      </c>
    </row>
    <row r="413" spans="1:53" s="365" customFormat="1" ht="12.6" customHeight="1">
      <c r="A413" s="423" t="s">
        <v>489</v>
      </c>
      <c r="B413" s="424" t="s">
        <v>520</v>
      </c>
      <c r="C413" s="445"/>
      <c r="D413" s="626">
        <v>218706</v>
      </c>
      <c r="E413" s="524">
        <v>10</v>
      </c>
      <c r="F413" s="495"/>
      <c r="G413" s="496"/>
      <c r="H413" s="528"/>
      <c r="I413" s="496"/>
      <c r="J413" s="528">
        <v>10067</v>
      </c>
      <c r="K413" s="496">
        <v>9521</v>
      </c>
      <c r="L413" s="528">
        <v>835</v>
      </c>
      <c r="M413" s="496">
        <v>698</v>
      </c>
      <c r="N413" s="528">
        <v>9495</v>
      </c>
      <c r="O413" s="496">
        <v>10977</v>
      </c>
      <c r="P413" s="640">
        <f t="shared" si="126"/>
        <v>20397</v>
      </c>
      <c r="Q413" s="640">
        <f t="shared" si="127"/>
        <v>679.9</v>
      </c>
      <c r="R413" s="641">
        <f t="shared" si="128"/>
        <v>21196</v>
      </c>
      <c r="S413" s="641">
        <f t="shared" si="129"/>
        <v>706.5333333333333</v>
      </c>
      <c r="T413" s="528">
        <v>11620</v>
      </c>
      <c r="U413" s="496">
        <v>13190</v>
      </c>
      <c r="V413" s="640">
        <f t="shared" si="130"/>
        <v>20397</v>
      </c>
      <c r="W413" s="641">
        <f t="shared" si="131"/>
        <v>21196</v>
      </c>
      <c r="X413" s="528"/>
      <c r="Y413" s="496"/>
      <c r="Z413" s="528"/>
      <c r="AA413" s="496"/>
      <c r="AB413" s="528"/>
      <c r="AC413" s="496"/>
      <c r="AD413" s="528"/>
      <c r="AE413" s="496"/>
      <c r="AF413" s="640">
        <f t="shared" si="132"/>
        <v>0</v>
      </c>
      <c r="AG413" s="640">
        <f t="shared" si="133"/>
        <v>0</v>
      </c>
      <c r="AH413" s="641">
        <f t="shared" si="134"/>
        <v>0</v>
      </c>
      <c r="AI413" s="641">
        <f t="shared" si="135"/>
        <v>0</v>
      </c>
      <c r="AJ413" s="528"/>
      <c r="AK413" s="496"/>
      <c r="AL413" s="640">
        <f t="shared" si="136"/>
        <v>0</v>
      </c>
      <c r="AM413" s="641">
        <f t="shared" si="137"/>
        <v>0</v>
      </c>
      <c r="AN413" s="528"/>
      <c r="AO413" s="496"/>
      <c r="AP413" s="528"/>
      <c r="AQ413" s="496"/>
      <c r="AR413" s="528"/>
      <c r="AS413" s="496"/>
      <c r="AT413" s="528"/>
      <c r="AU413" s="496"/>
      <c r="AV413" s="640">
        <f t="shared" si="138"/>
        <v>0</v>
      </c>
      <c r="AW413" s="640">
        <f t="shared" si="139"/>
        <v>0</v>
      </c>
      <c r="AX413" s="641">
        <f t="shared" si="140"/>
        <v>0</v>
      </c>
      <c r="AY413" s="641">
        <f t="shared" si="141"/>
        <v>0</v>
      </c>
      <c r="AZ413" s="640">
        <f t="shared" si="142"/>
        <v>679.9</v>
      </c>
      <c r="BA413" s="641">
        <f t="shared" si="143"/>
        <v>706.5333333333333</v>
      </c>
    </row>
    <row r="414" spans="1:53" s="365" customFormat="1" ht="12.6" customHeight="1">
      <c r="A414" s="423" t="s">
        <v>489</v>
      </c>
      <c r="B414" s="428" t="s">
        <v>811</v>
      </c>
      <c r="C414" s="445"/>
      <c r="D414" s="626">
        <v>218955</v>
      </c>
      <c r="E414" s="524">
        <v>10</v>
      </c>
      <c r="F414" s="495"/>
      <c r="G414" s="496"/>
      <c r="H414" s="528"/>
      <c r="I414" s="496"/>
      <c r="J414" s="528">
        <v>5983</v>
      </c>
      <c r="K414" s="496">
        <v>4732</v>
      </c>
      <c r="L414" s="528">
        <v>2595</v>
      </c>
      <c r="M414" s="496">
        <v>2327</v>
      </c>
      <c r="N414" s="528">
        <v>5268</v>
      </c>
      <c r="O414" s="496">
        <v>4474</v>
      </c>
      <c r="P414" s="640">
        <f t="shared" si="126"/>
        <v>13846</v>
      </c>
      <c r="Q414" s="640">
        <f t="shared" si="127"/>
        <v>461.53333333333336</v>
      </c>
      <c r="R414" s="641">
        <f t="shared" si="128"/>
        <v>11533</v>
      </c>
      <c r="S414" s="641">
        <f t="shared" si="129"/>
        <v>384.43333333333334</v>
      </c>
      <c r="T414" s="528">
        <v>4189</v>
      </c>
      <c r="U414" s="496">
        <v>2482</v>
      </c>
      <c r="V414" s="640">
        <f t="shared" si="130"/>
        <v>13846</v>
      </c>
      <c r="W414" s="641">
        <f t="shared" si="131"/>
        <v>11533</v>
      </c>
      <c r="X414" s="528"/>
      <c r="Y414" s="496"/>
      <c r="Z414" s="528"/>
      <c r="AA414" s="496"/>
      <c r="AB414" s="528"/>
      <c r="AC414" s="496"/>
      <c r="AD414" s="528"/>
      <c r="AE414" s="496"/>
      <c r="AF414" s="640">
        <f t="shared" si="132"/>
        <v>0</v>
      </c>
      <c r="AG414" s="640">
        <f t="shared" si="133"/>
        <v>0</v>
      </c>
      <c r="AH414" s="641">
        <f t="shared" si="134"/>
        <v>0</v>
      </c>
      <c r="AI414" s="641">
        <f t="shared" si="135"/>
        <v>0</v>
      </c>
      <c r="AJ414" s="528"/>
      <c r="AK414" s="496"/>
      <c r="AL414" s="640">
        <f t="shared" si="136"/>
        <v>0</v>
      </c>
      <c r="AM414" s="641">
        <f t="shared" si="137"/>
        <v>0</v>
      </c>
      <c r="AN414" s="528"/>
      <c r="AO414" s="496"/>
      <c r="AP414" s="528"/>
      <c r="AQ414" s="496"/>
      <c r="AR414" s="528"/>
      <c r="AS414" s="496"/>
      <c r="AT414" s="528"/>
      <c r="AU414" s="496"/>
      <c r="AV414" s="640">
        <f t="shared" si="138"/>
        <v>0</v>
      </c>
      <c r="AW414" s="640">
        <f t="shared" si="139"/>
        <v>0</v>
      </c>
      <c r="AX414" s="641">
        <f t="shared" si="140"/>
        <v>0</v>
      </c>
      <c r="AY414" s="641">
        <f t="shared" si="141"/>
        <v>0</v>
      </c>
      <c r="AZ414" s="640">
        <f t="shared" si="142"/>
        <v>461.53333333333336</v>
      </c>
      <c r="BA414" s="641">
        <f t="shared" si="143"/>
        <v>384.43333333333334</v>
      </c>
    </row>
    <row r="415" spans="1:53" s="365" customFormat="1" ht="12.6" customHeight="1">
      <c r="A415" s="429" t="s">
        <v>359</v>
      </c>
      <c r="B415" s="413" t="s">
        <v>360</v>
      </c>
      <c r="C415" s="414"/>
      <c r="D415" s="619">
        <v>220862</v>
      </c>
      <c r="E415" s="494">
        <v>1</v>
      </c>
      <c r="F415" s="495"/>
      <c r="G415" s="496"/>
      <c r="H415" s="495"/>
      <c r="I415" s="496"/>
      <c r="J415" s="495">
        <v>187171</v>
      </c>
      <c r="K415" s="496">
        <v>179591</v>
      </c>
      <c r="L415" s="495">
        <v>33100</v>
      </c>
      <c r="M415" s="496">
        <v>30308</v>
      </c>
      <c r="N415" s="495">
        <v>206590</v>
      </c>
      <c r="O415" s="496">
        <v>200941</v>
      </c>
      <c r="P415" s="640">
        <f t="shared" si="126"/>
        <v>426861</v>
      </c>
      <c r="Q415" s="640">
        <f t="shared" si="127"/>
        <v>14228.7</v>
      </c>
      <c r="R415" s="641">
        <f t="shared" si="128"/>
        <v>410840</v>
      </c>
      <c r="S415" s="641">
        <f t="shared" si="129"/>
        <v>13694.666666666666</v>
      </c>
      <c r="T415" s="495">
        <v>14172</v>
      </c>
      <c r="U415" s="496">
        <v>15870</v>
      </c>
      <c r="V415" s="640">
        <f t="shared" si="130"/>
        <v>426861</v>
      </c>
      <c r="W415" s="641">
        <f t="shared" si="131"/>
        <v>410840</v>
      </c>
      <c r="X415" s="495"/>
      <c r="Y415" s="496"/>
      <c r="Z415" s="495"/>
      <c r="AA415" s="496"/>
      <c r="AB415" s="495"/>
      <c r="AC415" s="496"/>
      <c r="AD415" s="495"/>
      <c r="AE415" s="496"/>
      <c r="AF415" s="640">
        <f t="shared" si="132"/>
        <v>0</v>
      </c>
      <c r="AG415" s="640">
        <f t="shared" si="133"/>
        <v>0</v>
      </c>
      <c r="AH415" s="641">
        <f t="shared" si="134"/>
        <v>0</v>
      </c>
      <c r="AI415" s="641">
        <f t="shared" si="135"/>
        <v>0</v>
      </c>
      <c r="AJ415" s="495"/>
      <c r="AK415" s="496"/>
      <c r="AL415" s="640">
        <f t="shared" si="136"/>
        <v>0</v>
      </c>
      <c r="AM415" s="641">
        <f t="shared" si="137"/>
        <v>0</v>
      </c>
      <c r="AN415" s="495"/>
      <c r="AO415" s="496"/>
      <c r="AP415" s="495">
        <v>31141</v>
      </c>
      <c r="AQ415" s="496">
        <v>34743</v>
      </c>
      <c r="AR415" s="495">
        <v>8491</v>
      </c>
      <c r="AS415" s="496">
        <v>10043</v>
      </c>
      <c r="AT415" s="495">
        <v>35435</v>
      </c>
      <c r="AU415" s="496">
        <v>36758</v>
      </c>
      <c r="AV415" s="640">
        <f t="shared" si="138"/>
        <v>75067</v>
      </c>
      <c r="AW415" s="640">
        <f t="shared" si="139"/>
        <v>3127.7916666666665</v>
      </c>
      <c r="AX415" s="641">
        <f t="shared" si="140"/>
        <v>81544</v>
      </c>
      <c r="AY415" s="641">
        <f t="shared" si="141"/>
        <v>3397.6666666666665</v>
      </c>
      <c r="AZ415" s="640">
        <f t="shared" si="142"/>
        <v>17356.491666666669</v>
      </c>
      <c r="BA415" s="641">
        <f t="shared" si="143"/>
        <v>17092.333333333332</v>
      </c>
    </row>
    <row r="416" spans="1:53" s="365" customFormat="1" ht="12.6" customHeight="1">
      <c r="A416" s="429" t="s">
        <v>359</v>
      </c>
      <c r="B416" s="413" t="s">
        <v>361</v>
      </c>
      <c r="C416" s="415"/>
      <c r="D416" s="619">
        <v>221759</v>
      </c>
      <c r="E416" s="494">
        <v>1</v>
      </c>
      <c r="F416" s="495"/>
      <c r="G416" s="496"/>
      <c r="H416" s="495"/>
      <c r="I416" s="496"/>
      <c r="J416" s="495">
        <v>303943.5</v>
      </c>
      <c r="K416" s="496">
        <v>313374</v>
      </c>
      <c r="L416" s="495">
        <v>38517</v>
      </c>
      <c r="M416" s="496">
        <v>35428</v>
      </c>
      <c r="N416" s="495">
        <v>335338</v>
      </c>
      <c r="O416" s="496">
        <v>346951</v>
      </c>
      <c r="P416" s="640">
        <f t="shared" si="126"/>
        <v>677798.5</v>
      </c>
      <c r="Q416" s="640">
        <f t="shared" si="127"/>
        <v>22593.283333333333</v>
      </c>
      <c r="R416" s="641">
        <f t="shared" si="128"/>
        <v>695753</v>
      </c>
      <c r="S416" s="641">
        <f t="shared" si="129"/>
        <v>23191.766666666666</v>
      </c>
      <c r="T416" s="495">
        <v>131</v>
      </c>
      <c r="U416" s="496">
        <v>183</v>
      </c>
      <c r="V416" s="640">
        <f t="shared" si="130"/>
        <v>677798.5</v>
      </c>
      <c r="W416" s="641">
        <f t="shared" si="131"/>
        <v>695753</v>
      </c>
      <c r="X416" s="495"/>
      <c r="Y416" s="496"/>
      <c r="Z416" s="495"/>
      <c r="AA416" s="496"/>
      <c r="AB416" s="495"/>
      <c r="AC416" s="496"/>
      <c r="AD416" s="495"/>
      <c r="AE416" s="496"/>
      <c r="AF416" s="640">
        <f t="shared" si="132"/>
        <v>0</v>
      </c>
      <c r="AG416" s="640">
        <f t="shared" si="133"/>
        <v>0</v>
      </c>
      <c r="AH416" s="641">
        <f t="shared" si="134"/>
        <v>0</v>
      </c>
      <c r="AI416" s="641">
        <f t="shared" si="135"/>
        <v>0</v>
      </c>
      <c r="AJ416" s="495"/>
      <c r="AK416" s="496"/>
      <c r="AL416" s="640">
        <f t="shared" si="136"/>
        <v>0</v>
      </c>
      <c r="AM416" s="641">
        <f t="shared" si="137"/>
        <v>0</v>
      </c>
      <c r="AN416" s="495"/>
      <c r="AO416" s="496"/>
      <c r="AP416" s="495">
        <v>47721.5</v>
      </c>
      <c r="AQ416" s="496">
        <v>50078</v>
      </c>
      <c r="AR416" s="495">
        <v>17200</v>
      </c>
      <c r="AS416" s="496">
        <v>19402</v>
      </c>
      <c r="AT416" s="495">
        <v>52854.5</v>
      </c>
      <c r="AU416" s="496">
        <v>55129</v>
      </c>
      <c r="AV416" s="640">
        <f t="shared" si="138"/>
        <v>117776</v>
      </c>
      <c r="AW416" s="640">
        <f t="shared" si="139"/>
        <v>4907.333333333333</v>
      </c>
      <c r="AX416" s="641">
        <f t="shared" si="140"/>
        <v>124609</v>
      </c>
      <c r="AY416" s="641">
        <f t="shared" si="141"/>
        <v>5192.041666666667</v>
      </c>
      <c r="AZ416" s="640">
        <f t="shared" si="142"/>
        <v>27500.616666666665</v>
      </c>
      <c r="BA416" s="641">
        <f t="shared" si="143"/>
        <v>28383.808333333334</v>
      </c>
    </row>
    <row r="417" spans="1:53" s="365" customFormat="1" ht="12.6" customHeight="1">
      <c r="A417" s="429" t="s">
        <v>359</v>
      </c>
      <c r="B417" s="413" t="s">
        <v>362</v>
      </c>
      <c r="C417" s="414"/>
      <c r="D417" s="619">
        <v>220075</v>
      </c>
      <c r="E417" s="494">
        <v>2</v>
      </c>
      <c r="F417" s="495"/>
      <c r="G417" s="496"/>
      <c r="H417" s="495"/>
      <c r="I417" s="496"/>
      <c r="J417" s="495">
        <v>138142</v>
      </c>
      <c r="K417" s="496">
        <v>131346</v>
      </c>
      <c r="L417" s="495">
        <v>23686</v>
      </c>
      <c r="M417" s="496">
        <v>19976</v>
      </c>
      <c r="N417" s="495">
        <v>147230</v>
      </c>
      <c r="O417" s="496">
        <v>140950</v>
      </c>
      <c r="P417" s="640">
        <f t="shared" si="126"/>
        <v>309058</v>
      </c>
      <c r="Q417" s="640">
        <f t="shared" si="127"/>
        <v>10301.933333333332</v>
      </c>
      <c r="R417" s="641">
        <f t="shared" si="128"/>
        <v>292272</v>
      </c>
      <c r="S417" s="641">
        <f t="shared" si="129"/>
        <v>9742.4</v>
      </c>
      <c r="T417" s="495">
        <v>4023</v>
      </c>
      <c r="U417" s="496">
        <v>4220</v>
      </c>
      <c r="V417" s="640">
        <f t="shared" si="130"/>
        <v>309058</v>
      </c>
      <c r="W417" s="641">
        <f t="shared" si="131"/>
        <v>292272</v>
      </c>
      <c r="X417" s="495"/>
      <c r="Y417" s="496"/>
      <c r="Z417" s="495"/>
      <c r="AA417" s="496"/>
      <c r="AB417" s="495"/>
      <c r="AC417" s="496"/>
      <c r="AD417" s="495"/>
      <c r="AE417" s="496"/>
      <c r="AF417" s="640">
        <f t="shared" si="132"/>
        <v>0</v>
      </c>
      <c r="AG417" s="640">
        <f t="shared" si="133"/>
        <v>0</v>
      </c>
      <c r="AH417" s="641">
        <f t="shared" si="134"/>
        <v>0</v>
      </c>
      <c r="AI417" s="641">
        <f t="shared" si="135"/>
        <v>0</v>
      </c>
      <c r="AJ417" s="495"/>
      <c r="AK417" s="496"/>
      <c r="AL417" s="640">
        <f t="shared" si="136"/>
        <v>0</v>
      </c>
      <c r="AM417" s="641">
        <f t="shared" si="137"/>
        <v>0</v>
      </c>
      <c r="AN417" s="495"/>
      <c r="AO417" s="496"/>
      <c r="AP417" s="495">
        <v>19798.5</v>
      </c>
      <c r="AQ417" s="496">
        <v>19568</v>
      </c>
      <c r="AR417" s="495">
        <v>9036</v>
      </c>
      <c r="AS417" s="496">
        <v>8343</v>
      </c>
      <c r="AT417" s="495">
        <v>20529.5</v>
      </c>
      <c r="AU417" s="496">
        <v>20770</v>
      </c>
      <c r="AV417" s="640">
        <f t="shared" si="138"/>
        <v>49364</v>
      </c>
      <c r="AW417" s="640">
        <f t="shared" si="139"/>
        <v>2056.8333333333335</v>
      </c>
      <c r="AX417" s="641">
        <f t="shared" si="140"/>
        <v>48681</v>
      </c>
      <c r="AY417" s="641">
        <f t="shared" si="141"/>
        <v>2028.375</v>
      </c>
      <c r="AZ417" s="640">
        <f t="shared" si="142"/>
        <v>12358.766666666666</v>
      </c>
      <c r="BA417" s="641">
        <f t="shared" si="143"/>
        <v>11770.775</v>
      </c>
    </row>
    <row r="418" spans="1:53" s="365" customFormat="1" ht="12.6" customHeight="1">
      <c r="A418" s="429" t="s">
        <v>359</v>
      </c>
      <c r="B418" s="413" t="s">
        <v>365</v>
      </c>
      <c r="C418" s="446"/>
      <c r="D418" s="619">
        <v>220978</v>
      </c>
      <c r="E418" s="494">
        <v>2</v>
      </c>
      <c r="F418" s="495"/>
      <c r="G418" s="496"/>
      <c r="H418" s="495"/>
      <c r="I418" s="496"/>
      <c r="J418" s="495">
        <v>222766</v>
      </c>
      <c r="K418" s="496">
        <v>216883</v>
      </c>
      <c r="L418" s="495">
        <v>37417</v>
      </c>
      <c r="M418" s="496">
        <v>34403</v>
      </c>
      <c r="N418" s="495">
        <v>245294</v>
      </c>
      <c r="O418" s="496">
        <v>228573</v>
      </c>
      <c r="P418" s="640">
        <f t="shared" si="126"/>
        <v>505477</v>
      </c>
      <c r="Q418" s="640">
        <f t="shared" si="127"/>
        <v>16849.233333333334</v>
      </c>
      <c r="R418" s="641">
        <f t="shared" si="128"/>
        <v>479859</v>
      </c>
      <c r="S418" s="641">
        <f t="shared" si="129"/>
        <v>15995.3</v>
      </c>
      <c r="T418" s="495">
        <v>10218</v>
      </c>
      <c r="U418" s="496">
        <v>9300</v>
      </c>
      <c r="V418" s="640">
        <f t="shared" si="130"/>
        <v>505477</v>
      </c>
      <c r="W418" s="641">
        <f t="shared" si="131"/>
        <v>479859</v>
      </c>
      <c r="X418" s="495"/>
      <c r="Y418" s="496"/>
      <c r="Z418" s="495"/>
      <c r="AA418" s="496"/>
      <c r="AB418" s="495"/>
      <c r="AC418" s="496"/>
      <c r="AD418" s="495"/>
      <c r="AE418" s="496"/>
      <c r="AF418" s="640">
        <f t="shared" si="132"/>
        <v>0</v>
      </c>
      <c r="AG418" s="640">
        <f t="shared" si="133"/>
        <v>0</v>
      </c>
      <c r="AH418" s="641">
        <f t="shared" si="134"/>
        <v>0</v>
      </c>
      <c r="AI418" s="641">
        <f t="shared" si="135"/>
        <v>0</v>
      </c>
      <c r="AJ418" s="495"/>
      <c r="AK418" s="496"/>
      <c r="AL418" s="640">
        <f t="shared" si="136"/>
        <v>0</v>
      </c>
      <c r="AM418" s="641">
        <f t="shared" si="137"/>
        <v>0</v>
      </c>
      <c r="AN418" s="495"/>
      <c r="AO418" s="496"/>
      <c r="AP418" s="495">
        <v>14448</v>
      </c>
      <c r="AQ418" s="496">
        <v>19457</v>
      </c>
      <c r="AR418" s="495">
        <v>8055</v>
      </c>
      <c r="AS418" s="496">
        <v>10081</v>
      </c>
      <c r="AT418" s="495">
        <v>19209</v>
      </c>
      <c r="AU418" s="496">
        <v>19468</v>
      </c>
      <c r="AV418" s="640">
        <f t="shared" si="138"/>
        <v>41712</v>
      </c>
      <c r="AW418" s="640">
        <f t="shared" si="139"/>
        <v>1738</v>
      </c>
      <c r="AX418" s="641">
        <f t="shared" si="140"/>
        <v>49006</v>
      </c>
      <c r="AY418" s="641">
        <f t="shared" si="141"/>
        <v>2041.9166666666667</v>
      </c>
      <c r="AZ418" s="640">
        <f t="shared" si="142"/>
        <v>18587.233333333334</v>
      </c>
      <c r="BA418" s="641">
        <f t="shared" si="143"/>
        <v>18037.216666666667</v>
      </c>
    </row>
    <row r="419" spans="1:53" s="365" customFormat="1" ht="12.6" customHeight="1">
      <c r="A419" s="429" t="s">
        <v>359</v>
      </c>
      <c r="B419" s="413" t="s">
        <v>363</v>
      </c>
      <c r="C419" s="414"/>
      <c r="D419" s="619">
        <v>221838</v>
      </c>
      <c r="E419" s="494">
        <v>2</v>
      </c>
      <c r="F419" s="495"/>
      <c r="G419" s="496"/>
      <c r="H419" s="495"/>
      <c r="I419" s="496"/>
      <c r="J419" s="495">
        <v>66138</v>
      </c>
      <c r="K419" s="496">
        <v>61487</v>
      </c>
      <c r="L419" s="495">
        <v>9647</v>
      </c>
      <c r="M419" s="496">
        <v>11049</v>
      </c>
      <c r="N419" s="495">
        <v>79644</v>
      </c>
      <c r="O419" s="496">
        <v>81856</v>
      </c>
      <c r="P419" s="640">
        <f t="shared" si="126"/>
        <v>155429</v>
      </c>
      <c r="Q419" s="640">
        <f t="shared" si="127"/>
        <v>5180.9666666666662</v>
      </c>
      <c r="R419" s="641">
        <f t="shared" si="128"/>
        <v>154392</v>
      </c>
      <c r="S419" s="641">
        <f t="shared" si="129"/>
        <v>5146.3999999999996</v>
      </c>
      <c r="T419" s="495">
        <v>798</v>
      </c>
      <c r="U419" s="496">
        <v>564</v>
      </c>
      <c r="V419" s="640">
        <f t="shared" si="130"/>
        <v>155429</v>
      </c>
      <c r="W419" s="641">
        <f t="shared" si="131"/>
        <v>154392</v>
      </c>
      <c r="X419" s="495"/>
      <c r="Y419" s="496"/>
      <c r="Z419" s="495"/>
      <c r="AA419" s="496"/>
      <c r="AB419" s="495"/>
      <c r="AC419" s="496"/>
      <c r="AD419" s="495"/>
      <c r="AE419" s="496"/>
      <c r="AF419" s="640">
        <f t="shared" si="132"/>
        <v>0</v>
      </c>
      <c r="AG419" s="640">
        <f t="shared" si="133"/>
        <v>0</v>
      </c>
      <c r="AH419" s="641">
        <f t="shared" si="134"/>
        <v>0</v>
      </c>
      <c r="AI419" s="641">
        <f t="shared" si="135"/>
        <v>0</v>
      </c>
      <c r="AJ419" s="495"/>
      <c r="AK419" s="496"/>
      <c r="AL419" s="640">
        <f t="shared" si="136"/>
        <v>0</v>
      </c>
      <c r="AM419" s="641">
        <f t="shared" si="137"/>
        <v>0</v>
      </c>
      <c r="AN419" s="495"/>
      <c r="AO419" s="496"/>
      <c r="AP419" s="495">
        <v>9654</v>
      </c>
      <c r="AQ419" s="496">
        <v>10701</v>
      </c>
      <c r="AR419" s="495">
        <v>5334</v>
      </c>
      <c r="AS419" s="496">
        <v>6588</v>
      </c>
      <c r="AT419" s="495">
        <v>11751</v>
      </c>
      <c r="AU419" s="496">
        <v>12764</v>
      </c>
      <c r="AV419" s="640">
        <f t="shared" si="138"/>
        <v>26739</v>
      </c>
      <c r="AW419" s="640">
        <f t="shared" si="139"/>
        <v>1114.125</v>
      </c>
      <c r="AX419" s="641">
        <f t="shared" si="140"/>
        <v>30053</v>
      </c>
      <c r="AY419" s="641">
        <f t="shared" si="141"/>
        <v>1252.2083333333333</v>
      </c>
      <c r="AZ419" s="640">
        <f t="shared" si="142"/>
        <v>6295.0916666666662</v>
      </c>
      <c r="BA419" s="641">
        <f t="shared" si="143"/>
        <v>6398.6083333333327</v>
      </c>
    </row>
    <row r="420" spans="1:53" s="365" customFormat="1" ht="12.6" customHeight="1">
      <c r="A420" s="429" t="s">
        <v>359</v>
      </c>
      <c r="B420" s="413" t="s">
        <v>364</v>
      </c>
      <c r="C420" s="415"/>
      <c r="D420" s="619">
        <v>219602</v>
      </c>
      <c r="E420" s="494">
        <v>3</v>
      </c>
      <c r="F420" s="495"/>
      <c r="G420" s="496"/>
      <c r="H420" s="495"/>
      <c r="I420" s="496"/>
      <c r="J420" s="495">
        <v>109134</v>
      </c>
      <c r="K420" s="496">
        <v>97910</v>
      </c>
      <c r="L420" s="495">
        <v>18369</v>
      </c>
      <c r="M420" s="496">
        <v>17064</v>
      </c>
      <c r="N420" s="495">
        <v>110707</v>
      </c>
      <c r="O420" s="496">
        <v>100663</v>
      </c>
      <c r="P420" s="640">
        <f t="shared" si="126"/>
        <v>238210</v>
      </c>
      <c r="Q420" s="640">
        <f t="shared" si="127"/>
        <v>7940.333333333333</v>
      </c>
      <c r="R420" s="641">
        <f t="shared" si="128"/>
        <v>215637</v>
      </c>
      <c r="S420" s="641">
        <f t="shared" si="129"/>
        <v>7187.9</v>
      </c>
      <c r="T420" s="495">
        <v>10283</v>
      </c>
      <c r="U420" s="496">
        <v>10356</v>
      </c>
      <c r="V420" s="640">
        <f t="shared" si="130"/>
        <v>238210</v>
      </c>
      <c r="W420" s="641">
        <f t="shared" si="131"/>
        <v>215637</v>
      </c>
      <c r="X420" s="495"/>
      <c r="Y420" s="496"/>
      <c r="Z420" s="495"/>
      <c r="AA420" s="496"/>
      <c r="AB420" s="495"/>
      <c r="AC420" s="496"/>
      <c r="AD420" s="495"/>
      <c r="AE420" s="496"/>
      <c r="AF420" s="640">
        <f t="shared" si="132"/>
        <v>0</v>
      </c>
      <c r="AG420" s="640">
        <f t="shared" si="133"/>
        <v>0</v>
      </c>
      <c r="AH420" s="641">
        <f t="shared" si="134"/>
        <v>0</v>
      </c>
      <c r="AI420" s="641">
        <f t="shared" si="135"/>
        <v>0</v>
      </c>
      <c r="AJ420" s="495"/>
      <c r="AK420" s="496"/>
      <c r="AL420" s="640">
        <f t="shared" si="136"/>
        <v>0</v>
      </c>
      <c r="AM420" s="641">
        <f t="shared" si="137"/>
        <v>0</v>
      </c>
      <c r="AN420" s="495"/>
      <c r="AO420" s="496"/>
      <c r="AP420" s="495">
        <v>7396</v>
      </c>
      <c r="AQ420" s="496">
        <v>8822</v>
      </c>
      <c r="AR420" s="495">
        <v>3848</v>
      </c>
      <c r="AS420" s="496">
        <v>3350</v>
      </c>
      <c r="AT420" s="495">
        <v>9243</v>
      </c>
      <c r="AU420" s="496">
        <v>9317</v>
      </c>
      <c r="AV420" s="640">
        <f t="shared" si="138"/>
        <v>20487</v>
      </c>
      <c r="AW420" s="640">
        <f t="shared" si="139"/>
        <v>853.625</v>
      </c>
      <c r="AX420" s="641">
        <f t="shared" si="140"/>
        <v>21489</v>
      </c>
      <c r="AY420" s="641">
        <f t="shared" si="141"/>
        <v>895.375</v>
      </c>
      <c r="AZ420" s="640">
        <f t="shared" si="142"/>
        <v>8793.9583333333321</v>
      </c>
      <c r="BA420" s="641">
        <f t="shared" si="143"/>
        <v>8083.2749999999996</v>
      </c>
    </row>
    <row r="421" spans="1:53" s="365" customFormat="1" ht="12.6" customHeight="1">
      <c r="A421" s="429" t="s">
        <v>359</v>
      </c>
      <c r="B421" s="413" t="s">
        <v>366</v>
      </c>
      <c r="C421" s="447"/>
      <c r="D421" s="619">
        <v>221847</v>
      </c>
      <c r="E421" s="494">
        <v>3</v>
      </c>
      <c r="F421" s="495"/>
      <c r="G421" s="496"/>
      <c r="H421" s="495"/>
      <c r="I421" s="496"/>
      <c r="J421" s="495">
        <v>110310</v>
      </c>
      <c r="K421" s="496">
        <v>106087</v>
      </c>
      <c r="L421" s="495">
        <v>13842</v>
      </c>
      <c r="M421" s="496">
        <v>12637</v>
      </c>
      <c r="N421" s="495">
        <v>121291</v>
      </c>
      <c r="O421" s="496">
        <v>116606</v>
      </c>
      <c r="P421" s="640">
        <f t="shared" si="126"/>
        <v>245443</v>
      </c>
      <c r="Q421" s="640">
        <f t="shared" si="127"/>
        <v>8181.4333333333334</v>
      </c>
      <c r="R421" s="641">
        <f t="shared" si="128"/>
        <v>235330</v>
      </c>
      <c r="S421" s="641">
        <f t="shared" si="129"/>
        <v>7844.333333333333</v>
      </c>
      <c r="T421" s="495">
        <v>1390</v>
      </c>
      <c r="U421" s="496">
        <v>1495</v>
      </c>
      <c r="V421" s="640">
        <f t="shared" si="130"/>
        <v>245443</v>
      </c>
      <c r="W421" s="641">
        <f t="shared" si="131"/>
        <v>235330</v>
      </c>
      <c r="X421" s="495"/>
      <c r="Y421" s="496"/>
      <c r="Z421" s="495"/>
      <c r="AA421" s="496"/>
      <c r="AB421" s="495"/>
      <c r="AC421" s="496"/>
      <c r="AD421" s="495"/>
      <c r="AE421" s="496"/>
      <c r="AF421" s="640">
        <f t="shared" si="132"/>
        <v>0</v>
      </c>
      <c r="AG421" s="640">
        <f t="shared" si="133"/>
        <v>0</v>
      </c>
      <c r="AH421" s="641">
        <f t="shared" si="134"/>
        <v>0</v>
      </c>
      <c r="AI421" s="641">
        <f t="shared" si="135"/>
        <v>0</v>
      </c>
      <c r="AJ421" s="495"/>
      <c r="AK421" s="496"/>
      <c r="AL421" s="640">
        <f t="shared" si="136"/>
        <v>0</v>
      </c>
      <c r="AM421" s="641">
        <f t="shared" si="137"/>
        <v>0</v>
      </c>
      <c r="AN421" s="495"/>
      <c r="AO421" s="496"/>
      <c r="AP421" s="495">
        <v>7337</v>
      </c>
      <c r="AQ421" s="496">
        <v>8695</v>
      </c>
      <c r="AR421" s="495">
        <v>3780</v>
      </c>
      <c r="AS421" s="496">
        <v>4551</v>
      </c>
      <c r="AT421" s="495">
        <v>8954</v>
      </c>
      <c r="AU421" s="496">
        <v>8988</v>
      </c>
      <c r="AV421" s="640">
        <f t="shared" si="138"/>
        <v>20071</v>
      </c>
      <c r="AW421" s="640">
        <f t="shared" si="139"/>
        <v>836.29166666666663</v>
      </c>
      <c r="AX421" s="641">
        <f t="shared" si="140"/>
        <v>22234</v>
      </c>
      <c r="AY421" s="641">
        <f t="shared" si="141"/>
        <v>926.41666666666663</v>
      </c>
      <c r="AZ421" s="640">
        <f t="shared" si="142"/>
        <v>9017.7250000000004</v>
      </c>
      <c r="BA421" s="641">
        <f t="shared" si="143"/>
        <v>8770.75</v>
      </c>
    </row>
    <row r="422" spans="1:53" s="365" customFormat="1" ht="12" customHeight="1">
      <c r="A422" s="429" t="s">
        <v>359</v>
      </c>
      <c r="B422" s="413" t="s">
        <v>367</v>
      </c>
      <c r="C422" s="447"/>
      <c r="D422" s="619">
        <v>221740</v>
      </c>
      <c r="E422" s="494">
        <v>3</v>
      </c>
      <c r="F422" s="495"/>
      <c r="G422" s="496"/>
      <c r="H422" s="495"/>
      <c r="I422" s="496"/>
      <c r="J422" s="495">
        <v>126556</v>
      </c>
      <c r="K422" s="496">
        <v>123905</v>
      </c>
      <c r="L422" s="495">
        <v>18128</v>
      </c>
      <c r="M422" s="496">
        <v>16904</v>
      </c>
      <c r="N422" s="495">
        <v>143408</v>
      </c>
      <c r="O422" s="496">
        <v>138324</v>
      </c>
      <c r="P422" s="640">
        <f t="shared" si="126"/>
        <v>288092</v>
      </c>
      <c r="Q422" s="640">
        <f t="shared" si="127"/>
        <v>9603.0666666666675</v>
      </c>
      <c r="R422" s="641">
        <f t="shared" si="128"/>
        <v>279133</v>
      </c>
      <c r="S422" s="641">
        <f t="shared" si="129"/>
        <v>9304.4333333333325</v>
      </c>
      <c r="T422" s="495">
        <v>120</v>
      </c>
      <c r="U422" s="496">
        <v>116</v>
      </c>
      <c r="V422" s="640">
        <f t="shared" si="130"/>
        <v>288092</v>
      </c>
      <c r="W422" s="641">
        <f t="shared" si="131"/>
        <v>279133</v>
      </c>
      <c r="X422" s="495"/>
      <c r="Y422" s="496"/>
      <c r="Z422" s="495"/>
      <c r="AA422" s="496"/>
      <c r="AB422" s="495"/>
      <c r="AC422" s="496"/>
      <c r="AD422" s="495"/>
      <c r="AE422" s="496"/>
      <c r="AF422" s="640">
        <f t="shared" si="132"/>
        <v>0</v>
      </c>
      <c r="AG422" s="640">
        <f t="shared" si="133"/>
        <v>0</v>
      </c>
      <c r="AH422" s="641">
        <f t="shared" si="134"/>
        <v>0</v>
      </c>
      <c r="AI422" s="641">
        <f t="shared" si="135"/>
        <v>0</v>
      </c>
      <c r="AJ422" s="495"/>
      <c r="AK422" s="496"/>
      <c r="AL422" s="640">
        <f t="shared" si="136"/>
        <v>0</v>
      </c>
      <c r="AM422" s="641">
        <f t="shared" si="137"/>
        <v>0</v>
      </c>
      <c r="AN422" s="495"/>
      <c r="AO422" s="496"/>
      <c r="AP422" s="495">
        <v>11178</v>
      </c>
      <c r="AQ422" s="496">
        <v>11666</v>
      </c>
      <c r="AR422" s="495">
        <v>5860</v>
      </c>
      <c r="AS422" s="496">
        <v>5786</v>
      </c>
      <c r="AT422" s="495">
        <v>11918</v>
      </c>
      <c r="AU422" s="496">
        <v>12401</v>
      </c>
      <c r="AV422" s="640">
        <f t="shared" si="138"/>
        <v>28956</v>
      </c>
      <c r="AW422" s="640">
        <f t="shared" si="139"/>
        <v>1206.5</v>
      </c>
      <c r="AX422" s="641">
        <f t="shared" si="140"/>
        <v>29853</v>
      </c>
      <c r="AY422" s="641">
        <f t="shared" si="141"/>
        <v>1243.875</v>
      </c>
      <c r="AZ422" s="640">
        <f t="shared" si="142"/>
        <v>10809.566666666668</v>
      </c>
      <c r="BA422" s="641">
        <f t="shared" si="143"/>
        <v>10548.308333333332</v>
      </c>
    </row>
    <row r="423" spans="1:53" s="365" customFormat="1" ht="12" customHeight="1">
      <c r="A423" s="429" t="s">
        <v>359</v>
      </c>
      <c r="B423" s="413" t="s">
        <v>368</v>
      </c>
      <c r="C423" s="549"/>
      <c r="D423" s="550">
        <v>221768</v>
      </c>
      <c r="E423" s="594">
        <v>4</v>
      </c>
      <c r="F423" s="495"/>
      <c r="G423" s="496"/>
      <c r="H423" s="495"/>
      <c r="I423" s="496"/>
      <c r="J423" s="495">
        <v>73147</v>
      </c>
      <c r="K423" s="496">
        <v>69490</v>
      </c>
      <c r="L423" s="495">
        <v>10292</v>
      </c>
      <c r="M423" s="496">
        <v>9037</v>
      </c>
      <c r="N423" s="495">
        <v>78090</v>
      </c>
      <c r="O423" s="496">
        <v>72342</v>
      </c>
      <c r="P423" s="640">
        <f t="shared" si="126"/>
        <v>161529</v>
      </c>
      <c r="Q423" s="640">
        <f t="shared" si="127"/>
        <v>5384.3</v>
      </c>
      <c r="R423" s="641">
        <f t="shared" si="128"/>
        <v>150869</v>
      </c>
      <c r="S423" s="641">
        <f t="shared" si="129"/>
        <v>5028.9666666666662</v>
      </c>
      <c r="T423" s="495">
        <v>9560</v>
      </c>
      <c r="U423" s="496">
        <v>8627</v>
      </c>
      <c r="V423" s="640">
        <f t="shared" si="130"/>
        <v>161529</v>
      </c>
      <c r="W423" s="641">
        <f t="shared" si="131"/>
        <v>150869</v>
      </c>
      <c r="X423" s="495"/>
      <c r="Y423" s="496"/>
      <c r="Z423" s="495"/>
      <c r="AA423" s="496"/>
      <c r="AB423" s="495"/>
      <c r="AC423" s="496"/>
      <c r="AD423" s="495"/>
      <c r="AE423" s="496"/>
      <c r="AF423" s="640">
        <f t="shared" si="132"/>
        <v>0</v>
      </c>
      <c r="AG423" s="640">
        <f t="shared" si="133"/>
        <v>0</v>
      </c>
      <c r="AH423" s="641">
        <f t="shared" si="134"/>
        <v>0</v>
      </c>
      <c r="AI423" s="641">
        <f t="shared" si="135"/>
        <v>0</v>
      </c>
      <c r="AJ423" s="495"/>
      <c r="AK423" s="496"/>
      <c r="AL423" s="640">
        <f t="shared" si="136"/>
        <v>0</v>
      </c>
      <c r="AM423" s="641">
        <f t="shared" si="137"/>
        <v>0</v>
      </c>
      <c r="AN423" s="495"/>
      <c r="AO423" s="496"/>
      <c r="AP423" s="495">
        <v>4137</v>
      </c>
      <c r="AQ423" s="496">
        <v>4941</v>
      </c>
      <c r="AR423" s="495">
        <v>2703</v>
      </c>
      <c r="AS423" s="496">
        <v>2998</v>
      </c>
      <c r="AT423" s="495">
        <v>4963</v>
      </c>
      <c r="AU423" s="496">
        <v>4638</v>
      </c>
      <c r="AV423" s="640">
        <f t="shared" si="138"/>
        <v>11803</v>
      </c>
      <c r="AW423" s="640">
        <f t="shared" si="139"/>
        <v>491.79166666666669</v>
      </c>
      <c r="AX423" s="641">
        <f t="shared" si="140"/>
        <v>12577</v>
      </c>
      <c r="AY423" s="641">
        <f t="shared" si="141"/>
        <v>524.04166666666663</v>
      </c>
      <c r="AZ423" s="640">
        <f t="shared" si="142"/>
        <v>5876.0916666666672</v>
      </c>
      <c r="BA423" s="641">
        <f t="shared" si="143"/>
        <v>5553.0083333333332</v>
      </c>
    </row>
    <row r="424" spans="1:53" s="365" customFormat="1" ht="12.6" customHeight="1">
      <c r="A424" s="429" t="s">
        <v>359</v>
      </c>
      <c r="B424" s="413" t="s">
        <v>369</v>
      </c>
      <c r="C424" s="447" t="s">
        <v>913</v>
      </c>
      <c r="D424" s="619">
        <v>219824</v>
      </c>
      <c r="E424" s="494">
        <v>8</v>
      </c>
      <c r="F424" s="495"/>
      <c r="G424" s="496"/>
      <c r="H424" s="495"/>
      <c r="I424" s="496"/>
      <c r="J424" s="495">
        <v>68065</v>
      </c>
      <c r="K424" s="496">
        <v>57727</v>
      </c>
      <c r="L424" s="495">
        <v>13928</v>
      </c>
      <c r="M424" s="496">
        <v>12207</v>
      </c>
      <c r="N424" s="495">
        <v>74880</v>
      </c>
      <c r="O424" s="496">
        <v>67843</v>
      </c>
      <c r="P424" s="640">
        <f t="shared" si="126"/>
        <v>156873</v>
      </c>
      <c r="Q424" s="640">
        <f t="shared" si="127"/>
        <v>5229.1000000000004</v>
      </c>
      <c r="R424" s="641">
        <f t="shared" si="128"/>
        <v>137777</v>
      </c>
      <c r="S424" s="641">
        <f t="shared" si="129"/>
        <v>4592.5666666666666</v>
      </c>
      <c r="T424" s="495">
        <v>14596</v>
      </c>
      <c r="U424" s="496">
        <v>14034</v>
      </c>
      <c r="V424" s="640">
        <f t="shared" si="130"/>
        <v>156873</v>
      </c>
      <c r="W424" s="641">
        <f t="shared" si="131"/>
        <v>137777</v>
      </c>
      <c r="X424" s="495"/>
      <c r="Y424" s="496"/>
      <c r="Z424" s="495"/>
      <c r="AA424" s="496"/>
      <c r="AB424" s="495"/>
      <c r="AC424" s="496"/>
      <c r="AD424" s="495"/>
      <c r="AE424" s="496"/>
      <c r="AF424" s="640">
        <f t="shared" si="132"/>
        <v>0</v>
      </c>
      <c r="AG424" s="640">
        <f t="shared" si="133"/>
        <v>0</v>
      </c>
      <c r="AH424" s="641">
        <f t="shared" si="134"/>
        <v>0</v>
      </c>
      <c r="AI424" s="641">
        <f t="shared" si="135"/>
        <v>0</v>
      </c>
      <c r="AJ424" s="495"/>
      <c r="AK424" s="496"/>
      <c r="AL424" s="640">
        <f t="shared" si="136"/>
        <v>0</v>
      </c>
      <c r="AM424" s="641">
        <f t="shared" si="137"/>
        <v>0</v>
      </c>
      <c r="AN424" s="495"/>
      <c r="AO424" s="496"/>
      <c r="AP424" s="495"/>
      <c r="AQ424" s="496"/>
      <c r="AR424" s="495"/>
      <c r="AS424" s="496"/>
      <c r="AT424" s="495"/>
      <c r="AU424" s="496"/>
      <c r="AV424" s="640">
        <f t="shared" si="138"/>
        <v>0</v>
      </c>
      <c r="AW424" s="640">
        <f t="shared" si="139"/>
        <v>0</v>
      </c>
      <c r="AX424" s="641">
        <f t="shared" si="140"/>
        <v>0</v>
      </c>
      <c r="AY424" s="641">
        <f t="shared" si="141"/>
        <v>0</v>
      </c>
      <c r="AZ424" s="640">
        <f t="shared" si="142"/>
        <v>5229.1000000000004</v>
      </c>
      <c r="BA424" s="641">
        <f t="shared" si="143"/>
        <v>4592.5666666666666</v>
      </c>
    </row>
    <row r="425" spans="1:53" s="365" customFormat="1" ht="12.6" customHeight="1">
      <c r="A425" s="429" t="s">
        <v>359</v>
      </c>
      <c r="B425" s="413" t="s">
        <v>370</v>
      </c>
      <c r="C425" s="447" t="s">
        <v>913</v>
      </c>
      <c r="D425" s="619">
        <v>221184</v>
      </c>
      <c r="E425" s="494">
        <v>8</v>
      </c>
      <c r="F425" s="495"/>
      <c r="G425" s="496"/>
      <c r="H425" s="495"/>
      <c r="I425" s="496"/>
      <c r="J425" s="495">
        <v>66128</v>
      </c>
      <c r="K425" s="496">
        <v>58132</v>
      </c>
      <c r="L425" s="495">
        <v>14852</v>
      </c>
      <c r="M425" s="496">
        <v>15812</v>
      </c>
      <c r="N425" s="495">
        <v>66315.5</v>
      </c>
      <c r="O425" s="496">
        <v>62152</v>
      </c>
      <c r="P425" s="640">
        <f t="shared" si="126"/>
        <v>147295.5</v>
      </c>
      <c r="Q425" s="640">
        <f t="shared" si="127"/>
        <v>4909.8500000000004</v>
      </c>
      <c r="R425" s="641">
        <f t="shared" si="128"/>
        <v>136096</v>
      </c>
      <c r="S425" s="641">
        <f t="shared" si="129"/>
        <v>4536.5333333333338</v>
      </c>
      <c r="T425" s="495">
        <v>8232</v>
      </c>
      <c r="U425" s="496">
        <v>9406</v>
      </c>
      <c r="V425" s="640">
        <f t="shared" si="130"/>
        <v>147295.5</v>
      </c>
      <c r="W425" s="641">
        <f t="shared" si="131"/>
        <v>136096</v>
      </c>
      <c r="X425" s="495"/>
      <c r="Y425" s="496"/>
      <c r="Z425" s="495"/>
      <c r="AA425" s="496"/>
      <c r="AB425" s="495"/>
      <c r="AC425" s="496"/>
      <c r="AD425" s="495"/>
      <c r="AE425" s="496"/>
      <c r="AF425" s="640">
        <f t="shared" si="132"/>
        <v>0</v>
      </c>
      <c r="AG425" s="640">
        <f t="shared" si="133"/>
        <v>0</v>
      </c>
      <c r="AH425" s="641">
        <f t="shared" si="134"/>
        <v>0</v>
      </c>
      <c r="AI425" s="641">
        <f t="shared" si="135"/>
        <v>0</v>
      </c>
      <c r="AJ425" s="495"/>
      <c r="AK425" s="496"/>
      <c r="AL425" s="640">
        <f t="shared" si="136"/>
        <v>0</v>
      </c>
      <c r="AM425" s="641">
        <f t="shared" si="137"/>
        <v>0</v>
      </c>
      <c r="AN425" s="495"/>
      <c r="AO425" s="496"/>
      <c r="AP425" s="495"/>
      <c r="AQ425" s="496"/>
      <c r="AR425" s="495"/>
      <c r="AS425" s="496"/>
      <c r="AT425" s="495"/>
      <c r="AU425" s="496"/>
      <c r="AV425" s="640">
        <f t="shared" si="138"/>
        <v>0</v>
      </c>
      <c r="AW425" s="640">
        <f t="shared" si="139"/>
        <v>0</v>
      </c>
      <c r="AX425" s="641">
        <f t="shared" si="140"/>
        <v>0</v>
      </c>
      <c r="AY425" s="641">
        <f t="shared" si="141"/>
        <v>0</v>
      </c>
      <c r="AZ425" s="640">
        <f t="shared" si="142"/>
        <v>4909.8500000000004</v>
      </c>
      <c r="BA425" s="641">
        <f t="shared" si="143"/>
        <v>4536.5333333333338</v>
      </c>
    </row>
    <row r="426" spans="1:53" s="365" customFormat="1" ht="12" customHeight="1">
      <c r="A426" s="429" t="s">
        <v>359</v>
      </c>
      <c r="B426" s="413" t="s">
        <v>371</v>
      </c>
      <c r="C426" s="447"/>
      <c r="D426" s="619">
        <v>221643</v>
      </c>
      <c r="E426" s="494">
        <v>8</v>
      </c>
      <c r="F426" s="495"/>
      <c r="G426" s="496"/>
      <c r="H426" s="495"/>
      <c r="I426" s="496"/>
      <c r="J426" s="495">
        <v>86752</v>
      </c>
      <c r="K426" s="496">
        <v>73420</v>
      </c>
      <c r="L426" s="495">
        <v>20056</v>
      </c>
      <c r="M426" s="496">
        <v>18129</v>
      </c>
      <c r="N426" s="495">
        <v>91649</v>
      </c>
      <c r="O426" s="496">
        <v>84613</v>
      </c>
      <c r="P426" s="640">
        <f t="shared" si="126"/>
        <v>198457</v>
      </c>
      <c r="Q426" s="640">
        <f t="shared" si="127"/>
        <v>6615.2333333333336</v>
      </c>
      <c r="R426" s="641">
        <f t="shared" si="128"/>
        <v>176162</v>
      </c>
      <c r="S426" s="641">
        <f t="shared" si="129"/>
        <v>5872.0666666666666</v>
      </c>
      <c r="T426" s="495">
        <v>10753</v>
      </c>
      <c r="U426" s="496">
        <v>11151</v>
      </c>
      <c r="V426" s="640">
        <f t="shared" si="130"/>
        <v>198457</v>
      </c>
      <c r="W426" s="641">
        <f t="shared" si="131"/>
        <v>176162</v>
      </c>
      <c r="X426" s="495"/>
      <c r="Y426" s="496"/>
      <c r="Z426" s="495"/>
      <c r="AA426" s="496"/>
      <c r="AB426" s="495"/>
      <c r="AC426" s="496"/>
      <c r="AD426" s="495"/>
      <c r="AE426" s="496"/>
      <c r="AF426" s="640">
        <f t="shared" si="132"/>
        <v>0</v>
      </c>
      <c r="AG426" s="640">
        <f t="shared" si="133"/>
        <v>0</v>
      </c>
      <c r="AH426" s="641">
        <f t="shared" si="134"/>
        <v>0</v>
      </c>
      <c r="AI426" s="641">
        <f t="shared" si="135"/>
        <v>0</v>
      </c>
      <c r="AJ426" s="495"/>
      <c r="AK426" s="496"/>
      <c r="AL426" s="640">
        <f t="shared" si="136"/>
        <v>0</v>
      </c>
      <c r="AM426" s="641">
        <f t="shared" si="137"/>
        <v>0</v>
      </c>
      <c r="AN426" s="495"/>
      <c r="AO426" s="496"/>
      <c r="AP426" s="495"/>
      <c r="AQ426" s="496"/>
      <c r="AR426" s="495"/>
      <c r="AS426" s="496"/>
      <c r="AT426" s="495"/>
      <c r="AU426" s="496"/>
      <c r="AV426" s="640">
        <f t="shared" si="138"/>
        <v>0</v>
      </c>
      <c r="AW426" s="640">
        <f t="shared" si="139"/>
        <v>0</v>
      </c>
      <c r="AX426" s="641">
        <f t="shared" si="140"/>
        <v>0</v>
      </c>
      <c r="AY426" s="641">
        <f t="shared" si="141"/>
        <v>0</v>
      </c>
      <c r="AZ426" s="640">
        <f t="shared" si="142"/>
        <v>6615.2333333333336</v>
      </c>
      <c r="BA426" s="641">
        <f t="shared" si="143"/>
        <v>5872.0666666666666</v>
      </c>
    </row>
    <row r="427" spans="1:53" s="365" customFormat="1" ht="12.6" customHeight="1">
      <c r="A427" s="429" t="s">
        <v>359</v>
      </c>
      <c r="B427" s="413" t="s">
        <v>372</v>
      </c>
      <c r="C427" s="447" t="s">
        <v>913</v>
      </c>
      <c r="D427" s="619">
        <v>221485</v>
      </c>
      <c r="E427" s="494">
        <v>8</v>
      </c>
      <c r="F427" s="495"/>
      <c r="G427" s="496"/>
      <c r="H427" s="495"/>
      <c r="I427" s="496"/>
      <c r="J427" s="495">
        <v>75486</v>
      </c>
      <c r="K427" s="496">
        <v>57362</v>
      </c>
      <c r="L427" s="495">
        <v>21370</v>
      </c>
      <c r="M427" s="496">
        <v>15882</v>
      </c>
      <c r="N427" s="495">
        <v>72975</v>
      </c>
      <c r="O427" s="496">
        <v>65144</v>
      </c>
      <c r="P427" s="640">
        <f t="shared" si="126"/>
        <v>169831</v>
      </c>
      <c r="Q427" s="640">
        <f t="shared" si="127"/>
        <v>5661.0333333333338</v>
      </c>
      <c r="R427" s="641">
        <f t="shared" si="128"/>
        <v>138388</v>
      </c>
      <c r="S427" s="641">
        <f t="shared" si="129"/>
        <v>4612.9333333333334</v>
      </c>
      <c r="T427" s="495">
        <v>5196</v>
      </c>
      <c r="U427" s="496">
        <v>5538</v>
      </c>
      <c r="V427" s="640">
        <f t="shared" si="130"/>
        <v>169831</v>
      </c>
      <c r="W427" s="641">
        <f t="shared" si="131"/>
        <v>138388</v>
      </c>
      <c r="X427" s="495"/>
      <c r="Y427" s="496"/>
      <c r="Z427" s="495"/>
      <c r="AA427" s="496"/>
      <c r="AB427" s="495"/>
      <c r="AC427" s="496"/>
      <c r="AD427" s="495"/>
      <c r="AE427" s="496"/>
      <c r="AF427" s="640">
        <f t="shared" si="132"/>
        <v>0</v>
      </c>
      <c r="AG427" s="640">
        <f t="shared" si="133"/>
        <v>0</v>
      </c>
      <c r="AH427" s="641">
        <f t="shared" si="134"/>
        <v>0</v>
      </c>
      <c r="AI427" s="641">
        <f t="shared" si="135"/>
        <v>0</v>
      </c>
      <c r="AJ427" s="495"/>
      <c r="AK427" s="496"/>
      <c r="AL427" s="640">
        <f t="shared" si="136"/>
        <v>0</v>
      </c>
      <c r="AM427" s="641">
        <f t="shared" si="137"/>
        <v>0</v>
      </c>
      <c r="AN427" s="495"/>
      <c r="AO427" s="496"/>
      <c r="AP427" s="495"/>
      <c r="AQ427" s="496"/>
      <c r="AR427" s="495"/>
      <c r="AS427" s="496"/>
      <c r="AT427" s="495"/>
      <c r="AU427" s="496"/>
      <c r="AV427" s="640">
        <f t="shared" si="138"/>
        <v>0</v>
      </c>
      <c r="AW427" s="640">
        <f t="shared" si="139"/>
        <v>0</v>
      </c>
      <c r="AX427" s="641">
        <f t="shared" si="140"/>
        <v>0</v>
      </c>
      <c r="AY427" s="641">
        <f t="shared" si="141"/>
        <v>0</v>
      </c>
      <c r="AZ427" s="640">
        <f t="shared" si="142"/>
        <v>5661.0333333333338</v>
      </c>
      <c r="BA427" s="641">
        <f t="shared" si="143"/>
        <v>4612.9333333333334</v>
      </c>
    </row>
    <row r="428" spans="1:53" s="365" customFormat="1" ht="12.6" customHeight="1">
      <c r="A428" s="429" t="s">
        <v>359</v>
      </c>
      <c r="B428" s="413" t="s">
        <v>373</v>
      </c>
      <c r="C428" s="447"/>
      <c r="D428" s="619">
        <v>222053</v>
      </c>
      <c r="E428" s="494">
        <v>8</v>
      </c>
      <c r="F428" s="495"/>
      <c r="G428" s="496"/>
      <c r="H428" s="495"/>
      <c r="I428" s="496"/>
      <c r="J428" s="495">
        <v>75735</v>
      </c>
      <c r="K428" s="496">
        <v>64850</v>
      </c>
      <c r="L428" s="495">
        <v>17087</v>
      </c>
      <c r="M428" s="496">
        <v>14937</v>
      </c>
      <c r="N428" s="495">
        <v>87017</v>
      </c>
      <c r="O428" s="496">
        <v>73032</v>
      </c>
      <c r="P428" s="640">
        <f t="shared" si="126"/>
        <v>179839</v>
      </c>
      <c r="Q428" s="640">
        <f t="shared" si="127"/>
        <v>5994.6333333333332</v>
      </c>
      <c r="R428" s="641">
        <f t="shared" si="128"/>
        <v>152819</v>
      </c>
      <c r="S428" s="641">
        <f t="shared" si="129"/>
        <v>5093.9666666666662</v>
      </c>
      <c r="T428" s="495">
        <v>17262.5</v>
      </c>
      <c r="U428" s="496">
        <v>14419</v>
      </c>
      <c r="V428" s="640">
        <f t="shared" si="130"/>
        <v>179839</v>
      </c>
      <c r="W428" s="641">
        <f t="shared" si="131"/>
        <v>152819</v>
      </c>
      <c r="X428" s="495"/>
      <c r="Y428" s="496"/>
      <c r="Z428" s="495"/>
      <c r="AA428" s="496"/>
      <c r="AB428" s="495"/>
      <c r="AC428" s="496"/>
      <c r="AD428" s="495"/>
      <c r="AE428" s="496"/>
      <c r="AF428" s="640">
        <f t="shared" si="132"/>
        <v>0</v>
      </c>
      <c r="AG428" s="640">
        <f t="shared" si="133"/>
        <v>0</v>
      </c>
      <c r="AH428" s="641">
        <f t="shared" si="134"/>
        <v>0</v>
      </c>
      <c r="AI428" s="641">
        <f t="shared" si="135"/>
        <v>0</v>
      </c>
      <c r="AJ428" s="495"/>
      <c r="AK428" s="496"/>
      <c r="AL428" s="640">
        <f t="shared" si="136"/>
        <v>0</v>
      </c>
      <c r="AM428" s="641">
        <f t="shared" si="137"/>
        <v>0</v>
      </c>
      <c r="AN428" s="495"/>
      <c r="AO428" s="496"/>
      <c r="AP428" s="495"/>
      <c r="AQ428" s="496"/>
      <c r="AR428" s="495"/>
      <c r="AS428" s="496"/>
      <c r="AT428" s="495"/>
      <c r="AU428" s="496"/>
      <c r="AV428" s="640">
        <f t="shared" si="138"/>
        <v>0</v>
      </c>
      <c r="AW428" s="640">
        <f t="shared" si="139"/>
        <v>0</v>
      </c>
      <c r="AX428" s="641">
        <f t="shared" si="140"/>
        <v>0</v>
      </c>
      <c r="AY428" s="641">
        <f t="shared" si="141"/>
        <v>0</v>
      </c>
      <c r="AZ428" s="640">
        <f t="shared" si="142"/>
        <v>5994.6333333333332</v>
      </c>
      <c r="BA428" s="641">
        <f t="shared" si="143"/>
        <v>5093.9666666666662</v>
      </c>
    </row>
    <row r="429" spans="1:53" s="365" customFormat="1" ht="12.6" customHeight="1">
      <c r="A429" s="429" t="s">
        <v>359</v>
      </c>
      <c r="B429" s="413" t="s">
        <v>374</v>
      </c>
      <c r="C429" s="447"/>
      <c r="D429" s="619">
        <v>219879</v>
      </c>
      <c r="E429" s="494">
        <v>9</v>
      </c>
      <c r="F429" s="495"/>
      <c r="G429" s="496"/>
      <c r="H429" s="495"/>
      <c r="I429" s="496"/>
      <c r="J429" s="495">
        <v>28661</v>
      </c>
      <c r="K429" s="496">
        <v>25326</v>
      </c>
      <c r="L429" s="495">
        <v>5006</v>
      </c>
      <c r="M429" s="496">
        <v>4836</v>
      </c>
      <c r="N429" s="495">
        <v>32319</v>
      </c>
      <c r="O429" s="496">
        <v>30177</v>
      </c>
      <c r="P429" s="640">
        <f t="shared" si="126"/>
        <v>65986</v>
      </c>
      <c r="Q429" s="640">
        <f t="shared" si="127"/>
        <v>2199.5333333333333</v>
      </c>
      <c r="R429" s="641">
        <f t="shared" si="128"/>
        <v>60339</v>
      </c>
      <c r="S429" s="641">
        <f t="shared" si="129"/>
        <v>2011.3</v>
      </c>
      <c r="T429" s="495">
        <v>8637</v>
      </c>
      <c r="U429" s="496">
        <v>8905</v>
      </c>
      <c r="V429" s="640">
        <f t="shared" si="130"/>
        <v>65986</v>
      </c>
      <c r="W429" s="641">
        <f t="shared" si="131"/>
        <v>60339</v>
      </c>
      <c r="X429" s="495"/>
      <c r="Y429" s="496"/>
      <c r="Z429" s="495"/>
      <c r="AA429" s="496"/>
      <c r="AB429" s="495"/>
      <c r="AC429" s="496"/>
      <c r="AD429" s="495"/>
      <c r="AE429" s="496"/>
      <c r="AF429" s="640">
        <f t="shared" si="132"/>
        <v>0</v>
      </c>
      <c r="AG429" s="640">
        <f t="shared" si="133"/>
        <v>0</v>
      </c>
      <c r="AH429" s="641">
        <f t="shared" si="134"/>
        <v>0</v>
      </c>
      <c r="AI429" s="641">
        <f t="shared" si="135"/>
        <v>0</v>
      </c>
      <c r="AJ429" s="495"/>
      <c r="AK429" s="496"/>
      <c r="AL429" s="640">
        <f t="shared" si="136"/>
        <v>0</v>
      </c>
      <c r="AM429" s="641">
        <f t="shared" si="137"/>
        <v>0</v>
      </c>
      <c r="AN429" s="495"/>
      <c r="AO429" s="496"/>
      <c r="AP429" s="495"/>
      <c r="AQ429" s="496"/>
      <c r="AR429" s="495"/>
      <c r="AS429" s="496"/>
      <c r="AT429" s="495"/>
      <c r="AU429" s="496"/>
      <c r="AV429" s="640">
        <f t="shared" si="138"/>
        <v>0</v>
      </c>
      <c r="AW429" s="640">
        <f t="shared" si="139"/>
        <v>0</v>
      </c>
      <c r="AX429" s="641">
        <f t="shared" si="140"/>
        <v>0</v>
      </c>
      <c r="AY429" s="641">
        <f t="shared" si="141"/>
        <v>0</v>
      </c>
      <c r="AZ429" s="640">
        <f t="shared" si="142"/>
        <v>2199.5333333333333</v>
      </c>
      <c r="BA429" s="641">
        <f t="shared" si="143"/>
        <v>2011.3</v>
      </c>
    </row>
    <row r="430" spans="1:53" s="365" customFormat="1" ht="12.6" customHeight="1">
      <c r="A430" s="429" t="s">
        <v>359</v>
      </c>
      <c r="B430" s="413" t="s">
        <v>375</v>
      </c>
      <c r="C430" s="447"/>
      <c r="D430" s="619">
        <v>219888</v>
      </c>
      <c r="E430" s="494">
        <v>9</v>
      </c>
      <c r="F430" s="495"/>
      <c r="G430" s="496"/>
      <c r="H430" s="495"/>
      <c r="I430" s="496"/>
      <c r="J430" s="495">
        <v>56195</v>
      </c>
      <c r="K430" s="496">
        <v>51095</v>
      </c>
      <c r="L430" s="495">
        <v>13161</v>
      </c>
      <c r="M430" s="496">
        <v>11599</v>
      </c>
      <c r="N430" s="495">
        <v>63016</v>
      </c>
      <c r="O430" s="496">
        <v>56969</v>
      </c>
      <c r="P430" s="640">
        <f t="shared" si="126"/>
        <v>132372</v>
      </c>
      <c r="Q430" s="640">
        <f t="shared" si="127"/>
        <v>4412.3999999999996</v>
      </c>
      <c r="R430" s="641">
        <f t="shared" si="128"/>
        <v>119663</v>
      </c>
      <c r="S430" s="641">
        <f t="shared" si="129"/>
        <v>3988.7666666666669</v>
      </c>
      <c r="T430" s="495">
        <v>9368</v>
      </c>
      <c r="U430" s="496">
        <v>8566</v>
      </c>
      <c r="V430" s="640">
        <f t="shared" si="130"/>
        <v>132372</v>
      </c>
      <c r="W430" s="641">
        <f t="shared" si="131"/>
        <v>119663</v>
      </c>
      <c r="X430" s="495"/>
      <c r="Y430" s="496"/>
      <c r="Z430" s="495"/>
      <c r="AA430" s="496"/>
      <c r="AB430" s="495"/>
      <c r="AC430" s="496"/>
      <c r="AD430" s="495"/>
      <c r="AE430" s="496"/>
      <c r="AF430" s="640">
        <f t="shared" si="132"/>
        <v>0</v>
      </c>
      <c r="AG430" s="640">
        <f t="shared" si="133"/>
        <v>0</v>
      </c>
      <c r="AH430" s="641">
        <f t="shared" si="134"/>
        <v>0</v>
      </c>
      <c r="AI430" s="641">
        <f t="shared" si="135"/>
        <v>0</v>
      </c>
      <c r="AJ430" s="495"/>
      <c r="AK430" s="496"/>
      <c r="AL430" s="640">
        <f t="shared" si="136"/>
        <v>0</v>
      </c>
      <c r="AM430" s="641">
        <f t="shared" si="137"/>
        <v>0</v>
      </c>
      <c r="AN430" s="495"/>
      <c r="AO430" s="496"/>
      <c r="AP430" s="495"/>
      <c r="AQ430" s="496"/>
      <c r="AR430" s="495"/>
      <c r="AS430" s="496"/>
      <c r="AT430" s="495"/>
      <c r="AU430" s="496"/>
      <c r="AV430" s="640">
        <f t="shared" si="138"/>
        <v>0</v>
      </c>
      <c r="AW430" s="640">
        <f t="shared" si="139"/>
        <v>0</v>
      </c>
      <c r="AX430" s="641">
        <f t="shared" si="140"/>
        <v>0</v>
      </c>
      <c r="AY430" s="641">
        <f t="shared" si="141"/>
        <v>0</v>
      </c>
      <c r="AZ430" s="640">
        <f t="shared" si="142"/>
        <v>4412.3999999999996</v>
      </c>
      <c r="BA430" s="641">
        <f t="shared" si="143"/>
        <v>3988.7666666666669</v>
      </c>
    </row>
    <row r="431" spans="1:53" s="365" customFormat="1" ht="12.6" customHeight="1">
      <c r="A431" s="429" t="s">
        <v>359</v>
      </c>
      <c r="B431" s="413" t="s">
        <v>377</v>
      </c>
      <c r="C431" s="447"/>
      <c r="D431" s="619">
        <v>220400</v>
      </c>
      <c r="E431" s="494">
        <v>9</v>
      </c>
      <c r="F431" s="495"/>
      <c r="G431" s="496"/>
      <c r="H431" s="495"/>
      <c r="I431" s="496"/>
      <c r="J431" s="495">
        <v>39614</v>
      </c>
      <c r="K431" s="496">
        <v>31211</v>
      </c>
      <c r="L431" s="495">
        <v>8294</v>
      </c>
      <c r="M431" s="496">
        <v>7647</v>
      </c>
      <c r="N431" s="495">
        <v>39819</v>
      </c>
      <c r="O431" s="496">
        <v>36392</v>
      </c>
      <c r="P431" s="640">
        <f t="shared" si="126"/>
        <v>87727</v>
      </c>
      <c r="Q431" s="640">
        <f t="shared" si="127"/>
        <v>2924.2333333333331</v>
      </c>
      <c r="R431" s="641">
        <f t="shared" si="128"/>
        <v>75250</v>
      </c>
      <c r="S431" s="641">
        <f t="shared" si="129"/>
        <v>2508.3333333333335</v>
      </c>
      <c r="T431" s="495">
        <v>12319</v>
      </c>
      <c r="U431" s="496">
        <v>11064</v>
      </c>
      <c r="V431" s="640">
        <f t="shared" si="130"/>
        <v>87727</v>
      </c>
      <c r="W431" s="641">
        <f t="shared" si="131"/>
        <v>75250</v>
      </c>
      <c r="X431" s="495"/>
      <c r="Y431" s="496"/>
      <c r="Z431" s="495"/>
      <c r="AA431" s="496"/>
      <c r="AB431" s="495"/>
      <c r="AC431" s="496"/>
      <c r="AD431" s="495"/>
      <c r="AE431" s="496"/>
      <c r="AF431" s="640">
        <f t="shared" si="132"/>
        <v>0</v>
      </c>
      <c r="AG431" s="640">
        <f t="shared" si="133"/>
        <v>0</v>
      </c>
      <c r="AH431" s="641">
        <f t="shared" si="134"/>
        <v>0</v>
      </c>
      <c r="AI431" s="641">
        <f t="shared" si="135"/>
        <v>0</v>
      </c>
      <c r="AJ431" s="495"/>
      <c r="AK431" s="496"/>
      <c r="AL431" s="640">
        <f t="shared" si="136"/>
        <v>0</v>
      </c>
      <c r="AM431" s="641">
        <f t="shared" si="137"/>
        <v>0</v>
      </c>
      <c r="AN431" s="495"/>
      <c r="AO431" s="496"/>
      <c r="AP431" s="495"/>
      <c r="AQ431" s="496"/>
      <c r="AR431" s="495"/>
      <c r="AS431" s="496"/>
      <c r="AT431" s="495"/>
      <c r="AU431" s="496"/>
      <c r="AV431" s="640">
        <f t="shared" si="138"/>
        <v>0</v>
      </c>
      <c r="AW431" s="640">
        <f t="shared" si="139"/>
        <v>0</v>
      </c>
      <c r="AX431" s="641">
        <f t="shared" si="140"/>
        <v>0</v>
      </c>
      <c r="AY431" s="641">
        <f t="shared" si="141"/>
        <v>0</v>
      </c>
      <c r="AZ431" s="640">
        <f t="shared" si="142"/>
        <v>2924.2333333333331</v>
      </c>
      <c r="BA431" s="641">
        <f t="shared" si="143"/>
        <v>2508.3333333333335</v>
      </c>
    </row>
    <row r="432" spans="1:53" s="365" customFormat="1" ht="12.6" customHeight="1">
      <c r="A432" s="429" t="s">
        <v>359</v>
      </c>
      <c r="B432" s="413" t="s">
        <v>378</v>
      </c>
      <c r="C432" s="447"/>
      <c r="D432" s="619">
        <v>221096</v>
      </c>
      <c r="E432" s="494">
        <v>9</v>
      </c>
      <c r="F432" s="495"/>
      <c r="G432" s="496"/>
      <c r="H432" s="495"/>
      <c r="I432" s="496"/>
      <c r="J432" s="495">
        <v>59335</v>
      </c>
      <c r="K432" s="496">
        <v>49374</v>
      </c>
      <c r="L432" s="495">
        <v>11507</v>
      </c>
      <c r="M432" s="496">
        <v>9890</v>
      </c>
      <c r="N432" s="495">
        <v>62334</v>
      </c>
      <c r="O432" s="496">
        <v>56558</v>
      </c>
      <c r="P432" s="640">
        <f t="shared" si="126"/>
        <v>133176</v>
      </c>
      <c r="Q432" s="640">
        <f t="shared" si="127"/>
        <v>4439.2</v>
      </c>
      <c r="R432" s="641">
        <f t="shared" si="128"/>
        <v>115822</v>
      </c>
      <c r="S432" s="641">
        <f t="shared" si="129"/>
        <v>3860.7333333333331</v>
      </c>
      <c r="T432" s="495">
        <v>19055</v>
      </c>
      <c r="U432" s="496">
        <v>17161</v>
      </c>
      <c r="V432" s="640">
        <f t="shared" si="130"/>
        <v>133176</v>
      </c>
      <c r="W432" s="641">
        <f t="shared" si="131"/>
        <v>115822</v>
      </c>
      <c r="X432" s="495"/>
      <c r="Y432" s="496"/>
      <c r="Z432" s="495"/>
      <c r="AA432" s="496"/>
      <c r="AB432" s="495"/>
      <c r="AC432" s="496"/>
      <c r="AD432" s="495"/>
      <c r="AE432" s="496"/>
      <c r="AF432" s="640">
        <f t="shared" si="132"/>
        <v>0</v>
      </c>
      <c r="AG432" s="640">
        <f t="shared" si="133"/>
        <v>0</v>
      </c>
      <c r="AH432" s="641">
        <f t="shared" si="134"/>
        <v>0</v>
      </c>
      <c r="AI432" s="641">
        <f t="shared" si="135"/>
        <v>0</v>
      </c>
      <c r="AJ432" s="495"/>
      <c r="AK432" s="496"/>
      <c r="AL432" s="640">
        <f t="shared" si="136"/>
        <v>0</v>
      </c>
      <c r="AM432" s="641">
        <f t="shared" si="137"/>
        <v>0</v>
      </c>
      <c r="AN432" s="495"/>
      <c r="AO432" s="496"/>
      <c r="AP432" s="495"/>
      <c r="AQ432" s="496"/>
      <c r="AR432" s="495"/>
      <c r="AS432" s="496"/>
      <c r="AT432" s="495"/>
      <c r="AU432" s="496"/>
      <c r="AV432" s="640">
        <f t="shared" si="138"/>
        <v>0</v>
      </c>
      <c r="AW432" s="640">
        <f t="shared" si="139"/>
        <v>0</v>
      </c>
      <c r="AX432" s="641">
        <f t="shared" si="140"/>
        <v>0</v>
      </c>
      <c r="AY432" s="641">
        <f t="shared" si="141"/>
        <v>0</v>
      </c>
      <c r="AZ432" s="640">
        <f t="shared" si="142"/>
        <v>4439.2</v>
      </c>
      <c r="BA432" s="641">
        <f t="shared" si="143"/>
        <v>3860.7333333333331</v>
      </c>
    </row>
    <row r="433" spans="1:53" s="365" customFormat="1" ht="12.6" customHeight="1">
      <c r="A433" s="429" t="s">
        <v>359</v>
      </c>
      <c r="B433" s="413" t="s">
        <v>379</v>
      </c>
      <c r="C433" s="447"/>
      <c r="D433" s="619">
        <v>221908</v>
      </c>
      <c r="E433" s="494">
        <v>9</v>
      </c>
      <c r="F433" s="495"/>
      <c r="G433" s="496"/>
      <c r="H433" s="495"/>
      <c r="I433" s="496"/>
      <c r="J433" s="495">
        <v>52343</v>
      </c>
      <c r="K433" s="496">
        <v>44286</v>
      </c>
      <c r="L433" s="495">
        <v>8345</v>
      </c>
      <c r="M433" s="496">
        <v>8400</v>
      </c>
      <c r="N433" s="495">
        <v>55682</v>
      </c>
      <c r="O433" s="496">
        <v>53506</v>
      </c>
      <c r="P433" s="640">
        <f t="shared" si="126"/>
        <v>116370</v>
      </c>
      <c r="Q433" s="640">
        <f t="shared" si="127"/>
        <v>3879</v>
      </c>
      <c r="R433" s="641">
        <f t="shared" si="128"/>
        <v>106192</v>
      </c>
      <c r="S433" s="641">
        <f t="shared" si="129"/>
        <v>3539.7333333333331</v>
      </c>
      <c r="T433" s="495">
        <v>8529</v>
      </c>
      <c r="U433" s="496">
        <v>8192</v>
      </c>
      <c r="V433" s="640">
        <f t="shared" si="130"/>
        <v>116370</v>
      </c>
      <c r="W433" s="641">
        <f t="shared" si="131"/>
        <v>106192</v>
      </c>
      <c r="X433" s="495"/>
      <c r="Y433" s="496"/>
      <c r="Z433" s="495"/>
      <c r="AA433" s="496"/>
      <c r="AB433" s="495"/>
      <c r="AC433" s="496"/>
      <c r="AD433" s="495"/>
      <c r="AE433" s="496"/>
      <c r="AF433" s="640">
        <f t="shared" si="132"/>
        <v>0</v>
      </c>
      <c r="AG433" s="640">
        <f t="shared" si="133"/>
        <v>0</v>
      </c>
      <c r="AH433" s="641">
        <f t="shared" si="134"/>
        <v>0</v>
      </c>
      <c r="AI433" s="641">
        <f t="shared" si="135"/>
        <v>0</v>
      </c>
      <c r="AJ433" s="495"/>
      <c r="AK433" s="496"/>
      <c r="AL433" s="640">
        <f t="shared" si="136"/>
        <v>0</v>
      </c>
      <c r="AM433" s="641">
        <f t="shared" si="137"/>
        <v>0</v>
      </c>
      <c r="AN433" s="495"/>
      <c r="AO433" s="496"/>
      <c r="AP433" s="495"/>
      <c r="AQ433" s="496"/>
      <c r="AR433" s="495"/>
      <c r="AS433" s="496"/>
      <c r="AT433" s="495"/>
      <c r="AU433" s="496"/>
      <c r="AV433" s="640">
        <f t="shared" si="138"/>
        <v>0</v>
      </c>
      <c r="AW433" s="640">
        <f t="shared" si="139"/>
        <v>0</v>
      </c>
      <c r="AX433" s="641">
        <f t="shared" si="140"/>
        <v>0</v>
      </c>
      <c r="AY433" s="641">
        <f t="shared" si="141"/>
        <v>0</v>
      </c>
      <c r="AZ433" s="640">
        <f t="shared" si="142"/>
        <v>3879</v>
      </c>
      <c r="BA433" s="641">
        <f t="shared" si="143"/>
        <v>3539.7333333333331</v>
      </c>
    </row>
    <row r="434" spans="1:53" s="365" customFormat="1" ht="12.6" customHeight="1">
      <c r="A434" s="429" t="s">
        <v>359</v>
      </c>
      <c r="B434" s="413" t="s">
        <v>380</v>
      </c>
      <c r="C434" s="447"/>
      <c r="D434" s="619">
        <v>221397</v>
      </c>
      <c r="E434" s="494">
        <v>9</v>
      </c>
      <c r="F434" s="495"/>
      <c r="G434" s="496"/>
      <c r="H434" s="495"/>
      <c r="I434" s="496"/>
      <c r="J434" s="495">
        <v>51276</v>
      </c>
      <c r="K434" s="496">
        <v>44652</v>
      </c>
      <c r="L434" s="495">
        <v>7706</v>
      </c>
      <c r="M434" s="496">
        <v>6768</v>
      </c>
      <c r="N434" s="495">
        <v>52972</v>
      </c>
      <c r="O434" s="496">
        <v>47374</v>
      </c>
      <c r="P434" s="640">
        <f t="shared" si="126"/>
        <v>111954</v>
      </c>
      <c r="Q434" s="640">
        <f t="shared" si="127"/>
        <v>3731.8</v>
      </c>
      <c r="R434" s="641">
        <f t="shared" si="128"/>
        <v>98794</v>
      </c>
      <c r="S434" s="641">
        <f t="shared" si="129"/>
        <v>3293.1333333333332</v>
      </c>
      <c r="T434" s="495">
        <v>14910</v>
      </c>
      <c r="U434" s="496">
        <v>14395</v>
      </c>
      <c r="V434" s="640">
        <f t="shared" si="130"/>
        <v>111954</v>
      </c>
      <c r="W434" s="641">
        <f t="shared" si="131"/>
        <v>98794</v>
      </c>
      <c r="X434" s="495"/>
      <c r="Y434" s="496"/>
      <c r="Z434" s="495"/>
      <c r="AA434" s="496"/>
      <c r="AB434" s="495"/>
      <c r="AC434" s="496"/>
      <c r="AD434" s="495"/>
      <c r="AE434" s="496"/>
      <c r="AF434" s="640">
        <f t="shared" si="132"/>
        <v>0</v>
      </c>
      <c r="AG434" s="640">
        <f t="shared" si="133"/>
        <v>0</v>
      </c>
      <c r="AH434" s="641">
        <f t="shared" si="134"/>
        <v>0</v>
      </c>
      <c r="AI434" s="641">
        <f t="shared" si="135"/>
        <v>0</v>
      </c>
      <c r="AJ434" s="495"/>
      <c r="AK434" s="496"/>
      <c r="AL434" s="640">
        <f t="shared" si="136"/>
        <v>0</v>
      </c>
      <c r="AM434" s="641">
        <f t="shared" si="137"/>
        <v>0</v>
      </c>
      <c r="AN434" s="495"/>
      <c r="AO434" s="496"/>
      <c r="AP434" s="495"/>
      <c r="AQ434" s="496"/>
      <c r="AR434" s="495"/>
      <c r="AS434" s="496"/>
      <c r="AT434" s="495"/>
      <c r="AU434" s="496"/>
      <c r="AV434" s="640">
        <f t="shared" si="138"/>
        <v>0</v>
      </c>
      <c r="AW434" s="640">
        <f t="shared" si="139"/>
        <v>0</v>
      </c>
      <c r="AX434" s="641">
        <f t="shared" si="140"/>
        <v>0</v>
      </c>
      <c r="AY434" s="641">
        <f t="shared" si="141"/>
        <v>0</v>
      </c>
      <c r="AZ434" s="640">
        <f t="shared" si="142"/>
        <v>3731.8</v>
      </c>
      <c r="BA434" s="641">
        <f t="shared" si="143"/>
        <v>3293.1333333333332</v>
      </c>
    </row>
    <row r="435" spans="1:53" s="365" customFormat="1" ht="12.6" customHeight="1">
      <c r="A435" s="412" t="s">
        <v>359</v>
      </c>
      <c r="B435" s="413" t="s">
        <v>381</v>
      </c>
      <c r="C435" s="447"/>
      <c r="D435" s="619">
        <v>222062</v>
      </c>
      <c r="E435" s="494">
        <v>9</v>
      </c>
      <c r="F435" s="495"/>
      <c r="G435" s="496"/>
      <c r="H435" s="495"/>
      <c r="I435" s="496"/>
      <c r="J435" s="495">
        <v>51325</v>
      </c>
      <c r="K435" s="496">
        <v>47215</v>
      </c>
      <c r="L435" s="495">
        <v>8152</v>
      </c>
      <c r="M435" s="496">
        <v>6148</v>
      </c>
      <c r="N435" s="495">
        <v>57526</v>
      </c>
      <c r="O435" s="496">
        <v>54390</v>
      </c>
      <c r="P435" s="640">
        <f t="shared" si="126"/>
        <v>117003</v>
      </c>
      <c r="Q435" s="640">
        <f t="shared" si="127"/>
        <v>3900.1</v>
      </c>
      <c r="R435" s="641">
        <f t="shared" si="128"/>
        <v>107753</v>
      </c>
      <c r="S435" s="641">
        <f t="shared" si="129"/>
        <v>3591.7666666666669</v>
      </c>
      <c r="T435" s="495">
        <v>12784</v>
      </c>
      <c r="U435" s="496">
        <v>13671</v>
      </c>
      <c r="V435" s="640">
        <f t="shared" si="130"/>
        <v>117003</v>
      </c>
      <c r="W435" s="641">
        <f t="shared" si="131"/>
        <v>107753</v>
      </c>
      <c r="X435" s="495"/>
      <c r="Y435" s="496"/>
      <c r="Z435" s="495"/>
      <c r="AA435" s="496"/>
      <c r="AB435" s="495"/>
      <c r="AC435" s="496"/>
      <c r="AD435" s="495"/>
      <c r="AE435" s="496"/>
      <c r="AF435" s="640">
        <f t="shared" si="132"/>
        <v>0</v>
      </c>
      <c r="AG435" s="640">
        <f t="shared" si="133"/>
        <v>0</v>
      </c>
      <c r="AH435" s="641">
        <f t="shared" si="134"/>
        <v>0</v>
      </c>
      <c r="AI435" s="641">
        <f t="shared" si="135"/>
        <v>0</v>
      </c>
      <c r="AJ435" s="495"/>
      <c r="AK435" s="496"/>
      <c r="AL435" s="640">
        <f t="shared" si="136"/>
        <v>0</v>
      </c>
      <c r="AM435" s="641">
        <f t="shared" si="137"/>
        <v>0</v>
      </c>
      <c r="AN435" s="495"/>
      <c r="AO435" s="496"/>
      <c r="AP435" s="495"/>
      <c r="AQ435" s="496"/>
      <c r="AR435" s="495"/>
      <c r="AS435" s="496"/>
      <c r="AT435" s="495"/>
      <c r="AU435" s="496"/>
      <c r="AV435" s="640">
        <f t="shared" si="138"/>
        <v>0</v>
      </c>
      <c r="AW435" s="640">
        <f t="shared" si="139"/>
        <v>0</v>
      </c>
      <c r="AX435" s="641">
        <f t="shared" si="140"/>
        <v>0</v>
      </c>
      <c r="AY435" s="641">
        <f t="shared" si="141"/>
        <v>0</v>
      </c>
      <c r="AZ435" s="640">
        <f t="shared" si="142"/>
        <v>3900.1</v>
      </c>
      <c r="BA435" s="641">
        <f t="shared" si="143"/>
        <v>3591.7666666666669</v>
      </c>
    </row>
    <row r="436" spans="1:53" s="365" customFormat="1" ht="12.6" customHeight="1">
      <c r="A436" s="412" t="s">
        <v>359</v>
      </c>
      <c r="B436" s="413" t="s">
        <v>376</v>
      </c>
      <c r="C436" s="446"/>
      <c r="D436" s="619">
        <v>220057</v>
      </c>
      <c r="E436" s="494">
        <v>10</v>
      </c>
      <c r="F436" s="495"/>
      <c r="G436" s="496"/>
      <c r="H436" s="495"/>
      <c r="I436" s="496"/>
      <c r="J436" s="495">
        <v>22766</v>
      </c>
      <c r="K436" s="496">
        <v>21230</v>
      </c>
      <c r="L436" s="495">
        <v>4325</v>
      </c>
      <c r="M436" s="496">
        <v>4649</v>
      </c>
      <c r="N436" s="495">
        <v>24448</v>
      </c>
      <c r="O436" s="496">
        <v>25937</v>
      </c>
      <c r="P436" s="640">
        <f t="shared" si="126"/>
        <v>51539</v>
      </c>
      <c r="Q436" s="640">
        <f t="shared" si="127"/>
        <v>1717.9666666666667</v>
      </c>
      <c r="R436" s="641">
        <f t="shared" si="128"/>
        <v>51816</v>
      </c>
      <c r="S436" s="641">
        <f t="shared" si="129"/>
        <v>1727.2</v>
      </c>
      <c r="T436" s="495">
        <v>5504</v>
      </c>
      <c r="U436" s="496">
        <v>5566</v>
      </c>
      <c r="V436" s="640">
        <f t="shared" si="130"/>
        <v>51539</v>
      </c>
      <c r="W436" s="641">
        <f t="shared" si="131"/>
        <v>51816</v>
      </c>
      <c r="X436" s="495"/>
      <c r="Y436" s="496"/>
      <c r="Z436" s="495"/>
      <c r="AA436" s="496"/>
      <c r="AB436" s="495"/>
      <c r="AC436" s="496"/>
      <c r="AD436" s="495"/>
      <c r="AE436" s="496"/>
      <c r="AF436" s="640">
        <f t="shared" si="132"/>
        <v>0</v>
      </c>
      <c r="AG436" s="640">
        <f t="shared" si="133"/>
        <v>0</v>
      </c>
      <c r="AH436" s="641">
        <f t="shared" si="134"/>
        <v>0</v>
      </c>
      <c r="AI436" s="641">
        <f t="shared" si="135"/>
        <v>0</v>
      </c>
      <c r="AJ436" s="495"/>
      <c r="AK436" s="496"/>
      <c r="AL436" s="640">
        <f t="shared" si="136"/>
        <v>0</v>
      </c>
      <c r="AM436" s="641">
        <f t="shared" si="137"/>
        <v>0</v>
      </c>
      <c r="AN436" s="495"/>
      <c r="AO436" s="496"/>
      <c r="AP436" s="495"/>
      <c r="AQ436" s="496"/>
      <c r="AR436" s="495"/>
      <c r="AS436" s="496"/>
      <c r="AT436" s="495"/>
      <c r="AU436" s="496"/>
      <c r="AV436" s="640">
        <f t="shared" si="138"/>
        <v>0</v>
      </c>
      <c r="AW436" s="640">
        <f t="shared" si="139"/>
        <v>0</v>
      </c>
      <c r="AX436" s="641">
        <f t="shared" si="140"/>
        <v>0</v>
      </c>
      <c r="AY436" s="641">
        <f t="shared" si="141"/>
        <v>0</v>
      </c>
      <c r="AZ436" s="640">
        <f t="shared" si="142"/>
        <v>1717.9666666666667</v>
      </c>
      <c r="BA436" s="641">
        <f t="shared" si="143"/>
        <v>1727.2</v>
      </c>
    </row>
    <row r="437" spans="1:53" s="365" customFormat="1" ht="12.6" customHeight="1">
      <c r="A437" s="412" t="s">
        <v>359</v>
      </c>
      <c r="B437" s="413" t="s">
        <v>384</v>
      </c>
      <c r="C437" s="414"/>
      <c r="D437" s="619">
        <v>219596</v>
      </c>
      <c r="E437" s="494">
        <v>13</v>
      </c>
      <c r="F437" s="495"/>
      <c r="G437" s="496"/>
      <c r="H437" s="495"/>
      <c r="I437" s="496"/>
      <c r="J437" s="495"/>
      <c r="K437" s="496"/>
      <c r="L437" s="495"/>
      <c r="M437" s="496"/>
      <c r="N437" s="495"/>
      <c r="O437" s="496"/>
      <c r="P437" s="640">
        <f t="shared" si="126"/>
        <v>0</v>
      </c>
      <c r="Q437" s="640">
        <f t="shared" si="127"/>
        <v>0</v>
      </c>
      <c r="R437" s="641">
        <f t="shared" si="128"/>
        <v>0</v>
      </c>
      <c r="S437" s="641">
        <f t="shared" si="129"/>
        <v>0</v>
      </c>
      <c r="T437" s="495"/>
      <c r="U437" s="496"/>
      <c r="V437" s="640">
        <f t="shared" si="130"/>
        <v>0</v>
      </c>
      <c r="W437" s="641">
        <f t="shared" si="131"/>
        <v>0</v>
      </c>
      <c r="X437" s="495"/>
      <c r="Y437" s="496"/>
      <c r="Z437" s="495">
        <v>89100</v>
      </c>
      <c r="AA437" s="496">
        <v>76161</v>
      </c>
      <c r="AB437" s="495">
        <v>67936</v>
      </c>
      <c r="AC437" s="496">
        <v>63773</v>
      </c>
      <c r="AD437" s="495">
        <v>78454</v>
      </c>
      <c r="AE437" s="496">
        <v>94779</v>
      </c>
      <c r="AF437" s="640">
        <f t="shared" si="132"/>
        <v>235490</v>
      </c>
      <c r="AG437" s="640">
        <f t="shared" si="133"/>
        <v>261.65555555555557</v>
      </c>
      <c r="AH437" s="641">
        <f t="shared" si="134"/>
        <v>234713</v>
      </c>
      <c r="AI437" s="641">
        <f t="shared" si="135"/>
        <v>260.79222222222222</v>
      </c>
      <c r="AJ437" s="495"/>
      <c r="AK437" s="496"/>
      <c r="AL437" s="640">
        <f t="shared" si="136"/>
        <v>0</v>
      </c>
      <c r="AM437" s="641">
        <f t="shared" si="137"/>
        <v>0</v>
      </c>
      <c r="AN437" s="495"/>
      <c r="AO437" s="496"/>
      <c r="AP437" s="495"/>
      <c r="AQ437" s="496"/>
      <c r="AR437" s="495"/>
      <c r="AS437" s="496"/>
      <c r="AT437" s="495"/>
      <c r="AU437" s="496"/>
      <c r="AV437" s="640">
        <f t="shared" si="138"/>
        <v>0</v>
      </c>
      <c r="AW437" s="640">
        <f t="shared" si="139"/>
        <v>0</v>
      </c>
      <c r="AX437" s="641">
        <f t="shared" si="140"/>
        <v>0</v>
      </c>
      <c r="AY437" s="641">
        <f t="shared" si="141"/>
        <v>0</v>
      </c>
      <c r="AZ437" s="640">
        <f t="shared" si="142"/>
        <v>261.65555555555557</v>
      </c>
      <c r="BA437" s="641">
        <f t="shared" si="143"/>
        <v>260.79222222222222</v>
      </c>
    </row>
    <row r="438" spans="1:53" s="365" customFormat="1" ht="12.6" customHeight="1">
      <c r="A438" s="412" t="s">
        <v>359</v>
      </c>
      <c r="B438" s="413" t="s">
        <v>382</v>
      </c>
      <c r="C438" s="447"/>
      <c r="D438" s="619" t="s">
        <v>383</v>
      </c>
      <c r="E438" s="494">
        <v>13</v>
      </c>
      <c r="F438" s="495"/>
      <c r="G438" s="496"/>
      <c r="H438" s="495"/>
      <c r="I438" s="496"/>
      <c r="J438" s="495"/>
      <c r="K438" s="496"/>
      <c r="L438" s="495"/>
      <c r="M438" s="496"/>
      <c r="N438" s="495"/>
      <c r="O438" s="496"/>
      <c r="P438" s="640">
        <f t="shared" si="126"/>
        <v>0</v>
      </c>
      <c r="Q438" s="640">
        <f t="shared" si="127"/>
        <v>0</v>
      </c>
      <c r="R438" s="641">
        <f t="shared" si="128"/>
        <v>0</v>
      </c>
      <c r="S438" s="641">
        <f t="shared" si="129"/>
        <v>0</v>
      </c>
      <c r="T438" s="495"/>
      <c r="U438" s="496"/>
      <c r="V438" s="640">
        <f t="shared" si="130"/>
        <v>0</v>
      </c>
      <c r="W438" s="641">
        <f t="shared" si="131"/>
        <v>0</v>
      </c>
      <c r="X438" s="495"/>
      <c r="Y438" s="496"/>
      <c r="Z438" s="495">
        <v>332363</v>
      </c>
      <c r="AA438" s="496">
        <v>273031</v>
      </c>
      <c r="AB438" s="495">
        <v>187331</v>
      </c>
      <c r="AC438" s="496">
        <v>179760</v>
      </c>
      <c r="AD438" s="495">
        <v>295842</v>
      </c>
      <c r="AE438" s="496">
        <v>320508</v>
      </c>
      <c r="AF438" s="640">
        <f t="shared" si="132"/>
        <v>815536</v>
      </c>
      <c r="AG438" s="640">
        <f t="shared" si="133"/>
        <v>906.15111111111116</v>
      </c>
      <c r="AH438" s="641">
        <f t="shared" si="134"/>
        <v>773299</v>
      </c>
      <c r="AI438" s="641">
        <f t="shared" si="135"/>
        <v>859.2211111111111</v>
      </c>
      <c r="AJ438" s="495"/>
      <c r="AK438" s="496"/>
      <c r="AL438" s="640">
        <f t="shared" si="136"/>
        <v>0</v>
      </c>
      <c r="AM438" s="641">
        <f t="shared" si="137"/>
        <v>0</v>
      </c>
      <c r="AN438" s="495"/>
      <c r="AO438" s="496"/>
      <c r="AP438" s="495"/>
      <c r="AQ438" s="496"/>
      <c r="AR438" s="495"/>
      <c r="AS438" s="496"/>
      <c r="AT438" s="495"/>
      <c r="AU438" s="496"/>
      <c r="AV438" s="640">
        <f t="shared" si="138"/>
        <v>0</v>
      </c>
      <c r="AW438" s="640">
        <f t="shared" si="139"/>
        <v>0</v>
      </c>
      <c r="AX438" s="641">
        <f t="shared" si="140"/>
        <v>0</v>
      </c>
      <c r="AY438" s="641">
        <f t="shared" si="141"/>
        <v>0</v>
      </c>
      <c r="AZ438" s="640">
        <f t="shared" si="142"/>
        <v>906.15111111111116</v>
      </c>
      <c r="BA438" s="641">
        <f t="shared" si="143"/>
        <v>859.2211111111111</v>
      </c>
    </row>
    <row r="439" spans="1:53" s="365" customFormat="1" ht="12.6" customHeight="1">
      <c r="A439" s="412" t="s">
        <v>359</v>
      </c>
      <c r="B439" s="413" t="s">
        <v>385</v>
      </c>
      <c r="C439" s="414"/>
      <c r="D439" s="619">
        <v>219921</v>
      </c>
      <c r="E439" s="494">
        <v>13</v>
      </c>
      <c r="F439" s="495"/>
      <c r="G439" s="496"/>
      <c r="H439" s="495"/>
      <c r="I439" s="496"/>
      <c r="J439" s="495"/>
      <c r="K439" s="496"/>
      <c r="L439" s="495"/>
      <c r="M439" s="496"/>
      <c r="N439" s="495"/>
      <c r="O439" s="496"/>
      <c r="P439" s="640">
        <f t="shared" si="126"/>
        <v>0</v>
      </c>
      <c r="Q439" s="640">
        <f t="shared" si="127"/>
        <v>0</v>
      </c>
      <c r="R439" s="641">
        <f t="shared" si="128"/>
        <v>0</v>
      </c>
      <c r="S439" s="641">
        <f t="shared" si="129"/>
        <v>0</v>
      </c>
      <c r="T439" s="495"/>
      <c r="U439" s="496"/>
      <c r="V439" s="640">
        <f t="shared" si="130"/>
        <v>0</v>
      </c>
      <c r="W439" s="641">
        <f t="shared" si="131"/>
        <v>0</v>
      </c>
      <c r="X439" s="495"/>
      <c r="Y439" s="496"/>
      <c r="Z439" s="495">
        <v>81592</v>
      </c>
      <c r="AA439" s="496">
        <v>82362</v>
      </c>
      <c r="AB439" s="495">
        <v>71588</v>
      </c>
      <c r="AC439" s="496">
        <v>72572</v>
      </c>
      <c r="AD439" s="495">
        <v>92879</v>
      </c>
      <c r="AE439" s="496">
        <v>91111</v>
      </c>
      <c r="AF439" s="640">
        <f t="shared" si="132"/>
        <v>246059</v>
      </c>
      <c r="AG439" s="640">
        <f t="shared" si="133"/>
        <v>273.39888888888891</v>
      </c>
      <c r="AH439" s="641">
        <f t="shared" si="134"/>
        <v>246045</v>
      </c>
      <c r="AI439" s="641">
        <f t="shared" si="135"/>
        <v>273.38333333333333</v>
      </c>
      <c r="AJ439" s="495"/>
      <c r="AK439" s="496"/>
      <c r="AL439" s="640">
        <f t="shared" si="136"/>
        <v>0</v>
      </c>
      <c r="AM439" s="641">
        <f t="shared" si="137"/>
        <v>0</v>
      </c>
      <c r="AN439" s="495"/>
      <c r="AO439" s="496"/>
      <c r="AP439" s="495"/>
      <c r="AQ439" s="496"/>
      <c r="AR439" s="495"/>
      <c r="AS439" s="496"/>
      <c r="AT439" s="495"/>
      <c r="AU439" s="496"/>
      <c r="AV439" s="640">
        <f t="shared" si="138"/>
        <v>0</v>
      </c>
      <c r="AW439" s="640">
        <f t="shared" si="139"/>
        <v>0</v>
      </c>
      <c r="AX439" s="641">
        <f t="shared" si="140"/>
        <v>0</v>
      </c>
      <c r="AY439" s="641">
        <f t="shared" si="141"/>
        <v>0</v>
      </c>
      <c r="AZ439" s="640">
        <f t="shared" si="142"/>
        <v>273.39888888888891</v>
      </c>
      <c r="BA439" s="641">
        <f t="shared" si="143"/>
        <v>273.38333333333333</v>
      </c>
    </row>
    <row r="440" spans="1:53" s="365" customFormat="1" ht="12.6" customHeight="1">
      <c r="A440" s="412" t="s">
        <v>359</v>
      </c>
      <c r="B440" s="413" t="s">
        <v>386</v>
      </c>
      <c r="C440" s="415"/>
      <c r="D440" s="619">
        <v>221591</v>
      </c>
      <c r="E440" s="494">
        <v>13</v>
      </c>
      <c r="F440" s="495"/>
      <c r="G440" s="496"/>
      <c r="H440" s="495"/>
      <c r="I440" s="496"/>
      <c r="J440" s="495"/>
      <c r="K440" s="496"/>
      <c r="L440" s="495"/>
      <c r="M440" s="496"/>
      <c r="N440" s="495"/>
      <c r="O440" s="496"/>
      <c r="P440" s="640">
        <f t="shared" si="126"/>
        <v>0</v>
      </c>
      <c r="Q440" s="640">
        <f t="shared" si="127"/>
        <v>0</v>
      </c>
      <c r="R440" s="641">
        <f t="shared" si="128"/>
        <v>0</v>
      </c>
      <c r="S440" s="641">
        <f t="shared" si="129"/>
        <v>0</v>
      </c>
      <c r="T440" s="495"/>
      <c r="U440" s="496"/>
      <c r="V440" s="640">
        <f t="shared" si="130"/>
        <v>0</v>
      </c>
      <c r="W440" s="641">
        <f t="shared" si="131"/>
        <v>0</v>
      </c>
      <c r="X440" s="495"/>
      <c r="Y440" s="496"/>
      <c r="Z440" s="495">
        <v>124158</v>
      </c>
      <c r="AA440" s="496">
        <v>146890</v>
      </c>
      <c r="AB440" s="495">
        <v>108760</v>
      </c>
      <c r="AC440" s="496">
        <v>119108</v>
      </c>
      <c r="AD440" s="495">
        <v>143991</v>
      </c>
      <c r="AE440" s="496">
        <v>147693</v>
      </c>
      <c r="AF440" s="640">
        <f t="shared" si="132"/>
        <v>376909</v>
      </c>
      <c r="AG440" s="640">
        <f t="shared" si="133"/>
        <v>418.78777777777776</v>
      </c>
      <c r="AH440" s="641">
        <f t="shared" si="134"/>
        <v>413691</v>
      </c>
      <c r="AI440" s="641">
        <f t="shared" si="135"/>
        <v>459.65666666666669</v>
      </c>
      <c r="AJ440" s="495"/>
      <c r="AK440" s="496"/>
      <c r="AL440" s="640">
        <f t="shared" si="136"/>
        <v>0</v>
      </c>
      <c r="AM440" s="641">
        <f t="shared" si="137"/>
        <v>0</v>
      </c>
      <c r="AN440" s="495"/>
      <c r="AO440" s="496"/>
      <c r="AP440" s="495"/>
      <c r="AQ440" s="496"/>
      <c r="AR440" s="495"/>
      <c r="AS440" s="496"/>
      <c r="AT440" s="495"/>
      <c r="AU440" s="496"/>
      <c r="AV440" s="640">
        <f t="shared" si="138"/>
        <v>0</v>
      </c>
      <c r="AW440" s="640">
        <f t="shared" si="139"/>
        <v>0</v>
      </c>
      <c r="AX440" s="641">
        <f t="shared" si="140"/>
        <v>0</v>
      </c>
      <c r="AY440" s="641">
        <f t="shared" si="141"/>
        <v>0</v>
      </c>
      <c r="AZ440" s="640">
        <f t="shared" si="142"/>
        <v>418.78777777777776</v>
      </c>
      <c r="BA440" s="641">
        <f t="shared" si="143"/>
        <v>459.65666666666669</v>
      </c>
    </row>
    <row r="441" spans="1:53" s="365" customFormat="1" ht="12.6" customHeight="1">
      <c r="A441" s="412" t="s">
        <v>359</v>
      </c>
      <c r="B441" s="413" t="s">
        <v>387</v>
      </c>
      <c r="C441" s="414"/>
      <c r="D441" s="619">
        <v>221430</v>
      </c>
      <c r="E441" s="494">
        <v>13</v>
      </c>
      <c r="F441" s="495"/>
      <c r="G441" s="496"/>
      <c r="H441" s="495"/>
      <c r="I441" s="496"/>
      <c r="J441" s="495"/>
      <c r="K441" s="496"/>
      <c r="L441" s="495"/>
      <c r="M441" s="496"/>
      <c r="N441" s="495"/>
      <c r="O441" s="496"/>
      <c r="P441" s="640">
        <f t="shared" si="126"/>
        <v>0</v>
      </c>
      <c r="Q441" s="640">
        <f t="shared" si="127"/>
        <v>0</v>
      </c>
      <c r="R441" s="641">
        <f t="shared" si="128"/>
        <v>0</v>
      </c>
      <c r="S441" s="641">
        <f t="shared" si="129"/>
        <v>0</v>
      </c>
      <c r="T441" s="495"/>
      <c r="U441" s="496"/>
      <c r="V441" s="640">
        <f t="shared" si="130"/>
        <v>0</v>
      </c>
      <c r="W441" s="641">
        <f t="shared" si="131"/>
        <v>0</v>
      </c>
      <c r="X441" s="495"/>
      <c r="Y441" s="496"/>
      <c r="Z441" s="495">
        <v>125883</v>
      </c>
      <c r="AA441" s="496">
        <v>145352</v>
      </c>
      <c r="AB441" s="495">
        <v>74810</v>
      </c>
      <c r="AC441" s="496">
        <v>89945</v>
      </c>
      <c r="AD441" s="495">
        <v>158002</v>
      </c>
      <c r="AE441" s="496">
        <v>184534</v>
      </c>
      <c r="AF441" s="640">
        <f t="shared" si="132"/>
        <v>358695</v>
      </c>
      <c r="AG441" s="640">
        <f t="shared" si="133"/>
        <v>398.55</v>
      </c>
      <c r="AH441" s="641">
        <f t="shared" si="134"/>
        <v>419831</v>
      </c>
      <c r="AI441" s="641">
        <f t="shared" si="135"/>
        <v>466.47888888888889</v>
      </c>
      <c r="AJ441" s="495"/>
      <c r="AK441" s="496"/>
      <c r="AL441" s="640">
        <f t="shared" si="136"/>
        <v>0</v>
      </c>
      <c r="AM441" s="641">
        <f t="shared" si="137"/>
        <v>0</v>
      </c>
      <c r="AN441" s="495"/>
      <c r="AO441" s="496"/>
      <c r="AP441" s="495"/>
      <c r="AQ441" s="496"/>
      <c r="AR441" s="495"/>
      <c r="AS441" s="496"/>
      <c r="AT441" s="495"/>
      <c r="AU441" s="496"/>
      <c r="AV441" s="640">
        <f t="shared" si="138"/>
        <v>0</v>
      </c>
      <c r="AW441" s="640">
        <f t="shared" si="139"/>
        <v>0</v>
      </c>
      <c r="AX441" s="641">
        <f t="shared" si="140"/>
        <v>0</v>
      </c>
      <c r="AY441" s="641">
        <f t="shared" si="141"/>
        <v>0</v>
      </c>
      <c r="AZ441" s="640">
        <f t="shared" si="142"/>
        <v>398.55</v>
      </c>
      <c r="BA441" s="641">
        <f t="shared" si="143"/>
        <v>466.47888888888889</v>
      </c>
    </row>
    <row r="442" spans="1:53" s="365" customFormat="1" ht="12.6" customHeight="1">
      <c r="A442" s="412" t="s">
        <v>359</v>
      </c>
      <c r="B442" s="413" t="s">
        <v>388</v>
      </c>
      <c r="C442" s="414"/>
      <c r="D442" s="619">
        <v>219994</v>
      </c>
      <c r="E442" s="494">
        <v>13</v>
      </c>
      <c r="F442" s="495"/>
      <c r="G442" s="496"/>
      <c r="H442" s="495"/>
      <c r="I442" s="496"/>
      <c r="J442" s="495"/>
      <c r="K442" s="496"/>
      <c r="L442" s="495"/>
      <c r="M442" s="496"/>
      <c r="N442" s="495"/>
      <c r="O442" s="496"/>
      <c r="P442" s="640">
        <f t="shared" si="126"/>
        <v>0</v>
      </c>
      <c r="Q442" s="640">
        <f t="shared" si="127"/>
        <v>0</v>
      </c>
      <c r="R442" s="641">
        <f t="shared" si="128"/>
        <v>0</v>
      </c>
      <c r="S442" s="641">
        <f t="shared" si="129"/>
        <v>0</v>
      </c>
      <c r="T442" s="495"/>
      <c r="U442" s="496"/>
      <c r="V442" s="640">
        <f t="shared" si="130"/>
        <v>0</v>
      </c>
      <c r="W442" s="641">
        <f t="shared" si="131"/>
        <v>0</v>
      </c>
      <c r="X442" s="495"/>
      <c r="Y442" s="496"/>
      <c r="Z442" s="495">
        <v>247400</v>
      </c>
      <c r="AA442" s="496">
        <v>245192</v>
      </c>
      <c r="AB442" s="495">
        <v>202300</v>
      </c>
      <c r="AC442" s="496">
        <v>216570</v>
      </c>
      <c r="AD442" s="495">
        <v>252017</v>
      </c>
      <c r="AE442" s="496">
        <v>252219</v>
      </c>
      <c r="AF442" s="640">
        <f t="shared" si="132"/>
        <v>701717</v>
      </c>
      <c r="AG442" s="640">
        <f t="shared" si="133"/>
        <v>779.68555555555554</v>
      </c>
      <c r="AH442" s="641">
        <f t="shared" si="134"/>
        <v>713981</v>
      </c>
      <c r="AI442" s="641">
        <f t="shared" si="135"/>
        <v>793.3122222222222</v>
      </c>
      <c r="AJ442" s="495"/>
      <c r="AK442" s="496"/>
      <c r="AL442" s="640">
        <f t="shared" si="136"/>
        <v>0</v>
      </c>
      <c r="AM442" s="641">
        <f t="shared" si="137"/>
        <v>0</v>
      </c>
      <c r="AN442" s="495"/>
      <c r="AO442" s="496"/>
      <c r="AP442" s="495"/>
      <c r="AQ442" s="496"/>
      <c r="AR442" s="495"/>
      <c r="AS442" s="496"/>
      <c r="AT442" s="495"/>
      <c r="AU442" s="496"/>
      <c r="AV442" s="640">
        <f t="shared" si="138"/>
        <v>0</v>
      </c>
      <c r="AW442" s="640">
        <f t="shared" si="139"/>
        <v>0</v>
      </c>
      <c r="AX442" s="641">
        <f t="shared" si="140"/>
        <v>0</v>
      </c>
      <c r="AY442" s="641">
        <f t="shared" si="141"/>
        <v>0</v>
      </c>
      <c r="AZ442" s="640">
        <f t="shared" si="142"/>
        <v>779.68555555555554</v>
      </c>
      <c r="BA442" s="641">
        <f t="shared" si="143"/>
        <v>793.3122222222222</v>
      </c>
    </row>
    <row r="443" spans="1:53" s="365" customFormat="1" ht="12.6" customHeight="1">
      <c r="A443" s="412" t="s">
        <v>359</v>
      </c>
      <c r="B443" s="413" t="s">
        <v>389</v>
      </c>
      <c r="C443" s="415"/>
      <c r="D443" s="619">
        <v>220127</v>
      </c>
      <c r="E443" s="494">
        <v>13</v>
      </c>
      <c r="F443" s="495"/>
      <c r="G443" s="496"/>
      <c r="H443" s="495"/>
      <c r="I443" s="496"/>
      <c r="J443" s="495"/>
      <c r="K443" s="496"/>
      <c r="L443" s="495"/>
      <c r="M443" s="496"/>
      <c r="N443" s="495"/>
      <c r="O443" s="496"/>
      <c r="P443" s="640">
        <f t="shared" si="126"/>
        <v>0</v>
      </c>
      <c r="Q443" s="640">
        <f t="shared" si="127"/>
        <v>0</v>
      </c>
      <c r="R443" s="641">
        <f t="shared" si="128"/>
        <v>0</v>
      </c>
      <c r="S443" s="641">
        <f t="shared" si="129"/>
        <v>0</v>
      </c>
      <c r="T443" s="495"/>
      <c r="U443" s="496"/>
      <c r="V443" s="640">
        <f t="shared" si="130"/>
        <v>0</v>
      </c>
      <c r="W443" s="641">
        <f t="shared" si="131"/>
        <v>0</v>
      </c>
      <c r="X443" s="495"/>
      <c r="Y443" s="496"/>
      <c r="Z443" s="495">
        <v>182440</v>
      </c>
      <c r="AA443" s="496">
        <v>172473</v>
      </c>
      <c r="AB443" s="495">
        <v>168363</v>
      </c>
      <c r="AC443" s="496">
        <v>152092</v>
      </c>
      <c r="AD443" s="495">
        <v>176639</v>
      </c>
      <c r="AE443" s="496">
        <v>171631</v>
      </c>
      <c r="AF443" s="640">
        <f t="shared" si="132"/>
        <v>527442</v>
      </c>
      <c r="AG443" s="640">
        <f t="shared" si="133"/>
        <v>586.04666666666662</v>
      </c>
      <c r="AH443" s="641">
        <f t="shared" si="134"/>
        <v>496196</v>
      </c>
      <c r="AI443" s="641">
        <f t="shared" si="135"/>
        <v>551.32888888888886</v>
      </c>
      <c r="AJ443" s="495"/>
      <c r="AK443" s="496"/>
      <c r="AL443" s="640">
        <f t="shared" si="136"/>
        <v>0</v>
      </c>
      <c r="AM443" s="641">
        <f t="shared" si="137"/>
        <v>0</v>
      </c>
      <c r="AN443" s="495"/>
      <c r="AO443" s="496"/>
      <c r="AP443" s="495"/>
      <c r="AQ443" s="496"/>
      <c r="AR443" s="495"/>
      <c r="AS443" s="496"/>
      <c r="AT443" s="495"/>
      <c r="AU443" s="496"/>
      <c r="AV443" s="640">
        <f t="shared" si="138"/>
        <v>0</v>
      </c>
      <c r="AW443" s="640">
        <f t="shared" si="139"/>
        <v>0</v>
      </c>
      <c r="AX443" s="641">
        <f t="shared" si="140"/>
        <v>0</v>
      </c>
      <c r="AY443" s="641">
        <f t="shared" si="141"/>
        <v>0</v>
      </c>
      <c r="AZ443" s="640">
        <f t="shared" si="142"/>
        <v>586.04666666666662</v>
      </c>
      <c r="BA443" s="641">
        <f t="shared" si="143"/>
        <v>551.32888888888886</v>
      </c>
    </row>
    <row r="444" spans="1:53" s="365" customFormat="1" ht="12.6" customHeight="1">
      <c r="A444" s="412" t="s">
        <v>359</v>
      </c>
      <c r="B444" s="413" t="s">
        <v>390</v>
      </c>
      <c r="C444" s="414"/>
      <c r="D444" s="619">
        <v>220251</v>
      </c>
      <c r="E444" s="494">
        <v>13</v>
      </c>
      <c r="F444" s="495"/>
      <c r="G444" s="496"/>
      <c r="H444" s="495"/>
      <c r="I444" s="496"/>
      <c r="J444" s="495"/>
      <c r="K444" s="496"/>
      <c r="L444" s="495"/>
      <c r="M444" s="496"/>
      <c r="N444" s="495"/>
      <c r="O444" s="496"/>
      <c r="P444" s="640">
        <f t="shared" si="126"/>
        <v>0</v>
      </c>
      <c r="Q444" s="640">
        <f t="shared" si="127"/>
        <v>0</v>
      </c>
      <c r="R444" s="641">
        <f t="shared" si="128"/>
        <v>0</v>
      </c>
      <c r="S444" s="641">
        <f t="shared" si="129"/>
        <v>0</v>
      </c>
      <c r="T444" s="495"/>
      <c r="U444" s="496"/>
      <c r="V444" s="640">
        <f t="shared" si="130"/>
        <v>0</v>
      </c>
      <c r="W444" s="641">
        <f t="shared" si="131"/>
        <v>0</v>
      </c>
      <c r="X444" s="495"/>
      <c r="Y444" s="496"/>
      <c r="Z444" s="495">
        <v>71693</v>
      </c>
      <c r="AA444" s="496">
        <v>102341</v>
      </c>
      <c r="AB444" s="495">
        <v>67098</v>
      </c>
      <c r="AC444" s="496">
        <v>78165</v>
      </c>
      <c r="AD444" s="495">
        <v>99460</v>
      </c>
      <c r="AE444" s="496">
        <v>133733</v>
      </c>
      <c r="AF444" s="640">
        <f t="shared" si="132"/>
        <v>238251</v>
      </c>
      <c r="AG444" s="640">
        <f t="shared" si="133"/>
        <v>264.72333333333336</v>
      </c>
      <c r="AH444" s="641">
        <f t="shared" si="134"/>
        <v>314239</v>
      </c>
      <c r="AI444" s="641">
        <f t="shared" si="135"/>
        <v>349.15444444444444</v>
      </c>
      <c r="AJ444" s="495"/>
      <c r="AK444" s="496"/>
      <c r="AL444" s="640">
        <f t="shared" si="136"/>
        <v>0</v>
      </c>
      <c r="AM444" s="641">
        <f t="shared" si="137"/>
        <v>0</v>
      </c>
      <c r="AN444" s="495"/>
      <c r="AO444" s="496"/>
      <c r="AP444" s="495"/>
      <c r="AQ444" s="496"/>
      <c r="AR444" s="495"/>
      <c r="AS444" s="496"/>
      <c r="AT444" s="495"/>
      <c r="AU444" s="496"/>
      <c r="AV444" s="640">
        <f t="shared" si="138"/>
        <v>0</v>
      </c>
      <c r="AW444" s="640">
        <f t="shared" si="139"/>
        <v>0</v>
      </c>
      <c r="AX444" s="641">
        <f t="shared" si="140"/>
        <v>0</v>
      </c>
      <c r="AY444" s="641">
        <f t="shared" si="141"/>
        <v>0</v>
      </c>
      <c r="AZ444" s="640">
        <f t="shared" si="142"/>
        <v>264.72333333333336</v>
      </c>
      <c r="BA444" s="641">
        <f t="shared" si="143"/>
        <v>349.15444444444444</v>
      </c>
    </row>
    <row r="445" spans="1:53" s="365" customFormat="1" ht="12.6" customHeight="1">
      <c r="A445" s="412" t="s">
        <v>359</v>
      </c>
      <c r="B445" s="413" t="s">
        <v>391</v>
      </c>
      <c r="C445" s="414"/>
      <c r="D445" s="619">
        <v>220279</v>
      </c>
      <c r="E445" s="494">
        <v>13</v>
      </c>
      <c r="F445" s="495"/>
      <c r="G445" s="496"/>
      <c r="H445" s="495"/>
      <c r="I445" s="496"/>
      <c r="J445" s="495"/>
      <c r="K445" s="496"/>
      <c r="L445" s="495"/>
      <c r="M445" s="496"/>
      <c r="N445" s="495"/>
      <c r="O445" s="496"/>
      <c r="P445" s="640">
        <f t="shared" si="126"/>
        <v>0</v>
      </c>
      <c r="Q445" s="640">
        <f t="shared" si="127"/>
        <v>0</v>
      </c>
      <c r="R445" s="641">
        <f t="shared" si="128"/>
        <v>0</v>
      </c>
      <c r="S445" s="641">
        <f t="shared" si="129"/>
        <v>0</v>
      </c>
      <c r="T445" s="495"/>
      <c r="U445" s="496"/>
      <c r="V445" s="640">
        <f t="shared" si="130"/>
        <v>0</v>
      </c>
      <c r="W445" s="641">
        <f t="shared" si="131"/>
        <v>0</v>
      </c>
      <c r="X445" s="495"/>
      <c r="Y445" s="496"/>
      <c r="Z445" s="495">
        <v>102119</v>
      </c>
      <c r="AA445" s="496">
        <v>106720</v>
      </c>
      <c r="AB445" s="495">
        <v>70094</v>
      </c>
      <c r="AC445" s="496">
        <v>66158</v>
      </c>
      <c r="AD445" s="495">
        <v>124442</v>
      </c>
      <c r="AE445" s="496">
        <v>136138</v>
      </c>
      <c r="AF445" s="640">
        <f t="shared" si="132"/>
        <v>296655</v>
      </c>
      <c r="AG445" s="640">
        <f t="shared" si="133"/>
        <v>329.61666666666667</v>
      </c>
      <c r="AH445" s="641">
        <f t="shared" si="134"/>
        <v>309016</v>
      </c>
      <c r="AI445" s="641">
        <f t="shared" si="135"/>
        <v>343.35111111111109</v>
      </c>
      <c r="AJ445" s="495"/>
      <c r="AK445" s="496"/>
      <c r="AL445" s="640">
        <f t="shared" si="136"/>
        <v>0</v>
      </c>
      <c r="AM445" s="641">
        <f t="shared" si="137"/>
        <v>0</v>
      </c>
      <c r="AN445" s="495"/>
      <c r="AO445" s="496"/>
      <c r="AP445" s="495"/>
      <c r="AQ445" s="496"/>
      <c r="AR445" s="495"/>
      <c r="AS445" s="496"/>
      <c r="AT445" s="495"/>
      <c r="AU445" s="496"/>
      <c r="AV445" s="640">
        <f t="shared" si="138"/>
        <v>0</v>
      </c>
      <c r="AW445" s="640">
        <f t="shared" si="139"/>
        <v>0</v>
      </c>
      <c r="AX445" s="641">
        <f t="shared" si="140"/>
        <v>0</v>
      </c>
      <c r="AY445" s="641">
        <f t="shared" si="141"/>
        <v>0</v>
      </c>
      <c r="AZ445" s="640">
        <f t="shared" si="142"/>
        <v>329.61666666666667</v>
      </c>
      <c r="BA445" s="641">
        <f t="shared" si="143"/>
        <v>343.35111111111109</v>
      </c>
    </row>
    <row r="446" spans="1:53" s="365" customFormat="1" ht="12.6" customHeight="1">
      <c r="A446" s="412" t="s">
        <v>359</v>
      </c>
      <c r="B446" s="413" t="s">
        <v>392</v>
      </c>
      <c r="C446" s="415"/>
      <c r="D446" s="619">
        <v>220321</v>
      </c>
      <c r="E446" s="494">
        <v>13</v>
      </c>
      <c r="F446" s="495"/>
      <c r="G446" s="496"/>
      <c r="H446" s="495"/>
      <c r="I446" s="496"/>
      <c r="J446" s="495"/>
      <c r="K446" s="496"/>
      <c r="L446" s="495"/>
      <c r="M446" s="496"/>
      <c r="N446" s="495"/>
      <c r="O446" s="496"/>
      <c r="P446" s="640">
        <f t="shared" si="126"/>
        <v>0</v>
      </c>
      <c r="Q446" s="640">
        <f t="shared" si="127"/>
        <v>0</v>
      </c>
      <c r="R446" s="641">
        <f t="shared" si="128"/>
        <v>0</v>
      </c>
      <c r="S446" s="641">
        <f t="shared" si="129"/>
        <v>0</v>
      </c>
      <c r="T446" s="495"/>
      <c r="U446" s="496"/>
      <c r="V446" s="640">
        <f t="shared" si="130"/>
        <v>0</v>
      </c>
      <c r="W446" s="641">
        <f t="shared" si="131"/>
        <v>0</v>
      </c>
      <c r="X446" s="495"/>
      <c r="Y446" s="496"/>
      <c r="Z446" s="495">
        <v>125147</v>
      </c>
      <c r="AA446" s="496">
        <v>127833</v>
      </c>
      <c r="AB446" s="495">
        <v>98161</v>
      </c>
      <c r="AC446" s="496">
        <v>91132</v>
      </c>
      <c r="AD446" s="495">
        <v>133516</v>
      </c>
      <c r="AE446" s="496">
        <v>144701</v>
      </c>
      <c r="AF446" s="640">
        <f t="shared" si="132"/>
        <v>356824</v>
      </c>
      <c r="AG446" s="640">
        <f t="shared" si="133"/>
        <v>396.4711111111111</v>
      </c>
      <c r="AH446" s="641">
        <f t="shared" si="134"/>
        <v>363666</v>
      </c>
      <c r="AI446" s="641">
        <f t="shared" si="135"/>
        <v>404.07333333333332</v>
      </c>
      <c r="AJ446" s="495"/>
      <c r="AK446" s="496"/>
      <c r="AL446" s="640">
        <f t="shared" si="136"/>
        <v>0</v>
      </c>
      <c r="AM446" s="641">
        <f t="shared" si="137"/>
        <v>0</v>
      </c>
      <c r="AN446" s="495"/>
      <c r="AO446" s="496"/>
      <c r="AP446" s="495"/>
      <c r="AQ446" s="496"/>
      <c r="AR446" s="495"/>
      <c r="AS446" s="496"/>
      <c r="AT446" s="495"/>
      <c r="AU446" s="496"/>
      <c r="AV446" s="640">
        <f t="shared" si="138"/>
        <v>0</v>
      </c>
      <c r="AW446" s="640">
        <f t="shared" si="139"/>
        <v>0</v>
      </c>
      <c r="AX446" s="641">
        <f t="shared" si="140"/>
        <v>0</v>
      </c>
      <c r="AY446" s="641">
        <f t="shared" si="141"/>
        <v>0</v>
      </c>
      <c r="AZ446" s="640">
        <f t="shared" si="142"/>
        <v>396.4711111111111</v>
      </c>
      <c r="BA446" s="641">
        <f t="shared" si="143"/>
        <v>404.07333333333332</v>
      </c>
    </row>
    <row r="447" spans="1:53" s="365" customFormat="1" ht="12.6" customHeight="1">
      <c r="A447" s="412" t="s">
        <v>359</v>
      </c>
      <c r="B447" s="413" t="s">
        <v>393</v>
      </c>
      <c r="C447" s="414"/>
      <c r="D447" s="619">
        <v>220394</v>
      </c>
      <c r="E447" s="494">
        <v>13</v>
      </c>
      <c r="F447" s="495"/>
      <c r="G447" s="496"/>
      <c r="H447" s="495"/>
      <c r="I447" s="496"/>
      <c r="J447" s="495"/>
      <c r="K447" s="496"/>
      <c r="L447" s="495"/>
      <c r="M447" s="496"/>
      <c r="N447" s="495"/>
      <c r="O447" s="496"/>
      <c r="P447" s="640">
        <f t="shared" si="126"/>
        <v>0</v>
      </c>
      <c r="Q447" s="640">
        <f t="shared" si="127"/>
        <v>0</v>
      </c>
      <c r="R447" s="641">
        <f t="shared" si="128"/>
        <v>0</v>
      </c>
      <c r="S447" s="641">
        <f t="shared" si="129"/>
        <v>0</v>
      </c>
      <c r="T447" s="495"/>
      <c r="U447" s="496"/>
      <c r="V447" s="640">
        <f t="shared" si="130"/>
        <v>0</v>
      </c>
      <c r="W447" s="641">
        <f t="shared" si="131"/>
        <v>0</v>
      </c>
      <c r="X447" s="495"/>
      <c r="Y447" s="496"/>
      <c r="Z447" s="495">
        <v>80310</v>
      </c>
      <c r="AA447" s="496">
        <v>81667</v>
      </c>
      <c r="AB447" s="495">
        <v>64620</v>
      </c>
      <c r="AC447" s="496">
        <v>59171</v>
      </c>
      <c r="AD447" s="495">
        <v>99359</v>
      </c>
      <c r="AE447" s="496">
        <v>82414</v>
      </c>
      <c r="AF447" s="640">
        <f t="shared" si="132"/>
        <v>244289</v>
      </c>
      <c r="AG447" s="640">
        <f t="shared" si="133"/>
        <v>271.43222222222221</v>
      </c>
      <c r="AH447" s="641">
        <f t="shared" si="134"/>
        <v>223252</v>
      </c>
      <c r="AI447" s="641">
        <f t="shared" si="135"/>
        <v>248.05777777777777</v>
      </c>
      <c r="AJ447" s="495"/>
      <c r="AK447" s="496"/>
      <c r="AL447" s="640">
        <f t="shared" si="136"/>
        <v>0</v>
      </c>
      <c r="AM447" s="641">
        <f t="shared" si="137"/>
        <v>0</v>
      </c>
      <c r="AN447" s="495"/>
      <c r="AO447" s="496"/>
      <c r="AP447" s="495"/>
      <c r="AQ447" s="496"/>
      <c r="AR447" s="495"/>
      <c r="AS447" s="496"/>
      <c r="AT447" s="495"/>
      <c r="AU447" s="496"/>
      <c r="AV447" s="640">
        <f t="shared" si="138"/>
        <v>0</v>
      </c>
      <c r="AW447" s="640">
        <f t="shared" si="139"/>
        <v>0</v>
      </c>
      <c r="AX447" s="641">
        <f t="shared" si="140"/>
        <v>0</v>
      </c>
      <c r="AY447" s="641">
        <f t="shared" si="141"/>
        <v>0</v>
      </c>
      <c r="AZ447" s="640">
        <f t="shared" si="142"/>
        <v>271.43222222222221</v>
      </c>
      <c r="BA447" s="641">
        <f t="shared" si="143"/>
        <v>248.05777777777777</v>
      </c>
    </row>
    <row r="448" spans="1:53" s="365" customFormat="1" ht="12.6" customHeight="1">
      <c r="A448" s="412" t="s">
        <v>359</v>
      </c>
      <c r="B448" s="413" t="s">
        <v>394</v>
      </c>
      <c r="C448" s="414"/>
      <c r="D448" s="619">
        <v>221616</v>
      </c>
      <c r="E448" s="494">
        <v>13</v>
      </c>
      <c r="F448" s="495"/>
      <c r="G448" s="496"/>
      <c r="H448" s="495"/>
      <c r="I448" s="496"/>
      <c r="J448" s="495"/>
      <c r="K448" s="496"/>
      <c r="L448" s="495"/>
      <c r="M448" s="496"/>
      <c r="N448" s="495"/>
      <c r="O448" s="496"/>
      <c r="P448" s="640">
        <f t="shared" si="126"/>
        <v>0</v>
      </c>
      <c r="Q448" s="640">
        <f t="shared" si="127"/>
        <v>0</v>
      </c>
      <c r="R448" s="641">
        <f t="shared" si="128"/>
        <v>0</v>
      </c>
      <c r="S448" s="641">
        <f t="shared" si="129"/>
        <v>0</v>
      </c>
      <c r="T448" s="495"/>
      <c r="U448" s="496"/>
      <c r="V448" s="640">
        <f t="shared" si="130"/>
        <v>0</v>
      </c>
      <c r="W448" s="641">
        <f t="shared" si="131"/>
        <v>0</v>
      </c>
      <c r="X448" s="495"/>
      <c r="Y448" s="496"/>
      <c r="Z448" s="495">
        <v>169953</v>
      </c>
      <c r="AA448" s="496">
        <v>149728</v>
      </c>
      <c r="AB448" s="495">
        <v>144499</v>
      </c>
      <c r="AC448" s="496">
        <v>125652</v>
      </c>
      <c r="AD448" s="495">
        <v>167689</v>
      </c>
      <c r="AE448" s="496">
        <v>303646</v>
      </c>
      <c r="AF448" s="640">
        <f t="shared" si="132"/>
        <v>482141</v>
      </c>
      <c r="AG448" s="640">
        <f t="shared" si="133"/>
        <v>535.71222222222218</v>
      </c>
      <c r="AH448" s="641">
        <f t="shared" si="134"/>
        <v>579026</v>
      </c>
      <c r="AI448" s="641">
        <f t="shared" si="135"/>
        <v>643.36222222222227</v>
      </c>
      <c r="AJ448" s="495"/>
      <c r="AK448" s="496"/>
      <c r="AL448" s="640">
        <f t="shared" si="136"/>
        <v>0</v>
      </c>
      <c r="AM448" s="641">
        <f t="shared" si="137"/>
        <v>0</v>
      </c>
      <c r="AN448" s="495"/>
      <c r="AO448" s="496"/>
      <c r="AP448" s="495"/>
      <c r="AQ448" s="496"/>
      <c r="AR448" s="495"/>
      <c r="AS448" s="496"/>
      <c r="AT448" s="495"/>
      <c r="AU448" s="496"/>
      <c r="AV448" s="640">
        <f t="shared" si="138"/>
        <v>0</v>
      </c>
      <c r="AW448" s="640">
        <f t="shared" si="139"/>
        <v>0</v>
      </c>
      <c r="AX448" s="641">
        <f t="shared" si="140"/>
        <v>0</v>
      </c>
      <c r="AY448" s="641">
        <f t="shared" si="141"/>
        <v>0</v>
      </c>
      <c r="AZ448" s="640">
        <f t="shared" si="142"/>
        <v>535.71222222222218</v>
      </c>
      <c r="BA448" s="641">
        <f t="shared" si="143"/>
        <v>643.36222222222227</v>
      </c>
    </row>
    <row r="449" spans="1:53" s="365" customFormat="1" ht="12.6" customHeight="1">
      <c r="A449" s="412" t="s">
        <v>359</v>
      </c>
      <c r="B449" s="413" t="s">
        <v>395</v>
      </c>
      <c r="C449" s="415"/>
      <c r="D449" s="619">
        <v>221625</v>
      </c>
      <c r="E449" s="494">
        <v>13</v>
      </c>
      <c r="F449" s="495"/>
      <c r="G449" s="496"/>
      <c r="H449" s="495"/>
      <c r="I449" s="496"/>
      <c r="J449" s="495"/>
      <c r="K449" s="496"/>
      <c r="L449" s="495"/>
      <c r="M449" s="496"/>
      <c r="N449" s="495"/>
      <c r="O449" s="496"/>
      <c r="P449" s="640">
        <f t="shared" si="126"/>
        <v>0</v>
      </c>
      <c r="Q449" s="640">
        <f t="shared" si="127"/>
        <v>0</v>
      </c>
      <c r="R449" s="641">
        <f t="shared" si="128"/>
        <v>0</v>
      </c>
      <c r="S449" s="641">
        <f t="shared" si="129"/>
        <v>0</v>
      </c>
      <c r="T449" s="495"/>
      <c r="U449" s="496"/>
      <c r="V449" s="640">
        <f t="shared" si="130"/>
        <v>0</v>
      </c>
      <c r="W449" s="641">
        <f t="shared" si="131"/>
        <v>0</v>
      </c>
      <c r="X449" s="495"/>
      <c r="Y449" s="496"/>
      <c r="Z449" s="495">
        <v>264105</v>
      </c>
      <c r="AA449" s="496">
        <v>295121</v>
      </c>
      <c r="AB449" s="495">
        <v>207348</v>
      </c>
      <c r="AC449" s="496">
        <v>233217</v>
      </c>
      <c r="AD449" s="495">
        <v>301050</v>
      </c>
      <c r="AE449" s="496">
        <v>306390</v>
      </c>
      <c r="AF449" s="640">
        <f t="shared" si="132"/>
        <v>772503</v>
      </c>
      <c r="AG449" s="640">
        <f t="shared" si="133"/>
        <v>858.3366666666667</v>
      </c>
      <c r="AH449" s="641">
        <f t="shared" si="134"/>
        <v>834728</v>
      </c>
      <c r="AI449" s="641">
        <f t="shared" si="135"/>
        <v>927.4755555555555</v>
      </c>
      <c r="AJ449" s="495"/>
      <c r="AK449" s="496"/>
      <c r="AL449" s="640">
        <f t="shared" si="136"/>
        <v>0</v>
      </c>
      <c r="AM449" s="641">
        <f t="shared" si="137"/>
        <v>0</v>
      </c>
      <c r="AN449" s="495"/>
      <c r="AO449" s="496"/>
      <c r="AP449" s="495"/>
      <c r="AQ449" s="496"/>
      <c r="AR449" s="495"/>
      <c r="AS449" s="496"/>
      <c r="AT449" s="495"/>
      <c r="AU449" s="496"/>
      <c r="AV449" s="640">
        <f t="shared" si="138"/>
        <v>0</v>
      </c>
      <c r="AW449" s="640">
        <f t="shared" si="139"/>
        <v>0</v>
      </c>
      <c r="AX449" s="641">
        <f t="shared" si="140"/>
        <v>0</v>
      </c>
      <c r="AY449" s="641">
        <f t="shared" si="141"/>
        <v>0</v>
      </c>
      <c r="AZ449" s="640">
        <f t="shared" si="142"/>
        <v>858.3366666666667</v>
      </c>
      <c r="BA449" s="641">
        <f t="shared" si="143"/>
        <v>927.4755555555555</v>
      </c>
    </row>
    <row r="450" spans="1:53" s="365" customFormat="1" ht="12.6" customHeight="1">
      <c r="A450" s="412" t="s">
        <v>359</v>
      </c>
      <c r="B450" s="413" t="s">
        <v>396</v>
      </c>
      <c r="C450" s="414"/>
      <c r="D450" s="619">
        <v>220640</v>
      </c>
      <c r="E450" s="494">
        <v>13</v>
      </c>
      <c r="F450" s="495"/>
      <c r="G450" s="496"/>
      <c r="H450" s="495"/>
      <c r="I450" s="496"/>
      <c r="J450" s="495"/>
      <c r="K450" s="496"/>
      <c r="L450" s="495"/>
      <c r="M450" s="496"/>
      <c r="N450" s="495"/>
      <c r="O450" s="496"/>
      <c r="P450" s="640">
        <f t="shared" si="126"/>
        <v>0</v>
      </c>
      <c r="Q450" s="640">
        <f t="shared" si="127"/>
        <v>0</v>
      </c>
      <c r="R450" s="641">
        <f t="shared" si="128"/>
        <v>0</v>
      </c>
      <c r="S450" s="641">
        <f t="shared" si="129"/>
        <v>0</v>
      </c>
      <c r="T450" s="495"/>
      <c r="U450" s="496"/>
      <c r="V450" s="640">
        <f t="shared" si="130"/>
        <v>0</v>
      </c>
      <c r="W450" s="641">
        <f t="shared" si="131"/>
        <v>0</v>
      </c>
      <c r="X450" s="495"/>
      <c r="Y450" s="496"/>
      <c r="Z450" s="495">
        <v>170602</v>
      </c>
      <c r="AA450" s="496">
        <v>149535</v>
      </c>
      <c r="AB450" s="495">
        <v>75987</v>
      </c>
      <c r="AC450" s="496">
        <v>83097</v>
      </c>
      <c r="AD450" s="495">
        <v>165959</v>
      </c>
      <c r="AE450" s="496">
        <v>221999</v>
      </c>
      <c r="AF450" s="640">
        <f t="shared" si="132"/>
        <v>412548</v>
      </c>
      <c r="AG450" s="640">
        <f t="shared" si="133"/>
        <v>458.38666666666666</v>
      </c>
      <c r="AH450" s="641">
        <f t="shared" si="134"/>
        <v>454631</v>
      </c>
      <c r="AI450" s="641">
        <f t="shared" si="135"/>
        <v>505.14555555555557</v>
      </c>
      <c r="AJ450" s="495"/>
      <c r="AK450" s="496"/>
      <c r="AL450" s="640">
        <f t="shared" si="136"/>
        <v>0</v>
      </c>
      <c r="AM450" s="641">
        <f t="shared" si="137"/>
        <v>0</v>
      </c>
      <c r="AN450" s="495"/>
      <c r="AO450" s="496"/>
      <c r="AP450" s="495"/>
      <c r="AQ450" s="496"/>
      <c r="AR450" s="495"/>
      <c r="AS450" s="496"/>
      <c r="AT450" s="495"/>
      <c r="AU450" s="496"/>
      <c r="AV450" s="640">
        <f t="shared" si="138"/>
        <v>0</v>
      </c>
      <c r="AW450" s="640">
        <f t="shared" si="139"/>
        <v>0</v>
      </c>
      <c r="AX450" s="641">
        <f t="shared" si="140"/>
        <v>0</v>
      </c>
      <c r="AY450" s="641">
        <f t="shared" si="141"/>
        <v>0</v>
      </c>
      <c r="AZ450" s="640">
        <f t="shared" si="142"/>
        <v>458.38666666666666</v>
      </c>
      <c r="BA450" s="641">
        <f t="shared" si="143"/>
        <v>505.14555555555557</v>
      </c>
    </row>
    <row r="451" spans="1:53" s="365" customFormat="1" ht="12.6" customHeight="1">
      <c r="A451" s="412" t="s">
        <v>359</v>
      </c>
      <c r="B451" s="413" t="s">
        <v>397</v>
      </c>
      <c r="C451" s="414"/>
      <c r="D451" s="619">
        <v>220756</v>
      </c>
      <c r="E451" s="494">
        <v>13</v>
      </c>
      <c r="F451" s="495"/>
      <c r="G451" s="496"/>
      <c r="H451" s="495"/>
      <c r="I451" s="496"/>
      <c r="J451" s="495"/>
      <c r="K451" s="496"/>
      <c r="L451" s="495"/>
      <c r="M451" s="496"/>
      <c r="N451" s="495"/>
      <c r="O451" s="496"/>
      <c r="P451" s="640">
        <f t="shared" si="126"/>
        <v>0</v>
      </c>
      <c r="Q451" s="640">
        <f t="shared" si="127"/>
        <v>0</v>
      </c>
      <c r="R451" s="641">
        <f t="shared" si="128"/>
        <v>0</v>
      </c>
      <c r="S451" s="641">
        <f t="shared" si="129"/>
        <v>0</v>
      </c>
      <c r="T451" s="495"/>
      <c r="U451" s="496"/>
      <c r="V451" s="640">
        <f t="shared" si="130"/>
        <v>0</v>
      </c>
      <c r="W451" s="641">
        <f t="shared" si="131"/>
        <v>0</v>
      </c>
      <c r="X451" s="495"/>
      <c r="Y451" s="496"/>
      <c r="Z451" s="495">
        <v>52013</v>
      </c>
      <c r="AA451" s="496">
        <v>37381</v>
      </c>
      <c r="AB451" s="495">
        <v>40200</v>
      </c>
      <c r="AC451" s="496">
        <v>32382</v>
      </c>
      <c r="AD451" s="495">
        <v>40514</v>
      </c>
      <c r="AE451" s="496">
        <v>33380</v>
      </c>
      <c r="AF451" s="640">
        <f t="shared" si="132"/>
        <v>132727</v>
      </c>
      <c r="AG451" s="640">
        <f t="shared" si="133"/>
        <v>147.47444444444446</v>
      </c>
      <c r="AH451" s="641">
        <f t="shared" si="134"/>
        <v>103143</v>
      </c>
      <c r="AI451" s="641">
        <f t="shared" si="135"/>
        <v>114.60333333333334</v>
      </c>
      <c r="AJ451" s="495"/>
      <c r="AK451" s="496"/>
      <c r="AL451" s="640">
        <f t="shared" si="136"/>
        <v>0</v>
      </c>
      <c r="AM451" s="641">
        <f t="shared" si="137"/>
        <v>0</v>
      </c>
      <c r="AN451" s="495"/>
      <c r="AO451" s="496"/>
      <c r="AP451" s="495"/>
      <c r="AQ451" s="496"/>
      <c r="AR451" s="495"/>
      <c r="AS451" s="496"/>
      <c r="AT451" s="495"/>
      <c r="AU451" s="496"/>
      <c r="AV451" s="640">
        <f t="shared" si="138"/>
        <v>0</v>
      </c>
      <c r="AW451" s="640">
        <f t="shared" si="139"/>
        <v>0</v>
      </c>
      <c r="AX451" s="641">
        <f t="shared" si="140"/>
        <v>0</v>
      </c>
      <c r="AY451" s="641">
        <f t="shared" si="141"/>
        <v>0</v>
      </c>
      <c r="AZ451" s="640">
        <f t="shared" si="142"/>
        <v>147.47444444444446</v>
      </c>
      <c r="BA451" s="641">
        <f t="shared" si="143"/>
        <v>114.60333333333334</v>
      </c>
    </row>
    <row r="452" spans="1:53" s="365" customFormat="1" ht="12.6" customHeight="1">
      <c r="A452" s="412" t="s">
        <v>359</v>
      </c>
      <c r="B452" s="413" t="s">
        <v>398</v>
      </c>
      <c r="C452" s="415"/>
      <c r="D452" s="619">
        <v>221607</v>
      </c>
      <c r="E452" s="494">
        <v>13</v>
      </c>
      <c r="F452" s="495"/>
      <c r="G452" s="496"/>
      <c r="H452" s="495"/>
      <c r="I452" s="496"/>
      <c r="J452" s="495"/>
      <c r="K452" s="496"/>
      <c r="L452" s="495"/>
      <c r="M452" s="496"/>
      <c r="N452" s="495"/>
      <c r="O452" s="496"/>
      <c r="P452" s="640">
        <f t="shared" si="126"/>
        <v>0</v>
      </c>
      <c r="Q452" s="640">
        <f t="shared" si="127"/>
        <v>0</v>
      </c>
      <c r="R452" s="641">
        <f t="shared" si="128"/>
        <v>0</v>
      </c>
      <c r="S452" s="641">
        <f t="shared" si="129"/>
        <v>0</v>
      </c>
      <c r="T452" s="495"/>
      <c r="U452" s="496"/>
      <c r="V452" s="640">
        <f t="shared" si="130"/>
        <v>0</v>
      </c>
      <c r="W452" s="641">
        <f t="shared" si="131"/>
        <v>0</v>
      </c>
      <c r="X452" s="495"/>
      <c r="Y452" s="496"/>
      <c r="Z452" s="495">
        <v>78745</v>
      </c>
      <c r="AA452" s="496">
        <v>92038</v>
      </c>
      <c r="AB452" s="495">
        <v>70687</v>
      </c>
      <c r="AC452" s="496">
        <v>80145</v>
      </c>
      <c r="AD452" s="495">
        <v>88996</v>
      </c>
      <c r="AE452" s="496">
        <v>95964</v>
      </c>
      <c r="AF452" s="640">
        <f t="shared" si="132"/>
        <v>238428</v>
      </c>
      <c r="AG452" s="640">
        <f t="shared" si="133"/>
        <v>264.92</v>
      </c>
      <c r="AH452" s="641">
        <f t="shared" si="134"/>
        <v>268147</v>
      </c>
      <c r="AI452" s="641">
        <f t="shared" si="135"/>
        <v>297.94111111111113</v>
      </c>
      <c r="AJ452" s="495"/>
      <c r="AK452" s="496"/>
      <c r="AL452" s="640">
        <f t="shared" si="136"/>
        <v>0</v>
      </c>
      <c r="AM452" s="641">
        <f t="shared" si="137"/>
        <v>0</v>
      </c>
      <c r="AN452" s="495"/>
      <c r="AO452" s="496"/>
      <c r="AP452" s="495"/>
      <c r="AQ452" s="496"/>
      <c r="AR452" s="495"/>
      <c r="AS452" s="496"/>
      <c r="AT452" s="495"/>
      <c r="AU452" s="496"/>
      <c r="AV452" s="640">
        <f t="shared" si="138"/>
        <v>0</v>
      </c>
      <c r="AW452" s="640">
        <f t="shared" si="139"/>
        <v>0</v>
      </c>
      <c r="AX452" s="641">
        <f t="shared" si="140"/>
        <v>0</v>
      </c>
      <c r="AY452" s="641">
        <f t="shared" si="141"/>
        <v>0</v>
      </c>
      <c r="AZ452" s="640">
        <f t="shared" si="142"/>
        <v>264.92</v>
      </c>
      <c r="BA452" s="641">
        <f t="shared" si="143"/>
        <v>297.94111111111113</v>
      </c>
    </row>
    <row r="453" spans="1:53" s="365" customFormat="1" ht="12.6" customHeight="1">
      <c r="A453" s="412" t="s">
        <v>359</v>
      </c>
      <c r="B453" s="413" t="s">
        <v>399</v>
      </c>
      <c r="C453" s="497"/>
      <c r="D453" s="619">
        <v>220853</v>
      </c>
      <c r="E453" s="494">
        <v>13</v>
      </c>
      <c r="F453" s="495"/>
      <c r="G453" s="496"/>
      <c r="H453" s="495"/>
      <c r="I453" s="496"/>
      <c r="J453" s="495"/>
      <c r="K453" s="496"/>
      <c r="L453" s="495"/>
      <c r="M453" s="496"/>
      <c r="N453" s="495"/>
      <c r="O453" s="496"/>
      <c r="P453" s="640">
        <f t="shared" si="126"/>
        <v>0</v>
      </c>
      <c r="Q453" s="640">
        <f t="shared" si="127"/>
        <v>0</v>
      </c>
      <c r="R453" s="641">
        <f t="shared" si="128"/>
        <v>0</v>
      </c>
      <c r="S453" s="641">
        <f t="shared" si="129"/>
        <v>0</v>
      </c>
      <c r="T453" s="495"/>
      <c r="U453" s="496"/>
      <c r="V453" s="640">
        <f t="shared" si="130"/>
        <v>0</v>
      </c>
      <c r="W453" s="641">
        <f t="shared" si="131"/>
        <v>0</v>
      </c>
      <c r="X453" s="495"/>
      <c r="Y453" s="496"/>
      <c r="Z453" s="495">
        <v>335548</v>
      </c>
      <c r="AA453" s="496">
        <v>321751</v>
      </c>
      <c r="AB453" s="495">
        <v>282602</v>
      </c>
      <c r="AC453" s="496">
        <v>239487</v>
      </c>
      <c r="AD453" s="495">
        <v>358913</v>
      </c>
      <c r="AE453" s="496">
        <v>286535</v>
      </c>
      <c r="AF453" s="640">
        <f t="shared" si="132"/>
        <v>977063</v>
      </c>
      <c r="AG453" s="640">
        <f t="shared" si="133"/>
        <v>1085.6255555555556</v>
      </c>
      <c r="AH453" s="641">
        <f t="shared" si="134"/>
        <v>847773</v>
      </c>
      <c r="AI453" s="641">
        <f t="shared" si="135"/>
        <v>941.97</v>
      </c>
      <c r="AJ453" s="495"/>
      <c r="AK453" s="496"/>
      <c r="AL453" s="640">
        <f t="shared" si="136"/>
        <v>0</v>
      </c>
      <c r="AM453" s="641">
        <f t="shared" si="137"/>
        <v>0</v>
      </c>
      <c r="AN453" s="495"/>
      <c r="AO453" s="496"/>
      <c r="AP453" s="495"/>
      <c r="AQ453" s="496"/>
      <c r="AR453" s="495"/>
      <c r="AS453" s="496"/>
      <c r="AT453" s="495"/>
      <c r="AU453" s="496"/>
      <c r="AV453" s="640">
        <f t="shared" si="138"/>
        <v>0</v>
      </c>
      <c r="AW453" s="640">
        <f t="shared" si="139"/>
        <v>0</v>
      </c>
      <c r="AX453" s="641">
        <f t="shared" si="140"/>
        <v>0</v>
      </c>
      <c r="AY453" s="641">
        <f t="shared" si="141"/>
        <v>0</v>
      </c>
      <c r="AZ453" s="640">
        <f t="shared" si="142"/>
        <v>1085.6255555555556</v>
      </c>
      <c r="BA453" s="641">
        <f t="shared" si="143"/>
        <v>941.97</v>
      </c>
    </row>
    <row r="454" spans="1:53" s="365" customFormat="1" ht="12.6" customHeight="1">
      <c r="A454" s="412" t="s">
        <v>359</v>
      </c>
      <c r="B454" s="413" t="s">
        <v>400</v>
      </c>
      <c r="C454" s="414"/>
      <c r="D454" s="619">
        <v>221050</v>
      </c>
      <c r="E454" s="494">
        <v>13</v>
      </c>
      <c r="F454" s="495"/>
      <c r="G454" s="496"/>
      <c r="H454" s="495"/>
      <c r="I454" s="496"/>
      <c r="J454" s="495"/>
      <c r="K454" s="496"/>
      <c r="L454" s="495"/>
      <c r="M454" s="496"/>
      <c r="N454" s="495"/>
      <c r="O454" s="496"/>
      <c r="P454" s="640">
        <f t="shared" si="126"/>
        <v>0</v>
      </c>
      <c r="Q454" s="640">
        <f t="shared" si="127"/>
        <v>0</v>
      </c>
      <c r="R454" s="641">
        <f t="shared" si="128"/>
        <v>0</v>
      </c>
      <c r="S454" s="641">
        <f t="shared" si="129"/>
        <v>0</v>
      </c>
      <c r="T454" s="495"/>
      <c r="U454" s="496"/>
      <c r="V454" s="640">
        <f t="shared" si="130"/>
        <v>0</v>
      </c>
      <c r="W454" s="641">
        <f t="shared" si="131"/>
        <v>0</v>
      </c>
      <c r="X454" s="495"/>
      <c r="Y454" s="496"/>
      <c r="Z454" s="495">
        <v>214530</v>
      </c>
      <c r="AA454" s="496">
        <v>198786</v>
      </c>
      <c r="AB454" s="495">
        <v>162466</v>
      </c>
      <c r="AC454" s="496">
        <v>178315</v>
      </c>
      <c r="AD454" s="495">
        <v>217295</v>
      </c>
      <c r="AE454" s="496">
        <v>238710</v>
      </c>
      <c r="AF454" s="640">
        <f t="shared" si="132"/>
        <v>594291</v>
      </c>
      <c r="AG454" s="640">
        <f t="shared" si="133"/>
        <v>660.32333333333338</v>
      </c>
      <c r="AH454" s="641">
        <f t="shared" si="134"/>
        <v>615811</v>
      </c>
      <c r="AI454" s="641">
        <f t="shared" si="135"/>
        <v>684.23444444444442</v>
      </c>
      <c r="AJ454" s="495"/>
      <c r="AK454" s="496"/>
      <c r="AL454" s="640">
        <f t="shared" si="136"/>
        <v>0</v>
      </c>
      <c r="AM454" s="641">
        <f t="shared" si="137"/>
        <v>0</v>
      </c>
      <c r="AN454" s="495"/>
      <c r="AO454" s="496"/>
      <c r="AP454" s="495"/>
      <c r="AQ454" s="496"/>
      <c r="AR454" s="495"/>
      <c r="AS454" s="496"/>
      <c r="AT454" s="495"/>
      <c r="AU454" s="496"/>
      <c r="AV454" s="640">
        <f t="shared" si="138"/>
        <v>0</v>
      </c>
      <c r="AW454" s="640">
        <f t="shared" si="139"/>
        <v>0</v>
      </c>
      <c r="AX454" s="641">
        <f t="shared" si="140"/>
        <v>0</v>
      </c>
      <c r="AY454" s="641">
        <f t="shared" si="141"/>
        <v>0</v>
      </c>
      <c r="AZ454" s="640">
        <f t="shared" si="142"/>
        <v>660.32333333333338</v>
      </c>
      <c r="BA454" s="641">
        <f t="shared" si="143"/>
        <v>684.23444444444442</v>
      </c>
    </row>
    <row r="455" spans="1:53" s="365" customFormat="1" ht="12.6" customHeight="1">
      <c r="A455" s="412" t="s">
        <v>359</v>
      </c>
      <c r="B455" s="413" t="s">
        <v>401</v>
      </c>
      <c r="C455" s="415"/>
      <c r="D455" s="619">
        <v>221102</v>
      </c>
      <c r="E455" s="494">
        <v>13</v>
      </c>
      <c r="F455" s="495"/>
      <c r="G455" s="496"/>
      <c r="H455" s="495"/>
      <c r="I455" s="496"/>
      <c r="J455" s="495"/>
      <c r="K455" s="496"/>
      <c r="L455" s="495"/>
      <c r="M455" s="496"/>
      <c r="N455" s="495"/>
      <c r="O455" s="496"/>
      <c r="P455" s="640">
        <f t="shared" si="126"/>
        <v>0</v>
      </c>
      <c r="Q455" s="640">
        <f t="shared" si="127"/>
        <v>0</v>
      </c>
      <c r="R455" s="641">
        <f t="shared" si="128"/>
        <v>0</v>
      </c>
      <c r="S455" s="641">
        <f t="shared" si="129"/>
        <v>0</v>
      </c>
      <c r="T455" s="495"/>
      <c r="U455" s="496"/>
      <c r="V455" s="640">
        <f t="shared" si="130"/>
        <v>0</v>
      </c>
      <c r="W455" s="641">
        <f t="shared" si="131"/>
        <v>0</v>
      </c>
      <c r="X455" s="495"/>
      <c r="Y455" s="496"/>
      <c r="Z455" s="495">
        <v>209345</v>
      </c>
      <c r="AA455" s="496">
        <v>204201</v>
      </c>
      <c r="AB455" s="495">
        <v>189316</v>
      </c>
      <c r="AC455" s="496">
        <v>216525</v>
      </c>
      <c r="AD455" s="495">
        <v>217383</v>
      </c>
      <c r="AE455" s="496">
        <v>229352</v>
      </c>
      <c r="AF455" s="640">
        <f t="shared" si="132"/>
        <v>616044</v>
      </c>
      <c r="AG455" s="640">
        <f t="shared" si="133"/>
        <v>684.49333333333334</v>
      </c>
      <c r="AH455" s="641">
        <f t="shared" si="134"/>
        <v>650078</v>
      </c>
      <c r="AI455" s="641">
        <f t="shared" si="135"/>
        <v>722.30888888888887</v>
      </c>
      <c r="AJ455" s="495"/>
      <c r="AK455" s="496"/>
      <c r="AL455" s="640">
        <f t="shared" si="136"/>
        <v>0</v>
      </c>
      <c r="AM455" s="641">
        <f t="shared" si="137"/>
        <v>0</v>
      </c>
      <c r="AN455" s="495"/>
      <c r="AO455" s="496"/>
      <c r="AP455" s="495"/>
      <c r="AQ455" s="496"/>
      <c r="AR455" s="495"/>
      <c r="AS455" s="496"/>
      <c r="AT455" s="495"/>
      <c r="AU455" s="496"/>
      <c r="AV455" s="640">
        <f t="shared" si="138"/>
        <v>0</v>
      </c>
      <c r="AW455" s="640">
        <f t="shared" si="139"/>
        <v>0</v>
      </c>
      <c r="AX455" s="641">
        <f t="shared" si="140"/>
        <v>0</v>
      </c>
      <c r="AY455" s="641">
        <f t="shared" si="141"/>
        <v>0</v>
      </c>
      <c r="AZ455" s="640">
        <f t="shared" si="142"/>
        <v>684.49333333333334</v>
      </c>
      <c r="BA455" s="641">
        <f t="shared" si="143"/>
        <v>722.30888888888887</v>
      </c>
    </row>
    <row r="456" spans="1:53" s="365" customFormat="1" ht="12.6" customHeight="1">
      <c r="A456" s="412" t="s">
        <v>359</v>
      </c>
      <c r="B456" s="413" t="s">
        <v>402</v>
      </c>
      <c r="C456" s="414"/>
      <c r="D456" s="619">
        <v>248925</v>
      </c>
      <c r="E456" s="494">
        <v>13</v>
      </c>
      <c r="F456" s="495"/>
      <c r="G456" s="496"/>
      <c r="H456" s="495"/>
      <c r="I456" s="496"/>
      <c r="J456" s="495"/>
      <c r="K456" s="496"/>
      <c r="L456" s="495"/>
      <c r="M456" s="496"/>
      <c r="N456" s="495"/>
      <c r="O456" s="496"/>
      <c r="P456" s="640">
        <f t="shared" ref="P456:P519" si="144">SUM(H456,J456,L456,N456)</f>
        <v>0</v>
      </c>
      <c r="Q456" s="640">
        <f t="shared" ref="Q456:Q519" si="145">+P456/30</f>
        <v>0</v>
      </c>
      <c r="R456" s="641">
        <f t="shared" ref="R456:R519" si="146">SUM(I456,K456,M456,O456)</f>
        <v>0</v>
      </c>
      <c r="S456" s="641">
        <f t="shared" ref="S456:S519" si="147">+R456/30</f>
        <v>0</v>
      </c>
      <c r="T456" s="495"/>
      <c r="U456" s="496"/>
      <c r="V456" s="640">
        <f t="shared" ref="V456:V519" si="148">IF(ISBLANK(T456),0,P456)</f>
        <v>0</v>
      </c>
      <c r="W456" s="641">
        <f t="shared" ref="W456:W519" si="149">IF(ISBLANK(U456),0,R456)</f>
        <v>0</v>
      </c>
      <c r="X456" s="495"/>
      <c r="Y456" s="496"/>
      <c r="Z456" s="495">
        <v>277727</v>
      </c>
      <c r="AA456" s="496">
        <v>277590</v>
      </c>
      <c r="AB456" s="495">
        <v>235696</v>
      </c>
      <c r="AC456" s="496">
        <v>239719</v>
      </c>
      <c r="AD456" s="495">
        <v>288403</v>
      </c>
      <c r="AE456" s="496">
        <v>272030</v>
      </c>
      <c r="AF456" s="640">
        <f t="shared" ref="AF456:AF519" si="150">SUM(X456,Z456,AB456,AD456)</f>
        <v>801826</v>
      </c>
      <c r="AG456" s="640">
        <f t="shared" ref="AG456:AG519" si="151">+AF456/900</f>
        <v>890.91777777777781</v>
      </c>
      <c r="AH456" s="641">
        <f t="shared" ref="AH456:AH519" si="152">SUM(Y456,AA456,AC456,AE456)</f>
        <v>789339</v>
      </c>
      <c r="AI456" s="641">
        <f t="shared" ref="AI456:AI519" si="153">+AH456/900</f>
        <v>877.04333333333329</v>
      </c>
      <c r="AJ456" s="495"/>
      <c r="AK456" s="496"/>
      <c r="AL456" s="640">
        <f t="shared" ref="AL456:AL519" si="154">IF(ISBLANK(AJ456),0,AF456)</f>
        <v>0</v>
      </c>
      <c r="AM456" s="641">
        <f t="shared" ref="AM456:AM519" si="155">IF(ISBLANK(AK456),0,AH456)</f>
        <v>0</v>
      </c>
      <c r="AN456" s="495"/>
      <c r="AO456" s="496"/>
      <c r="AP456" s="495"/>
      <c r="AQ456" s="496"/>
      <c r="AR456" s="495"/>
      <c r="AS456" s="496"/>
      <c r="AT456" s="495"/>
      <c r="AU456" s="496"/>
      <c r="AV456" s="640">
        <f t="shared" ref="AV456:AV519" si="156">SUM(AN456,AP456,AR456,AT456)</f>
        <v>0</v>
      </c>
      <c r="AW456" s="640">
        <f t="shared" ref="AW456:AW519" si="157">+AV456/24</f>
        <v>0</v>
      </c>
      <c r="AX456" s="641">
        <f t="shared" ref="AX456:AX519" si="158">SUM(AO456,AQ456,AS456,AU456)</f>
        <v>0</v>
      </c>
      <c r="AY456" s="641">
        <f t="shared" ref="AY456:AY519" si="159">+AX456/24</f>
        <v>0</v>
      </c>
      <c r="AZ456" s="640">
        <f t="shared" ref="AZ456:AZ519" si="160">SUM(Q456,AG456,AW456)</f>
        <v>890.91777777777781</v>
      </c>
      <c r="BA456" s="641">
        <f t="shared" ref="BA456:BA519" si="161">SUM(S456,AI456,AY456)</f>
        <v>877.04333333333329</v>
      </c>
    </row>
    <row r="457" spans="1:53" s="365" customFormat="1" ht="12.6" customHeight="1">
      <c r="A457" s="412" t="s">
        <v>359</v>
      </c>
      <c r="B457" s="413" t="s">
        <v>403</v>
      </c>
      <c r="C457" s="414"/>
      <c r="D457" s="619">
        <v>221236</v>
      </c>
      <c r="E457" s="494">
        <v>13</v>
      </c>
      <c r="F457" s="495"/>
      <c r="G457" s="496"/>
      <c r="H457" s="495"/>
      <c r="I457" s="496"/>
      <c r="J457" s="495"/>
      <c r="K457" s="496"/>
      <c r="L457" s="495"/>
      <c r="M457" s="496"/>
      <c r="N457" s="495"/>
      <c r="O457" s="496"/>
      <c r="P457" s="640">
        <f t="shared" si="144"/>
        <v>0</v>
      </c>
      <c r="Q457" s="640">
        <f t="shared" si="145"/>
        <v>0</v>
      </c>
      <c r="R457" s="641">
        <f t="shared" si="146"/>
        <v>0</v>
      </c>
      <c r="S457" s="641">
        <f t="shared" si="147"/>
        <v>0</v>
      </c>
      <c r="T457" s="495"/>
      <c r="U457" s="496"/>
      <c r="V457" s="640">
        <f t="shared" si="148"/>
        <v>0</v>
      </c>
      <c r="W457" s="641">
        <f t="shared" si="149"/>
        <v>0</v>
      </c>
      <c r="X457" s="495"/>
      <c r="Y457" s="496"/>
      <c r="Z457" s="495">
        <v>130305</v>
      </c>
      <c r="AA457" s="496">
        <v>126056</v>
      </c>
      <c r="AB457" s="495">
        <v>117939</v>
      </c>
      <c r="AC457" s="496">
        <v>99528</v>
      </c>
      <c r="AD457" s="495">
        <v>141733</v>
      </c>
      <c r="AE457" s="496">
        <v>136839</v>
      </c>
      <c r="AF457" s="640">
        <f t="shared" si="150"/>
        <v>389977</v>
      </c>
      <c r="AG457" s="640">
        <f t="shared" si="151"/>
        <v>433.3077777777778</v>
      </c>
      <c r="AH457" s="641">
        <f t="shared" si="152"/>
        <v>362423</v>
      </c>
      <c r="AI457" s="641">
        <f t="shared" si="153"/>
        <v>402.6922222222222</v>
      </c>
      <c r="AJ457" s="495"/>
      <c r="AK457" s="496"/>
      <c r="AL457" s="640">
        <f t="shared" si="154"/>
        <v>0</v>
      </c>
      <c r="AM457" s="641">
        <f t="shared" si="155"/>
        <v>0</v>
      </c>
      <c r="AN457" s="495"/>
      <c r="AO457" s="496"/>
      <c r="AP457" s="495"/>
      <c r="AQ457" s="496"/>
      <c r="AR457" s="495"/>
      <c r="AS457" s="496"/>
      <c r="AT457" s="495"/>
      <c r="AU457" s="496"/>
      <c r="AV457" s="640">
        <f t="shared" si="156"/>
        <v>0</v>
      </c>
      <c r="AW457" s="640">
        <f t="shared" si="157"/>
        <v>0</v>
      </c>
      <c r="AX457" s="641">
        <f t="shared" si="158"/>
        <v>0</v>
      </c>
      <c r="AY457" s="641">
        <f t="shared" si="159"/>
        <v>0</v>
      </c>
      <c r="AZ457" s="640">
        <f t="shared" si="160"/>
        <v>433.3077777777778</v>
      </c>
      <c r="BA457" s="641">
        <f t="shared" si="161"/>
        <v>402.6922222222222</v>
      </c>
    </row>
    <row r="458" spans="1:53" s="365" customFormat="1" ht="12.6" customHeight="1">
      <c r="A458" s="412" t="s">
        <v>359</v>
      </c>
      <c r="B458" s="413" t="s">
        <v>404</v>
      </c>
      <c r="C458" s="415"/>
      <c r="D458" s="619">
        <v>221582</v>
      </c>
      <c r="E458" s="494">
        <v>13</v>
      </c>
      <c r="F458" s="495"/>
      <c r="G458" s="496"/>
      <c r="H458" s="495"/>
      <c r="I458" s="496"/>
      <c r="J458" s="495"/>
      <c r="K458" s="496"/>
      <c r="L458" s="495"/>
      <c r="M458" s="496"/>
      <c r="N458" s="495"/>
      <c r="O458" s="496"/>
      <c r="P458" s="640">
        <f t="shared" si="144"/>
        <v>0</v>
      </c>
      <c r="Q458" s="640">
        <f t="shared" si="145"/>
        <v>0</v>
      </c>
      <c r="R458" s="641">
        <f t="shared" si="146"/>
        <v>0</v>
      </c>
      <c r="S458" s="641">
        <f t="shared" si="147"/>
        <v>0</v>
      </c>
      <c r="T458" s="495"/>
      <c r="U458" s="496"/>
      <c r="V458" s="640">
        <f t="shared" si="148"/>
        <v>0</v>
      </c>
      <c r="W458" s="641">
        <f t="shared" si="149"/>
        <v>0</v>
      </c>
      <c r="X458" s="495"/>
      <c r="Y458" s="496"/>
      <c r="Z458" s="495">
        <v>63031</v>
      </c>
      <c r="AA458" s="496">
        <v>60065</v>
      </c>
      <c r="AB458" s="495">
        <v>42308</v>
      </c>
      <c r="AC458" s="496">
        <v>48844</v>
      </c>
      <c r="AD458" s="495">
        <v>60630</v>
      </c>
      <c r="AE458" s="496">
        <v>80701</v>
      </c>
      <c r="AF458" s="640">
        <f t="shared" si="150"/>
        <v>165969</v>
      </c>
      <c r="AG458" s="640">
        <f t="shared" si="151"/>
        <v>184.41</v>
      </c>
      <c r="AH458" s="641">
        <f t="shared" si="152"/>
        <v>189610</v>
      </c>
      <c r="AI458" s="641">
        <f t="shared" si="153"/>
        <v>210.67777777777778</v>
      </c>
      <c r="AJ458" s="495"/>
      <c r="AK458" s="496"/>
      <c r="AL458" s="640">
        <f t="shared" si="154"/>
        <v>0</v>
      </c>
      <c r="AM458" s="641">
        <f t="shared" si="155"/>
        <v>0</v>
      </c>
      <c r="AN458" s="495"/>
      <c r="AO458" s="496"/>
      <c r="AP458" s="495"/>
      <c r="AQ458" s="496"/>
      <c r="AR458" s="495"/>
      <c r="AS458" s="496"/>
      <c r="AT458" s="495"/>
      <c r="AU458" s="496"/>
      <c r="AV458" s="640">
        <f t="shared" si="156"/>
        <v>0</v>
      </c>
      <c r="AW458" s="640">
        <f t="shared" si="157"/>
        <v>0</v>
      </c>
      <c r="AX458" s="641">
        <f t="shared" si="158"/>
        <v>0</v>
      </c>
      <c r="AY458" s="641">
        <f t="shared" si="159"/>
        <v>0</v>
      </c>
      <c r="AZ458" s="640">
        <f t="shared" si="160"/>
        <v>184.41</v>
      </c>
      <c r="BA458" s="641">
        <f t="shared" si="161"/>
        <v>210.67777777777778</v>
      </c>
    </row>
    <row r="459" spans="1:53" s="365" customFormat="1" ht="12.6" customHeight="1">
      <c r="A459" s="412" t="s">
        <v>359</v>
      </c>
      <c r="B459" s="413" t="s">
        <v>405</v>
      </c>
      <c r="C459" s="414"/>
      <c r="D459" s="619">
        <v>221281</v>
      </c>
      <c r="E459" s="494">
        <v>13</v>
      </c>
      <c r="F459" s="495"/>
      <c r="G459" s="496"/>
      <c r="H459" s="495"/>
      <c r="I459" s="496"/>
      <c r="J459" s="495"/>
      <c r="K459" s="496"/>
      <c r="L459" s="495"/>
      <c r="M459" s="496"/>
      <c r="N459" s="495"/>
      <c r="O459" s="496"/>
      <c r="P459" s="640">
        <f t="shared" si="144"/>
        <v>0</v>
      </c>
      <c r="Q459" s="640">
        <f t="shared" si="145"/>
        <v>0</v>
      </c>
      <c r="R459" s="641">
        <f t="shared" si="146"/>
        <v>0</v>
      </c>
      <c r="S459" s="641">
        <f t="shared" si="147"/>
        <v>0</v>
      </c>
      <c r="T459" s="495"/>
      <c r="U459" s="496"/>
      <c r="V459" s="640">
        <f t="shared" si="148"/>
        <v>0</v>
      </c>
      <c r="W459" s="641">
        <f t="shared" si="149"/>
        <v>0</v>
      </c>
      <c r="X459" s="495"/>
      <c r="Y459" s="496"/>
      <c r="Z459" s="495">
        <v>85330</v>
      </c>
      <c r="AA459" s="496">
        <v>61055</v>
      </c>
      <c r="AB459" s="495">
        <v>68827</v>
      </c>
      <c r="AC459" s="496">
        <v>49393</v>
      </c>
      <c r="AD459" s="495">
        <v>76163</v>
      </c>
      <c r="AE459" s="496">
        <v>65730</v>
      </c>
      <c r="AF459" s="640">
        <f t="shared" si="150"/>
        <v>230320</v>
      </c>
      <c r="AG459" s="640">
        <f t="shared" si="151"/>
        <v>255.9111111111111</v>
      </c>
      <c r="AH459" s="641">
        <f t="shared" si="152"/>
        <v>176178</v>
      </c>
      <c r="AI459" s="641">
        <f t="shared" si="153"/>
        <v>195.75333333333333</v>
      </c>
      <c r="AJ459" s="495"/>
      <c r="AK459" s="496"/>
      <c r="AL459" s="640">
        <f t="shared" si="154"/>
        <v>0</v>
      </c>
      <c r="AM459" s="641">
        <f t="shared" si="155"/>
        <v>0</v>
      </c>
      <c r="AN459" s="495"/>
      <c r="AO459" s="496"/>
      <c r="AP459" s="495"/>
      <c r="AQ459" s="496"/>
      <c r="AR459" s="495"/>
      <c r="AS459" s="496"/>
      <c r="AT459" s="495"/>
      <c r="AU459" s="496"/>
      <c r="AV459" s="640">
        <f t="shared" si="156"/>
        <v>0</v>
      </c>
      <c r="AW459" s="640">
        <f t="shared" si="157"/>
        <v>0</v>
      </c>
      <c r="AX459" s="641">
        <f t="shared" si="158"/>
        <v>0</v>
      </c>
      <c r="AY459" s="641">
        <f t="shared" si="159"/>
        <v>0</v>
      </c>
      <c r="AZ459" s="640">
        <f t="shared" si="160"/>
        <v>255.9111111111111</v>
      </c>
      <c r="BA459" s="641">
        <f t="shared" si="161"/>
        <v>195.75333333333333</v>
      </c>
    </row>
    <row r="460" spans="1:53" s="365" customFormat="1" ht="12.6" customHeight="1">
      <c r="A460" s="412" t="s">
        <v>359</v>
      </c>
      <c r="B460" s="413" t="s">
        <v>406</v>
      </c>
      <c r="C460" s="414"/>
      <c r="D460" s="619">
        <v>221333</v>
      </c>
      <c r="E460" s="494">
        <v>13</v>
      </c>
      <c r="F460" s="495"/>
      <c r="G460" s="496"/>
      <c r="H460" s="495"/>
      <c r="I460" s="496"/>
      <c r="J460" s="495"/>
      <c r="K460" s="496"/>
      <c r="L460" s="495"/>
      <c r="M460" s="496"/>
      <c r="N460" s="495"/>
      <c r="O460" s="496"/>
      <c r="P460" s="640">
        <f t="shared" si="144"/>
        <v>0</v>
      </c>
      <c r="Q460" s="640">
        <f t="shared" si="145"/>
        <v>0</v>
      </c>
      <c r="R460" s="641">
        <f t="shared" si="146"/>
        <v>0</v>
      </c>
      <c r="S460" s="641">
        <f t="shared" si="147"/>
        <v>0</v>
      </c>
      <c r="T460" s="495"/>
      <c r="U460" s="496"/>
      <c r="V460" s="640">
        <f t="shared" si="148"/>
        <v>0</v>
      </c>
      <c r="W460" s="641">
        <f t="shared" si="149"/>
        <v>0</v>
      </c>
      <c r="X460" s="495"/>
      <c r="Y460" s="496"/>
      <c r="Z460" s="495">
        <v>119455</v>
      </c>
      <c r="AA460" s="496">
        <v>135440</v>
      </c>
      <c r="AB460" s="495">
        <v>85250</v>
      </c>
      <c r="AC460" s="496">
        <v>83808</v>
      </c>
      <c r="AD460" s="495">
        <v>137369</v>
      </c>
      <c r="AE460" s="496">
        <v>131577</v>
      </c>
      <c r="AF460" s="640">
        <f t="shared" si="150"/>
        <v>342074</v>
      </c>
      <c r="AG460" s="640">
        <f t="shared" si="151"/>
        <v>380.08222222222224</v>
      </c>
      <c r="AH460" s="641">
        <f t="shared" si="152"/>
        <v>350825</v>
      </c>
      <c r="AI460" s="641">
        <f t="shared" si="153"/>
        <v>389.80555555555554</v>
      </c>
      <c r="AJ460" s="495"/>
      <c r="AK460" s="496"/>
      <c r="AL460" s="640">
        <f t="shared" si="154"/>
        <v>0</v>
      </c>
      <c r="AM460" s="641">
        <f t="shared" si="155"/>
        <v>0</v>
      </c>
      <c r="AN460" s="495"/>
      <c r="AO460" s="496"/>
      <c r="AP460" s="495"/>
      <c r="AQ460" s="496"/>
      <c r="AR460" s="495"/>
      <c r="AS460" s="496"/>
      <c r="AT460" s="495"/>
      <c r="AU460" s="496"/>
      <c r="AV460" s="640">
        <f t="shared" si="156"/>
        <v>0</v>
      </c>
      <c r="AW460" s="640">
        <f t="shared" si="157"/>
        <v>0</v>
      </c>
      <c r="AX460" s="641">
        <f t="shared" si="158"/>
        <v>0</v>
      </c>
      <c r="AY460" s="641">
        <f t="shared" si="159"/>
        <v>0</v>
      </c>
      <c r="AZ460" s="640">
        <f t="shared" si="160"/>
        <v>380.08222222222224</v>
      </c>
      <c r="BA460" s="641">
        <f t="shared" si="161"/>
        <v>389.80555555555554</v>
      </c>
    </row>
    <row r="461" spans="1:53" s="365" customFormat="1" ht="12.6" customHeight="1">
      <c r="A461" s="412" t="s">
        <v>359</v>
      </c>
      <c r="B461" s="413" t="s">
        <v>407</v>
      </c>
      <c r="C461" s="415"/>
      <c r="D461" s="619">
        <v>221388</v>
      </c>
      <c r="E461" s="494">
        <v>13</v>
      </c>
      <c r="F461" s="495"/>
      <c r="G461" s="496"/>
      <c r="H461" s="495"/>
      <c r="I461" s="496"/>
      <c r="J461" s="495"/>
      <c r="K461" s="496"/>
      <c r="L461" s="495"/>
      <c r="M461" s="496"/>
      <c r="N461" s="495"/>
      <c r="O461" s="496"/>
      <c r="P461" s="640">
        <f t="shared" si="144"/>
        <v>0</v>
      </c>
      <c r="Q461" s="640">
        <f t="shared" si="145"/>
        <v>0</v>
      </c>
      <c r="R461" s="641">
        <f t="shared" si="146"/>
        <v>0</v>
      </c>
      <c r="S461" s="641">
        <f t="shared" si="147"/>
        <v>0</v>
      </c>
      <c r="T461" s="495"/>
      <c r="U461" s="496"/>
      <c r="V461" s="640">
        <f t="shared" si="148"/>
        <v>0</v>
      </c>
      <c r="W461" s="641">
        <f t="shared" si="149"/>
        <v>0</v>
      </c>
      <c r="X461" s="495"/>
      <c r="Y461" s="496"/>
      <c r="Z461" s="495">
        <v>64572</v>
      </c>
      <c r="AA461" s="496">
        <v>61556</v>
      </c>
      <c r="AB461" s="495">
        <v>51038</v>
      </c>
      <c r="AC461" s="496">
        <v>54380</v>
      </c>
      <c r="AD461" s="495">
        <v>66660</v>
      </c>
      <c r="AE461" s="496">
        <v>70801</v>
      </c>
      <c r="AF461" s="640">
        <f t="shared" si="150"/>
        <v>182270</v>
      </c>
      <c r="AG461" s="640">
        <f t="shared" si="151"/>
        <v>202.52222222222221</v>
      </c>
      <c r="AH461" s="641">
        <f t="shared" si="152"/>
        <v>186737</v>
      </c>
      <c r="AI461" s="641">
        <f t="shared" si="153"/>
        <v>207.48555555555555</v>
      </c>
      <c r="AJ461" s="495"/>
      <c r="AK461" s="496"/>
      <c r="AL461" s="640">
        <f t="shared" si="154"/>
        <v>0</v>
      </c>
      <c r="AM461" s="641">
        <f t="shared" si="155"/>
        <v>0</v>
      </c>
      <c r="AN461" s="495"/>
      <c r="AO461" s="496"/>
      <c r="AP461" s="495"/>
      <c r="AQ461" s="496"/>
      <c r="AR461" s="495"/>
      <c r="AS461" s="496"/>
      <c r="AT461" s="495"/>
      <c r="AU461" s="496"/>
      <c r="AV461" s="640">
        <f t="shared" si="156"/>
        <v>0</v>
      </c>
      <c r="AW461" s="640">
        <f t="shared" si="157"/>
        <v>0</v>
      </c>
      <c r="AX461" s="641">
        <f t="shared" si="158"/>
        <v>0</v>
      </c>
      <c r="AY461" s="641">
        <f t="shared" si="159"/>
        <v>0</v>
      </c>
      <c r="AZ461" s="640">
        <f t="shared" si="160"/>
        <v>202.52222222222221</v>
      </c>
      <c r="BA461" s="641">
        <f t="shared" si="161"/>
        <v>207.48555555555555</v>
      </c>
    </row>
    <row r="462" spans="1:53" s="365" customFormat="1" ht="12.6" customHeight="1">
      <c r="A462" s="412" t="s">
        <v>359</v>
      </c>
      <c r="B462" s="413" t="s">
        <v>408</v>
      </c>
      <c r="C462" s="414"/>
      <c r="D462" s="619">
        <v>221494</v>
      </c>
      <c r="E462" s="494">
        <v>13</v>
      </c>
      <c r="F462" s="495"/>
      <c r="G462" s="496"/>
      <c r="H462" s="495"/>
      <c r="I462" s="496"/>
      <c r="J462" s="495"/>
      <c r="K462" s="496"/>
      <c r="L462" s="495"/>
      <c r="M462" s="496"/>
      <c r="N462" s="495"/>
      <c r="O462" s="496"/>
      <c r="P462" s="640">
        <f t="shared" si="144"/>
        <v>0</v>
      </c>
      <c r="Q462" s="640">
        <f t="shared" si="145"/>
        <v>0</v>
      </c>
      <c r="R462" s="641">
        <f t="shared" si="146"/>
        <v>0</v>
      </c>
      <c r="S462" s="641">
        <f t="shared" si="147"/>
        <v>0</v>
      </c>
      <c r="T462" s="495"/>
      <c r="U462" s="496"/>
      <c r="V462" s="640">
        <f t="shared" si="148"/>
        <v>0</v>
      </c>
      <c r="W462" s="641">
        <f t="shared" si="149"/>
        <v>0</v>
      </c>
      <c r="X462" s="495"/>
      <c r="Y462" s="496"/>
      <c r="Z462" s="495">
        <v>153962</v>
      </c>
      <c r="AA462" s="496">
        <v>154546</v>
      </c>
      <c r="AB462" s="495">
        <v>124412</v>
      </c>
      <c r="AC462" s="496">
        <v>131191</v>
      </c>
      <c r="AD462" s="495">
        <v>166188</v>
      </c>
      <c r="AE462" s="496">
        <v>171059</v>
      </c>
      <c r="AF462" s="640">
        <f t="shared" si="150"/>
        <v>444562</v>
      </c>
      <c r="AG462" s="640">
        <f t="shared" si="151"/>
        <v>493.95777777777778</v>
      </c>
      <c r="AH462" s="641">
        <f t="shared" si="152"/>
        <v>456796</v>
      </c>
      <c r="AI462" s="641">
        <f t="shared" si="153"/>
        <v>507.55111111111108</v>
      </c>
      <c r="AJ462" s="495"/>
      <c r="AK462" s="496"/>
      <c r="AL462" s="640">
        <f t="shared" si="154"/>
        <v>0</v>
      </c>
      <c r="AM462" s="641">
        <f t="shared" si="155"/>
        <v>0</v>
      </c>
      <c r="AN462" s="495"/>
      <c r="AO462" s="496"/>
      <c r="AP462" s="495"/>
      <c r="AQ462" s="496"/>
      <c r="AR462" s="495"/>
      <c r="AS462" s="496"/>
      <c r="AT462" s="495"/>
      <c r="AU462" s="496"/>
      <c r="AV462" s="640">
        <f t="shared" si="156"/>
        <v>0</v>
      </c>
      <c r="AW462" s="640">
        <f t="shared" si="157"/>
        <v>0</v>
      </c>
      <c r="AX462" s="641">
        <f t="shared" si="158"/>
        <v>0</v>
      </c>
      <c r="AY462" s="641">
        <f t="shared" si="159"/>
        <v>0</v>
      </c>
      <c r="AZ462" s="640">
        <f t="shared" si="160"/>
        <v>493.95777777777778</v>
      </c>
      <c r="BA462" s="641">
        <f t="shared" si="161"/>
        <v>507.55111111111108</v>
      </c>
    </row>
    <row r="463" spans="1:53" s="365" customFormat="1" ht="12.6" customHeight="1">
      <c r="A463" s="412" t="s">
        <v>359</v>
      </c>
      <c r="B463" s="413" t="s">
        <v>409</v>
      </c>
      <c r="C463" s="414"/>
      <c r="D463" s="619">
        <v>221634</v>
      </c>
      <c r="E463" s="494">
        <v>13</v>
      </c>
      <c r="F463" s="495"/>
      <c r="G463" s="496"/>
      <c r="H463" s="495"/>
      <c r="I463" s="496"/>
      <c r="J463" s="495"/>
      <c r="K463" s="496"/>
      <c r="L463" s="495"/>
      <c r="M463" s="496"/>
      <c r="N463" s="495"/>
      <c r="O463" s="496"/>
      <c r="P463" s="640">
        <f t="shared" si="144"/>
        <v>0</v>
      </c>
      <c r="Q463" s="640">
        <f t="shared" si="145"/>
        <v>0</v>
      </c>
      <c r="R463" s="641">
        <f t="shared" si="146"/>
        <v>0</v>
      </c>
      <c r="S463" s="641">
        <f t="shared" si="147"/>
        <v>0</v>
      </c>
      <c r="T463" s="495"/>
      <c r="U463" s="496"/>
      <c r="V463" s="640">
        <f t="shared" si="148"/>
        <v>0</v>
      </c>
      <c r="W463" s="641">
        <f t="shared" si="149"/>
        <v>0</v>
      </c>
      <c r="X463" s="495"/>
      <c r="Y463" s="496"/>
      <c r="Z463" s="495">
        <v>69075</v>
      </c>
      <c r="AA463" s="496">
        <v>71892</v>
      </c>
      <c r="AB463" s="495">
        <v>49088</v>
      </c>
      <c r="AC463" s="496">
        <v>35543</v>
      </c>
      <c r="AD463" s="495">
        <v>69009</v>
      </c>
      <c r="AE463" s="496"/>
      <c r="AF463" s="640">
        <f t="shared" si="150"/>
        <v>187172</v>
      </c>
      <c r="AG463" s="640">
        <f t="shared" si="151"/>
        <v>207.9688888888889</v>
      </c>
      <c r="AH463" s="641">
        <f t="shared" si="152"/>
        <v>107435</v>
      </c>
      <c r="AI463" s="641">
        <f t="shared" si="153"/>
        <v>119.37222222222222</v>
      </c>
      <c r="AJ463" s="495"/>
      <c r="AK463" s="496"/>
      <c r="AL463" s="640">
        <f t="shared" si="154"/>
        <v>0</v>
      </c>
      <c r="AM463" s="641">
        <f t="shared" si="155"/>
        <v>0</v>
      </c>
      <c r="AN463" s="495"/>
      <c r="AO463" s="496"/>
      <c r="AP463" s="495"/>
      <c r="AQ463" s="496"/>
      <c r="AR463" s="495"/>
      <c r="AS463" s="496"/>
      <c r="AT463" s="495"/>
      <c r="AU463" s="496"/>
      <c r="AV463" s="640">
        <f t="shared" si="156"/>
        <v>0</v>
      </c>
      <c r="AW463" s="640">
        <f t="shared" si="157"/>
        <v>0</v>
      </c>
      <c r="AX463" s="641">
        <f t="shared" si="158"/>
        <v>0</v>
      </c>
      <c r="AY463" s="641">
        <f t="shared" si="159"/>
        <v>0</v>
      </c>
      <c r="AZ463" s="640">
        <f t="shared" si="160"/>
        <v>207.9688888888889</v>
      </c>
      <c r="BA463" s="641">
        <f t="shared" si="161"/>
        <v>119.37222222222222</v>
      </c>
    </row>
    <row r="464" spans="1:53" s="365" customFormat="1" ht="12.6" customHeight="1">
      <c r="A464" s="433" t="s">
        <v>521</v>
      </c>
      <c r="B464" s="431" t="s">
        <v>522</v>
      </c>
      <c r="C464" s="432"/>
      <c r="D464" s="628">
        <v>228723</v>
      </c>
      <c r="E464" s="530">
        <v>1</v>
      </c>
      <c r="F464" s="495"/>
      <c r="G464" s="551"/>
      <c r="H464" s="495">
        <v>0</v>
      </c>
      <c r="I464" s="551"/>
      <c r="J464" s="495">
        <v>618157</v>
      </c>
      <c r="K464" s="496">
        <v>643861</v>
      </c>
      <c r="L464" s="495">
        <v>106529</v>
      </c>
      <c r="M464" s="496">
        <v>95302</v>
      </c>
      <c r="N464" s="495">
        <v>687589</v>
      </c>
      <c r="O464" s="496">
        <v>687883</v>
      </c>
      <c r="P464" s="640">
        <f t="shared" si="144"/>
        <v>1412275</v>
      </c>
      <c r="Q464" s="640">
        <f t="shared" si="145"/>
        <v>47075.833333333336</v>
      </c>
      <c r="R464" s="641">
        <f t="shared" si="146"/>
        <v>1427046</v>
      </c>
      <c r="S464" s="641">
        <f t="shared" si="147"/>
        <v>47568.2</v>
      </c>
      <c r="T464" s="495">
        <v>0</v>
      </c>
      <c r="U464" s="552">
        <v>0</v>
      </c>
      <c r="V464" s="640">
        <f t="shared" si="148"/>
        <v>1412275</v>
      </c>
      <c r="W464" s="641">
        <f t="shared" si="149"/>
        <v>1427046</v>
      </c>
      <c r="X464" s="495"/>
      <c r="Y464" s="496"/>
      <c r="Z464" s="495"/>
      <c r="AA464" s="496"/>
      <c r="AB464" s="495"/>
      <c r="AC464" s="496"/>
      <c r="AD464" s="495"/>
      <c r="AE464" s="496"/>
      <c r="AF464" s="640">
        <f t="shared" si="150"/>
        <v>0</v>
      </c>
      <c r="AG464" s="640">
        <f t="shared" si="151"/>
        <v>0</v>
      </c>
      <c r="AH464" s="641">
        <f t="shared" si="152"/>
        <v>0</v>
      </c>
      <c r="AI464" s="641">
        <f t="shared" si="153"/>
        <v>0</v>
      </c>
      <c r="AJ464" s="495"/>
      <c r="AK464" s="496"/>
      <c r="AL464" s="640">
        <f t="shared" si="154"/>
        <v>0</v>
      </c>
      <c r="AM464" s="641">
        <f t="shared" si="155"/>
        <v>0</v>
      </c>
      <c r="AN464" s="495"/>
      <c r="AO464" s="496"/>
      <c r="AP464" s="495">
        <v>95499</v>
      </c>
      <c r="AQ464" s="496">
        <v>94359</v>
      </c>
      <c r="AR464" s="495">
        <v>33538</v>
      </c>
      <c r="AS464" s="496">
        <v>32123</v>
      </c>
      <c r="AT464" s="495">
        <v>101223</v>
      </c>
      <c r="AU464" s="496">
        <v>104563</v>
      </c>
      <c r="AV464" s="640">
        <f t="shared" si="156"/>
        <v>230260</v>
      </c>
      <c r="AW464" s="640">
        <f t="shared" si="157"/>
        <v>9594.1666666666661</v>
      </c>
      <c r="AX464" s="641">
        <f t="shared" si="158"/>
        <v>231045</v>
      </c>
      <c r="AY464" s="641">
        <f t="shared" si="159"/>
        <v>9626.875</v>
      </c>
      <c r="AZ464" s="640">
        <f t="shared" si="160"/>
        <v>56670</v>
      </c>
      <c r="BA464" s="641">
        <f t="shared" si="161"/>
        <v>57195.074999999997</v>
      </c>
    </row>
    <row r="465" spans="1:53" s="365" customFormat="1" ht="12.6" customHeight="1">
      <c r="A465" s="433" t="s">
        <v>521</v>
      </c>
      <c r="B465" s="431" t="s">
        <v>523</v>
      </c>
      <c r="C465" s="432"/>
      <c r="D465" s="628">
        <v>229115</v>
      </c>
      <c r="E465" s="530">
        <v>1</v>
      </c>
      <c r="F465" s="495"/>
      <c r="G465" s="551"/>
      <c r="H465" s="495">
        <v>0</v>
      </c>
      <c r="I465" s="551"/>
      <c r="J465" s="495">
        <v>372727</v>
      </c>
      <c r="K465" s="496">
        <v>388493</v>
      </c>
      <c r="L465" s="495">
        <v>87314</v>
      </c>
      <c r="M465" s="496">
        <v>76572</v>
      </c>
      <c r="N465" s="495">
        <v>428759</v>
      </c>
      <c r="O465" s="496">
        <v>429399</v>
      </c>
      <c r="P465" s="640">
        <f t="shared" si="144"/>
        <v>888800</v>
      </c>
      <c r="Q465" s="640">
        <f t="shared" si="145"/>
        <v>29626.666666666668</v>
      </c>
      <c r="R465" s="641">
        <f t="shared" si="146"/>
        <v>894464</v>
      </c>
      <c r="S465" s="641">
        <f t="shared" si="147"/>
        <v>29815.466666666667</v>
      </c>
      <c r="T465" s="495">
        <v>2275</v>
      </c>
      <c r="U465" s="552">
        <v>1822</v>
      </c>
      <c r="V465" s="640">
        <f t="shared" si="148"/>
        <v>888800</v>
      </c>
      <c r="W465" s="641">
        <f t="shared" si="149"/>
        <v>894464</v>
      </c>
      <c r="X465" s="495"/>
      <c r="Y465" s="496"/>
      <c r="Z465" s="495"/>
      <c r="AA465" s="496"/>
      <c r="AB465" s="495"/>
      <c r="AC465" s="496"/>
      <c r="AD465" s="495"/>
      <c r="AE465" s="496"/>
      <c r="AF465" s="640">
        <f t="shared" si="150"/>
        <v>0</v>
      </c>
      <c r="AG465" s="640">
        <f t="shared" si="151"/>
        <v>0</v>
      </c>
      <c r="AH465" s="641">
        <f t="shared" si="152"/>
        <v>0</v>
      </c>
      <c r="AI465" s="641">
        <f t="shared" si="153"/>
        <v>0</v>
      </c>
      <c r="AJ465" s="495"/>
      <c r="AK465" s="496"/>
      <c r="AL465" s="640">
        <f t="shared" si="154"/>
        <v>0</v>
      </c>
      <c r="AM465" s="641">
        <f t="shared" si="155"/>
        <v>0</v>
      </c>
      <c r="AN465" s="495"/>
      <c r="AO465" s="496"/>
      <c r="AP465" s="495">
        <v>48111</v>
      </c>
      <c r="AQ465" s="496">
        <v>53112</v>
      </c>
      <c r="AR465" s="495">
        <v>26376</v>
      </c>
      <c r="AS465" s="496">
        <v>26006</v>
      </c>
      <c r="AT465" s="495">
        <v>55054</v>
      </c>
      <c r="AU465" s="496">
        <v>56836</v>
      </c>
      <c r="AV465" s="640">
        <f t="shared" si="156"/>
        <v>129541</v>
      </c>
      <c r="AW465" s="640">
        <f t="shared" si="157"/>
        <v>5397.541666666667</v>
      </c>
      <c r="AX465" s="641">
        <f t="shared" si="158"/>
        <v>135954</v>
      </c>
      <c r="AY465" s="641">
        <f t="shared" si="159"/>
        <v>5664.75</v>
      </c>
      <c r="AZ465" s="640">
        <f t="shared" si="160"/>
        <v>35024.208333333336</v>
      </c>
      <c r="BA465" s="641">
        <f t="shared" si="161"/>
        <v>35480.216666666667</v>
      </c>
    </row>
    <row r="466" spans="1:53" s="365" customFormat="1" ht="12.6" customHeight="1">
      <c r="A466" s="433" t="s">
        <v>521</v>
      </c>
      <c r="B466" s="431" t="s">
        <v>524</v>
      </c>
      <c r="C466" s="432"/>
      <c r="D466" s="628">
        <v>225511</v>
      </c>
      <c r="E466" s="530">
        <v>1</v>
      </c>
      <c r="F466" s="495"/>
      <c r="G466" s="551"/>
      <c r="H466" s="495">
        <v>0</v>
      </c>
      <c r="I466" s="551"/>
      <c r="J466" s="495">
        <v>426560</v>
      </c>
      <c r="K466" s="496">
        <v>432386</v>
      </c>
      <c r="L466" s="495">
        <v>100530</v>
      </c>
      <c r="M466" s="496">
        <v>79772</v>
      </c>
      <c r="N466" s="495">
        <v>474900</v>
      </c>
      <c r="O466" s="496">
        <v>450975</v>
      </c>
      <c r="P466" s="640">
        <f t="shared" si="144"/>
        <v>1001990</v>
      </c>
      <c r="Q466" s="640">
        <f t="shared" si="145"/>
        <v>33399.666666666664</v>
      </c>
      <c r="R466" s="641">
        <f t="shared" si="146"/>
        <v>963133</v>
      </c>
      <c r="S466" s="641">
        <f t="shared" si="147"/>
        <v>32104.433333333334</v>
      </c>
      <c r="T466" s="495">
        <v>0</v>
      </c>
      <c r="U466" s="552">
        <v>0</v>
      </c>
      <c r="V466" s="640">
        <f t="shared" si="148"/>
        <v>1001990</v>
      </c>
      <c r="W466" s="641">
        <f t="shared" si="149"/>
        <v>963133</v>
      </c>
      <c r="X466" s="495"/>
      <c r="Y466" s="496"/>
      <c r="Z466" s="495"/>
      <c r="AA466" s="496"/>
      <c r="AB466" s="495"/>
      <c r="AC466" s="496"/>
      <c r="AD466" s="495"/>
      <c r="AE466" s="496"/>
      <c r="AF466" s="640">
        <f t="shared" si="150"/>
        <v>0</v>
      </c>
      <c r="AG466" s="640">
        <f t="shared" si="151"/>
        <v>0</v>
      </c>
      <c r="AH466" s="641">
        <f t="shared" si="152"/>
        <v>0</v>
      </c>
      <c r="AI466" s="641">
        <f t="shared" si="153"/>
        <v>0</v>
      </c>
      <c r="AJ466" s="495"/>
      <c r="AK466" s="496"/>
      <c r="AL466" s="640">
        <f t="shared" si="154"/>
        <v>0</v>
      </c>
      <c r="AM466" s="641">
        <f t="shared" si="155"/>
        <v>0</v>
      </c>
      <c r="AN466" s="495"/>
      <c r="AO466" s="496"/>
      <c r="AP466" s="495">
        <v>70368</v>
      </c>
      <c r="AQ466" s="496">
        <v>74633</v>
      </c>
      <c r="AR466" s="495">
        <v>27733</v>
      </c>
      <c r="AS466" s="496">
        <v>22025</v>
      </c>
      <c r="AT466" s="495">
        <v>75309</v>
      </c>
      <c r="AU466" s="496">
        <v>79540</v>
      </c>
      <c r="AV466" s="640">
        <f t="shared" si="156"/>
        <v>173410</v>
      </c>
      <c r="AW466" s="640">
        <f t="shared" si="157"/>
        <v>7225.416666666667</v>
      </c>
      <c r="AX466" s="641">
        <f t="shared" si="158"/>
        <v>176198</v>
      </c>
      <c r="AY466" s="641">
        <f t="shared" si="159"/>
        <v>7341.583333333333</v>
      </c>
      <c r="AZ466" s="640">
        <f t="shared" si="160"/>
        <v>40625.083333333328</v>
      </c>
      <c r="BA466" s="641">
        <f t="shared" si="161"/>
        <v>39446.01666666667</v>
      </c>
    </row>
    <row r="467" spans="1:53" s="365" customFormat="1" ht="12.6" customHeight="1">
      <c r="A467" s="430" t="s">
        <v>521</v>
      </c>
      <c r="B467" s="431" t="s">
        <v>525</v>
      </c>
      <c r="C467" s="432"/>
      <c r="D467" s="628">
        <v>227216</v>
      </c>
      <c r="E467" s="530">
        <v>1</v>
      </c>
      <c r="F467" s="495"/>
      <c r="G467" s="551"/>
      <c r="H467" s="495">
        <v>0</v>
      </c>
      <c r="I467" s="551"/>
      <c r="J467" s="495">
        <v>367716</v>
      </c>
      <c r="K467" s="496">
        <v>372993</v>
      </c>
      <c r="L467" s="495">
        <v>86916</v>
      </c>
      <c r="M467" s="496">
        <v>79861</v>
      </c>
      <c r="N467" s="495">
        <v>408907</v>
      </c>
      <c r="O467" s="496">
        <v>394682</v>
      </c>
      <c r="P467" s="640">
        <f t="shared" si="144"/>
        <v>863539</v>
      </c>
      <c r="Q467" s="640">
        <f t="shared" si="145"/>
        <v>28784.633333333335</v>
      </c>
      <c r="R467" s="641">
        <f t="shared" si="146"/>
        <v>847536</v>
      </c>
      <c r="S467" s="641">
        <f t="shared" si="147"/>
        <v>28251.200000000001</v>
      </c>
      <c r="T467" s="495">
        <v>0</v>
      </c>
      <c r="U467" s="552">
        <v>0</v>
      </c>
      <c r="V467" s="640">
        <f t="shared" si="148"/>
        <v>863539</v>
      </c>
      <c r="W467" s="641">
        <f t="shared" si="149"/>
        <v>847536</v>
      </c>
      <c r="X467" s="495"/>
      <c r="Y467" s="496"/>
      <c r="Z467" s="495"/>
      <c r="AA467" s="496"/>
      <c r="AB467" s="495"/>
      <c r="AC467" s="496"/>
      <c r="AD467" s="495"/>
      <c r="AE467" s="496"/>
      <c r="AF467" s="640">
        <f t="shared" si="150"/>
        <v>0</v>
      </c>
      <c r="AG467" s="640">
        <f t="shared" si="151"/>
        <v>0</v>
      </c>
      <c r="AH467" s="641">
        <f t="shared" si="152"/>
        <v>0</v>
      </c>
      <c r="AI467" s="641">
        <f t="shared" si="153"/>
        <v>0</v>
      </c>
      <c r="AJ467" s="495"/>
      <c r="AK467" s="496"/>
      <c r="AL467" s="640">
        <f t="shared" si="154"/>
        <v>0</v>
      </c>
      <c r="AM467" s="641">
        <f t="shared" si="155"/>
        <v>0</v>
      </c>
      <c r="AN467" s="495"/>
      <c r="AO467" s="496"/>
      <c r="AP467" s="495">
        <v>48675</v>
      </c>
      <c r="AQ467" s="496">
        <v>57478</v>
      </c>
      <c r="AR467" s="495">
        <v>23495</v>
      </c>
      <c r="AS467" s="496">
        <v>27289</v>
      </c>
      <c r="AT467" s="495">
        <v>51195</v>
      </c>
      <c r="AU467" s="496">
        <v>64770</v>
      </c>
      <c r="AV467" s="640">
        <f t="shared" si="156"/>
        <v>123365</v>
      </c>
      <c r="AW467" s="640">
        <f t="shared" si="157"/>
        <v>5140.208333333333</v>
      </c>
      <c r="AX467" s="641">
        <f t="shared" si="158"/>
        <v>149537</v>
      </c>
      <c r="AY467" s="641">
        <f t="shared" si="159"/>
        <v>6230.708333333333</v>
      </c>
      <c r="AZ467" s="640">
        <f t="shared" si="160"/>
        <v>33924.841666666667</v>
      </c>
      <c r="BA467" s="641">
        <f t="shared" si="161"/>
        <v>34481.908333333333</v>
      </c>
    </row>
    <row r="468" spans="1:53" s="365" customFormat="1" ht="12.6" customHeight="1">
      <c r="A468" s="430" t="s">
        <v>521</v>
      </c>
      <c r="B468" s="431" t="s">
        <v>526</v>
      </c>
      <c r="C468" s="432"/>
      <c r="D468" s="628">
        <v>228769</v>
      </c>
      <c r="E468" s="530">
        <v>1</v>
      </c>
      <c r="F468" s="495"/>
      <c r="G468" s="551"/>
      <c r="H468" s="495">
        <v>0</v>
      </c>
      <c r="I468" s="551"/>
      <c r="J468" s="495">
        <v>328968</v>
      </c>
      <c r="K468" s="496">
        <v>326379</v>
      </c>
      <c r="L468" s="495">
        <v>125850</v>
      </c>
      <c r="M468" s="496">
        <v>117108</v>
      </c>
      <c r="N468" s="495">
        <v>324905</v>
      </c>
      <c r="O468" s="496">
        <v>310437</v>
      </c>
      <c r="P468" s="640">
        <f t="shared" si="144"/>
        <v>779723</v>
      </c>
      <c r="Q468" s="640">
        <f t="shared" si="145"/>
        <v>25990.766666666666</v>
      </c>
      <c r="R468" s="641">
        <f t="shared" si="146"/>
        <v>753924</v>
      </c>
      <c r="S468" s="641">
        <f t="shared" si="147"/>
        <v>25130.799999999999</v>
      </c>
      <c r="T468" s="495">
        <v>1638</v>
      </c>
      <c r="U468" s="552">
        <v>1440</v>
      </c>
      <c r="V468" s="640">
        <f t="shared" si="148"/>
        <v>779723</v>
      </c>
      <c r="W468" s="641">
        <f t="shared" si="149"/>
        <v>753924</v>
      </c>
      <c r="X468" s="495"/>
      <c r="Y468" s="496"/>
      <c r="Z468" s="495"/>
      <c r="AA468" s="496"/>
      <c r="AB468" s="495"/>
      <c r="AC468" s="496"/>
      <c r="AD468" s="495"/>
      <c r="AE468" s="496"/>
      <c r="AF468" s="640">
        <f t="shared" si="150"/>
        <v>0</v>
      </c>
      <c r="AG468" s="640">
        <f t="shared" si="151"/>
        <v>0</v>
      </c>
      <c r="AH468" s="641">
        <f t="shared" si="152"/>
        <v>0</v>
      </c>
      <c r="AI468" s="641">
        <f t="shared" si="153"/>
        <v>0</v>
      </c>
      <c r="AJ468" s="495"/>
      <c r="AK468" s="496"/>
      <c r="AL468" s="640">
        <f t="shared" si="154"/>
        <v>0</v>
      </c>
      <c r="AM468" s="641">
        <f t="shared" si="155"/>
        <v>0</v>
      </c>
      <c r="AN468" s="495"/>
      <c r="AO468" s="496"/>
      <c r="AP468" s="495">
        <v>87235</v>
      </c>
      <c r="AQ468" s="496">
        <v>79758</v>
      </c>
      <c r="AR468" s="495">
        <v>61755</v>
      </c>
      <c r="AS468" s="496">
        <v>60202</v>
      </c>
      <c r="AT468" s="495">
        <v>63836</v>
      </c>
      <c r="AU468" s="496">
        <v>67544</v>
      </c>
      <c r="AV468" s="640">
        <f t="shared" si="156"/>
        <v>212826</v>
      </c>
      <c r="AW468" s="640">
        <f t="shared" si="157"/>
        <v>8867.75</v>
      </c>
      <c r="AX468" s="641">
        <f t="shared" si="158"/>
        <v>207504</v>
      </c>
      <c r="AY468" s="641">
        <f t="shared" si="159"/>
        <v>8646</v>
      </c>
      <c r="AZ468" s="640">
        <f t="shared" si="160"/>
        <v>34858.516666666663</v>
      </c>
      <c r="BA468" s="641">
        <f t="shared" si="161"/>
        <v>33776.800000000003</v>
      </c>
    </row>
    <row r="469" spans="1:53" s="365" customFormat="1" ht="12.6" customHeight="1">
      <c r="A469" s="430" t="s">
        <v>521</v>
      </c>
      <c r="B469" s="431" t="s">
        <v>527</v>
      </c>
      <c r="C469" s="432"/>
      <c r="D469" s="628">
        <v>228778</v>
      </c>
      <c r="E469" s="530">
        <v>1</v>
      </c>
      <c r="F469" s="495"/>
      <c r="G469" s="551"/>
      <c r="H469" s="495">
        <v>0</v>
      </c>
      <c r="I469" s="551"/>
      <c r="J469" s="495">
        <v>506449</v>
      </c>
      <c r="K469" s="496">
        <v>506515</v>
      </c>
      <c r="L469" s="495">
        <v>71982</v>
      </c>
      <c r="M469" s="496">
        <v>58500</v>
      </c>
      <c r="N469" s="495">
        <v>542029</v>
      </c>
      <c r="O469" s="496">
        <v>544686</v>
      </c>
      <c r="P469" s="640">
        <f t="shared" si="144"/>
        <v>1120460</v>
      </c>
      <c r="Q469" s="640">
        <f t="shared" si="145"/>
        <v>37348.666666666664</v>
      </c>
      <c r="R469" s="641">
        <f t="shared" si="146"/>
        <v>1109701</v>
      </c>
      <c r="S469" s="641">
        <f t="shared" si="147"/>
        <v>36990.033333333333</v>
      </c>
      <c r="T469" s="495">
        <v>0</v>
      </c>
      <c r="U469" s="552">
        <v>0</v>
      </c>
      <c r="V469" s="640">
        <f t="shared" si="148"/>
        <v>1120460</v>
      </c>
      <c r="W469" s="641">
        <f t="shared" si="149"/>
        <v>1109701</v>
      </c>
      <c r="X469" s="495"/>
      <c r="Y469" s="496"/>
      <c r="Z469" s="495"/>
      <c r="AA469" s="496"/>
      <c r="AB469" s="495"/>
      <c r="AC469" s="496"/>
      <c r="AD469" s="495"/>
      <c r="AE469" s="496"/>
      <c r="AF469" s="640">
        <f t="shared" si="150"/>
        <v>0</v>
      </c>
      <c r="AG469" s="640">
        <f t="shared" si="151"/>
        <v>0</v>
      </c>
      <c r="AH469" s="641">
        <f t="shared" si="152"/>
        <v>0</v>
      </c>
      <c r="AI469" s="641">
        <f t="shared" si="153"/>
        <v>0</v>
      </c>
      <c r="AJ469" s="495"/>
      <c r="AK469" s="496"/>
      <c r="AL469" s="640">
        <f t="shared" si="154"/>
        <v>0</v>
      </c>
      <c r="AM469" s="641">
        <f t="shared" si="155"/>
        <v>0</v>
      </c>
      <c r="AN469" s="495"/>
      <c r="AO469" s="496"/>
      <c r="AP469" s="495">
        <v>105938</v>
      </c>
      <c r="AQ469" s="496">
        <v>102816</v>
      </c>
      <c r="AR469" s="495">
        <v>20163</v>
      </c>
      <c r="AS469" s="496">
        <v>18283</v>
      </c>
      <c r="AT469" s="495">
        <v>107077</v>
      </c>
      <c r="AU469" s="496">
        <v>113331</v>
      </c>
      <c r="AV469" s="640">
        <f t="shared" si="156"/>
        <v>233178</v>
      </c>
      <c r="AW469" s="640">
        <f t="shared" si="157"/>
        <v>9715.75</v>
      </c>
      <c r="AX469" s="641">
        <f t="shared" si="158"/>
        <v>234430</v>
      </c>
      <c r="AY469" s="641">
        <f t="shared" si="159"/>
        <v>9767.9166666666661</v>
      </c>
      <c r="AZ469" s="640">
        <f t="shared" si="160"/>
        <v>47064.416666666664</v>
      </c>
      <c r="BA469" s="641">
        <f t="shared" si="161"/>
        <v>46757.95</v>
      </c>
    </row>
    <row r="470" spans="1:53" s="365" customFormat="1" ht="12.6" customHeight="1">
      <c r="A470" s="430" t="s">
        <v>521</v>
      </c>
      <c r="B470" s="431" t="s">
        <v>528</v>
      </c>
      <c r="C470" s="432"/>
      <c r="D470" s="628">
        <v>228787</v>
      </c>
      <c r="E470" s="530">
        <v>1</v>
      </c>
      <c r="F470" s="495"/>
      <c r="G470" s="551"/>
      <c r="H470" s="495">
        <v>0</v>
      </c>
      <c r="I470" s="551"/>
      <c r="J470" s="495">
        <v>257129</v>
      </c>
      <c r="K470" s="496">
        <v>250097</v>
      </c>
      <c r="L470" s="495">
        <v>40418</v>
      </c>
      <c r="M470" s="496">
        <v>35182</v>
      </c>
      <c r="N470" s="495">
        <v>275329</v>
      </c>
      <c r="O470" s="496">
        <v>277720</v>
      </c>
      <c r="P470" s="640">
        <f t="shared" si="144"/>
        <v>572876</v>
      </c>
      <c r="Q470" s="640">
        <f t="shared" si="145"/>
        <v>19095.866666666665</v>
      </c>
      <c r="R470" s="641">
        <f t="shared" si="146"/>
        <v>562999</v>
      </c>
      <c r="S470" s="641">
        <f t="shared" si="147"/>
        <v>18766.633333333335</v>
      </c>
      <c r="T470" s="495">
        <v>0</v>
      </c>
      <c r="U470" s="552">
        <v>0</v>
      </c>
      <c r="V470" s="640">
        <f t="shared" si="148"/>
        <v>572876</v>
      </c>
      <c r="W470" s="641">
        <f t="shared" si="149"/>
        <v>562999</v>
      </c>
      <c r="X470" s="495"/>
      <c r="Y470" s="496"/>
      <c r="Z470" s="495"/>
      <c r="AA470" s="496"/>
      <c r="AB470" s="495"/>
      <c r="AC470" s="496"/>
      <c r="AD470" s="495"/>
      <c r="AE470" s="496"/>
      <c r="AF470" s="640">
        <f t="shared" si="150"/>
        <v>0</v>
      </c>
      <c r="AG470" s="640">
        <f t="shared" si="151"/>
        <v>0</v>
      </c>
      <c r="AH470" s="641">
        <f t="shared" si="152"/>
        <v>0</v>
      </c>
      <c r="AI470" s="641">
        <f t="shared" si="153"/>
        <v>0</v>
      </c>
      <c r="AJ470" s="495"/>
      <c r="AK470" s="496"/>
      <c r="AL470" s="640">
        <f t="shared" si="154"/>
        <v>0</v>
      </c>
      <c r="AM470" s="641">
        <f t="shared" si="155"/>
        <v>0</v>
      </c>
      <c r="AN470" s="495"/>
      <c r="AO470" s="496"/>
      <c r="AP470" s="495">
        <v>61273</v>
      </c>
      <c r="AQ470" s="496">
        <v>53429</v>
      </c>
      <c r="AR470" s="495">
        <v>20846</v>
      </c>
      <c r="AS470" s="496">
        <v>15803</v>
      </c>
      <c r="AT470" s="495">
        <v>53519</v>
      </c>
      <c r="AU470" s="496">
        <v>64207</v>
      </c>
      <c r="AV470" s="640">
        <f t="shared" si="156"/>
        <v>135638</v>
      </c>
      <c r="AW470" s="640">
        <f t="shared" si="157"/>
        <v>5651.583333333333</v>
      </c>
      <c r="AX470" s="641">
        <f t="shared" si="158"/>
        <v>133439</v>
      </c>
      <c r="AY470" s="641">
        <f t="shared" si="159"/>
        <v>5559.958333333333</v>
      </c>
      <c r="AZ470" s="640">
        <f t="shared" si="160"/>
        <v>24747.449999999997</v>
      </c>
      <c r="BA470" s="641">
        <f t="shared" si="161"/>
        <v>24326.591666666667</v>
      </c>
    </row>
    <row r="471" spans="1:53" s="365" customFormat="1" ht="12.6" customHeight="1">
      <c r="A471" s="430" t="s">
        <v>521</v>
      </c>
      <c r="B471" s="431" t="s">
        <v>531</v>
      </c>
      <c r="C471" s="434"/>
      <c r="D471" s="628">
        <v>229027</v>
      </c>
      <c r="E471" s="530">
        <v>1</v>
      </c>
      <c r="F471" s="495"/>
      <c r="G471" s="551"/>
      <c r="H471" s="495">
        <v>0</v>
      </c>
      <c r="I471" s="551"/>
      <c r="J471" s="495">
        <v>310970</v>
      </c>
      <c r="K471" s="496">
        <v>318928</v>
      </c>
      <c r="L471" s="495">
        <v>75703</v>
      </c>
      <c r="M471" s="496">
        <v>73248</v>
      </c>
      <c r="N471" s="495">
        <v>355487</v>
      </c>
      <c r="O471" s="496">
        <v>342267</v>
      </c>
      <c r="P471" s="640">
        <f t="shared" si="144"/>
        <v>742160</v>
      </c>
      <c r="Q471" s="640">
        <f t="shared" si="145"/>
        <v>24738.666666666668</v>
      </c>
      <c r="R471" s="641">
        <f t="shared" si="146"/>
        <v>734443</v>
      </c>
      <c r="S471" s="641">
        <f t="shared" si="147"/>
        <v>24481.433333333334</v>
      </c>
      <c r="T471" s="495">
        <v>2394</v>
      </c>
      <c r="U471" s="552">
        <v>2576</v>
      </c>
      <c r="V471" s="640">
        <f t="shared" si="148"/>
        <v>742160</v>
      </c>
      <c r="W471" s="641">
        <f t="shared" si="149"/>
        <v>734443</v>
      </c>
      <c r="X471" s="495"/>
      <c r="Y471" s="496"/>
      <c r="Z471" s="495"/>
      <c r="AA471" s="496"/>
      <c r="AB471" s="495"/>
      <c r="AC471" s="496"/>
      <c r="AD471" s="495"/>
      <c r="AE471" s="496"/>
      <c r="AF471" s="640">
        <f t="shared" si="150"/>
        <v>0</v>
      </c>
      <c r="AG471" s="640">
        <f t="shared" si="151"/>
        <v>0</v>
      </c>
      <c r="AH471" s="641">
        <f t="shared" si="152"/>
        <v>0</v>
      </c>
      <c r="AI471" s="641">
        <f t="shared" si="153"/>
        <v>0</v>
      </c>
      <c r="AJ471" s="495"/>
      <c r="AK471" s="496"/>
      <c r="AL471" s="640">
        <f t="shared" si="154"/>
        <v>0</v>
      </c>
      <c r="AM471" s="641">
        <f t="shared" si="155"/>
        <v>0</v>
      </c>
      <c r="AN471" s="495"/>
      <c r="AO471" s="496"/>
      <c r="AP471" s="495">
        <v>29157</v>
      </c>
      <c r="AQ471" s="496">
        <v>33064</v>
      </c>
      <c r="AR471" s="495">
        <v>12351</v>
      </c>
      <c r="AS471" s="496">
        <v>11854</v>
      </c>
      <c r="AT471" s="495">
        <v>34050</v>
      </c>
      <c r="AU471" s="496">
        <v>34091</v>
      </c>
      <c r="AV471" s="640">
        <f t="shared" si="156"/>
        <v>75558</v>
      </c>
      <c r="AW471" s="640">
        <f t="shared" si="157"/>
        <v>3148.25</v>
      </c>
      <c r="AX471" s="641">
        <f t="shared" si="158"/>
        <v>79009</v>
      </c>
      <c r="AY471" s="641">
        <f t="shared" si="159"/>
        <v>3292.0416666666665</v>
      </c>
      <c r="AZ471" s="640">
        <f t="shared" si="160"/>
        <v>27886.916666666668</v>
      </c>
      <c r="BA471" s="641">
        <f t="shared" si="161"/>
        <v>27773.475000000002</v>
      </c>
    </row>
    <row r="472" spans="1:53" s="365" customFormat="1" ht="12.6" customHeight="1">
      <c r="A472" s="430" t="s">
        <v>521</v>
      </c>
      <c r="B472" s="448" t="s">
        <v>545</v>
      </c>
      <c r="C472" s="434"/>
      <c r="D472" s="628">
        <v>228459</v>
      </c>
      <c r="E472" s="530">
        <v>2</v>
      </c>
      <c r="F472" s="495"/>
      <c r="G472" s="551"/>
      <c r="H472" s="495">
        <v>0</v>
      </c>
      <c r="I472" s="551"/>
      <c r="J472" s="495">
        <v>378021</v>
      </c>
      <c r="K472" s="496">
        <v>366153</v>
      </c>
      <c r="L472" s="495">
        <v>71840</v>
      </c>
      <c r="M472" s="496">
        <v>66306</v>
      </c>
      <c r="N472" s="495">
        <v>410585</v>
      </c>
      <c r="O472" s="496">
        <v>408329</v>
      </c>
      <c r="P472" s="640">
        <f t="shared" si="144"/>
        <v>860446</v>
      </c>
      <c r="Q472" s="640">
        <f t="shared" si="145"/>
        <v>28681.533333333333</v>
      </c>
      <c r="R472" s="641">
        <f t="shared" si="146"/>
        <v>840788</v>
      </c>
      <c r="S472" s="641">
        <f t="shared" si="147"/>
        <v>28026.266666666666</v>
      </c>
      <c r="T472" s="495">
        <v>0</v>
      </c>
      <c r="U472" s="552">
        <v>0</v>
      </c>
      <c r="V472" s="640">
        <f t="shared" si="148"/>
        <v>860446</v>
      </c>
      <c r="W472" s="641">
        <f t="shared" si="149"/>
        <v>840788</v>
      </c>
      <c r="X472" s="495"/>
      <c r="Y472" s="496"/>
      <c r="Z472" s="495"/>
      <c r="AA472" s="496"/>
      <c r="AB472" s="495"/>
      <c r="AC472" s="496"/>
      <c r="AD472" s="495"/>
      <c r="AE472" s="496"/>
      <c r="AF472" s="640">
        <f t="shared" si="150"/>
        <v>0</v>
      </c>
      <c r="AG472" s="640">
        <f t="shared" si="151"/>
        <v>0</v>
      </c>
      <c r="AH472" s="641">
        <f t="shared" si="152"/>
        <v>0</v>
      </c>
      <c r="AI472" s="641">
        <f t="shared" si="153"/>
        <v>0</v>
      </c>
      <c r="AJ472" s="495"/>
      <c r="AK472" s="496"/>
      <c r="AL472" s="640">
        <f t="shared" si="154"/>
        <v>0</v>
      </c>
      <c r="AM472" s="641">
        <f t="shared" si="155"/>
        <v>0</v>
      </c>
      <c r="AN472" s="495"/>
      <c r="AO472" s="496"/>
      <c r="AP472" s="495">
        <v>28055</v>
      </c>
      <c r="AQ472" s="496">
        <v>30487</v>
      </c>
      <c r="AR472" s="495">
        <v>11383</v>
      </c>
      <c r="AS472" s="496">
        <v>10989</v>
      </c>
      <c r="AT472" s="495">
        <v>33258</v>
      </c>
      <c r="AU472" s="496">
        <v>33492</v>
      </c>
      <c r="AV472" s="640">
        <f t="shared" si="156"/>
        <v>72696</v>
      </c>
      <c r="AW472" s="640">
        <f t="shared" si="157"/>
        <v>3029</v>
      </c>
      <c r="AX472" s="641">
        <f t="shared" si="158"/>
        <v>74968</v>
      </c>
      <c r="AY472" s="641">
        <f t="shared" si="159"/>
        <v>3123.6666666666665</v>
      </c>
      <c r="AZ472" s="640">
        <f t="shared" si="160"/>
        <v>31710.533333333333</v>
      </c>
      <c r="BA472" s="641">
        <f t="shared" si="161"/>
        <v>31149.933333333334</v>
      </c>
    </row>
    <row r="473" spans="1:53" s="365" customFormat="1" ht="12.6" customHeight="1">
      <c r="A473" s="430" t="s">
        <v>521</v>
      </c>
      <c r="B473" s="431" t="s">
        <v>529</v>
      </c>
      <c r="C473" s="607" t="s">
        <v>894</v>
      </c>
      <c r="D473" s="628">
        <v>229179</v>
      </c>
      <c r="E473" s="530">
        <v>2</v>
      </c>
      <c r="F473" s="495"/>
      <c r="G473" s="551"/>
      <c r="H473" s="495">
        <v>0</v>
      </c>
      <c r="I473" s="551"/>
      <c r="J473" s="495">
        <v>107964</v>
      </c>
      <c r="K473" s="496">
        <v>106380</v>
      </c>
      <c r="L473" s="495">
        <v>25526</v>
      </c>
      <c r="M473" s="496">
        <v>22975</v>
      </c>
      <c r="N473" s="495">
        <v>117950</v>
      </c>
      <c r="O473" s="496">
        <v>112136</v>
      </c>
      <c r="P473" s="640">
        <f t="shared" si="144"/>
        <v>251440</v>
      </c>
      <c r="Q473" s="640">
        <f t="shared" si="145"/>
        <v>8381.3333333333339</v>
      </c>
      <c r="R473" s="641">
        <f t="shared" si="146"/>
        <v>241491</v>
      </c>
      <c r="S473" s="641">
        <f t="shared" si="147"/>
        <v>8049.7</v>
      </c>
      <c r="T473" s="495">
        <v>12311</v>
      </c>
      <c r="U473" s="552">
        <v>12917</v>
      </c>
      <c r="V473" s="640">
        <f t="shared" si="148"/>
        <v>251440</v>
      </c>
      <c r="W473" s="641">
        <f t="shared" si="149"/>
        <v>241491</v>
      </c>
      <c r="X473" s="495"/>
      <c r="Y473" s="496"/>
      <c r="Z473" s="495"/>
      <c r="AA473" s="496"/>
      <c r="AB473" s="495"/>
      <c r="AC473" s="496"/>
      <c r="AD473" s="495"/>
      <c r="AE473" s="496"/>
      <c r="AF473" s="640">
        <f t="shared" si="150"/>
        <v>0</v>
      </c>
      <c r="AG473" s="640">
        <f t="shared" si="151"/>
        <v>0</v>
      </c>
      <c r="AH473" s="641">
        <f t="shared" si="152"/>
        <v>0</v>
      </c>
      <c r="AI473" s="641">
        <f t="shared" si="153"/>
        <v>0</v>
      </c>
      <c r="AJ473" s="495"/>
      <c r="AK473" s="496"/>
      <c r="AL473" s="640">
        <f t="shared" si="154"/>
        <v>0</v>
      </c>
      <c r="AM473" s="641">
        <f t="shared" si="155"/>
        <v>0</v>
      </c>
      <c r="AN473" s="495"/>
      <c r="AO473" s="496"/>
      <c r="AP473" s="495">
        <v>35776</v>
      </c>
      <c r="AQ473" s="496">
        <v>40243</v>
      </c>
      <c r="AR473" s="495">
        <v>28556</v>
      </c>
      <c r="AS473" s="496">
        <v>32169</v>
      </c>
      <c r="AT473" s="495">
        <v>37266</v>
      </c>
      <c r="AU473" s="496">
        <v>37664</v>
      </c>
      <c r="AV473" s="640">
        <f t="shared" si="156"/>
        <v>101598</v>
      </c>
      <c r="AW473" s="640">
        <f t="shared" si="157"/>
        <v>4233.25</v>
      </c>
      <c r="AX473" s="641">
        <f t="shared" si="158"/>
        <v>110076</v>
      </c>
      <c r="AY473" s="641">
        <f t="shared" si="159"/>
        <v>4586.5</v>
      </c>
      <c r="AZ473" s="640">
        <f t="shared" si="160"/>
        <v>12614.583333333334</v>
      </c>
      <c r="BA473" s="641">
        <f t="shared" si="161"/>
        <v>12636.2</v>
      </c>
    </row>
    <row r="474" spans="1:53" s="365" customFormat="1" ht="12.6" customHeight="1">
      <c r="A474" s="430" t="s">
        <v>521</v>
      </c>
      <c r="B474" s="431" t="s">
        <v>530</v>
      </c>
      <c r="C474" s="607" t="s">
        <v>894</v>
      </c>
      <c r="D474" s="628">
        <v>228796</v>
      </c>
      <c r="E474" s="530">
        <v>2</v>
      </c>
      <c r="F474" s="495"/>
      <c r="G474" s="551"/>
      <c r="H474" s="495">
        <v>0</v>
      </c>
      <c r="I474" s="551"/>
      <c r="J474" s="495">
        <v>216528</v>
      </c>
      <c r="K474" s="496">
        <v>206110</v>
      </c>
      <c r="L474" s="495">
        <v>68562</v>
      </c>
      <c r="M474" s="496">
        <v>54640</v>
      </c>
      <c r="N474" s="495">
        <v>234262</v>
      </c>
      <c r="O474" s="496">
        <v>215086</v>
      </c>
      <c r="P474" s="640">
        <f t="shared" si="144"/>
        <v>519352</v>
      </c>
      <c r="Q474" s="640">
        <f t="shared" si="145"/>
        <v>17311.733333333334</v>
      </c>
      <c r="R474" s="641">
        <f t="shared" si="146"/>
        <v>475836</v>
      </c>
      <c r="S474" s="641">
        <f t="shared" si="147"/>
        <v>15861.2</v>
      </c>
      <c r="T474" s="495">
        <v>0</v>
      </c>
      <c r="U474" s="552">
        <v>0</v>
      </c>
      <c r="V474" s="640">
        <f t="shared" si="148"/>
        <v>519352</v>
      </c>
      <c r="W474" s="641">
        <f t="shared" si="149"/>
        <v>475836</v>
      </c>
      <c r="X474" s="495"/>
      <c r="Y474" s="496"/>
      <c r="Z474" s="495"/>
      <c r="AA474" s="496"/>
      <c r="AB474" s="495"/>
      <c r="AC474" s="496"/>
      <c r="AD474" s="495"/>
      <c r="AE474" s="496"/>
      <c r="AF474" s="640">
        <f t="shared" si="150"/>
        <v>0</v>
      </c>
      <c r="AG474" s="640">
        <f t="shared" si="151"/>
        <v>0</v>
      </c>
      <c r="AH474" s="641">
        <f t="shared" si="152"/>
        <v>0</v>
      </c>
      <c r="AI474" s="641">
        <f t="shared" si="153"/>
        <v>0</v>
      </c>
      <c r="AJ474" s="495"/>
      <c r="AK474" s="496"/>
      <c r="AL474" s="640">
        <f t="shared" si="154"/>
        <v>0</v>
      </c>
      <c r="AM474" s="641">
        <f t="shared" si="155"/>
        <v>0</v>
      </c>
      <c r="AN474" s="495"/>
      <c r="AO474" s="496"/>
      <c r="AP474" s="495">
        <v>26781</v>
      </c>
      <c r="AQ474" s="496">
        <v>28255</v>
      </c>
      <c r="AR474" s="495">
        <v>14389</v>
      </c>
      <c r="AS474" s="496">
        <v>16343</v>
      </c>
      <c r="AT474" s="495">
        <v>24079</v>
      </c>
      <c r="AU474" s="496">
        <v>24651</v>
      </c>
      <c r="AV474" s="640">
        <f t="shared" si="156"/>
        <v>65249</v>
      </c>
      <c r="AW474" s="640">
        <f t="shared" si="157"/>
        <v>2718.7083333333335</v>
      </c>
      <c r="AX474" s="641">
        <f t="shared" si="158"/>
        <v>69249</v>
      </c>
      <c r="AY474" s="641">
        <f t="shared" si="159"/>
        <v>2885.375</v>
      </c>
      <c r="AZ474" s="640">
        <f t="shared" si="160"/>
        <v>20030.441666666666</v>
      </c>
      <c r="BA474" s="641">
        <f t="shared" si="161"/>
        <v>18746.575000000001</v>
      </c>
    </row>
    <row r="475" spans="1:53" s="365" customFormat="1" ht="12.6" customHeight="1">
      <c r="A475" s="430" t="s">
        <v>521</v>
      </c>
      <c r="B475" s="431" t="s">
        <v>532</v>
      </c>
      <c r="C475" s="607"/>
      <c r="D475" s="628">
        <v>222831</v>
      </c>
      <c r="E475" s="530">
        <v>3</v>
      </c>
      <c r="F475" s="495"/>
      <c r="G475" s="551"/>
      <c r="H475" s="495">
        <v>0</v>
      </c>
      <c r="I475" s="551"/>
      <c r="J475" s="495">
        <v>84921</v>
      </c>
      <c r="K475" s="496">
        <v>81994</v>
      </c>
      <c r="L475" s="495">
        <v>18081</v>
      </c>
      <c r="M475" s="496">
        <v>19142</v>
      </c>
      <c r="N475" s="495">
        <v>90009</v>
      </c>
      <c r="O475" s="496">
        <v>86302</v>
      </c>
      <c r="P475" s="640">
        <f t="shared" si="144"/>
        <v>193011</v>
      </c>
      <c r="Q475" s="640">
        <f t="shared" si="145"/>
        <v>6433.7</v>
      </c>
      <c r="R475" s="641">
        <f t="shared" si="146"/>
        <v>187438</v>
      </c>
      <c r="S475" s="641">
        <f t="shared" si="147"/>
        <v>6247.9333333333334</v>
      </c>
      <c r="T475" s="495">
        <v>32458</v>
      </c>
      <c r="U475" s="552">
        <v>35742</v>
      </c>
      <c r="V475" s="640">
        <f t="shared" si="148"/>
        <v>193011</v>
      </c>
      <c r="W475" s="641">
        <f t="shared" si="149"/>
        <v>187438</v>
      </c>
      <c r="X475" s="495"/>
      <c r="Y475" s="496"/>
      <c r="Z475" s="495"/>
      <c r="AA475" s="496"/>
      <c r="AB475" s="495"/>
      <c r="AC475" s="496"/>
      <c r="AD475" s="495"/>
      <c r="AE475" s="496"/>
      <c r="AF475" s="640">
        <f t="shared" si="150"/>
        <v>0</v>
      </c>
      <c r="AG475" s="640">
        <f t="shared" si="151"/>
        <v>0</v>
      </c>
      <c r="AH475" s="641">
        <f t="shared" si="152"/>
        <v>0</v>
      </c>
      <c r="AI475" s="641">
        <f t="shared" si="153"/>
        <v>0</v>
      </c>
      <c r="AJ475" s="495"/>
      <c r="AK475" s="496"/>
      <c r="AL475" s="640">
        <f t="shared" si="154"/>
        <v>0</v>
      </c>
      <c r="AM475" s="641">
        <f t="shared" si="155"/>
        <v>0</v>
      </c>
      <c r="AN475" s="495"/>
      <c r="AO475" s="496"/>
      <c r="AP475" s="495">
        <v>11691</v>
      </c>
      <c r="AQ475" s="496">
        <v>12258</v>
      </c>
      <c r="AR475" s="495">
        <v>7367</v>
      </c>
      <c r="AS475" s="496">
        <v>9231</v>
      </c>
      <c r="AT475" s="495">
        <v>8418</v>
      </c>
      <c r="AU475" s="496">
        <v>8261</v>
      </c>
      <c r="AV475" s="640">
        <f t="shared" si="156"/>
        <v>27476</v>
      </c>
      <c r="AW475" s="640">
        <f t="shared" si="157"/>
        <v>1144.8333333333333</v>
      </c>
      <c r="AX475" s="641">
        <f t="shared" si="158"/>
        <v>29750</v>
      </c>
      <c r="AY475" s="641">
        <f t="shared" si="159"/>
        <v>1239.5833333333333</v>
      </c>
      <c r="AZ475" s="640">
        <f t="shared" si="160"/>
        <v>7578.5333333333328</v>
      </c>
      <c r="BA475" s="641">
        <f t="shared" si="161"/>
        <v>7487.5166666666664</v>
      </c>
    </row>
    <row r="476" spans="1:53" s="365" customFormat="1" ht="12.6" customHeight="1">
      <c r="A476" s="430" t="s">
        <v>521</v>
      </c>
      <c r="B476" s="431" t="s">
        <v>533</v>
      </c>
      <c r="C476" s="607" t="s">
        <v>895</v>
      </c>
      <c r="D476" s="628">
        <v>226091</v>
      </c>
      <c r="E476" s="530">
        <v>3</v>
      </c>
      <c r="F476" s="495"/>
      <c r="G476" s="551"/>
      <c r="H476" s="495">
        <v>0</v>
      </c>
      <c r="I476" s="551"/>
      <c r="J476" s="495">
        <v>93735</v>
      </c>
      <c r="K476" s="496">
        <v>89507</v>
      </c>
      <c r="L476" s="495">
        <v>34210</v>
      </c>
      <c r="M476" s="496">
        <v>33466</v>
      </c>
      <c r="N476" s="495">
        <v>87986</v>
      </c>
      <c r="O476" s="496">
        <v>85209</v>
      </c>
      <c r="P476" s="640">
        <f t="shared" si="144"/>
        <v>215931</v>
      </c>
      <c r="Q476" s="640">
        <f t="shared" si="145"/>
        <v>7197.7</v>
      </c>
      <c r="R476" s="641">
        <f t="shared" si="146"/>
        <v>208182</v>
      </c>
      <c r="S476" s="641">
        <f t="shared" si="147"/>
        <v>6939.4</v>
      </c>
      <c r="T476" s="495">
        <v>3691</v>
      </c>
      <c r="U476" s="552">
        <v>4056</v>
      </c>
      <c r="V476" s="640">
        <f t="shared" si="148"/>
        <v>215931</v>
      </c>
      <c r="W476" s="641">
        <f t="shared" si="149"/>
        <v>208182</v>
      </c>
      <c r="X476" s="495"/>
      <c r="Y476" s="496"/>
      <c r="Z476" s="495"/>
      <c r="AA476" s="496"/>
      <c r="AB476" s="495"/>
      <c r="AC476" s="496"/>
      <c r="AD476" s="495"/>
      <c r="AE476" s="496"/>
      <c r="AF476" s="640">
        <f t="shared" si="150"/>
        <v>0</v>
      </c>
      <c r="AG476" s="640">
        <f t="shared" si="151"/>
        <v>0</v>
      </c>
      <c r="AH476" s="641">
        <f t="shared" si="152"/>
        <v>0</v>
      </c>
      <c r="AI476" s="641">
        <f t="shared" si="153"/>
        <v>0</v>
      </c>
      <c r="AJ476" s="495"/>
      <c r="AK476" s="496"/>
      <c r="AL476" s="640">
        <f t="shared" si="154"/>
        <v>0</v>
      </c>
      <c r="AM476" s="641">
        <f t="shared" si="155"/>
        <v>0</v>
      </c>
      <c r="AN476" s="495"/>
      <c r="AO476" s="496"/>
      <c r="AP476" s="495">
        <v>50476</v>
      </c>
      <c r="AQ476" s="496">
        <v>59145</v>
      </c>
      <c r="AR476" s="495">
        <v>50209</v>
      </c>
      <c r="AS476" s="496">
        <v>54168</v>
      </c>
      <c r="AT476" s="495">
        <v>40460</v>
      </c>
      <c r="AU476" s="496">
        <v>39588</v>
      </c>
      <c r="AV476" s="640">
        <f t="shared" si="156"/>
        <v>141145</v>
      </c>
      <c r="AW476" s="640">
        <f t="shared" si="157"/>
        <v>5881.041666666667</v>
      </c>
      <c r="AX476" s="641">
        <f t="shared" si="158"/>
        <v>152901</v>
      </c>
      <c r="AY476" s="641">
        <f t="shared" si="159"/>
        <v>6370.875</v>
      </c>
      <c r="AZ476" s="640">
        <f t="shared" si="160"/>
        <v>13078.741666666667</v>
      </c>
      <c r="BA476" s="641">
        <f t="shared" si="161"/>
        <v>13310.275</v>
      </c>
    </row>
    <row r="477" spans="1:53" s="365" customFormat="1" ht="12.6" customHeight="1">
      <c r="A477" s="430" t="s">
        <v>521</v>
      </c>
      <c r="B477" s="431" t="s">
        <v>534</v>
      </c>
      <c r="C477" s="607"/>
      <c r="D477" s="628">
        <v>226833</v>
      </c>
      <c r="E477" s="530">
        <v>3</v>
      </c>
      <c r="F477" s="495"/>
      <c r="G477" s="551"/>
      <c r="H477" s="495">
        <v>0</v>
      </c>
      <c r="I477" s="551"/>
      <c r="J477" s="495">
        <v>54366</v>
      </c>
      <c r="K477" s="496">
        <v>50052</v>
      </c>
      <c r="L477" s="495">
        <v>12049</v>
      </c>
      <c r="M477" s="496">
        <v>11502</v>
      </c>
      <c r="N477" s="495">
        <v>55292</v>
      </c>
      <c r="O477" s="496">
        <v>52852</v>
      </c>
      <c r="P477" s="640">
        <f t="shared" si="144"/>
        <v>121707</v>
      </c>
      <c r="Q477" s="640">
        <f t="shared" si="145"/>
        <v>4056.9</v>
      </c>
      <c r="R477" s="641">
        <f t="shared" si="146"/>
        <v>114406</v>
      </c>
      <c r="S477" s="641">
        <f t="shared" si="147"/>
        <v>3813.5333333333333</v>
      </c>
      <c r="T477" s="495">
        <v>779</v>
      </c>
      <c r="U477" s="552">
        <v>1243</v>
      </c>
      <c r="V477" s="640">
        <f t="shared" si="148"/>
        <v>121707</v>
      </c>
      <c r="W477" s="641">
        <f t="shared" si="149"/>
        <v>114406</v>
      </c>
      <c r="X477" s="495"/>
      <c r="Y477" s="496"/>
      <c r="Z477" s="495"/>
      <c r="AA477" s="496"/>
      <c r="AB477" s="495"/>
      <c r="AC477" s="496"/>
      <c r="AD477" s="495"/>
      <c r="AE477" s="496"/>
      <c r="AF477" s="640">
        <f t="shared" si="150"/>
        <v>0</v>
      </c>
      <c r="AG477" s="640">
        <f t="shared" si="151"/>
        <v>0</v>
      </c>
      <c r="AH477" s="641">
        <f t="shared" si="152"/>
        <v>0</v>
      </c>
      <c r="AI477" s="641">
        <f t="shared" si="153"/>
        <v>0</v>
      </c>
      <c r="AJ477" s="495"/>
      <c r="AK477" s="496"/>
      <c r="AL477" s="640">
        <f t="shared" si="154"/>
        <v>0</v>
      </c>
      <c r="AM477" s="641">
        <f t="shared" si="155"/>
        <v>0</v>
      </c>
      <c r="AN477" s="495"/>
      <c r="AO477" s="496"/>
      <c r="AP477" s="495">
        <v>3476</v>
      </c>
      <c r="AQ477" s="496">
        <v>3933</v>
      </c>
      <c r="AR477" s="495">
        <v>2396</v>
      </c>
      <c r="AS477" s="496">
        <v>2477</v>
      </c>
      <c r="AT477" s="495">
        <v>3787</v>
      </c>
      <c r="AU477" s="496">
        <v>3806</v>
      </c>
      <c r="AV477" s="640">
        <f t="shared" si="156"/>
        <v>9659</v>
      </c>
      <c r="AW477" s="640">
        <f t="shared" si="157"/>
        <v>402.45833333333331</v>
      </c>
      <c r="AX477" s="641">
        <f t="shared" si="158"/>
        <v>10216</v>
      </c>
      <c r="AY477" s="641">
        <f t="shared" si="159"/>
        <v>425.66666666666669</v>
      </c>
      <c r="AZ477" s="640">
        <f t="shared" si="160"/>
        <v>4459.3583333333336</v>
      </c>
      <c r="BA477" s="641">
        <f t="shared" si="161"/>
        <v>4239.2</v>
      </c>
    </row>
    <row r="478" spans="1:53" s="365" customFormat="1" ht="12.6" customHeight="1">
      <c r="A478" s="430" t="s">
        <v>521</v>
      </c>
      <c r="B478" s="431" t="s">
        <v>535</v>
      </c>
      <c r="C478" s="607"/>
      <c r="D478" s="628">
        <v>227526</v>
      </c>
      <c r="E478" s="530">
        <v>3</v>
      </c>
      <c r="F478" s="495"/>
      <c r="G478" s="551"/>
      <c r="H478" s="495">
        <v>0</v>
      </c>
      <c r="I478" s="551"/>
      <c r="J478" s="495">
        <v>100613</v>
      </c>
      <c r="K478" s="496">
        <v>99992</v>
      </c>
      <c r="L478" s="495">
        <v>16639</v>
      </c>
      <c r="M478" s="496">
        <v>15100</v>
      </c>
      <c r="N478" s="495">
        <v>108702</v>
      </c>
      <c r="O478" s="496">
        <v>110742</v>
      </c>
      <c r="P478" s="640">
        <f t="shared" si="144"/>
        <v>225954</v>
      </c>
      <c r="Q478" s="640">
        <f t="shared" si="145"/>
        <v>7531.8</v>
      </c>
      <c r="R478" s="641">
        <f t="shared" si="146"/>
        <v>225834</v>
      </c>
      <c r="S478" s="641">
        <f t="shared" si="147"/>
        <v>7527.8</v>
      </c>
      <c r="T478" s="495">
        <v>0</v>
      </c>
      <c r="U478" s="552">
        <v>0</v>
      </c>
      <c r="V478" s="640">
        <f t="shared" si="148"/>
        <v>225954</v>
      </c>
      <c r="W478" s="641">
        <f t="shared" si="149"/>
        <v>225834</v>
      </c>
      <c r="X478" s="495"/>
      <c r="Y478" s="496"/>
      <c r="Z478" s="495"/>
      <c r="AA478" s="496"/>
      <c r="AB478" s="495"/>
      <c r="AC478" s="496"/>
      <c r="AD478" s="495"/>
      <c r="AE478" s="496"/>
      <c r="AF478" s="640">
        <f t="shared" si="150"/>
        <v>0</v>
      </c>
      <c r="AG478" s="640">
        <f t="shared" si="151"/>
        <v>0</v>
      </c>
      <c r="AH478" s="641">
        <f t="shared" si="152"/>
        <v>0</v>
      </c>
      <c r="AI478" s="641">
        <f t="shared" si="153"/>
        <v>0</v>
      </c>
      <c r="AJ478" s="495"/>
      <c r="AK478" s="496"/>
      <c r="AL478" s="640">
        <f t="shared" si="154"/>
        <v>0</v>
      </c>
      <c r="AM478" s="641">
        <f t="shared" si="155"/>
        <v>0</v>
      </c>
      <c r="AN478" s="495"/>
      <c r="AO478" s="496"/>
      <c r="AP478" s="495">
        <v>5531</v>
      </c>
      <c r="AQ478" s="496">
        <v>6075</v>
      </c>
      <c r="AR478" s="495">
        <v>1914</v>
      </c>
      <c r="AS478" s="496">
        <v>2532</v>
      </c>
      <c r="AT478" s="495">
        <v>5459</v>
      </c>
      <c r="AU478" s="496">
        <v>5712</v>
      </c>
      <c r="AV478" s="640">
        <f t="shared" si="156"/>
        <v>12904</v>
      </c>
      <c r="AW478" s="640">
        <f t="shared" si="157"/>
        <v>537.66666666666663</v>
      </c>
      <c r="AX478" s="641">
        <f t="shared" si="158"/>
        <v>14319</v>
      </c>
      <c r="AY478" s="641">
        <f t="shared" si="159"/>
        <v>596.625</v>
      </c>
      <c r="AZ478" s="640">
        <f t="shared" si="160"/>
        <v>8069.4666666666672</v>
      </c>
      <c r="BA478" s="641">
        <f t="shared" si="161"/>
        <v>8124.4250000000002</v>
      </c>
    </row>
    <row r="479" spans="1:53" s="365" customFormat="1" ht="12.6" customHeight="1">
      <c r="A479" s="430" t="s">
        <v>521</v>
      </c>
      <c r="B479" s="431" t="s">
        <v>536</v>
      </c>
      <c r="C479" s="607" t="s">
        <v>895</v>
      </c>
      <c r="D479" s="628">
        <v>227881</v>
      </c>
      <c r="E479" s="530">
        <v>3</v>
      </c>
      <c r="F479" s="495"/>
      <c r="G479" s="551"/>
      <c r="H479" s="495">
        <v>0</v>
      </c>
      <c r="I479" s="551"/>
      <c r="J479" s="495">
        <v>210085</v>
      </c>
      <c r="K479" s="496">
        <v>200858</v>
      </c>
      <c r="L479" s="495">
        <v>43027</v>
      </c>
      <c r="M479" s="496">
        <v>39632</v>
      </c>
      <c r="N479" s="495">
        <v>225806</v>
      </c>
      <c r="O479" s="496">
        <v>214854</v>
      </c>
      <c r="P479" s="640">
        <f t="shared" si="144"/>
        <v>478918</v>
      </c>
      <c r="Q479" s="640">
        <f t="shared" si="145"/>
        <v>15963.933333333332</v>
      </c>
      <c r="R479" s="641">
        <f t="shared" si="146"/>
        <v>455344</v>
      </c>
      <c r="S479" s="641">
        <f t="shared" si="147"/>
        <v>15178.133333333333</v>
      </c>
      <c r="T479" s="495">
        <v>0</v>
      </c>
      <c r="U479" s="552">
        <v>0</v>
      </c>
      <c r="V479" s="640">
        <f t="shared" si="148"/>
        <v>478918</v>
      </c>
      <c r="W479" s="641">
        <f t="shared" si="149"/>
        <v>455344</v>
      </c>
      <c r="X479" s="495"/>
      <c r="Y479" s="496"/>
      <c r="Z479" s="495"/>
      <c r="AA479" s="496"/>
      <c r="AB479" s="495"/>
      <c r="AC479" s="496"/>
      <c r="AD479" s="495"/>
      <c r="AE479" s="496"/>
      <c r="AF479" s="640">
        <f t="shared" si="150"/>
        <v>0</v>
      </c>
      <c r="AG479" s="640">
        <f t="shared" si="151"/>
        <v>0</v>
      </c>
      <c r="AH479" s="641">
        <f t="shared" si="152"/>
        <v>0</v>
      </c>
      <c r="AI479" s="641">
        <f t="shared" si="153"/>
        <v>0</v>
      </c>
      <c r="AJ479" s="495"/>
      <c r="AK479" s="496"/>
      <c r="AL479" s="640">
        <f t="shared" si="154"/>
        <v>0</v>
      </c>
      <c r="AM479" s="641">
        <f t="shared" si="155"/>
        <v>0</v>
      </c>
      <c r="AN479" s="495"/>
      <c r="AO479" s="496"/>
      <c r="AP479" s="495">
        <v>15244</v>
      </c>
      <c r="AQ479" s="496">
        <v>18049</v>
      </c>
      <c r="AR479" s="495">
        <v>10526</v>
      </c>
      <c r="AS479" s="496">
        <v>11794</v>
      </c>
      <c r="AT479" s="495">
        <v>17720</v>
      </c>
      <c r="AU479" s="496">
        <v>17770</v>
      </c>
      <c r="AV479" s="640">
        <f t="shared" si="156"/>
        <v>43490</v>
      </c>
      <c r="AW479" s="640">
        <f t="shared" si="157"/>
        <v>1812.0833333333333</v>
      </c>
      <c r="AX479" s="641">
        <f t="shared" si="158"/>
        <v>47613</v>
      </c>
      <c r="AY479" s="641">
        <f t="shared" si="159"/>
        <v>1983.875</v>
      </c>
      <c r="AZ479" s="640">
        <f t="shared" si="160"/>
        <v>17776.016666666666</v>
      </c>
      <c r="BA479" s="641">
        <f t="shared" si="161"/>
        <v>17162.008333333331</v>
      </c>
    </row>
    <row r="480" spans="1:53" s="365" customFormat="1" ht="12.6" customHeight="1">
      <c r="A480" s="430" t="s">
        <v>521</v>
      </c>
      <c r="B480" s="431" t="s">
        <v>537</v>
      </c>
      <c r="C480" s="608"/>
      <c r="D480" s="628">
        <v>228431</v>
      </c>
      <c r="E480" s="530">
        <v>3</v>
      </c>
      <c r="F480" s="495"/>
      <c r="G480" s="551"/>
      <c r="H480" s="495">
        <v>0</v>
      </c>
      <c r="I480" s="551"/>
      <c r="J480" s="495">
        <v>124979</v>
      </c>
      <c r="K480" s="496">
        <v>124604</v>
      </c>
      <c r="L480" s="495">
        <v>24648</v>
      </c>
      <c r="M480" s="496">
        <v>22212</v>
      </c>
      <c r="N480" s="495">
        <v>127857</v>
      </c>
      <c r="O480" s="496">
        <v>126377</v>
      </c>
      <c r="P480" s="640">
        <f t="shared" si="144"/>
        <v>277484</v>
      </c>
      <c r="Q480" s="640">
        <f t="shared" si="145"/>
        <v>9249.4666666666672</v>
      </c>
      <c r="R480" s="641">
        <f t="shared" si="146"/>
        <v>273193</v>
      </c>
      <c r="S480" s="641">
        <f t="shared" si="147"/>
        <v>9106.4333333333325</v>
      </c>
      <c r="T480" s="495">
        <v>10361</v>
      </c>
      <c r="U480" s="552">
        <v>9192</v>
      </c>
      <c r="V480" s="640">
        <f t="shared" si="148"/>
        <v>277484</v>
      </c>
      <c r="W480" s="641">
        <f t="shared" si="149"/>
        <v>273193</v>
      </c>
      <c r="X480" s="495"/>
      <c r="Y480" s="496"/>
      <c r="Z480" s="495"/>
      <c r="AA480" s="496"/>
      <c r="AB480" s="495"/>
      <c r="AC480" s="496"/>
      <c r="AD480" s="495"/>
      <c r="AE480" s="496"/>
      <c r="AF480" s="640">
        <f t="shared" si="150"/>
        <v>0</v>
      </c>
      <c r="AG480" s="640">
        <f t="shared" si="151"/>
        <v>0</v>
      </c>
      <c r="AH480" s="641">
        <f t="shared" si="152"/>
        <v>0</v>
      </c>
      <c r="AI480" s="641">
        <f t="shared" si="153"/>
        <v>0</v>
      </c>
      <c r="AJ480" s="495"/>
      <c r="AK480" s="496"/>
      <c r="AL480" s="640">
        <f t="shared" si="154"/>
        <v>0</v>
      </c>
      <c r="AM480" s="641">
        <f t="shared" si="155"/>
        <v>0</v>
      </c>
      <c r="AN480" s="495"/>
      <c r="AO480" s="496"/>
      <c r="AP480" s="495">
        <v>9432</v>
      </c>
      <c r="AQ480" s="496">
        <v>12551</v>
      </c>
      <c r="AR480" s="495">
        <v>6666</v>
      </c>
      <c r="AS480" s="496">
        <v>7049</v>
      </c>
      <c r="AT480" s="495">
        <v>9091</v>
      </c>
      <c r="AU480" s="496">
        <v>10709</v>
      </c>
      <c r="AV480" s="640">
        <f t="shared" si="156"/>
        <v>25189</v>
      </c>
      <c r="AW480" s="640">
        <f t="shared" si="157"/>
        <v>1049.5416666666667</v>
      </c>
      <c r="AX480" s="641">
        <f t="shared" si="158"/>
        <v>30309</v>
      </c>
      <c r="AY480" s="641">
        <f t="shared" si="159"/>
        <v>1262.875</v>
      </c>
      <c r="AZ480" s="640">
        <f t="shared" si="160"/>
        <v>10299.008333333333</v>
      </c>
      <c r="BA480" s="641">
        <f t="shared" si="161"/>
        <v>10369.308333333332</v>
      </c>
    </row>
    <row r="481" spans="1:53" s="365" customFormat="1" ht="12.6" customHeight="1">
      <c r="A481" s="430" t="s">
        <v>521</v>
      </c>
      <c r="B481" s="431" t="s">
        <v>538</v>
      </c>
      <c r="C481" s="608"/>
      <c r="D481" s="628">
        <v>228501</v>
      </c>
      <c r="E481" s="530">
        <v>3</v>
      </c>
      <c r="F481" s="495"/>
      <c r="G481" s="551"/>
      <c r="H481" s="495">
        <v>0</v>
      </c>
      <c r="I481" s="551"/>
      <c r="J481" s="495">
        <v>12644</v>
      </c>
      <c r="K481" s="496">
        <v>11415</v>
      </c>
      <c r="L481" s="495">
        <v>2439</v>
      </c>
      <c r="M481" s="496">
        <v>2486</v>
      </c>
      <c r="N481" s="495">
        <v>13095</v>
      </c>
      <c r="O481" s="496">
        <v>11769</v>
      </c>
      <c r="P481" s="640">
        <f t="shared" si="144"/>
        <v>28178</v>
      </c>
      <c r="Q481" s="640">
        <f t="shared" si="145"/>
        <v>939.26666666666665</v>
      </c>
      <c r="R481" s="641">
        <f t="shared" si="146"/>
        <v>25670</v>
      </c>
      <c r="S481" s="641">
        <f t="shared" si="147"/>
        <v>855.66666666666663</v>
      </c>
      <c r="T481" s="495">
        <v>537</v>
      </c>
      <c r="U481" s="552">
        <v>628</v>
      </c>
      <c r="V481" s="640">
        <f t="shared" si="148"/>
        <v>28178</v>
      </c>
      <c r="W481" s="641">
        <f t="shared" si="149"/>
        <v>25670</v>
      </c>
      <c r="X481" s="495"/>
      <c r="Y481" s="496"/>
      <c r="Z481" s="495"/>
      <c r="AA481" s="496"/>
      <c r="AB481" s="495"/>
      <c r="AC481" s="496"/>
      <c r="AD481" s="495"/>
      <c r="AE481" s="496"/>
      <c r="AF481" s="640">
        <f t="shared" si="150"/>
        <v>0</v>
      </c>
      <c r="AG481" s="640">
        <f t="shared" si="151"/>
        <v>0</v>
      </c>
      <c r="AH481" s="641">
        <f t="shared" si="152"/>
        <v>0</v>
      </c>
      <c r="AI481" s="641">
        <f t="shared" si="153"/>
        <v>0</v>
      </c>
      <c r="AJ481" s="495"/>
      <c r="AK481" s="496"/>
      <c r="AL481" s="640">
        <f t="shared" si="154"/>
        <v>0</v>
      </c>
      <c r="AM481" s="641">
        <f t="shared" si="155"/>
        <v>0</v>
      </c>
      <c r="AN481" s="495"/>
      <c r="AO481" s="496"/>
      <c r="AP481" s="495">
        <v>2478</v>
      </c>
      <c r="AQ481" s="496">
        <v>2269</v>
      </c>
      <c r="AR481" s="495">
        <v>1797</v>
      </c>
      <c r="AS481" s="496">
        <v>1872</v>
      </c>
      <c r="AT481" s="495">
        <v>2242</v>
      </c>
      <c r="AU481" s="496">
        <v>2230</v>
      </c>
      <c r="AV481" s="640">
        <f t="shared" si="156"/>
        <v>6517</v>
      </c>
      <c r="AW481" s="640">
        <f t="shared" si="157"/>
        <v>271.54166666666669</v>
      </c>
      <c r="AX481" s="641">
        <f t="shared" si="158"/>
        <v>6371</v>
      </c>
      <c r="AY481" s="641">
        <f t="shared" si="159"/>
        <v>265.45833333333331</v>
      </c>
      <c r="AZ481" s="640">
        <f t="shared" si="160"/>
        <v>1210.8083333333334</v>
      </c>
      <c r="BA481" s="641">
        <f t="shared" si="161"/>
        <v>1121.125</v>
      </c>
    </row>
    <row r="482" spans="1:53" s="365" customFormat="1" ht="12.6" customHeight="1">
      <c r="A482" s="430" t="s">
        <v>521</v>
      </c>
      <c r="B482" s="431" t="s">
        <v>539</v>
      </c>
      <c r="C482" s="608"/>
      <c r="D482" s="628">
        <v>228529</v>
      </c>
      <c r="E482" s="530">
        <v>3</v>
      </c>
      <c r="F482" s="495"/>
      <c r="G482" s="551"/>
      <c r="H482" s="495">
        <v>0</v>
      </c>
      <c r="I482" s="551"/>
      <c r="J482" s="495">
        <v>123752</v>
      </c>
      <c r="K482" s="496">
        <v>126922</v>
      </c>
      <c r="L482" s="495">
        <v>34154</v>
      </c>
      <c r="M482" s="496">
        <v>35040</v>
      </c>
      <c r="N482" s="495">
        <v>136860</v>
      </c>
      <c r="O482" s="496">
        <v>136127</v>
      </c>
      <c r="P482" s="640">
        <f t="shared" si="144"/>
        <v>294766</v>
      </c>
      <c r="Q482" s="640">
        <f t="shared" si="145"/>
        <v>9825.5333333333328</v>
      </c>
      <c r="R482" s="641">
        <f t="shared" si="146"/>
        <v>298089</v>
      </c>
      <c r="S482" s="641">
        <f t="shared" si="147"/>
        <v>9936.2999999999993</v>
      </c>
      <c r="T482" s="495">
        <v>0</v>
      </c>
      <c r="U482" s="552">
        <v>0</v>
      </c>
      <c r="V482" s="640">
        <f t="shared" si="148"/>
        <v>294766</v>
      </c>
      <c r="W482" s="641">
        <f t="shared" si="149"/>
        <v>298089</v>
      </c>
      <c r="X482" s="495"/>
      <c r="Y482" s="496"/>
      <c r="Z482" s="495"/>
      <c r="AA482" s="496"/>
      <c r="AB482" s="495"/>
      <c r="AC482" s="496"/>
      <c r="AD482" s="495"/>
      <c r="AE482" s="496"/>
      <c r="AF482" s="640">
        <f t="shared" si="150"/>
        <v>0</v>
      </c>
      <c r="AG482" s="640">
        <f t="shared" si="151"/>
        <v>0</v>
      </c>
      <c r="AH482" s="641">
        <f t="shared" si="152"/>
        <v>0</v>
      </c>
      <c r="AI482" s="641">
        <f t="shared" si="153"/>
        <v>0</v>
      </c>
      <c r="AJ482" s="495"/>
      <c r="AK482" s="496"/>
      <c r="AL482" s="640">
        <f t="shared" si="154"/>
        <v>0</v>
      </c>
      <c r="AM482" s="641">
        <f t="shared" si="155"/>
        <v>0</v>
      </c>
      <c r="AN482" s="495"/>
      <c r="AO482" s="496"/>
      <c r="AP482" s="495">
        <v>11778</v>
      </c>
      <c r="AQ482" s="496">
        <v>14141</v>
      </c>
      <c r="AR482" s="495">
        <v>9599</v>
      </c>
      <c r="AS482" s="496">
        <v>11081</v>
      </c>
      <c r="AT482" s="495">
        <v>12203</v>
      </c>
      <c r="AU482" s="496">
        <v>12510</v>
      </c>
      <c r="AV482" s="640">
        <f t="shared" si="156"/>
        <v>33580</v>
      </c>
      <c r="AW482" s="640">
        <f t="shared" si="157"/>
        <v>1399.1666666666667</v>
      </c>
      <c r="AX482" s="641">
        <f t="shared" si="158"/>
        <v>37732</v>
      </c>
      <c r="AY482" s="641">
        <f t="shared" si="159"/>
        <v>1572.1666666666667</v>
      </c>
      <c r="AZ482" s="640">
        <f t="shared" si="160"/>
        <v>11224.699999999999</v>
      </c>
      <c r="BA482" s="641">
        <f t="shared" si="161"/>
        <v>11508.466666666665</v>
      </c>
    </row>
    <row r="483" spans="1:53" s="365" customFormat="1" ht="12.6" customHeight="1">
      <c r="A483" s="430" t="s">
        <v>521</v>
      </c>
      <c r="B483" s="431" t="s">
        <v>540</v>
      </c>
      <c r="C483" s="608"/>
      <c r="D483" s="628">
        <v>226152</v>
      </c>
      <c r="E483" s="530">
        <v>3</v>
      </c>
      <c r="F483" s="495"/>
      <c r="G483" s="551"/>
      <c r="H483" s="495">
        <v>0</v>
      </c>
      <c r="I483" s="551"/>
      <c r="J483" s="495">
        <v>73238</v>
      </c>
      <c r="K483" s="496">
        <v>77466</v>
      </c>
      <c r="L483" s="495">
        <v>23149</v>
      </c>
      <c r="M483" s="496">
        <v>15280</v>
      </c>
      <c r="N483" s="495">
        <v>84816</v>
      </c>
      <c r="O483" s="496">
        <v>80443</v>
      </c>
      <c r="P483" s="640">
        <f t="shared" si="144"/>
        <v>181203</v>
      </c>
      <c r="Q483" s="640">
        <f t="shared" si="145"/>
        <v>6040.1</v>
      </c>
      <c r="R483" s="641">
        <f t="shared" si="146"/>
        <v>173189</v>
      </c>
      <c r="S483" s="641">
        <f t="shared" si="147"/>
        <v>5772.9666666666662</v>
      </c>
      <c r="T483" s="495">
        <v>7920</v>
      </c>
      <c r="U483" s="552">
        <v>7680</v>
      </c>
      <c r="V483" s="640">
        <f t="shared" si="148"/>
        <v>181203</v>
      </c>
      <c r="W483" s="641">
        <f t="shared" si="149"/>
        <v>173189</v>
      </c>
      <c r="X483" s="495"/>
      <c r="Y483" s="496"/>
      <c r="Z483" s="495"/>
      <c r="AA483" s="496"/>
      <c r="AB483" s="495"/>
      <c r="AC483" s="496"/>
      <c r="AD483" s="495"/>
      <c r="AE483" s="496"/>
      <c r="AF483" s="640">
        <f t="shared" si="150"/>
        <v>0</v>
      </c>
      <c r="AG483" s="640">
        <f t="shared" si="151"/>
        <v>0</v>
      </c>
      <c r="AH483" s="641">
        <f t="shared" si="152"/>
        <v>0</v>
      </c>
      <c r="AI483" s="641">
        <f t="shared" si="153"/>
        <v>0</v>
      </c>
      <c r="AJ483" s="495"/>
      <c r="AK483" s="496"/>
      <c r="AL483" s="640">
        <f t="shared" si="154"/>
        <v>0</v>
      </c>
      <c r="AM483" s="641">
        <f t="shared" si="155"/>
        <v>0</v>
      </c>
      <c r="AN483" s="495"/>
      <c r="AO483" s="496"/>
      <c r="AP483" s="495">
        <v>5654</v>
      </c>
      <c r="AQ483" s="496">
        <v>9099</v>
      </c>
      <c r="AR483" s="495">
        <v>10819</v>
      </c>
      <c r="AS483" s="496">
        <v>10158</v>
      </c>
      <c r="AT483" s="495">
        <v>5678</v>
      </c>
      <c r="AU483" s="496">
        <v>5674</v>
      </c>
      <c r="AV483" s="640">
        <f t="shared" si="156"/>
        <v>22151</v>
      </c>
      <c r="AW483" s="640">
        <f t="shared" si="157"/>
        <v>922.95833333333337</v>
      </c>
      <c r="AX483" s="641">
        <f t="shared" si="158"/>
        <v>24931</v>
      </c>
      <c r="AY483" s="641">
        <f t="shared" si="159"/>
        <v>1038.7916666666667</v>
      </c>
      <c r="AZ483" s="640">
        <f t="shared" si="160"/>
        <v>6963.0583333333334</v>
      </c>
      <c r="BA483" s="641">
        <f t="shared" si="161"/>
        <v>6811.7583333333332</v>
      </c>
    </row>
    <row r="484" spans="1:53" s="365" customFormat="1" ht="12.6" customHeight="1">
      <c r="A484" s="430" t="s">
        <v>521</v>
      </c>
      <c r="B484" s="431" t="s">
        <v>541</v>
      </c>
      <c r="C484" s="608"/>
      <c r="D484" s="628">
        <v>224554</v>
      </c>
      <c r="E484" s="530">
        <v>3</v>
      </c>
      <c r="F484" s="495"/>
      <c r="G484" s="551"/>
      <c r="H484" s="495">
        <v>0</v>
      </c>
      <c r="I484" s="551"/>
      <c r="J484" s="495">
        <v>86644</v>
      </c>
      <c r="K484" s="496">
        <v>82107</v>
      </c>
      <c r="L484" s="495">
        <v>26367</v>
      </c>
      <c r="M484" s="496">
        <v>21915</v>
      </c>
      <c r="N484" s="495">
        <v>91977</v>
      </c>
      <c r="O484" s="496">
        <v>80627</v>
      </c>
      <c r="P484" s="640">
        <f t="shared" si="144"/>
        <v>204988</v>
      </c>
      <c r="Q484" s="640">
        <f t="shared" si="145"/>
        <v>6832.9333333333334</v>
      </c>
      <c r="R484" s="641">
        <f t="shared" si="146"/>
        <v>184649</v>
      </c>
      <c r="S484" s="641">
        <f t="shared" si="147"/>
        <v>6154.9666666666662</v>
      </c>
      <c r="T484" s="495">
        <v>5468</v>
      </c>
      <c r="U484" s="552">
        <v>5463</v>
      </c>
      <c r="V484" s="640">
        <f t="shared" si="148"/>
        <v>204988</v>
      </c>
      <c r="W484" s="641">
        <f t="shared" si="149"/>
        <v>184649</v>
      </c>
      <c r="X484" s="495"/>
      <c r="Y484" s="496"/>
      <c r="Z484" s="495"/>
      <c r="AA484" s="496"/>
      <c r="AB484" s="495"/>
      <c r="AC484" s="496"/>
      <c r="AD484" s="495"/>
      <c r="AE484" s="496"/>
      <c r="AF484" s="640">
        <f t="shared" si="150"/>
        <v>0</v>
      </c>
      <c r="AG484" s="640">
        <f t="shared" si="151"/>
        <v>0</v>
      </c>
      <c r="AH484" s="641">
        <f t="shared" si="152"/>
        <v>0</v>
      </c>
      <c r="AI484" s="641">
        <f t="shared" si="153"/>
        <v>0</v>
      </c>
      <c r="AJ484" s="495"/>
      <c r="AK484" s="496"/>
      <c r="AL484" s="640">
        <f t="shared" si="154"/>
        <v>0</v>
      </c>
      <c r="AM484" s="641">
        <f t="shared" si="155"/>
        <v>0</v>
      </c>
      <c r="AN484" s="495"/>
      <c r="AO484" s="496"/>
      <c r="AP484" s="495">
        <v>5838</v>
      </c>
      <c r="AQ484" s="496">
        <v>23955</v>
      </c>
      <c r="AR484" s="495">
        <v>32927</v>
      </c>
      <c r="AS484" s="496">
        <v>17630</v>
      </c>
      <c r="AT484" s="495">
        <v>23072</v>
      </c>
      <c r="AU484" s="496">
        <v>22729</v>
      </c>
      <c r="AV484" s="640">
        <f t="shared" si="156"/>
        <v>61837</v>
      </c>
      <c r="AW484" s="640">
        <f t="shared" si="157"/>
        <v>2576.5416666666665</v>
      </c>
      <c r="AX484" s="641">
        <f t="shared" si="158"/>
        <v>64314</v>
      </c>
      <c r="AY484" s="641">
        <f t="shared" si="159"/>
        <v>2679.75</v>
      </c>
      <c r="AZ484" s="640">
        <f t="shared" si="160"/>
        <v>9409.4750000000004</v>
      </c>
      <c r="BA484" s="641">
        <f t="shared" si="161"/>
        <v>8834.7166666666672</v>
      </c>
    </row>
    <row r="485" spans="1:53" s="365" customFormat="1" ht="12.6" customHeight="1">
      <c r="A485" s="430" t="s">
        <v>521</v>
      </c>
      <c r="B485" s="431" t="s">
        <v>542</v>
      </c>
      <c r="C485" s="608"/>
      <c r="D485" s="628">
        <v>224147</v>
      </c>
      <c r="E485" s="530">
        <v>3</v>
      </c>
      <c r="F485" s="495"/>
      <c r="G485" s="551"/>
      <c r="H485" s="495">
        <v>0</v>
      </c>
      <c r="I485" s="551"/>
      <c r="J485" s="495">
        <v>99390</v>
      </c>
      <c r="K485" s="496">
        <v>89693</v>
      </c>
      <c r="L485" s="495">
        <v>27482</v>
      </c>
      <c r="M485" s="496">
        <v>25276</v>
      </c>
      <c r="N485" s="495">
        <v>97477</v>
      </c>
      <c r="O485" s="496">
        <v>92954</v>
      </c>
      <c r="P485" s="640">
        <f t="shared" si="144"/>
        <v>224349</v>
      </c>
      <c r="Q485" s="640">
        <f t="shared" si="145"/>
        <v>7478.3</v>
      </c>
      <c r="R485" s="641">
        <f t="shared" si="146"/>
        <v>207923</v>
      </c>
      <c r="S485" s="641">
        <f t="shared" si="147"/>
        <v>6930.7666666666664</v>
      </c>
      <c r="T485" s="495">
        <v>1482</v>
      </c>
      <c r="U485" s="552">
        <v>917</v>
      </c>
      <c r="V485" s="640">
        <f t="shared" si="148"/>
        <v>224349</v>
      </c>
      <c r="W485" s="641">
        <f t="shared" si="149"/>
        <v>207923</v>
      </c>
      <c r="X485" s="495"/>
      <c r="Y485" s="496"/>
      <c r="Z485" s="495"/>
      <c r="AA485" s="496"/>
      <c r="AB485" s="495"/>
      <c r="AC485" s="496"/>
      <c r="AD485" s="495"/>
      <c r="AE485" s="496"/>
      <c r="AF485" s="640">
        <f t="shared" si="150"/>
        <v>0</v>
      </c>
      <c r="AG485" s="640">
        <f t="shared" si="151"/>
        <v>0</v>
      </c>
      <c r="AH485" s="641">
        <f t="shared" si="152"/>
        <v>0</v>
      </c>
      <c r="AI485" s="641">
        <f t="shared" si="153"/>
        <v>0</v>
      </c>
      <c r="AJ485" s="495"/>
      <c r="AK485" s="496"/>
      <c r="AL485" s="640">
        <f t="shared" si="154"/>
        <v>0</v>
      </c>
      <c r="AM485" s="641">
        <f t="shared" si="155"/>
        <v>0</v>
      </c>
      <c r="AN485" s="495"/>
      <c r="AO485" s="496"/>
      <c r="AP485" s="495">
        <v>15674</v>
      </c>
      <c r="AQ485" s="496">
        <v>19579</v>
      </c>
      <c r="AR485" s="495">
        <v>14941</v>
      </c>
      <c r="AS485" s="496">
        <v>21079</v>
      </c>
      <c r="AT485" s="495">
        <v>11915</v>
      </c>
      <c r="AU485" s="496">
        <v>13482</v>
      </c>
      <c r="AV485" s="640">
        <f t="shared" si="156"/>
        <v>42530</v>
      </c>
      <c r="AW485" s="640">
        <f t="shared" si="157"/>
        <v>1772.0833333333333</v>
      </c>
      <c r="AX485" s="641">
        <f t="shared" si="158"/>
        <v>54140</v>
      </c>
      <c r="AY485" s="641">
        <f t="shared" si="159"/>
        <v>2255.8333333333335</v>
      </c>
      <c r="AZ485" s="640">
        <f t="shared" si="160"/>
        <v>9250.3833333333332</v>
      </c>
      <c r="BA485" s="641">
        <f t="shared" si="161"/>
        <v>9186.6</v>
      </c>
    </row>
    <row r="486" spans="1:53" s="365" customFormat="1" ht="12.6" customHeight="1">
      <c r="A486" s="430" t="s">
        <v>521</v>
      </c>
      <c r="B486" s="431" t="s">
        <v>543</v>
      </c>
      <c r="C486" s="608"/>
      <c r="D486" s="628">
        <v>228705</v>
      </c>
      <c r="E486" s="530">
        <v>3</v>
      </c>
      <c r="F486" s="495"/>
      <c r="G486" s="551"/>
      <c r="H486" s="495">
        <v>0</v>
      </c>
      <c r="I486" s="551"/>
      <c r="J486" s="495">
        <v>63620</v>
      </c>
      <c r="K486" s="496">
        <v>58927</v>
      </c>
      <c r="L486" s="495">
        <v>11624</v>
      </c>
      <c r="M486" s="496">
        <v>9305</v>
      </c>
      <c r="N486" s="495">
        <v>67527</v>
      </c>
      <c r="O486" s="496">
        <v>60908</v>
      </c>
      <c r="P486" s="640">
        <f t="shared" si="144"/>
        <v>142771</v>
      </c>
      <c r="Q486" s="640">
        <f t="shared" si="145"/>
        <v>4759.0333333333338</v>
      </c>
      <c r="R486" s="641">
        <f t="shared" si="146"/>
        <v>129140</v>
      </c>
      <c r="S486" s="641">
        <f t="shared" si="147"/>
        <v>4304.666666666667</v>
      </c>
      <c r="T486" s="495">
        <v>6202</v>
      </c>
      <c r="U486" s="552">
        <v>3663</v>
      </c>
      <c r="V486" s="640">
        <f t="shared" si="148"/>
        <v>142771</v>
      </c>
      <c r="W486" s="641">
        <f t="shared" si="149"/>
        <v>129140</v>
      </c>
      <c r="X486" s="495"/>
      <c r="Y486" s="496"/>
      <c r="Z486" s="495"/>
      <c r="AA486" s="496"/>
      <c r="AB486" s="495"/>
      <c r="AC486" s="496"/>
      <c r="AD486" s="495"/>
      <c r="AE486" s="496"/>
      <c r="AF486" s="640">
        <f t="shared" si="150"/>
        <v>0</v>
      </c>
      <c r="AG486" s="640">
        <f t="shared" si="151"/>
        <v>0</v>
      </c>
      <c r="AH486" s="641">
        <f t="shared" si="152"/>
        <v>0</v>
      </c>
      <c r="AI486" s="641">
        <f t="shared" si="153"/>
        <v>0</v>
      </c>
      <c r="AJ486" s="495"/>
      <c r="AK486" s="496"/>
      <c r="AL486" s="640">
        <f t="shared" si="154"/>
        <v>0</v>
      </c>
      <c r="AM486" s="641">
        <f t="shared" si="155"/>
        <v>0</v>
      </c>
      <c r="AN486" s="495"/>
      <c r="AO486" s="496"/>
      <c r="AP486" s="495">
        <v>9486</v>
      </c>
      <c r="AQ486" s="496">
        <v>10200</v>
      </c>
      <c r="AR486" s="495">
        <v>5761</v>
      </c>
      <c r="AS486" s="496">
        <v>6249</v>
      </c>
      <c r="AT486" s="495">
        <v>8870</v>
      </c>
      <c r="AU486" s="496">
        <v>9015</v>
      </c>
      <c r="AV486" s="640">
        <f t="shared" si="156"/>
        <v>24117</v>
      </c>
      <c r="AW486" s="640">
        <f t="shared" si="157"/>
        <v>1004.875</v>
      </c>
      <c r="AX486" s="641">
        <f t="shared" si="158"/>
        <v>25464</v>
      </c>
      <c r="AY486" s="641">
        <f t="shared" si="159"/>
        <v>1061</v>
      </c>
      <c r="AZ486" s="640">
        <f t="shared" si="160"/>
        <v>5763.9083333333338</v>
      </c>
      <c r="BA486" s="641">
        <f t="shared" si="161"/>
        <v>5365.666666666667</v>
      </c>
    </row>
    <row r="487" spans="1:53" s="365" customFormat="1" ht="12.6" customHeight="1">
      <c r="A487" s="430" t="s">
        <v>521</v>
      </c>
      <c r="B487" s="431" t="s">
        <v>544</v>
      </c>
      <c r="C487" s="608"/>
      <c r="D487" s="628">
        <v>229063</v>
      </c>
      <c r="E487" s="530">
        <v>3</v>
      </c>
      <c r="F487" s="495"/>
      <c r="G487" s="551"/>
      <c r="H487" s="495">
        <v>0</v>
      </c>
      <c r="I487" s="551"/>
      <c r="J487" s="495">
        <v>80828</v>
      </c>
      <c r="K487" s="496">
        <v>64778</v>
      </c>
      <c r="L487" s="495">
        <v>8548</v>
      </c>
      <c r="M487" s="496">
        <v>7872</v>
      </c>
      <c r="N487" s="495">
        <v>68291</v>
      </c>
      <c r="O487" s="496">
        <v>76173</v>
      </c>
      <c r="P487" s="640">
        <f t="shared" si="144"/>
        <v>157667</v>
      </c>
      <c r="Q487" s="640">
        <f t="shared" si="145"/>
        <v>5255.5666666666666</v>
      </c>
      <c r="R487" s="641">
        <f t="shared" si="146"/>
        <v>148823</v>
      </c>
      <c r="S487" s="641">
        <f t="shared" si="147"/>
        <v>4960.7666666666664</v>
      </c>
      <c r="T487" s="495">
        <v>0</v>
      </c>
      <c r="U487" s="552">
        <v>0</v>
      </c>
      <c r="V487" s="640">
        <f t="shared" si="148"/>
        <v>157667</v>
      </c>
      <c r="W487" s="641">
        <f t="shared" si="149"/>
        <v>148823</v>
      </c>
      <c r="X487" s="495"/>
      <c r="Y487" s="496"/>
      <c r="Z487" s="495"/>
      <c r="AA487" s="496"/>
      <c r="AB487" s="495"/>
      <c r="AC487" s="496"/>
      <c r="AD487" s="495"/>
      <c r="AE487" s="496"/>
      <c r="AF487" s="640">
        <f t="shared" si="150"/>
        <v>0</v>
      </c>
      <c r="AG487" s="640">
        <f t="shared" si="151"/>
        <v>0</v>
      </c>
      <c r="AH487" s="641">
        <f t="shared" si="152"/>
        <v>0</v>
      </c>
      <c r="AI487" s="641">
        <f t="shared" si="153"/>
        <v>0</v>
      </c>
      <c r="AJ487" s="495"/>
      <c r="AK487" s="496"/>
      <c r="AL487" s="640">
        <f t="shared" si="154"/>
        <v>0</v>
      </c>
      <c r="AM487" s="641">
        <f t="shared" si="155"/>
        <v>0</v>
      </c>
      <c r="AN487" s="495"/>
      <c r="AO487" s="496"/>
      <c r="AP487" s="495">
        <v>19551</v>
      </c>
      <c r="AQ487" s="496">
        <v>18720</v>
      </c>
      <c r="AR487" s="495">
        <v>3715</v>
      </c>
      <c r="AS487" s="496">
        <v>3822</v>
      </c>
      <c r="AT487" s="495">
        <v>18669</v>
      </c>
      <c r="AU487" s="496">
        <v>18972</v>
      </c>
      <c r="AV487" s="640">
        <f t="shared" si="156"/>
        <v>41935</v>
      </c>
      <c r="AW487" s="640">
        <f t="shared" si="157"/>
        <v>1747.2916666666667</v>
      </c>
      <c r="AX487" s="641">
        <f t="shared" si="158"/>
        <v>41514</v>
      </c>
      <c r="AY487" s="641">
        <f t="shared" si="159"/>
        <v>1729.75</v>
      </c>
      <c r="AZ487" s="640">
        <f t="shared" si="160"/>
        <v>7002.8583333333336</v>
      </c>
      <c r="BA487" s="641">
        <f t="shared" si="161"/>
        <v>6690.5166666666664</v>
      </c>
    </row>
    <row r="488" spans="1:53" s="365" customFormat="1" ht="12.6" customHeight="1">
      <c r="A488" s="430" t="s">
        <v>521</v>
      </c>
      <c r="B488" s="431" t="s">
        <v>546</v>
      </c>
      <c r="C488" s="608"/>
      <c r="D488" s="628">
        <v>225414</v>
      </c>
      <c r="E488" s="530">
        <v>3</v>
      </c>
      <c r="F488" s="495"/>
      <c r="G488" s="551"/>
      <c r="H488" s="495">
        <v>0</v>
      </c>
      <c r="I488" s="551"/>
      <c r="J488" s="495">
        <v>63458</v>
      </c>
      <c r="K488" s="496">
        <v>64915</v>
      </c>
      <c r="L488" s="495">
        <v>20677</v>
      </c>
      <c r="M488" s="496">
        <v>20620</v>
      </c>
      <c r="N488" s="495">
        <v>67145</v>
      </c>
      <c r="O488" s="496">
        <v>67094</v>
      </c>
      <c r="P488" s="640">
        <f t="shared" si="144"/>
        <v>151280</v>
      </c>
      <c r="Q488" s="640">
        <f t="shared" si="145"/>
        <v>5042.666666666667</v>
      </c>
      <c r="R488" s="641">
        <f t="shared" si="146"/>
        <v>152629</v>
      </c>
      <c r="S488" s="641">
        <f t="shared" si="147"/>
        <v>5087.6333333333332</v>
      </c>
      <c r="T488" s="495">
        <v>0</v>
      </c>
      <c r="U488" s="552">
        <v>0</v>
      </c>
      <c r="V488" s="640">
        <f t="shared" si="148"/>
        <v>151280</v>
      </c>
      <c r="W488" s="641">
        <f t="shared" si="149"/>
        <v>152629</v>
      </c>
      <c r="X488" s="495"/>
      <c r="Y488" s="496"/>
      <c r="Z488" s="495"/>
      <c r="AA488" s="496"/>
      <c r="AB488" s="495"/>
      <c r="AC488" s="496"/>
      <c r="AD488" s="495"/>
      <c r="AE488" s="496"/>
      <c r="AF488" s="640">
        <f t="shared" si="150"/>
        <v>0</v>
      </c>
      <c r="AG488" s="640">
        <f t="shared" si="151"/>
        <v>0</v>
      </c>
      <c r="AH488" s="641">
        <f t="shared" si="152"/>
        <v>0</v>
      </c>
      <c r="AI488" s="641">
        <f t="shared" si="153"/>
        <v>0</v>
      </c>
      <c r="AJ488" s="495"/>
      <c r="AK488" s="496"/>
      <c r="AL488" s="640">
        <f t="shared" si="154"/>
        <v>0</v>
      </c>
      <c r="AM488" s="641">
        <f t="shared" si="155"/>
        <v>0</v>
      </c>
      <c r="AN488" s="495"/>
      <c r="AO488" s="496"/>
      <c r="AP488" s="495">
        <v>17414</v>
      </c>
      <c r="AQ488" s="496">
        <v>16260</v>
      </c>
      <c r="AR488" s="495">
        <v>10353</v>
      </c>
      <c r="AS488" s="496">
        <v>9564</v>
      </c>
      <c r="AT488" s="495">
        <v>13359</v>
      </c>
      <c r="AU488" s="496">
        <v>14313</v>
      </c>
      <c r="AV488" s="640">
        <f t="shared" si="156"/>
        <v>41126</v>
      </c>
      <c r="AW488" s="640">
        <f t="shared" si="157"/>
        <v>1713.5833333333333</v>
      </c>
      <c r="AX488" s="641">
        <f t="shared" si="158"/>
        <v>40137</v>
      </c>
      <c r="AY488" s="641">
        <f t="shared" si="159"/>
        <v>1672.375</v>
      </c>
      <c r="AZ488" s="640">
        <f t="shared" si="160"/>
        <v>6756.25</v>
      </c>
      <c r="BA488" s="641">
        <f t="shared" si="161"/>
        <v>6760.0083333333332</v>
      </c>
    </row>
    <row r="489" spans="1:53" s="365" customFormat="1" ht="12.6" customHeight="1">
      <c r="A489" s="430" t="s">
        <v>521</v>
      </c>
      <c r="B489" s="431" t="s">
        <v>547</v>
      </c>
      <c r="C489" s="608"/>
      <c r="D489" s="628">
        <v>228802</v>
      </c>
      <c r="E489" s="530">
        <v>3</v>
      </c>
      <c r="F489" s="495"/>
      <c r="G489" s="551"/>
      <c r="H489" s="495">
        <v>0</v>
      </c>
      <c r="I489" s="551"/>
      <c r="J489" s="495">
        <v>74404</v>
      </c>
      <c r="K489" s="496">
        <v>74187</v>
      </c>
      <c r="L489" s="495">
        <v>24135</v>
      </c>
      <c r="M489" s="496">
        <v>23005</v>
      </c>
      <c r="N489" s="495">
        <v>81281</v>
      </c>
      <c r="O489" s="496">
        <v>79333</v>
      </c>
      <c r="P489" s="640">
        <f t="shared" si="144"/>
        <v>179820</v>
      </c>
      <c r="Q489" s="640">
        <f t="shared" si="145"/>
        <v>5994</v>
      </c>
      <c r="R489" s="641">
        <f t="shared" si="146"/>
        <v>176525</v>
      </c>
      <c r="S489" s="641">
        <f t="shared" si="147"/>
        <v>5884.166666666667</v>
      </c>
      <c r="T489" s="495">
        <v>2969</v>
      </c>
      <c r="U489" s="552">
        <v>3493</v>
      </c>
      <c r="V489" s="640">
        <f t="shared" si="148"/>
        <v>179820</v>
      </c>
      <c r="W489" s="641">
        <f t="shared" si="149"/>
        <v>176525</v>
      </c>
      <c r="X489" s="495"/>
      <c r="Y489" s="496"/>
      <c r="Z489" s="495"/>
      <c r="AA489" s="496"/>
      <c r="AB489" s="495"/>
      <c r="AC489" s="496"/>
      <c r="AD489" s="495"/>
      <c r="AE489" s="496"/>
      <c r="AF489" s="640">
        <f t="shared" si="150"/>
        <v>0</v>
      </c>
      <c r="AG489" s="640">
        <f t="shared" si="151"/>
        <v>0</v>
      </c>
      <c r="AH489" s="641">
        <f t="shared" si="152"/>
        <v>0</v>
      </c>
      <c r="AI489" s="641">
        <f t="shared" si="153"/>
        <v>0</v>
      </c>
      <c r="AJ489" s="495"/>
      <c r="AK489" s="496"/>
      <c r="AL489" s="640">
        <f t="shared" si="154"/>
        <v>0</v>
      </c>
      <c r="AM489" s="641">
        <f t="shared" si="155"/>
        <v>0</v>
      </c>
      <c r="AN489" s="495"/>
      <c r="AO489" s="496"/>
      <c r="AP489" s="495">
        <v>14292</v>
      </c>
      <c r="AQ489" s="496">
        <v>14627</v>
      </c>
      <c r="AR489" s="495">
        <v>10787</v>
      </c>
      <c r="AS489" s="496">
        <v>10777</v>
      </c>
      <c r="AT489" s="495">
        <v>13775</v>
      </c>
      <c r="AU489" s="496">
        <v>13051</v>
      </c>
      <c r="AV489" s="640">
        <f t="shared" si="156"/>
        <v>38854</v>
      </c>
      <c r="AW489" s="640">
        <f t="shared" si="157"/>
        <v>1618.9166666666667</v>
      </c>
      <c r="AX489" s="641">
        <f t="shared" si="158"/>
        <v>38455</v>
      </c>
      <c r="AY489" s="641">
        <f t="shared" si="159"/>
        <v>1602.2916666666667</v>
      </c>
      <c r="AZ489" s="640">
        <f t="shared" si="160"/>
        <v>7612.916666666667</v>
      </c>
      <c r="BA489" s="641">
        <f t="shared" si="161"/>
        <v>7486.4583333333339</v>
      </c>
    </row>
    <row r="490" spans="1:53" s="365" customFormat="1" ht="12.6" customHeight="1">
      <c r="A490" s="430" t="s">
        <v>521</v>
      </c>
      <c r="B490" s="449" t="s">
        <v>837</v>
      </c>
      <c r="C490" s="608"/>
      <c r="D490" s="628">
        <v>229018</v>
      </c>
      <c r="E490" s="530">
        <v>3</v>
      </c>
      <c r="F490" s="495"/>
      <c r="G490" s="551"/>
      <c r="H490" s="495">
        <v>0</v>
      </c>
      <c r="I490" s="551"/>
      <c r="J490" s="495">
        <v>41240</v>
      </c>
      <c r="K490" s="496">
        <v>43195</v>
      </c>
      <c r="L490" s="495">
        <v>18791</v>
      </c>
      <c r="M490" s="496">
        <v>19379</v>
      </c>
      <c r="N490" s="495">
        <v>42710</v>
      </c>
      <c r="O490" s="496">
        <v>38429</v>
      </c>
      <c r="P490" s="640">
        <f t="shared" si="144"/>
        <v>102741</v>
      </c>
      <c r="Q490" s="640">
        <f t="shared" si="145"/>
        <v>3424.7</v>
      </c>
      <c r="R490" s="641">
        <f t="shared" si="146"/>
        <v>101003</v>
      </c>
      <c r="S490" s="641">
        <f t="shared" si="147"/>
        <v>3366.7666666666669</v>
      </c>
      <c r="T490" s="495">
        <v>7036</v>
      </c>
      <c r="U490" s="552">
        <v>5805</v>
      </c>
      <c r="V490" s="640">
        <f t="shared" si="148"/>
        <v>102741</v>
      </c>
      <c r="W490" s="641">
        <f t="shared" si="149"/>
        <v>101003</v>
      </c>
      <c r="X490" s="495"/>
      <c r="Y490" s="496"/>
      <c r="Z490" s="495"/>
      <c r="AA490" s="496"/>
      <c r="AB490" s="495"/>
      <c r="AC490" s="496"/>
      <c r="AD490" s="495"/>
      <c r="AE490" s="496"/>
      <c r="AF490" s="640">
        <f t="shared" si="150"/>
        <v>0</v>
      </c>
      <c r="AG490" s="640">
        <f t="shared" si="151"/>
        <v>0</v>
      </c>
      <c r="AH490" s="641">
        <f t="shared" si="152"/>
        <v>0</v>
      </c>
      <c r="AI490" s="641">
        <f t="shared" si="153"/>
        <v>0</v>
      </c>
      <c r="AJ490" s="495"/>
      <c r="AK490" s="496"/>
      <c r="AL490" s="640">
        <f t="shared" si="154"/>
        <v>0</v>
      </c>
      <c r="AM490" s="641">
        <f t="shared" si="155"/>
        <v>0</v>
      </c>
      <c r="AN490" s="495"/>
      <c r="AO490" s="496"/>
      <c r="AP490" s="495">
        <v>5449</v>
      </c>
      <c r="AQ490" s="496">
        <v>6448</v>
      </c>
      <c r="AR490" s="495">
        <v>6702</v>
      </c>
      <c r="AS490" s="496">
        <v>7631</v>
      </c>
      <c r="AT490" s="495">
        <v>3830</v>
      </c>
      <c r="AU490" s="496">
        <v>3741</v>
      </c>
      <c r="AV490" s="640">
        <f t="shared" si="156"/>
        <v>15981</v>
      </c>
      <c r="AW490" s="640">
        <f t="shared" si="157"/>
        <v>665.875</v>
      </c>
      <c r="AX490" s="641">
        <f t="shared" si="158"/>
        <v>17820</v>
      </c>
      <c r="AY490" s="641">
        <f t="shared" si="159"/>
        <v>742.5</v>
      </c>
      <c r="AZ490" s="640">
        <f t="shared" si="160"/>
        <v>4090.5749999999998</v>
      </c>
      <c r="BA490" s="641">
        <f t="shared" si="161"/>
        <v>4109.2666666666664</v>
      </c>
    </row>
    <row r="491" spans="1:53" s="365" customFormat="1" ht="12.6" customHeight="1">
      <c r="A491" s="430" t="s">
        <v>521</v>
      </c>
      <c r="B491" s="448" t="s">
        <v>838</v>
      </c>
      <c r="C491" s="608"/>
      <c r="D491" s="628">
        <v>227368</v>
      </c>
      <c r="E491" s="530">
        <v>3</v>
      </c>
      <c r="F491" s="495"/>
      <c r="G491" s="551"/>
      <c r="H491" s="495">
        <v>0</v>
      </c>
      <c r="I491" s="551"/>
      <c r="J491" s="495">
        <v>287507</v>
      </c>
      <c r="K491" s="496">
        <v>291473</v>
      </c>
      <c r="L491" s="495">
        <v>99548</v>
      </c>
      <c r="M491" s="496">
        <v>81963</v>
      </c>
      <c r="N491" s="495">
        <v>335363</v>
      </c>
      <c r="O491" s="496">
        <v>315031</v>
      </c>
      <c r="P491" s="640">
        <f t="shared" si="144"/>
        <v>722418</v>
      </c>
      <c r="Q491" s="640">
        <f t="shared" si="145"/>
        <v>24080.6</v>
      </c>
      <c r="R491" s="641">
        <f t="shared" si="146"/>
        <v>688467</v>
      </c>
      <c r="S491" s="641">
        <f t="shared" si="147"/>
        <v>22948.9</v>
      </c>
      <c r="T491" s="495">
        <v>21495</v>
      </c>
      <c r="U491" s="552">
        <v>19258</v>
      </c>
      <c r="V491" s="640">
        <f t="shared" si="148"/>
        <v>722418</v>
      </c>
      <c r="W491" s="641">
        <f t="shared" si="149"/>
        <v>688467</v>
      </c>
      <c r="X491" s="495"/>
      <c r="Y491" s="496"/>
      <c r="Z491" s="495"/>
      <c r="AA491" s="496"/>
      <c r="AB491" s="495"/>
      <c r="AC491" s="496"/>
      <c r="AD491" s="495"/>
      <c r="AE491" s="496"/>
      <c r="AF491" s="640">
        <f t="shared" si="150"/>
        <v>0</v>
      </c>
      <c r="AG491" s="640">
        <f t="shared" si="151"/>
        <v>0</v>
      </c>
      <c r="AH491" s="641">
        <f t="shared" si="152"/>
        <v>0</v>
      </c>
      <c r="AI491" s="641">
        <f t="shared" si="153"/>
        <v>0</v>
      </c>
      <c r="AJ491" s="495"/>
      <c r="AK491" s="496"/>
      <c r="AL491" s="640">
        <f t="shared" si="154"/>
        <v>0</v>
      </c>
      <c r="AM491" s="641">
        <f t="shared" si="155"/>
        <v>0</v>
      </c>
      <c r="AN491" s="495"/>
      <c r="AO491" s="496"/>
      <c r="AP491" s="495">
        <v>27878</v>
      </c>
      <c r="AQ491" s="496">
        <v>41780</v>
      </c>
      <c r="AR491" s="495">
        <v>27749</v>
      </c>
      <c r="AS491" s="496">
        <v>36553</v>
      </c>
      <c r="AT491" s="495">
        <v>33866</v>
      </c>
      <c r="AU491" s="496">
        <v>32465</v>
      </c>
      <c r="AV491" s="640">
        <f t="shared" si="156"/>
        <v>89493</v>
      </c>
      <c r="AW491" s="640">
        <f t="shared" si="157"/>
        <v>3728.875</v>
      </c>
      <c r="AX491" s="641">
        <f t="shared" si="158"/>
        <v>110798</v>
      </c>
      <c r="AY491" s="641">
        <f t="shared" si="159"/>
        <v>4616.583333333333</v>
      </c>
      <c r="AZ491" s="640">
        <f t="shared" si="160"/>
        <v>27809.474999999999</v>
      </c>
      <c r="BA491" s="641">
        <f t="shared" si="161"/>
        <v>27565.483333333334</v>
      </c>
    </row>
    <row r="492" spans="1:53" s="365" customFormat="1" ht="12.6" customHeight="1">
      <c r="A492" s="430" t="s">
        <v>521</v>
      </c>
      <c r="B492" s="431" t="s">
        <v>548</v>
      </c>
      <c r="C492" s="608"/>
      <c r="D492" s="628">
        <v>229814</v>
      </c>
      <c r="E492" s="530">
        <v>3</v>
      </c>
      <c r="F492" s="495"/>
      <c r="G492" s="551"/>
      <c r="H492" s="495">
        <v>0</v>
      </c>
      <c r="I492" s="551"/>
      <c r="J492" s="495">
        <v>80960</v>
      </c>
      <c r="K492" s="496">
        <v>78587</v>
      </c>
      <c r="L492" s="495">
        <v>15613</v>
      </c>
      <c r="M492" s="496">
        <v>13481</v>
      </c>
      <c r="N492" s="495">
        <v>90517</v>
      </c>
      <c r="O492" s="496">
        <v>84987</v>
      </c>
      <c r="P492" s="640">
        <f t="shared" si="144"/>
        <v>187090</v>
      </c>
      <c r="Q492" s="640">
        <f t="shared" si="145"/>
        <v>6236.333333333333</v>
      </c>
      <c r="R492" s="641">
        <f t="shared" si="146"/>
        <v>177055</v>
      </c>
      <c r="S492" s="641">
        <f t="shared" si="147"/>
        <v>5901.833333333333</v>
      </c>
      <c r="T492" s="495">
        <v>0</v>
      </c>
      <c r="U492" s="552">
        <v>0</v>
      </c>
      <c r="V492" s="640">
        <f t="shared" si="148"/>
        <v>187090</v>
      </c>
      <c r="W492" s="641">
        <f t="shared" si="149"/>
        <v>177055</v>
      </c>
      <c r="X492" s="495"/>
      <c r="Y492" s="496"/>
      <c r="Z492" s="495"/>
      <c r="AA492" s="496"/>
      <c r="AB492" s="495"/>
      <c r="AC492" s="496"/>
      <c r="AD492" s="495"/>
      <c r="AE492" s="496"/>
      <c r="AF492" s="640">
        <f t="shared" si="150"/>
        <v>0</v>
      </c>
      <c r="AG492" s="640">
        <f t="shared" si="151"/>
        <v>0</v>
      </c>
      <c r="AH492" s="641">
        <f t="shared" si="152"/>
        <v>0</v>
      </c>
      <c r="AI492" s="641">
        <f t="shared" si="153"/>
        <v>0</v>
      </c>
      <c r="AJ492" s="495"/>
      <c r="AK492" s="496"/>
      <c r="AL492" s="640">
        <f t="shared" si="154"/>
        <v>0</v>
      </c>
      <c r="AM492" s="641">
        <f t="shared" si="155"/>
        <v>0</v>
      </c>
      <c r="AN492" s="495"/>
      <c r="AO492" s="496"/>
      <c r="AP492" s="495">
        <v>14114</v>
      </c>
      <c r="AQ492" s="496">
        <v>15200</v>
      </c>
      <c r="AR492" s="495">
        <v>8872</v>
      </c>
      <c r="AS492" s="496">
        <v>8222</v>
      </c>
      <c r="AT492" s="495">
        <v>15589</v>
      </c>
      <c r="AU492" s="496">
        <v>14529</v>
      </c>
      <c r="AV492" s="640">
        <f t="shared" si="156"/>
        <v>38575</v>
      </c>
      <c r="AW492" s="640">
        <f t="shared" si="157"/>
        <v>1607.2916666666667</v>
      </c>
      <c r="AX492" s="641">
        <f t="shared" si="158"/>
        <v>37951</v>
      </c>
      <c r="AY492" s="641">
        <f t="shared" si="159"/>
        <v>1581.2916666666667</v>
      </c>
      <c r="AZ492" s="640">
        <f t="shared" si="160"/>
        <v>7843.625</v>
      </c>
      <c r="BA492" s="641">
        <f t="shared" si="161"/>
        <v>7483.125</v>
      </c>
    </row>
    <row r="493" spans="1:53" s="365" customFormat="1" ht="12.6" customHeight="1">
      <c r="A493" s="430" t="s">
        <v>521</v>
      </c>
      <c r="B493" s="431" t="s">
        <v>549</v>
      </c>
      <c r="C493" s="607" t="s">
        <v>896</v>
      </c>
      <c r="D493" s="628">
        <v>224545</v>
      </c>
      <c r="E493" s="530">
        <v>4</v>
      </c>
      <c r="F493" s="495"/>
      <c r="G493" s="551"/>
      <c r="H493" s="495">
        <v>0</v>
      </c>
      <c r="I493" s="551"/>
      <c r="J493" s="495">
        <v>18651</v>
      </c>
      <c r="K493" s="496">
        <v>18536</v>
      </c>
      <c r="L493" s="495">
        <v>4916</v>
      </c>
      <c r="M493" s="496">
        <v>3950</v>
      </c>
      <c r="N493" s="495">
        <v>19946</v>
      </c>
      <c r="O493" s="496">
        <v>18679</v>
      </c>
      <c r="P493" s="640">
        <f t="shared" si="144"/>
        <v>43513</v>
      </c>
      <c r="Q493" s="640">
        <f t="shared" si="145"/>
        <v>1450.4333333333334</v>
      </c>
      <c r="R493" s="641">
        <f t="shared" si="146"/>
        <v>41165</v>
      </c>
      <c r="S493" s="641">
        <f t="shared" si="147"/>
        <v>1372.1666666666667</v>
      </c>
      <c r="T493" s="495">
        <v>0</v>
      </c>
      <c r="U493" s="552">
        <v>0</v>
      </c>
      <c r="V493" s="640">
        <f t="shared" si="148"/>
        <v>43513</v>
      </c>
      <c r="W493" s="641">
        <f t="shared" si="149"/>
        <v>41165</v>
      </c>
      <c r="X493" s="495"/>
      <c r="Y493" s="496"/>
      <c r="Z493" s="495"/>
      <c r="AA493" s="496"/>
      <c r="AB493" s="495"/>
      <c r="AC493" s="496"/>
      <c r="AD493" s="495"/>
      <c r="AE493" s="496"/>
      <c r="AF493" s="640">
        <f t="shared" si="150"/>
        <v>0</v>
      </c>
      <c r="AG493" s="640">
        <f t="shared" si="151"/>
        <v>0</v>
      </c>
      <c r="AH493" s="641">
        <f t="shared" si="152"/>
        <v>0</v>
      </c>
      <c r="AI493" s="641">
        <f t="shared" si="153"/>
        <v>0</v>
      </c>
      <c r="AJ493" s="495"/>
      <c r="AK493" s="496"/>
      <c r="AL493" s="640">
        <f t="shared" si="154"/>
        <v>0</v>
      </c>
      <c r="AM493" s="641">
        <f t="shared" si="155"/>
        <v>0</v>
      </c>
      <c r="AN493" s="495"/>
      <c r="AO493" s="496"/>
      <c r="AP493" s="495">
        <v>1829</v>
      </c>
      <c r="AQ493" s="496">
        <v>2128</v>
      </c>
      <c r="AR493" s="495">
        <v>1490</v>
      </c>
      <c r="AS493" s="496">
        <v>1215</v>
      </c>
      <c r="AT493" s="495">
        <v>2209</v>
      </c>
      <c r="AU493" s="496">
        <v>2047</v>
      </c>
      <c r="AV493" s="640">
        <f t="shared" si="156"/>
        <v>5528</v>
      </c>
      <c r="AW493" s="640">
        <f t="shared" si="157"/>
        <v>230.33333333333334</v>
      </c>
      <c r="AX493" s="641">
        <f t="shared" si="158"/>
        <v>5390</v>
      </c>
      <c r="AY493" s="641">
        <f t="shared" si="159"/>
        <v>224.58333333333334</v>
      </c>
      <c r="AZ493" s="640">
        <f t="shared" si="160"/>
        <v>1680.7666666666667</v>
      </c>
      <c r="BA493" s="641">
        <f t="shared" si="161"/>
        <v>1596.75</v>
      </c>
    </row>
    <row r="494" spans="1:53" s="365" customFormat="1" ht="12.6" customHeight="1">
      <c r="A494" s="430" t="s">
        <v>521</v>
      </c>
      <c r="B494" s="431" t="s">
        <v>839</v>
      </c>
      <c r="C494" s="607"/>
      <c r="D494" s="553">
        <v>483036</v>
      </c>
      <c r="E494" s="554">
        <v>3</v>
      </c>
      <c r="F494" s="495"/>
      <c r="G494" s="551"/>
      <c r="H494" s="495">
        <v>0</v>
      </c>
      <c r="I494" s="551"/>
      <c r="J494" s="495">
        <v>15868</v>
      </c>
      <c r="K494" s="496">
        <v>16180</v>
      </c>
      <c r="L494" s="495">
        <v>7476</v>
      </c>
      <c r="M494" s="496">
        <v>5819</v>
      </c>
      <c r="N494" s="495">
        <v>16096</v>
      </c>
      <c r="O494" s="496">
        <v>14959</v>
      </c>
      <c r="P494" s="640">
        <f t="shared" si="144"/>
        <v>39440</v>
      </c>
      <c r="Q494" s="640">
        <f t="shared" si="145"/>
        <v>1314.6666666666667</v>
      </c>
      <c r="R494" s="641">
        <f t="shared" si="146"/>
        <v>36958</v>
      </c>
      <c r="S494" s="641">
        <f t="shared" si="147"/>
        <v>1231.9333333333334</v>
      </c>
      <c r="T494" s="495">
        <v>0</v>
      </c>
      <c r="U494" s="552">
        <v>0</v>
      </c>
      <c r="V494" s="640">
        <f t="shared" si="148"/>
        <v>39440</v>
      </c>
      <c r="W494" s="641">
        <f t="shared" si="149"/>
        <v>36958</v>
      </c>
      <c r="X494" s="495"/>
      <c r="Y494" s="496"/>
      <c r="Z494" s="495"/>
      <c r="AA494" s="496"/>
      <c r="AB494" s="495"/>
      <c r="AC494" s="496"/>
      <c r="AD494" s="495"/>
      <c r="AE494" s="496"/>
      <c r="AF494" s="640">
        <f t="shared" si="150"/>
        <v>0</v>
      </c>
      <c r="AG494" s="640">
        <f t="shared" si="151"/>
        <v>0</v>
      </c>
      <c r="AH494" s="641">
        <f t="shared" si="152"/>
        <v>0</v>
      </c>
      <c r="AI494" s="641">
        <f t="shared" si="153"/>
        <v>0</v>
      </c>
      <c r="AJ494" s="495"/>
      <c r="AK494" s="496"/>
      <c r="AL494" s="640">
        <f t="shared" si="154"/>
        <v>0</v>
      </c>
      <c r="AM494" s="641">
        <f t="shared" si="155"/>
        <v>0</v>
      </c>
      <c r="AN494" s="495"/>
      <c r="AO494" s="496"/>
      <c r="AP494" s="495">
        <v>2739</v>
      </c>
      <c r="AQ494" s="496">
        <v>3201</v>
      </c>
      <c r="AR494" s="495">
        <v>2039</v>
      </c>
      <c r="AS494" s="496">
        <v>1777</v>
      </c>
      <c r="AT494" s="495">
        <v>3113</v>
      </c>
      <c r="AU494" s="496">
        <v>2983</v>
      </c>
      <c r="AV494" s="640">
        <f t="shared" si="156"/>
        <v>7891</v>
      </c>
      <c r="AW494" s="640">
        <f t="shared" si="157"/>
        <v>328.79166666666669</v>
      </c>
      <c r="AX494" s="641">
        <f t="shared" si="158"/>
        <v>7961</v>
      </c>
      <c r="AY494" s="641">
        <f t="shared" si="159"/>
        <v>331.70833333333331</v>
      </c>
      <c r="AZ494" s="640">
        <f t="shared" si="160"/>
        <v>1643.4583333333335</v>
      </c>
      <c r="BA494" s="641">
        <f t="shared" si="161"/>
        <v>1563.6416666666667</v>
      </c>
    </row>
    <row r="495" spans="1:53" s="365" customFormat="1" ht="15.75" customHeight="1">
      <c r="A495" s="430" t="s">
        <v>521</v>
      </c>
      <c r="B495" s="431" t="s">
        <v>553</v>
      </c>
      <c r="C495" s="607" t="s">
        <v>896</v>
      </c>
      <c r="D495" s="628">
        <v>225432</v>
      </c>
      <c r="E495" s="530">
        <v>4</v>
      </c>
      <c r="F495" s="495"/>
      <c r="G495" s="551"/>
      <c r="H495" s="495">
        <v>0</v>
      </c>
      <c r="I495" s="551"/>
      <c r="J495" s="495">
        <v>117046</v>
      </c>
      <c r="K495" s="496">
        <v>125369</v>
      </c>
      <c r="L495" s="495">
        <v>43063</v>
      </c>
      <c r="M495" s="496">
        <v>42585</v>
      </c>
      <c r="N495" s="495">
        <v>133433</v>
      </c>
      <c r="O495" s="496">
        <v>127479</v>
      </c>
      <c r="P495" s="640">
        <f t="shared" si="144"/>
        <v>293542</v>
      </c>
      <c r="Q495" s="640">
        <f t="shared" si="145"/>
        <v>9784.7333333333336</v>
      </c>
      <c r="R495" s="641">
        <f t="shared" si="146"/>
        <v>295433</v>
      </c>
      <c r="S495" s="641">
        <f t="shared" si="147"/>
        <v>9847.7666666666664</v>
      </c>
      <c r="T495" s="495">
        <v>0</v>
      </c>
      <c r="U495" s="552">
        <v>0</v>
      </c>
      <c r="V495" s="640">
        <f t="shared" si="148"/>
        <v>293542</v>
      </c>
      <c r="W495" s="641">
        <f t="shared" si="149"/>
        <v>295433</v>
      </c>
      <c r="X495" s="495"/>
      <c r="Y495" s="496"/>
      <c r="Z495" s="495"/>
      <c r="AA495" s="496"/>
      <c r="AB495" s="495"/>
      <c r="AC495" s="496"/>
      <c r="AD495" s="495"/>
      <c r="AE495" s="496"/>
      <c r="AF495" s="640">
        <f t="shared" si="150"/>
        <v>0</v>
      </c>
      <c r="AG495" s="640">
        <f t="shared" si="151"/>
        <v>0</v>
      </c>
      <c r="AH495" s="641">
        <f t="shared" si="152"/>
        <v>0</v>
      </c>
      <c r="AI495" s="641">
        <f t="shared" si="153"/>
        <v>0</v>
      </c>
      <c r="AJ495" s="495"/>
      <c r="AK495" s="496"/>
      <c r="AL495" s="640">
        <f t="shared" si="154"/>
        <v>0</v>
      </c>
      <c r="AM495" s="641">
        <f t="shared" si="155"/>
        <v>0</v>
      </c>
      <c r="AN495" s="495"/>
      <c r="AO495" s="496"/>
      <c r="AP495" s="495">
        <v>10531</v>
      </c>
      <c r="AQ495" s="496">
        <v>10719</v>
      </c>
      <c r="AR495" s="495">
        <v>9875</v>
      </c>
      <c r="AS495" s="496">
        <v>9874</v>
      </c>
      <c r="AT495" s="495">
        <v>6930</v>
      </c>
      <c r="AU495" s="496">
        <v>6357</v>
      </c>
      <c r="AV495" s="640">
        <f t="shared" si="156"/>
        <v>27336</v>
      </c>
      <c r="AW495" s="640">
        <f t="shared" si="157"/>
        <v>1139</v>
      </c>
      <c r="AX495" s="641">
        <f t="shared" si="158"/>
        <v>26950</v>
      </c>
      <c r="AY495" s="641">
        <f t="shared" si="159"/>
        <v>1122.9166666666667</v>
      </c>
      <c r="AZ495" s="640">
        <f t="shared" si="160"/>
        <v>10923.733333333334</v>
      </c>
      <c r="BA495" s="641">
        <f t="shared" si="161"/>
        <v>10970.683333333332</v>
      </c>
    </row>
    <row r="496" spans="1:53" s="365" customFormat="1" ht="15.75" customHeight="1">
      <c r="A496" s="430" t="s">
        <v>521</v>
      </c>
      <c r="B496" s="431" t="s">
        <v>550</v>
      </c>
      <c r="C496" s="607" t="s">
        <v>896</v>
      </c>
      <c r="D496" s="628">
        <v>225502</v>
      </c>
      <c r="E496" s="530">
        <v>4</v>
      </c>
      <c r="F496" s="495"/>
      <c r="G496" s="551"/>
      <c r="H496" s="495">
        <v>0</v>
      </c>
      <c r="I496" s="551"/>
      <c r="J496" s="495">
        <v>29993</v>
      </c>
      <c r="K496" s="496">
        <v>32876</v>
      </c>
      <c r="L496" s="495">
        <v>10030</v>
      </c>
      <c r="M496" s="496">
        <v>9576</v>
      </c>
      <c r="N496" s="495">
        <v>35153</v>
      </c>
      <c r="O496" s="496">
        <v>28654</v>
      </c>
      <c r="P496" s="640">
        <f t="shared" si="144"/>
        <v>75176</v>
      </c>
      <c r="Q496" s="640">
        <f t="shared" si="145"/>
        <v>2505.8666666666668</v>
      </c>
      <c r="R496" s="641">
        <f t="shared" si="146"/>
        <v>71106</v>
      </c>
      <c r="S496" s="641">
        <f t="shared" si="147"/>
        <v>2370.1999999999998</v>
      </c>
      <c r="T496" s="495">
        <v>0</v>
      </c>
      <c r="U496" s="552">
        <v>0</v>
      </c>
      <c r="V496" s="640">
        <f t="shared" si="148"/>
        <v>75176</v>
      </c>
      <c r="W496" s="641">
        <f t="shared" si="149"/>
        <v>71106</v>
      </c>
      <c r="X496" s="495"/>
      <c r="Y496" s="496"/>
      <c r="Z496" s="495"/>
      <c r="AA496" s="496"/>
      <c r="AB496" s="495"/>
      <c r="AC496" s="496"/>
      <c r="AD496" s="495"/>
      <c r="AE496" s="496"/>
      <c r="AF496" s="640">
        <f t="shared" si="150"/>
        <v>0</v>
      </c>
      <c r="AG496" s="640">
        <f t="shared" si="151"/>
        <v>0</v>
      </c>
      <c r="AH496" s="641">
        <f t="shared" si="152"/>
        <v>0</v>
      </c>
      <c r="AI496" s="641">
        <f t="shared" si="153"/>
        <v>0</v>
      </c>
      <c r="AJ496" s="495"/>
      <c r="AK496" s="496"/>
      <c r="AL496" s="640">
        <f t="shared" si="154"/>
        <v>0</v>
      </c>
      <c r="AM496" s="641">
        <f t="shared" si="155"/>
        <v>0</v>
      </c>
      <c r="AN496" s="495"/>
      <c r="AO496" s="496"/>
      <c r="AP496" s="495">
        <v>8243</v>
      </c>
      <c r="AQ496" s="496">
        <v>8894</v>
      </c>
      <c r="AR496" s="495">
        <v>6216</v>
      </c>
      <c r="AS496" s="496">
        <v>5421</v>
      </c>
      <c r="AT496" s="495">
        <v>10109</v>
      </c>
      <c r="AU496" s="496">
        <v>6965</v>
      </c>
      <c r="AV496" s="640">
        <f t="shared" si="156"/>
        <v>24568</v>
      </c>
      <c r="AW496" s="640">
        <f t="shared" si="157"/>
        <v>1023.6666666666666</v>
      </c>
      <c r="AX496" s="641">
        <f t="shared" si="158"/>
        <v>21280</v>
      </c>
      <c r="AY496" s="641">
        <f t="shared" si="159"/>
        <v>886.66666666666663</v>
      </c>
      <c r="AZ496" s="640">
        <f t="shared" si="160"/>
        <v>3529.5333333333333</v>
      </c>
      <c r="BA496" s="641">
        <f t="shared" si="161"/>
        <v>3256.8666666666663</v>
      </c>
    </row>
    <row r="497" spans="1:53" s="365" customFormat="1" ht="15.75" customHeight="1">
      <c r="A497" s="430" t="s">
        <v>521</v>
      </c>
      <c r="B497" s="431" t="s">
        <v>551</v>
      </c>
      <c r="C497" s="607" t="s">
        <v>897</v>
      </c>
      <c r="D497" s="628" t="s">
        <v>552</v>
      </c>
      <c r="E497" s="530">
        <v>5</v>
      </c>
      <c r="F497" s="495"/>
      <c r="G497" s="551"/>
      <c r="H497" s="495">
        <v>0</v>
      </c>
      <c r="I497" s="551"/>
      <c r="J497" s="495">
        <v>5351</v>
      </c>
      <c r="K497" s="496">
        <v>5459</v>
      </c>
      <c r="L497" s="495">
        <v>2877</v>
      </c>
      <c r="M497" s="496">
        <v>2703</v>
      </c>
      <c r="N497" s="495">
        <v>6086</v>
      </c>
      <c r="O497" s="496">
        <v>5271</v>
      </c>
      <c r="P497" s="640">
        <f t="shared" si="144"/>
        <v>14314</v>
      </c>
      <c r="Q497" s="640">
        <f t="shared" si="145"/>
        <v>477.13333333333333</v>
      </c>
      <c r="R497" s="641">
        <f t="shared" si="146"/>
        <v>13433</v>
      </c>
      <c r="S497" s="641">
        <f t="shared" si="147"/>
        <v>447.76666666666665</v>
      </c>
      <c r="T497" s="495">
        <v>0</v>
      </c>
      <c r="U497" s="552">
        <v>0</v>
      </c>
      <c r="V497" s="640">
        <f t="shared" si="148"/>
        <v>14314</v>
      </c>
      <c r="W497" s="641">
        <f t="shared" si="149"/>
        <v>13433</v>
      </c>
      <c r="X497" s="495"/>
      <c r="Y497" s="496"/>
      <c r="Z497" s="495"/>
      <c r="AA497" s="496"/>
      <c r="AB497" s="495"/>
      <c r="AC497" s="496"/>
      <c r="AD497" s="495"/>
      <c r="AE497" s="496"/>
      <c r="AF497" s="640">
        <f t="shared" si="150"/>
        <v>0</v>
      </c>
      <c r="AG497" s="640">
        <f t="shared" si="151"/>
        <v>0</v>
      </c>
      <c r="AH497" s="641">
        <f t="shared" si="152"/>
        <v>0</v>
      </c>
      <c r="AI497" s="641">
        <f t="shared" si="153"/>
        <v>0</v>
      </c>
      <c r="AJ497" s="495"/>
      <c r="AK497" s="496"/>
      <c r="AL497" s="640">
        <f t="shared" si="154"/>
        <v>0</v>
      </c>
      <c r="AM497" s="641">
        <f t="shared" si="155"/>
        <v>0</v>
      </c>
      <c r="AN497" s="495"/>
      <c r="AO497" s="496"/>
      <c r="AP497" s="495">
        <v>459</v>
      </c>
      <c r="AQ497" s="496">
        <v>624</v>
      </c>
      <c r="AR497" s="495">
        <v>420</v>
      </c>
      <c r="AS497" s="496">
        <v>465</v>
      </c>
      <c r="AT497" s="495">
        <v>633</v>
      </c>
      <c r="AU497" s="496">
        <v>507</v>
      </c>
      <c r="AV497" s="640">
        <f t="shared" si="156"/>
        <v>1512</v>
      </c>
      <c r="AW497" s="640">
        <f t="shared" si="157"/>
        <v>63</v>
      </c>
      <c r="AX497" s="641">
        <f t="shared" si="158"/>
        <v>1596</v>
      </c>
      <c r="AY497" s="641">
        <f t="shared" si="159"/>
        <v>66.5</v>
      </c>
      <c r="AZ497" s="640">
        <f t="shared" si="160"/>
        <v>540.13333333333333</v>
      </c>
      <c r="BA497" s="641">
        <f t="shared" si="161"/>
        <v>514.26666666666665</v>
      </c>
    </row>
    <row r="498" spans="1:53" s="365" customFormat="1" ht="15.75" customHeight="1">
      <c r="A498" s="430" t="s">
        <v>521</v>
      </c>
      <c r="B498" s="431" t="s">
        <v>554</v>
      </c>
      <c r="C498" s="607" t="s">
        <v>897</v>
      </c>
      <c r="D498" s="628">
        <v>228714</v>
      </c>
      <c r="E498" s="530">
        <v>5</v>
      </c>
      <c r="F498" s="495"/>
      <c r="G498" s="551"/>
      <c r="H498" s="495">
        <v>0</v>
      </c>
      <c r="I498" s="551"/>
      <c r="J498" s="495">
        <v>22463</v>
      </c>
      <c r="K498" s="496">
        <v>20341</v>
      </c>
      <c r="L498" s="495">
        <v>4074</v>
      </c>
      <c r="M498" s="496">
        <v>3297</v>
      </c>
      <c r="N498" s="495">
        <v>24046</v>
      </c>
      <c r="O498" s="496">
        <v>25966</v>
      </c>
      <c r="P498" s="640">
        <f t="shared" si="144"/>
        <v>50583</v>
      </c>
      <c r="Q498" s="640">
        <f t="shared" si="145"/>
        <v>1686.1</v>
      </c>
      <c r="R498" s="641">
        <f t="shared" si="146"/>
        <v>49604</v>
      </c>
      <c r="S498" s="641">
        <f t="shared" si="147"/>
        <v>1653.4666666666667</v>
      </c>
      <c r="T498" s="495">
        <v>0</v>
      </c>
      <c r="U498" s="552">
        <v>0</v>
      </c>
      <c r="V498" s="640">
        <f t="shared" si="148"/>
        <v>50583</v>
      </c>
      <c r="W498" s="641">
        <f t="shared" si="149"/>
        <v>49604</v>
      </c>
      <c r="X498" s="495"/>
      <c r="Y498" s="496"/>
      <c r="Z498" s="495"/>
      <c r="AA498" s="496"/>
      <c r="AB498" s="495"/>
      <c r="AC498" s="496"/>
      <c r="AD498" s="495"/>
      <c r="AE498" s="496"/>
      <c r="AF498" s="640">
        <f t="shared" si="150"/>
        <v>0</v>
      </c>
      <c r="AG498" s="640">
        <f t="shared" si="151"/>
        <v>0</v>
      </c>
      <c r="AH498" s="641">
        <f t="shared" si="152"/>
        <v>0</v>
      </c>
      <c r="AI498" s="641">
        <f t="shared" si="153"/>
        <v>0</v>
      </c>
      <c r="AJ498" s="495"/>
      <c r="AK498" s="496"/>
      <c r="AL498" s="640">
        <f t="shared" si="154"/>
        <v>0</v>
      </c>
      <c r="AM498" s="641">
        <f t="shared" si="155"/>
        <v>0</v>
      </c>
      <c r="AN498" s="495"/>
      <c r="AO498" s="496"/>
      <c r="AP498" s="495">
        <v>1123</v>
      </c>
      <c r="AQ498" s="496">
        <v>1283</v>
      </c>
      <c r="AR498" s="495">
        <v>510</v>
      </c>
      <c r="AS498" s="496">
        <v>606</v>
      </c>
      <c r="AT498" s="495">
        <v>1316</v>
      </c>
      <c r="AU498" s="496">
        <v>1441</v>
      </c>
      <c r="AV498" s="640">
        <f t="shared" si="156"/>
        <v>2949</v>
      </c>
      <c r="AW498" s="640">
        <f t="shared" si="157"/>
        <v>122.875</v>
      </c>
      <c r="AX498" s="641">
        <f t="shared" si="158"/>
        <v>3330</v>
      </c>
      <c r="AY498" s="641">
        <f t="shared" si="159"/>
        <v>138.75</v>
      </c>
      <c r="AZ498" s="640">
        <f t="shared" si="160"/>
        <v>1808.9749999999999</v>
      </c>
      <c r="BA498" s="641">
        <f t="shared" si="161"/>
        <v>1792.2166666666667</v>
      </c>
    </row>
    <row r="499" spans="1:53" s="365" customFormat="1" ht="15.75" customHeight="1">
      <c r="A499" s="430" t="s">
        <v>521</v>
      </c>
      <c r="B499" s="431" t="s">
        <v>828</v>
      </c>
      <c r="C499" s="607" t="s">
        <v>897</v>
      </c>
      <c r="D499" s="553">
        <v>870501</v>
      </c>
      <c r="E499" s="554">
        <v>4</v>
      </c>
      <c r="F499" s="495"/>
      <c r="G499" s="551"/>
      <c r="H499" s="495">
        <v>0</v>
      </c>
      <c r="I499" s="551"/>
      <c r="J499" s="495">
        <v>56503</v>
      </c>
      <c r="K499" s="496">
        <v>54692</v>
      </c>
      <c r="L499" s="495">
        <v>17076</v>
      </c>
      <c r="M499" s="496">
        <v>14981</v>
      </c>
      <c r="N499" s="495">
        <v>61404</v>
      </c>
      <c r="O499" s="496">
        <v>63429</v>
      </c>
      <c r="P499" s="640">
        <f t="shared" si="144"/>
        <v>134983</v>
      </c>
      <c r="Q499" s="640">
        <f t="shared" si="145"/>
        <v>4499.4333333333334</v>
      </c>
      <c r="R499" s="641">
        <f t="shared" si="146"/>
        <v>133102</v>
      </c>
      <c r="S499" s="641">
        <f t="shared" si="147"/>
        <v>4436.7333333333336</v>
      </c>
      <c r="T499" s="495">
        <v>784</v>
      </c>
      <c r="U499" s="552">
        <v>1203</v>
      </c>
      <c r="V499" s="640">
        <f t="shared" si="148"/>
        <v>134983</v>
      </c>
      <c r="W499" s="641">
        <f t="shared" si="149"/>
        <v>133102</v>
      </c>
      <c r="X499" s="495"/>
      <c r="Y499" s="496"/>
      <c r="Z499" s="495"/>
      <c r="AA499" s="496"/>
      <c r="AB499" s="495"/>
      <c r="AC499" s="496"/>
      <c r="AD499" s="495"/>
      <c r="AE499" s="496"/>
      <c r="AF499" s="640">
        <f t="shared" si="150"/>
        <v>0</v>
      </c>
      <c r="AG499" s="640">
        <f t="shared" si="151"/>
        <v>0</v>
      </c>
      <c r="AH499" s="641">
        <f t="shared" si="152"/>
        <v>0</v>
      </c>
      <c r="AI499" s="641">
        <f t="shared" si="153"/>
        <v>0</v>
      </c>
      <c r="AJ499" s="495"/>
      <c r="AK499" s="496"/>
      <c r="AL499" s="640">
        <f t="shared" si="154"/>
        <v>0</v>
      </c>
      <c r="AM499" s="641">
        <f t="shared" si="155"/>
        <v>0</v>
      </c>
      <c r="AN499" s="495"/>
      <c r="AO499" s="496"/>
      <c r="AP499" s="495">
        <v>4161</v>
      </c>
      <c r="AQ499" s="496">
        <v>3413</v>
      </c>
      <c r="AR499" s="495">
        <v>2748</v>
      </c>
      <c r="AS499" s="496">
        <v>2242</v>
      </c>
      <c r="AT499" s="495">
        <v>3804</v>
      </c>
      <c r="AU499" s="496">
        <v>2671</v>
      </c>
      <c r="AV499" s="640">
        <f t="shared" si="156"/>
        <v>10713</v>
      </c>
      <c r="AW499" s="640">
        <f t="shared" si="157"/>
        <v>446.375</v>
      </c>
      <c r="AX499" s="641">
        <f t="shared" si="158"/>
        <v>8326</v>
      </c>
      <c r="AY499" s="641">
        <f t="shared" si="159"/>
        <v>346.91666666666669</v>
      </c>
      <c r="AZ499" s="640">
        <f t="shared" si="160"/>
        <v>4945.8083333333334</v>
      </c>
      <c r="BA499" s="641">
        <f t="shared" si="161"/>
        <v>4783.6500000000005</v>
      </c>
    </row>
    <row r="500" spans="1:53" s="365" customFormat="1" ht="15.75" customHeight="1">
      <c r="A500" s="430" t="s">
        <v>521</v>
      </c>
      <c r="B500" s="450" t="s">
        <v>555</v>
      </c>
      <c r="C500" s="609"/>
      <c r="D500" s="628">
        <v>223506</v>
      </c>
      <c r="E500" s="530">
        <v>7</v>
      </c>
      <c r="F500" s="495"/>
      <c r="G500" s="551"/>
      <c r="H500" s="495">
        <v>27932</v>
      </c>
      <c r="I500" s="555">
        <v>25803</v>
      </c>
      <c r="J500" s="495">
        <v>9121</v>
      </c>
      <c r="K500" s="556">
        <v>10117</v>
      </c>
      <c r="L500" s="495">
        <v>2926</v>
      </c>
      <c r="M500" s="556">
        <v>2307</v>
      </c>
      <c r="N500" s="495">
        <v>26840</v>
      </c>
      <c r="O500" s="552">
        <v>28223</v>
      </c>
      <c r="P500" s="640">
        <f t="shared" si="144"/>
        <v>66819</v>
      </c>
      <c r="Q500" s="640">
        <f t="shared" si="145"/>
        <v>2227.3000000000002</v>
      </c>
      <c r="R500" s="641">
        <f t="shared" si="146"/>
        <v>66450</v>
      </c>
      <c r="S500" s="641">
        <f t="shared" si="147"/>
        <v>2215</v>
      </c>
      <c r="T500" s="495">
        <v>10576</v>
      </c>
      <c r="U500" s="552">
        <v>10070</v>
      </c>
      <c r="V500" s="640">
        <f t="shared" si="148"/>
        <v>66819</v>
      </c>
      <c r="W500" s="641">
        <f t="shared" si="149"/>
        <v>66450</v>
      </c>
      <c r="X500" s="495">
        <v>4811</v>
      </c>
      <c r="Y500" s="556">
        <v>4711</v>
      </c>
      <c r="Z500" s="495">
        <v>2728</v>
      </c>
      <c r="AA500" s="556">
        <v>5080</v>
      </c>
      <c r="AB500" s="495">
        <v>2184</v>
      </c>
      <c r="AC500" s="556">
        <v>5930</v>
      </c>
      <c r="AD500" s="495">
        <v>3546</v>
      </c>
      <c r="AE500" s="552">
        <v>4005</v>
      </c>
      <c r="AF500" s="640">
        <f t="shared" si="150"/>
        <v>13269</v>
      </c>
      <c r="AG500" s="640">
        <f t="shared" si="151"/>
        <v>14.743333333333334</v>
      </c>
      <c r="AH500" s="641">
        <f t="shared" si="152"/>
        <v>19726</v>
      </c>
      <c r="AI500" s="641">
        <f t="shared" si="153"/>
        <v>21.917777777777779</v>
      </c>
      <c r="AJ500" s="495"/>
      <c r="AK500" s="496"/>
      <c r="AL500" s="640">
        <f t="shared" si="154"/>
        <v>0</v>
      </c>
      <c r="AM500" s="641">
        <f t="shared" si="155"/>
        <v>0</v>
      </c>
      <c r="AN500" s="495"/>
      <c r="AO500" s="496"/>
      <c r="AP500" s="495"/>
      <c r="AQ500" s="496"/>
      <c r="AR500" s="495"/>
      <c r="AS500" s="496"/>
      <c r="AT500" s="495"/>
      <c r="AU500" s="496"/>
      <c r="AV500" s="640">
        <f t="shared" si="156"/>
        <v>0</v>
      </c>
      <c r="AW500" s="640">
        <f t="shared" si="157"/>
        <v>0</v>
      </c>
      <c r="AX500" s="641">
        <f t="shared" si="158"/>
        <v>0</v>
      </c>
      <c r="AY500" s="641">
        <f t="shared" si="159"/>
        <v>0</v>
      </c>
      <c r="AZ500" s="640">
        <f t="shared" si="160"/>
        <v>2242.0433333333335</v>
      </c>
      <c r="BA500" s="641">
        <f t="shared" si="161"/>
        <v>2236.9177777777777</v>
      </c>
    </row>
    <row r="501" spans="1:53" s="365" customFormat="1" ht="15.75" customHeight="1">
      <c r="A501" s="430" t="s">
        <v>521</v>
      </c>
      <c r="B501" s="450" t="s">
        <v>556</v>
      </c>
      <c r="C501" s="609"/>
      <c r="D501" s="628">
        <v>226806</v>
      </c>
      <c r="E501" s="530">
        <v>7</v>
      </c>
      <c r="F501" s="495"/>
      <c r="G501" s="551"/>
      <c r="H501" s="495">
        <v>37771</v>
      </c>
      <c r="I501" s="555">
        <v>37591</v>
      </c>
      <c r="J501" s="495">
        <v>13772</v>
      </c>
      <c r="K501" s="556">
        <v>9513</v>
      </c>
      <c r="L501" s="495">
        <v>0</v>
      </c>
      <c r="M501" s="556">
        <v>0</v>
      </c>
      <c r="N501" s="495">
        <v>36179</v>
      </c>
      <c r="O501" s="552">
        <v>39139</v>
      </c>
      <c r="P501" s="640">
        <f t="shared" si="144"/>
        <v>87722</v>
      </c>
      <c r="Q501" s="640">
        <f t="shared" si="145"/>
        <v>2924.0666666666666</v>
      </c>
      <c r="R501" s="641">
        <f t="shared" si="146"/>
        <v>86243</v>
      </c>
      <c r="S501" s="641">
        <f t="shared" si="147"/>
        <v>2874.7666666666669</v>
      </c>
      <c r="T501" s="495">
        <v>19854</v>
      </c>
      <c r="U501" s="552">
        <v>22071</v>
      </c>
      <c r="V501" s="640">
        <f t="shared" si="148"/>
        <v>87722</v>
      </c>
      <c r="W501" s="641">
        <f t="shared" si="149"/>
        <v>86243</v>
      </c>
      <c r="X501" s="495">
        <v>27908</v>
      </c>
      <c r="Y501" s="556">
        <v>17254</v>
      </c>
      <c r="Z501" s="495">
        <v>16060</v>
      </c>
      <c r="AA501" s="556">
        <v>13926</v>
      </c>
      <c r="AB501" s="495">
        <v>13895</v>
      </c>
      <c r="AC501" s="556">
        <v>33155</v>
      </c>
      <c r="AD501" s="495">
        <v>38088</v>
      </c>
      <c r="AE501" s="552">
        <v>31079</v>
      </c>
      <c r="AF501" s="640">
        <f t="shared" si="150"/>
        <v>95951</v>
      </c>
      <c r="AG501" s="640">
        <f t="shared" si="151"/>
        <v>106.61222222222223</v>
      </c>
      <c r="AH501" s="641">
        <f t="shared" si="152"/>
        <v>95414</v>
      </c>
      <c r="AI501" s="641">
        <f t="shared" si="153"/>
        <v>106.01555555555555</v>
      </c>
      <c r="AJ501" s="495"/>
      <c r="AK501" s="496"/>
      <c r="AL501" s="640">
        <f t="shared" si="154"/>
        <v>0</v>
      </c>
      <c r="AM501" s="641">
        <f t="shared" si="155"/>
        <v>0</v>
      </c>
      <c r="AN501" s="495"/>
      <c r="AO501" s="496"/>
      <c r="AP501" s="495"/>
      <c r="AQ501" s="496"/>
      <c r="AR501" s="495"/>
      <c r="AS501" s="496"/>
      <c r="AT501" s="495"/>
      <c r="AU501" s="496"/>
      <c r="AV501" s="640">
        <f t="shared" si="156"/>
        <v>0</v>
      </c>
      <c r="AW501" s="640">
        <f t="shared" si="157"/>
        <v>0</v>
      </c>
      <c r="AX501" s="641">
        <f t="shared" si="158"/>
        <v>0</v>
      </c>
      <c r="AY501" s="641">
        <f t="shared" si="159"/>
        <v>0</v>
      </c>
      <c r="AZ501" s="640">
        <f t="shared" si="160"/>
        <v>3030.6788888888887</v>
      </c>
      <c r="BA501" s="641">
        <f t="shared" si="161"/>
        <v>2980.7822222222226</v>
      </c>
    </row>
    <row r="502" spans="1:53" s="365" customFormat="1" ht="15.75" customHeight="1">
      <c r="A502" s="430" t="s">
        <v>521</v>
      </c>
      <c r="B502" s="450" t="s">
        <v>557</v>
      </c>
      <c r="C502" s="609"/>
      <c r="D502" s="628">
        <v>409315</v>
      </c>
      <c r="E502" s="530">
        <v>7</v>
      </c>
      <c r="F502" s="495"/>
      <c r="G502" s="551"/>
      <c r="H502" s="495">
        <v>270144</v>
      </c>
      <c r="I502" s="555">
        <v>216567</v>
      </c>
      <c r="J502" s="495">
        <v>70042</v>
      </c>
      <c r="K502" s="556">
        <v>66317</v>
      </c>
      <c r="L502" s="495">
        <v>0</v>
      </c>
      <c r="M502" s="556">
        <v>0</v>
      </c>
      <c r="N502" s="495">
        <v>251086</v>
      </c>
      <c r="O502" s="552">
        <v>241381</v>
      </c>
      <c r="P502" s="640">
        <f t="shared" si="144"/>
        <v>591272</v>
      </c>
      <c r="Q502" s="640">
        <f t="shared" si="145"/>
        <v>19709.066666666666</v>
      </c>
      <c r="R502" s="641">
        <f t="shared" si="146"/>
        <v>524265</v>
      </c>
      <c r="S502" s="641">
        <f t="shared" si="147"/>
        <v>17475.5</v>
      </c>
      <c r="T502" s="495">
        <v>210479</v>
      </c>
      <c r="U502" s="552">
        <v>169220</v>
      </c>
      <c r="V502" s="640">
        <f t="shared" si="148"/>
        <v>591272</v>
      </c>
      <c r="W502" s="641">
        <f t="shared" si="149"/>
        <v>524265</v>
      </c>
      <c r="X502" s="495">
        <v>52314</v>
      </c>
      <c r="Y502" s="556">
        <v>62359</v>
      </c>
      <c r="Z502" s="495">
        <v>41310</v>
      </c>
      <c r="AA502" s="556">
        <v>39373</v>
      </c>
      <c r="AB502" s="495">
        <v>27105</v>
      </c>
      <c r="AC502" s="556">
        <v>31651</v>
      </c>
      <c r="AD502" s="495">
        <v>43786</v>
      </c>
      <c r="AE502" s="552">
        <v>54094</v>
      </c>
      <c r="AF502" s="640">
        <f t="shared" si="150"/>
        <v>164515</v>
      </c>
      <c r="AG502" s="640">
        <f t="shared" si="151"/>
        <v>182.79444444444445</v>
      </c>
      <c r="AH502" s="641">
        <f t="shared" si="152"/>
        <v>187477</v>
      </c>
      <c r="AI502" s="641">
        <f t="shared" si="153"/>
        <v>208.30777777777777</v>
      </c>
      <c r="AJ502" s="495"/>
      <c r="AK502" s="496"/>
      <c r="AL502" s="640">
        <f t="shared" si="154"/>
        <v>0</v>
      </c>
      <c r="AM502" s="641">
        <f t="shared" si="155"/>
        <v>0</v>
      </c>
      <c r="AN502" s="495"/>
      <c r="AO502" s="496"/>
      <c r="AP502" s="495"/>
      <c r="AQ502" s="496"/>
      <c r="AR502" s="495"/>
      <c r="AS502" s="496"/>
      <c r="AT502" s="495"/>
      <c r="AU502" s="496"/>
      <c r="AV502" s="640">
        <f t="shared" si="156"/>
        <v>0</v>
      </c>
      <c r="AW502" s="640">
        <f t="shared" si="157"/>
        <v>0</v>
      </c>
      <c r="AX502" s="641">
        <f t="shared" si="158"/>
        <v>0</v>
      </c>
      <c r="AY502" s="641">
        <f t="shared" si="159"/>
        <v>0</v>
      </c>
      <c r="AZ502" s="640">
        <f t="shared" si="160"/>
        <v>19891.861111111109</v>
      </c>
      <c r="BA502" s="641">
        <f t="shared" si="161"/>
        <v>17683.807777777776</v>
      </c>
    </row>
    <row r="503" spans="1:53" s="365" customFormat="1" ht="15.75" customHeight="1">
      <c r="A503" s="430" t="s">
        <v>521</v>
      </c>
      <c r="B503" s="431" t="s">
        <v>558</v>
      </c>
      <c r="C503" s="608"/>
      <c r="D503" s="628">
        <v>222576</v>
      </c>
      <c r="E503" s="530">
        <v>8</v>
      </c>
      <c r="F503" s="495"/>
      <c r="G503" s="551"/>
      <c r="H503" s="495">
        <v>72096</v>
      </c>
      <c r="I503" s="555">
        <v>67235</v>
      </c>
      <c r="J503" s="495">
        <v>17951</v>
      </c>
      <c r="K503" s="556">
        <v>17757</v>
      </c>
      <c r="L503" s="495">
        <v>0</v>
      </c>
      <c r="M503" s="556">
        <v>0</v>
      </c>
      <c r="N503" s="495">
        <v>76821</v>
      </c>
      <c r="O503" s="552">
        <v>75791</v>
      </c>
      <c r="P503" s="640">
        <f t="shared" si="144"/>
        <v>166868</v>
      </c>
      <c r="Q503" s="640">
        <f t="shared" si="145"/>
        <v>5562.2666666666664</v>
      </c>
      <c r="R503" s="641">
        <f t="shared" si="146"/>
        <v>160783</v>
      </c>
      <c r="S503" s="641">
        <f t="shared" si="147"/>
        <v>5359.4333333333334</v>
      </c>
      <c r="T503" s="495">
        <v>23416</v>
      </c>
      <c r="U503" s="552">
        <v>23499</v>
      </c>
      <c r="V503" s="640">
        <f t="shared" si="148"/>
        <v>166868</v>
      </c>
      <c r="W503" s="641">
        <f t="shared" si="149"/>
        <v>160783</v>
      </c>
      <c r="X503" s="495">
        <v>81838</v>
      </c>
      <c r="Y503" s="556">
        <v>34180</v>
      </c>
      <c r="Z503" s="495">
        <v>27967</v>
      </c>
      <c r="AA503" s="556">
        <v>57939</v>
      </c>
      <c r="AB503" s="495">
        <v>35190</v>
      </c>
      <c r="AC503" s="556">
        <v>64711</v>
      </c>
      <c r="AD503" s="495">
        <v>45276</v>
      </c>
      <c r="AE503" s="552">
        <v>72627</v>
      </c>
      <c r="AF503" s="640">
        <f t="shared" si="150"/>
        <v>190271</v>
      </c>
      <c r="AG503" s="640">
        <f t="shared" si="151"/>
        <v>211.41222222222223</v>
      </c>
      <c r="AH503" s="641">
        <f t="shared" si="152"/>
        <v>229457</v>
      </c>
      <c r="AI503" s="641">
        <f t="shared" si="153"/>
        <v>254.95222222222222</v>
      </c>
      <c r="AJ503" s="495"/>
      <c r="AK503" s="496"/>
      <c r="AL503" s="640">
        <f t="shared" si="154"/>
        <v>0</v>
      </c>
      <c r="AM503" s="641">
        <f t="shared" si="155"/>
        <v>0</v>
      </c>
      <c r="AN503" s="495"/>
      <c r="AO503" s="496"/>
      <c r="AP503" s="495"/>
      <c r="AQ503" s="496"/>
      <c r="AR503" s="495"/>
      <c r="AS503" s="496"/>
      <c r="AT503" s="495"/>
      <c r="AU503" s="496"/>
      <c r="AV503" s="640">
        <f t="shared" si="156"/>
        <v>0</v>
      </c>
      <c r="AW503" s="640">
        <f t="shared" si="157"/>
        <v>0</v>
      </c>
      <c r="AX503" s="641">
        <f t="shared" si="158"/>
        <v>0</v>
      </c>
      <c r="AY503" s="641">
        <f t="shared" si="159"/>
        <v>0</v>
      </c>
      <c r="AZ503" s="640">
        <f t="shared" si="160"/>
        <v>5773.6788888888887</v>
      </c>
      <c r="BA503" s="641">
        <f t="shared" si="161"/>
        <v>5614.3855555555556</v>
      </c>
    </row>
    <row r="504" spans="1:53" s="365" customFormat="1" ht="15.75" customHeight="1">
      <c r="A504" s="430" t="s">
        <v>521</v>
      </c>
      <c r="B504" s="431" t="s">
        <v>559</v>
      </c>
      <c r="C504" s="608"/>
      <c r="D504" s="628">
        <v>222992</v>
      </c>
      <c r="E504" s="530">
        <v>8</v>
      </c>
      <c r="F504" s="495"/>
      <c r="G504" s="551"/>
      <c r="H504" s="495">
        <v>290435</v>
      </c>
      <c r="I504" s="555">
        <v>284819</v>
      </c>
      <c r="J504" s="495">
        <v>172353</v>
      </c>
      <c r="K504" s="556">
        <v>162073</v>
      </c>
      <c r="L504" s="495">
        <v>0</v>
      </c>
      <c r="M504" s="556">
        <v>0</v>
      </c>
      <c r="N504" s="495">
        <v>260152</v>
      </c>
      <c r="O504" s="552">
        <v>227508</v>
      </c>
      <c r="P504" s="640">
        <f t="shared" si="144"/>
        <v>722940</v>
      </c>
      <c r="Q504" s="640">
        <f t="shared" si="145"/>
        <v>24098</v>
      </c>
      <c r="R504" s="641">
        <f t="shared" si="146"/>
        <v>674400</v>
      </c>
      <c r="S504" s="641">
        <f t="shared" si="147"/>
        <v>22480</v>
      </c>
      <c r="T504" s="495">
        <v>111260</v>
      </c>
      <c r="U504" s="552">
        <v>102333</v>
      </c>
      <c r="V504" s="640">
        <f t="shared" si="148"/>
        <v>722940</v>
      </c>
      <c r="W504" s="641">
        <f t="shared" si="149"/>
        <v>674400</v>
      </c>
      <c r="X504" s="495">
        <v>152220</v>
      </c>
      <c r="Y504" s="556">
        <v>118287</v>
      </c>
      <c r="Z504" s="495">
        <v>64190</v>
      </c>
      <c r="AA504" s="556">
        <v>94416</v>
      </c>
      <c r="AB504" s="495">
        <v>176016</v>
      </c>
      <c r="AC504" s="556">
        <v>262518</v>
      </c>
      <c r="AD504" s="495">
        <v>112469</v>
      </c>
      <c r="AE504" s="552">
        <v>161750</v>
      </c>
      <c r="AF504" s="640">
        <f t="shared" si="150"/>
        <v>504895</v>
      </c>
      <c r="AG504" s="640">
        <f t="shared" si="151"/>
        <v>560.99444444444441</v>
      </c>
      <c r="AH504" s="641">
        <f t="shared" si="152"/>
        <v>636971</v>
      </c>
      <c r="AI504" s="641">
        <f t="shared" si="153"/>
        <v>707.7455555555556</v>
      </c>
      <c r="AJ504" s="495"/>
      <c r="AK504" s="496"/>
      <c r="AL504" s="640">
        <f t="shared" si="154"/>
        <v>0</v>
      </c>
      <c r="AM504" s="641">
        <f t="shared" si="155"/>
        <v>0</v>
      </c>
      <c r="AN504" s="495"/>
      <c r="AO504" s="496"/>
      <c r="AP504" s="495"/>
      <c r="AQ504" s="496"/>
      <c r="AR504" s="495"/>
      <c r="AS504" s="496"/>
      <c r="AT504" s="495"/>
      <c r="AU504" s="496"/>
      <c r="AV504" s="640">
        <f t="shared" si="156"/>
        <v>0</v>
      </c>
      <c r="AW504" s="640">
        <f t="shared" si="157"/>
        <v>0</v>
      </c>
      <c r="AX504" s="641">
        <f t="shared" si="158"/>
        <v>0</v>
      </c>
      <c r="AY504" s="641">
        <f t="shared" si="159"/>
        <v>0</v>
      </c>
      <c r="AZ504" s="640">
        <f t="shared" si="160"/>
        <v>24658.994444444445</v>
      </c>
      <c r="BA504" s="641">
        <f t="shared" si="161"/>
        <v>23187.745555555557</v>
      </c>
    </row>
    <row r="505" spans="1:53" s="365" customFormat="1" ht="15.75" customHeight="1">
      <c r="A505" s="430" t="s">
        <v>521</v>
      </c>
      <c r="B505" s="431" t="s">
        <v>840</v>
      </c>
      <c r="C505" s="608"/>
      <c r="D505" s="628">
        <v>223427</v>
      </c>
      <c r="E505" s="530">
        <v>8</v>
      </c>
      <c r="F505" s="495"/>
      <c r="G505" s="551"/>
      <c r="H505" s="495">
        <v>175038</v>
      </c>
      <c r="I505" s="555">
        <v>153683</v>
      </c>
      <c r="J505" s="495">
        <v>38626</v>
      </c>
      <c r="K505" s="556">
        <v>26195</v>
      </c>
      <c r="L505" s="495">
        <v>17806</v>
      </c>
      <c r="M505" s="556">
        <v>14512</v>
      </c>
      <c r="N505" s="495">
        <v>176943</v>
      </c>
      <c r="O505" s="552">
        <v>167473</v>
      </c>
      <c r="P505" s="640">
        <f t="shared" si="144"/>
        <v>408413</v>
      </c>
      <c r="Q505" s="640">
        <f t="shared" si="145"/>
        <v>13613.766666666666</v>
      </c>
      <c r="R505" s="641">
        <f t="shared" si="146"/>
        <v>361863</v>
      </c>
      <c r="S505" s="641">
        <f t="shared" si="147"/>
        <v>12062.1</v>
      </c>
      <c r="T505" s="495">
        <v>19375</v>
      </c>
      <c r="U505" s="552">
        <v>17468</v>
      </c>
      <c r="V505" s="640">
        <f t="shared" si="148"/>
        <v>408413</v>
      </c>
      <c r="W505" s="641">
        <f t="shared" si="149"/>
        <v>361863</v>
      </c>
      <c r="X505" s="495">
        <v>21290</v>
      </c>
      <c r="Y505" s="556">
        <v>17440</v>
      </c>
      <c r="Z505" s="495">
        <v>482</v>
      </c>
      <c r="AA505" s="556">
        <v>8676</v>
      </c>
      <c r="AB505" s="495">
        <v>8990</v>
      </c>
      <c r="AC505" s="556">
        <v>26222</v>
      </c>
      <c r="AD505" s="495">
        <v>22255</v>
      </c>
      <c r="AE505" s="552">
        <v>16177</v>
      </c>
      <c r="AF505" s="640">
        <f t="shared" si="150"/>
        <v>53017</v>
      </c>
      <c r="AG505" s="640">
        <f t="shared" si="151"/>
        <v>58.907777777777781</v>
      </c>
      <c r="AH505" s="641">
        <f t="shared" si="152"/>
        <v>68515</v>
      </c>
      <c r="AI505" s="641">
        <f t="shared" si="153"/>
        <v>76.12777777777778</v>
      </c>
      <c r="AJ505" s="495"/>
      <c r="AK505" s="496"/>
      <c r="AL505" s="640">
        <f t="shared" si="154"/>
        <v>0</v>
      </c>
      <c r="AM505" s="641">
        <f t="shared" si="155"/>
        <v>0</v>
      </c>
      <c r="AN505" s="495"/>
      <c r="AO505" s="496"/>
      <c r="AP505" s="495"/>
      <c r="AQ505" s="496"/>
      <c r="AR505" s="495"/>
      <c r="AS505" s="496"/>
      <c r="AT505" s="495"/>
      <c r="AU505" s="496"/>
      <c r="AV505" s="640">
        <f t="shared" si="156"/>
        <v>0</v>
      </c>
      <c r="AW505" s="640">
        <f t="shared" si="157"/>
        <v>0</v>
      </c>
      <c r="AX505" s="641">
        <f t="shared" si="158"/>
        <v>0</v>
      </c>
      <c r="AY505" s="641">
        <f t="shared" si="159"/>
        <v>0</v>
      </c>
      <c r="AZ505" s="640">
        <f t="shared" si="160"/>
        <v>13672.674444444445</v>
      </c>
      <c r="BA505" s="641">
        <f t="shared" si="161"/>
        <v>12138.227777777778</v>
      </c>
    </row>
    <row r="506" spans="1:53" s="365" customFormat="1" ht="15.75" customHeight="1">
      <c r="A506" s="430" t="s">
        <v>521</v>
      </c>
      <c r="B506" s="451" t="s">
        <v>812</v>
      </c>
      <c r="C506" s="608"/>
      <c r="D506" s="628">
        <v>223524</v>
      </c>
      <c r="E506" s="530">
        <v>8</v>
      </c>
      <c r="F506" s="495"/>
      <c r="G506" s="551"/>
      <c r="H506" s="495">
        <v>79755</v>
      </c>
      <c r="I506" s="551"/>
      <c r="J506" s="495">
        <v>56213</v>
      </c>
      <c r="K506" s="496"/>
      <c r="L506" s="495">
        <v>0</v>
      </c>
      <c r="M506" s="496"/>
      <c r="N506" s="495">
        <v>0</v>
      </c>
      <c r="O506" s="496"/>
      <c r="P506" s="640">
        <f t="shared" si="144"/>
        <v>135968</v>
      </c>
      <c r="Q506" s="640">
        <f t="shared" si="145"/>
        <v>4532.2666666666664</v>
      </c>
      <c r="R506" s="641">
        <f t="shared" si="146"/>
        <v>0</v>
      </c>
      <c r="S506" s="641">
        <f t="shared" si="147"/>
        <v>0</v>
      </c>
      <c r="T506" s="495">
        <v>13270</v>
      </c>
      <c r="U506" s="496"/>
      <c r="V506" s="640">
        <f t="shared" si="148"/>
        <v>135968</v>
      </c>
      <c r="W506" s="641">
        <f t="shared" si="149"/>
        <v>0</v>
      </c>
      <c r="X506" s="495">
        <v>32686</v>
      </c>
      <c r="Y506" s="496"/>
      <c r="Z506" s="495">
        <v>14456</v>
      </c>
      <c r="AA506" s="556"/>
      <c r="AB506" s="495">
        <v>14917</v>
      </c>
      <c r="AC506" s="496"/>
      <c r="AD506" s="495">
        <v>0</v>
      </c>
      <c r="AE506" s="496"/>
      <c r="AF506" s="640">
        <f t="shared" si="150"/>
        <v>62059</v>
      </c>
      <c r="AG506" s="640">
        <f t="shared" si="151"/>
        <v>68.954444444444448</v>
      </c>
      <c r="AH506" s="641">
        <f t="shared" si="152"/>
        <v>0</v>
      </c>
      <c r="AI506" s="641">
        <f t="shared" si="153"/>
        <v>0</v>
      </c>
      <c r="AJ506" s="495"/>
      <c r="AK506" s="496"/>
      <c r="AL506" s="640">
        <f t="shared" si="154"/>
        <v>0</v>
      </c>
      <c r="AM506" s="641">
        <f t="shared" si="155"/>
        <v>0</v>
      </c>
      <c r="AN506" s="495"/>
      <c r="AO506" s="496"/>
      <c r="AP506" s="495"/>
      <c r="AQ506" s="496"/>
      <c r="AR506" s="495"/>
      <c r="AS506" s="496"/>
      <c r="AT506" s="495"/>
      <c r="AU506" s="496"/>
      <c r="AV506" s="640">
        <f t="shared" si="156"/>
        <v>0</v>
      </c>
      <c r="AW506" s="640">
        <f t="shared" si="157"/>
        <v>0</v>
      </c>
      <c r="AX506" s="641">
        <f t="shared" si="158"/>
        <v>0</v>
      </c>
      <c r="AY506" s="641">
        <f t="shared" si="159"/>
        <v>0</v>
      </c>
      <c r="AZ506" s="640">
        <f t="shared" si="160"/>
        <v>4601.221111111111</v>
      </c>
      <c r="BA506" s="641">
        <f t="shared" si="161"/>
        <v>0</v>
      </c>
    </row>
    <row r="507" spans="1:53" s="365" customFormat="1" ht="15.75" customHeight="1">
      <c r="A507" s="430" t="s">
        <v>521</v>
      </c>
      <c r="B507" s="450" t="s">
        <v>560</v>
      </c>
      <c r="C507" s="608"/>
      <c r="D507" s="628">
        <v>223816</v>
      </c>
      <c r="E507" s="530">
        <v>8</v>
      </c>
      <c r="F507" s="495"/>
      <c r="G507" s="551"/>
      <c r="H507" s="495">
        <v>89855</v>
      </c>
      <c r="I507" s="555">
        <v>74599</v>
      </c>
      <c r="J507" s="495">
        <v>46775</v>
      </c>
      <c r="K507" s="556">
        <v>39089</v>
      </c>
      <c r="L507" s="495">
        <v>6068</v>
      </c>
      <c r="M507" s="556">
        <v>3773</v>
      </c>
      <c r="N507" s="495">
        <v>58911</v>
      </c>
      <c r="O507" s="552">
        <v>51295</v>
      </c>
      <c r="P507" s="640">
        <f t="shared" si="144"/>
        <v>201609</v>
      </c>
      <c r="Q507" s="640">
        <f t="shared" si="145"/>
        <v>6720.3</v>
      </c>
      <c r="R507" s="641">
        <f t="shared" si="146"/>
        <v>168756</v>
      </c>
      <c r="S507" s="641">
        <f t="shared" si="147"/>
        <v>5625.2</v>
      </c>
      <c r="T507" s="495">
        <v>34252</v>
      </c>
      <c r="U507" s="552">
        <v>29156</v>
      </c>
      <c r="V507" s="640">
        <f t="shared" si="148"/>
        <v>201609</v>
      </c>
      <c r="W507" s="641">
        <f t="shared" si="149"/>
        <v>168756</v>
      </c>
      <c r="X507" s="495">
        <v>70597</v>
      </c>
      <c r="Y507" s="556">
        <v>63153</v>
      </c>
      <c r="Z507" s="495">
        <v>52114</v>
      </c>
      <c r="AA507" s="556">
        <v>71413</v>
      </c>
      <c r="AB507" s="495">
        <v>69655</v>
      </c>
      <c r="AC507" s="556">
        <v>59547</v>
      </c>
      <c r="AD507" s="495">
        <v>75201</v>
      </c>
      <c r="AE507" s="552">
        <v>62987</v>
      </c>
      <c r="AF507" s="640">
        <f t="shared" si="150"/>
        <v>267567</v>
      </c>
      <c r="AG507" s="640">
        <f t="shared" si="151"/>
        <v>297.29666666666668</v>
      </c>
      <c r="AH507" s="641">
        <f t="shared" si="152"/>
        <v>257100</v>
      </c>
      <c r="AI507" s="641">
        <f t="shared" si="153"/>
        <v>285.66666666666669</v>
      </c>
      <c r="AJ507" s="495"/>
      <c r="AK507" s="496"/>
      <c r="AL507" s="640">
        <f t="shared" si="154"/>
        <v>0</v>
      </c>
      <c r="AM507" s="641">
        <f t="shared" si="155"/>
        <v>0</v>
      </c>
      <c r="AN507" s="495"/>
      <c r="AO507" s="496"/>
      <c r="AP507" s="495"/>
      <c r="AQ507" s="496"/>
      <c r="AR507" s="495"/>
      <c r="AS507" s="496"/>
      <c r="AT507" s="495"/>
      <c r="AU507" s="496"/>
      <c r="AV507" s="640">
        <f t="shared" si="156"/>
        <v>0</v>
      </c>
      <c r="AW507" s="640">
        <f t="shared" si="157"/>
        <v>0</v>
      </c>
      <c r="AX507" s="641">
        <f t="shared" si="158"/>
        <v>0</v>
      </c>
      <c r="AY507" s="641">
        <f t="shared" si="159"/>
        <v>0</v>
      </c>
      <c r="AZ507" s="640">
        <f t="shared" si="160"/>
        <v>7017.5966666666673</v>
      </c>
      <c r="BA507" s="641">
        <f t="shared" si="161"/>
        <v>5910.8666666666668</v>
      </c>
    </row>
    <row r="508" spans="1:53" s="365" customFormat="1" ht="15.75" customHeight="1">
      <c r="A508" s="430" t="s">
        <v>521</v>
      </c>
      <c r="B508" s="450" t="s">
        <v>561</v>
      </c>
      <c r="C508" s="608"/>
      <c r="D508" s="628">
        <v>247834</v>
      </c>
      <c r="E508" s="530">
        <v>8</v>
      </c>
      <c r="F508" s="495"/>
      <c r="G508" s="551"/>
      <c r="H508" s="495">
        <v>267116</v>
      </c>
      <c r="I508" s="555">
        <v>269204</v>
      </c>
      <c r="J508" s="495">
        <v>77238</v>
      </c>
      <c r="K508" s="556">
        <v>82211</v>
      </c>
      <c r="L508" s="495">
        <v>0</v>
      </c>
      <c r="M508" s="556">
        <v>0</v>
      </c>
      <c r="N508" s="495">
        <v>296253</v>
      </c>
      <c r="O508" s="552">
        <v>276033</v>
      </c>
      <c r="P508" s="640">
        <f t="shared" si="144"/>
        <v>640607</v>
      </c>
      <c r="Q508" s="640">
        <f t="shared" si="145"/>
        <v>21353.566666666666</v>
      </c>
      <c r="R508" s="641">
        <f t="shared" si="146"/>
        <v>627448</v>
      </c>
      <c r="S508" s="641">
        <f t="shared" si="147"/>
        <v>20914.933333333334</v>
      </c>
      <c r="T508" s="495">
        <v>99603</v>
      </c>
      <c r="U508" s="552">
        <v>97950</v>
      </c>
      <c r="V508" s="640">
        <f t="shared" si="148"/>
        <v>640607</v>
      </c>
      <c r="W508" s="641">
        <f t="shared" si="149"/>
        <v>627448</v>
      </c>
      <c r="X508" s="495">
        <v>144151</v>
      </c>
      <c r="Y508" s="556">
        <v>77377</v>
      </c>
      <c r="Z508" s="495">
        <v>66374</v>
      </c>
      <c r="AA508" s="556">
        <v>89609</v>
      </c>
      <c r="AB508" s="495">
        <v>88991</v>
      </c>
      <c r="AC508" s="556">
        <v>92172</v>
      </c>
      <c r="AD508" s="495">
        <v>135009</v>
      </c>
      <c r="AE508" s="552">
        <v>157505</v>
      </c>
      <c r="AF508" s="640">
        <f t="shared" si="150"/>
        <v>434525</v>
      </c>
      <c r="AG508" s="640">
        <f t="shared" si="151"/>
        <v>482.80555555555554</v>
      </c>
      <c r="AH508" s="641">
        <f t="shared" si="152"/>
        <v>416663</v>
      </c>
      <c r="AI508" s="641">
        <f t="shared" si="153"/>
        <v>462.95888888888891</v>
      </c>
      <c r="AJ508" s="495"/>
      <c r="AK508" s="496"/>
      <c r="AL508" s="640">
        <f t="shared" si="154"/>
        <v>0</v>
      </c>
      <c r="AM508" s="641">
        <f t="shared" si="155"/>
        <v>0</v>
      </c>
      <c r="AN508" s="495"/>
      <c r="AO508" s="496"/>
      <c r="AP508" s="495"/>
      <c r="AQ508" s="496"/>
      <c r="AR508" s="495"/>
      <c r="AS508" s="496"/>
      <c r="AT508" s="495"/>
      <c r="AU508" s="496"/>
      <c r="AV508" s="640">
        <f t="shared" si="156"/>
        <v>0</v>
      </c>
      <c r="AW508" s="640">
        <f t="shared" si="157"/>
        <v>0</v>
      </c>
      <c r="AX508" s="641">
        <f t="shared" si="158"/>
        <v>0</v>
      </c>
      <c r="AY508" s="641">
        <f t="shared" si="159"/>
        <v>0</v>
      </c>
      <c r="AZ508" s="640">
        <f t="shared" si="160"/>
        <v>21836.37222222222</v>
      </c>
      <c r="BA508" s="641">
        <f t="shared" si="161"/>
        <v>21377.892222222225</v>
      </c>
    </row>
    <row r="509" spans="1:53" s="365" customFormat="1" ht="15.75" customHeight="1">
      <c r="A509" s="430" t="s">
        <v>521</v>
      </c>
      <c r="B509" s="450" t="s">
        <v>562</v>
      </c>
      <c r="C509" s="608"/>
      <c r="D509" s="628">
        <v>224350</v>
      </c>
      <c r="E509" s="530">
        <v>8</v>
      </c>
      <c r="F509" s="495"/>
      <c r="G509" s="551"/>
      <c r="H509" s="495">
        <v>85205</v>
      </c>
      <c r="I509" s="555">
        <v>81394</v>
      </c>
      <c r="J509" s="495">
        <v>16694</v>
      </c>
      <c r="K509" s="556">
        <v>18075</v>
      </c>
      <c r="L509" s="495">
        <v>18313</v>
      </c>
      <c r="M509" s="556">
        <v>17152</v>
      </c>
      <c r="N509" s="495">
        <v>72840</v>
      </c>
      <c r="O509" s="552">
        <v>76419</v>
      </c>
      <c r="P509" s="640">
        <f t="shared" si="144"/>
        <v>193052</v>
      </c>
      <c r="Q509" s="640">
        <f t="shared" si="145"/>
        <v>6435.0666666666666</v>
      </c>
      <c r="R509" s="641">
        <f t="shared" si="146"/>
        <v>193040</v>
      </c>
      <c r="S509" s="641">
        <f t="shared" si="147"/>
        <v>6434.666666666667</v>
      </c>
      <c r="T509" s="495">
        <v>32179</v>
      </c>
      <c r="U509" s="552">
        <v>31883</v>
      </c>
      <c r="V509" s="640">
        <f t="shared" si="148"/>
        <v>193052</v>
      </c>
      <c r="W509" s="641">
        <f t="shared" si="149"/>
        <v>193040</v>
      </c>
      <c r="X509" s="495">
        <v>160894</v>
      </c>
      <c r="Y509" s="556">
        <v>195608</v>
      </c>
      <c r="Z509" s="495">
        <v>33572</v>
      </c>
      <c r="AA509" s="556">
        <v>87911</v>
      </c>
      <c r="AB509" s="495">
        <v>114067</v>
      </c>
      <c r="AC509" s="556">
        <v>118265</v>
      </c>
      <c r="AD509" s="495">
        <v>185493</v>
      </c>
      <c r="AE509" s="552">
        <v>141275</v>
      </c>
      <c r="AF509" s="640">
        <f t="shared" si="150"/>
        <v>494026</v>
      </c>
      <c r="AG509" s="640">
        <f t="shared" si="151"/>
        <v>548.91777777777781</v>
      </c>
      <c r="AH509" s="641">
        <f t="shared" si="152"/>
        <v>543059</v>
      </c>
      <c r="AI509" s="641">
        <f t="shared" si="153"/>
        <v>603.39888888888891</v>
      </c>
      <c r="AJ509" s="495"/>
      <c r="AK509" s="496"/>
      <c r="AL509" s="640">
        <f t="shared" si="154"/>
        <v>0</v>
      </c>
      <c r="AM509" s="641">
        <f t="shared" si="155"/>
        <v>0</v>
      </c>
      <c r="AN509" s="495"/>
      <c r="AO509" s="496"/>
      <c r="AP509" s="495"/>
      <c r="AQ509" s="496"/>
      <c r="AR509" s="495"/>
      <c r="AS509" s="496"/>
      <c r="AT509" s="495"/>
      <c r="AU509" s="496"/>
      <c r="AV509" s="640">
        <f t="shared" si="156"/>
        <v>0</v>
      </c>
      <c r="AW509" s="640">
        <f t="shared" si="157"/>
        <v>0</v>
      </c>
      <c r="AX509" s="641">
        <f t="shared" si="158"/>
        <v>0</v>
      </c>
      <c r="AY509" s="641">
        <f t="shared" si="159"/>
        <v>0</v>
      </c>
      <c r="AZ509" s="640">
        <f t="shared" si="160"/>
        <v>6983.9844444444443</v>
      </c>
      <c r="BA509" s="641">
        <f t="shared" si="161"/>
        <v>7038.0655555555559</v>
      </c>
    </row>
    <row r="510" spans="1:53" s="365" customFormat="1" ht="15.75" customHeight="1">
      <c r="A510" s="430" t="s">
        <v>521</v>
      </c>
      <c r="B510" s="451" t="s">
        <v>813</v>
      </c>
      <c r="C510" s="608"/>
      <c r="D510" s="628">
        <v>224572</v>
      </c>
      <c r="E510" s="530">
        <v>8</v>
      </c>
      <c r="F510" s="495"/>
      <c r="G510" s="551"/>
      <c r="H510" s="495">
        <v>112770</v>
      </c>
      <c r="I510" s="551"/>
      <c r="J510" s="495">
        <v>80845</v>
      </c>
      <c r="K510" s="496"/>
      <c r="L510" s="495">
        <v>0</v>
      </c>
      <c r="M510" s="496"/>
      <c r="N510" s="495">
        <v>0</v>
      </c>
      <c r="O510" s="496"/>
      <c r="P510" s="640">
        <f t="shared" si="144"/>
        <v>193615</v>
      </c>
      <c r="Q510" s="640">
        <f t="shared" si="145"/>
        <v>6453.833333333333</v>
      </c>
      <c r="R510" s="641">
        <f t="shared" si="146"/>
        <v>0</v>
      </c>
      <c r="S510" s="641">
        <f t="shared" si="147"/>
        <v>0</v>
      </c>
      <c r="T510" s="495">
        <v>36729</v>
      </c>
      <c r="U510" s="496"/>
      <c r="V510" s="640">
        <f t="shared" si="148"/>
        <v>193615</v>
      </c>
      <c r="W510" s="641">
        <f t="shared" si="149"/>
        <v>0</v>
      </c>
      <c r="X510" s="495">
        <v>27167</v>
      </c>
      <c r="Y510" s="496"/>
      <c r="Z510" s="495">
        <v>14928</v>
      </c>
      <c r="AA510" s="496"/>
      <c r="AB510" s="495">
        <v>18238</v>
      </c>
      <c r="AC510" s="496"/>
      <c r="AD510" s="495">
        <v>0</v>
      </c>
      <c r="AE510" s="496"/>
      <c r="AF510" s="640">
        <f t="shared" si="150"/>
        <v>60333</v>
      </c>
      <c r="AG510" s="640">
        <f t="shared" si="151"/>
        <v>67.036666666666662</v>
      </c>
      <c r="AH510" s="641">
        <f t="shared" si="152"/>
        <v>0</v>
      </c>
      <c r="AI510" s="641">
        <f t="shared" si="153"/>
        <v>0</v>
      </c>
      <c r="AJ510" s="495"/>
      <c r="AK510" s="496"/>
      <c r="AL510" s="640">
        <f t="shared" si="154"/>
        <v>0</v>
      </c>
      <c r="AM510" s="641">
        <f t="shared" si="155"/>
        <v>0</v>
      </c>
      <c r="AN510" s="495"/>
      <c r="AO510" s="496"/>
      <c r="AP510" s="495"/>
      <c r="AQ510" s="496"/>
      <c r="AR510" s="495"/>
      <c r="AS510" s="496"/>
      <c r="AT510" s="495"/>
      <c r="AU510" s="496"/>
      <c r="AV510" s="640">
        <f t="shared" si="156"/>
        <v>0</v>
      </c>
      <c r="AW510" s="640">
        <f t="shared" si="157"/>
        <v>0</v>
      </c>
      <c r="AX510" s="641">
        <f t="shared" si="158"/>
        <v>0</v>
      </c>
      <c r="AY510" s="641">
        <f t="shared" si="159"/>
        <v>0</v>
      </c>
      <c r="AZ510" s="640">
        <f t="shared" si="160"/>
        <v>6520.87</v>
      </c>
      <c r="BA510" s="641">
        <f t="shared" si="161"/>
        <v>0</v>
      </c>
    </row>
    <row r="511" spans="1:53" s="365" customFormat="1" ht="15.75" customHeight="1">
      <c r="A511" s="430" t="s">
        <v>521</v>
      </c>
      <c r="B511" s="451" t="s">
        <v>834</v>
      </c>
      <c r="C511" s="608"/>
      <c r="D511" s="628">
        <v>224615</v>
      </c>
      <c r="E511" s="530">
        <v>8</v>
      </c>
      <c r="F511" s="495"/>
      <c r="G511" s="551"/>
      <c r="H511" s="495">
        <v>68199</v>
      </c>
      <c r="I511" s="551"/>
      <c r="J511" s="495">
        <v>39011</v>
      </c>
      <c r="K511" s="496"/>
      <c r="L511" s="495">
        <v>0</v>
      </c>
      <c r="M511" s="496"/>
      <c r="N511" s="495">
        <v>0</v>
      </c>
      <c r="O511" s="496"/>
      <c r="P511" s="640">
        <f t="shared" si="144"/>
        <v>107210</v>
      </c>
      <c r="Q511" s="640">
        <f t="shared" si="145"/>
        <v>3573.6666666666665</v>
      </c>
      <c r="R511" s="641">
        <f t="shared" si="146"/>
        <v>0</v>
      </c>
      <c r="S511" s="641">
        <f t="shared" si="147"/>
        <v>0</v>
      </c>
      <c r="T511" s="495">
        <v>18254</v>
      </c>
      <c r="U511" s="496"/>
      <c r="V511" s="640">
        <f t="shared" si="148"/>
        <v>107210</v>
      </c>
      <c r="W511" s="641">
        <f t="shared" si="149"/>
        <v>0</v>
      </c>
      <c r="X511" s="495">
        <v>242746</v>
      </c>
      <c r="Y511" s="496"/>
      <c r="Z511" s="495">
        <v>115022</v>
      </c>
      <c r="AA511" s="496"/>
      <c r="AB511" s="495">
        <v>60844</v>
      </c>
      <c r="AC511" s="496"/>
      <c r="AD511" s="495">
        <v>0</v>
      </c>
      <c r="AE511" s="496"/>
      <c r="AF511" s="640">
        <f t="shared" si="150"/>
        <v>418612</v>
      </c>
      <c r="AG511" s="640">
        <f t="shared" si="151"/>
        <v>465.12444444444446</v>
      </c>
      <c r="AH511" s="641">
        <f t="shared" si="152"/>
        <v>0</v>
      </c>
      <c r="AI511" s="641">
        <f t="shared" si="153"/>
        <v>0</v>
      </c>
      <c r="AJ511" s="495"/>
      <c r="AK511" s="496"/>
      <c r="AL511" s="640">
        <f t="shared" si="154"/>
        <v>0</v>
      </c>
      <c r="AM511" s="641">
        <f t="shared" si="155"/>
        <v>0</v>
      </c>
      <c r="AN511" s="495"/>
      <c r="AO511" s="496"/>
      <c r="AP511" s="495"/>
      <c r="AQ511" s="496"/>
      <c r="AR511" s="495"/>
      <c r="AS511" s="496"/>
      <c r="AT511" s="495"/>
      <c r="AU511" s="496"/>
      <c r="AV511" s="640">
        <f t="shared" si="156"/>
        <v>0</v>
      </c>
      <c r="AW511" s="640">
        <f t="shared" si="157"/>
        <v>0</v>
      </c>
      <c r="AX511" s="641">
        <f t="shared" si="158"/>
        <v>0</v>
      </c>
      <c r="AY511" s="641">
        <f t="shared" si="159"/>
        <v>0</v>
      </c>
      <c r="AZ511" s="640">
        <f t="shared" si="160"/>
        <v>4038.7911111111111</v>
      </c>
      <c r="BA511" s="641">
        <f t="shared" si="161"/>
        <v>0</v>
      </c>
    </row>
    <row r="512" spans="1:53" s="365" customFormat="1" ht="15.75" customHeight="1">
      <c r="A512" s="430" t="s">
        <v>521</v>
      </c>
      <c r="B512" s="450" t="s">
        <v>563</v>
      </c>
      <c r="C512" s="608"/>
      <c r="D512" s="628">
        <v>224642</v>
      </c>
      <c r="E512" s="530">
        <v>8</v>
      </c>
      <c r="F512" s="495"/>
      <c r="G512" s="551"/>
      <c r="H512" s="495">
        <v>211599</v>
      </c>
      <c r="I512" s="555">
        <v>179813</v>
      </c>
      <c r="J512" s="495">
        <v>57973</v>
      </c>
      <c r="K512" s="556">
        <v>45879</v>
      </c>
      <c r="L512" s="495">
        <v>0</v>
      </c>
      <c r="M512" s="556">
        <v>0</v>
      </c>
      <c r="N512" s="495">
        <v>219969</v>
      </c>
      <c r="O512" s="552">
        <v>194555</v>
      </c>
      <c r="P512" s="640">
        <f t="shared" si="144"/>
        <v>489541</v>
      </c>
      <c r="Q512" s="640">
        <f t="shared" si="145"/>
        <v>16318.033333333333</v>
      </c>
      <c r="R512" s="641">
        <f t="shared" si="146"/>
        <v>420247</v>
      </c>
      <c r="S512" s="641">
        <f t="shared" si="147"/>
        <v>14008.233333333334</v>
      </c>
      <c r="T512" s="495">
        <v>124321</v>
      </c>
      <c r="U512" s="552">
        <v>118718</v>
      </c>
      <c r="V512" s="640">
        <f t="shared" si="148"/>
        <v>489541</v>
      </c>
      <c r="W512" s="641">
        <f t="shared" si="149"/>
        <v>420247</v>
      </c>
      <c r="X512" s="495">
        <v>72307</v>
      </c>
      <c r="Y512" s="556">
        <v>35719</v>
      </c>
      <c r="Z512" s="495">
        <v>10852</v>
      </c>
      <c r="AA512" s="556">
        <v>29741</v>
      </c>
      <c r="AB512" s="495">
        <v>25009</v>
      </c>
      <c r="AC512" s="556">
        <v>60289</v>
      </c>
      <c r="AD512" s="495">
        <v>29514</v>
      </c>
      <c r="AE512" s="552">
        <v>51273</v>
      </c>
      <c r="AF512" s="640">
        <f t="shared" si="150"/>
        <v>137682</v>
      </c>
      <c r="AG512" s="640">
        <f t="shared" si="151"/>
        <v>152.97999999999999</v>
      </c>
      <c r="AH512" s="641">
        <f t="shared" si="152"/>
        <v>177022</v>
      </c>
      <c r="AI512" s="641">
        <f t="shared" si="153"/>
        <v>196.6911111111111</v>
      </c>
      <c r="AJ512" s="495"/>
      <c r="AK512" s="496"/>
      <c r="AL512" s="640">
        <f t="shared" si="154"/>
        <v>0</v>
      </c>
      <c r="AM512" s="641">
        <f t="shared" si="155"/>
        <v>0</v>
      </c>
      <c r="AN512" s="495"/>
      <c r="AO512" s="496"/>
      <c r="AP512" s="495"/>
      <c r="AQ512" s="496"/>
      <c r="AR512" s="495"/>
      <c r="AS512" s="496"/>
      <c r="AT512" s="495"/>
      <c r="AU512" s="496"/>
      <c r="AV512" s="640">
        <f t="shared" si="156"/>
        <v>0</v>
      </c>
      <c r="AW512" s="640">
        <f t="shared" si="157"/>
        <v>0</v>
      </c>
      <c r="AX512" s="641">
        <f t="shared" si="158"/>
        <v>0</v>
      </c>
      <c r="AY512" s="641">
        <f t="shared" si="159"/>
        <v>0</v>
      </c>
      <c r="AZ512" s="640">
        <f t="shared" si="160"/>
        <v>16471.013333333332</v>
      </c>
      <c r="BA512" s="641">
        <f t="shared" si="161"/>
        <v>14204.924444444445</v>
      </c>
    </row>
    <row r="513" spans="1:53" s="365" customFormat="1" ht="15.75" customHeight="1">
      <c r="A513" s="430" t="s">
        <v>521</v>
      </c>
      <c r="B513" s="450" t="s">
        <v>564</v>
      </c>
      <c r="C513" s="608"/>
      <c r="D513" s="628">
        <v>225423</v>
      </c>
      <c r="E513" s="530">
        <v>8</v>
      </c>
      <c r="F513" s="495"/>
      <c r="G513" s="551"/>
      <c r="H513" s="495">
        <v>436694</v>
      </c>
      <c r="I513" s="555">
        <v>380587</v>
      </c>
      <c r="J513" s="495">
        <v>252453</v>
      </c>
      <c r="K513" s="556">
        <v>226209</v>
      </c>
      <c r="L513" s="495">
        <v>0</v>
      </c>
      <c r="M513" s="556">
        <v>0</v>
      </c>
      <c r="N513" s="495">
        <v>266027</v>
      </c>
      <c r="O513" s="552">
        <v>259369</v>
      </c>
      <c r="P513" s="640">
        <f t="shared" si="144"/>
        <v>955174</v>
      </c>
      <c r="Q513" s="640">
        <f t="shared" si="145"/>
        <v>31839.133333333335</v>
      </c>
      <c r="R513" s="641">
        <f t="shared" si="146"/>
        <v>866165</v>
      </c>
      <c r="S513" s="641">
        <f t="shared" si="147"/>
        <v>28872.166666666668</v>
      </c>
      <c r="T513" s="495">
        <v>103429</v>
      </c>
      <c r="U513" s="552">
        <v>114952</v>
      </c>
      <c r="V513" s="640">
        <f t="shared" si="148"/>
        <v>955174</v>
      </c>
      <c r="W513" s="641">
        <f t="shared" si="149"/>
        <v>866165</v>
      </c>
      <c r="X513" s="495">
        <v>473804</v>
      </c>
      <c r="Y513" s="556">
        <v>279705</v>
      </c>
      <c r="Z513" s="495">
        <v>311931</v>
      </c>
      <c r="AA513" s="556">
        <v>275362</v>
      </c>
      <c r="AB513" s="495">
        <v>238983</v>
      </c>
      <c r="AC513" s="556">
        <v>357495</v>
      </c>
      <c r="AD513" s="495">
        <v>391025</v>
      </c>
      <c r="AE513" s="552">
        <v>492492</v>
      </c>
      <c r="AF513" s="640">
        <f t="shared" si="150"/>
        <v>1415743</v>
      </c>
      <c r="AG513" s="640">
        <f t="shared" si="151"/>
        <v>1573.0477777777778</v>
      </c>
      <c r="AH513" s="641">
        <f t="shared" si="152"/>
        <v>1405054</v>
      </c>
      <c r="AI513" s="641">
        <f t="shared" si="153"/>
        <v>1561.171111111111</v>
      </c>
      <c r="AJ513" s="495"/>
      <c r="AK513" s="496"/>
      <c r="AL513" s="640">
        <f t="shared" si="154"/>
        <v>0</v>
      </c>
      <c r="AM513" s="641">
        <f t="shared" si="155"/>
        <v>0</v>
      </c>
      <c r="AN513" s="495"/>
      <c r="AO513" s="496"/>
      <c r="AP513" s="495"/>
      <c r="AQ513" s="496"/>
      <c r="AR513" s="495"/>
      <c r="AS513" s="496"/>
      <c r="AT513" s="495"/>
      <c r="AU513" s="496"/>
      <c r="AV513" s="640">
        <f t="shared" si="156"/>
        <v>0</v>
      </c>
      <c r="AW513" s="640">
        <f t="shared" si="157"/>
        <v>0</v>
      </c>
      <c r="AX513" s="641">
        <f t="shared" si="158"/>
        <v>0</v>
      </c>
      <c r="AY513" s="641">
        <f t="shared" si="159"/>
        <v>0</v>
      </c>
      <c r="AZ513" s="640">
        <f t="shared" si="160"/>
        <v>33412.181111111116</v>
      </c>
      <c r="BA513" s="641">
        <f t="shared" si="161"/>
        <v>30433.337777777779</v>
      </c>
    </row>
    <row r="514" spans="1:53" s="365" customFormat="1" ht="15.75" customHeight="1">
      <c r="A514" s="430" t="s">
        <v>521</v>
      </c>
      <c r="B514" s="451" t="s">
        <v>841</v>
      </c>
      <c r="C514" s="608"/>
      <c r="D514" s="628">
        <v>226134</v>
      </c>
      <c r="E514" s="530">
        <v>8</v>
      </c>
      <c r="F514" s="495"/>
      <c r="G514" s="551"/>
      <c r="H514" s="495">
        <v>79173</v>
      </c>
      <c r="I514" s="555">
        <v>86982</v>
      </c>
      <c r="J514" s="495">
        <v>12516</v>
      </c>
      <c r="K514" s="556">
        <v>18242</v>
      </c>
      <c r="L514" s="495">
        <v>6061</v>
      </c>
      <c r="M514" s="556">
        <v>6280</v>
      </c>
      <c r="N514" s="495">
        <v>47641</v>
      </c>
      <c r="O514" s="552">
        <v>71951</v>
      </c>
      <c r="P514" s="640">
        <f t="shared" si="144"/>
        <v>145391</v>
      </c>
      <c r="Q514" s="640">
        <f t="shared" si="145"/>
        <v>4846.3666666666668</v>
      </c>
      <c r="R514" s="641">
        <f t="shared" si="146"/>
        <v>183455</v>
      </c>
      <c r="S514" s="641">
        <f t="shared" si="147"/>
        <v>6115.166666666667</v>
      </c>
      <c r="T514" s="495">
        <v>29099</v>
      </c>
      <c r="U514" s="552">
        <v>70282</v>
      </c>
      <c r="V514" s="640">
        <f t="shared" si="148"/>
        <v>145391</v>
      </c>
      <c r="W514" s="641">
        <f t="shared" si="149"/>
        <v>183455</v>
      </c>
      <c r="X514" s="495">
        <v>16860</v>
      </c>
      <c r="Y514" s="556">
        <v>15783</v>
      </c>
      <c r="Z514" s="495">
        <v>8631</v>
      </c>
      <c r="AA514" s="556">
        <v>29868</v>
      </c>
      <c r="AB514" s="495">
        <v>19077</v>
      </c>
      <c r="AC514" s="556">
        <v>23197</v>
      </c>
      <c r="AD514" s="495">
        <v>41552</v>
      </c>
      <c r="AE514" s="552">
        <v>38911</v>
      </c>
      <c r="AF514" s="640">
        <f t="shared" si="150"/>
        <v>86120</v>
      </c>
      <c r="AG514" s="640">
        <f t="shared" si="151"/>
        <v>95.688888888888883</v>
      </c>
      <c r="AH514" s="641">
        <f t="shared" si="152"/>
        <v>107759</v>
      </c>
      <c r="AI514" s="641">
        <f t="shared" si="153"/>
        <v>119.73222222222222</v>
      </c>
      <c r="AJ514" s="495"/>
      <c r="AK514" s="496"/>
      <c r="AL514" s="640">
        <f t="shared" si="154"/>
        <v>0</v>
      </c>
      <c r="AM514" s="641">
        <f t="shared" si="155"/>
        <v>0</v>
      </c>
      <c r="AN514" s="495"/>
      <c r="AO514" s="496"/>
      <c r="AP514" s="495"/>
      <c r="AQ514" s="496"/>
      <c r="AR514" s="495"/>
      <c r="AS514" s="496"/>
      <c r="AT514" s="495"/>
      <c r="AU514" s="496"/>
      <c r="AV514" s="640">
        <f t="shared" si="156"/>
        <v>0</v>
      </c>
      <c r="AW514" s="640">
        <f t="shared" si="157"/>
        <v>0</v>
      </c>
      <c r="AX514" s="641">
        <f t="shared" si="158"/>
        <v>0</v>
      </c>
      <c r="AY514" s="641">
        <f t="shared" si="159"/>
        <v>0</v>
      </c>
      <c r="AZ514" s="640">
        <f t="shared" si="160"/>
        <v>4942.0555555555557</v>
      </c>
      <c r="BA514" s="641">
        <f t="shared" si="161"/>
        <v>6234.8988888888889</v>
      </c>
    </row>
    <row r="515" spans="1:53" s="365" customFormat="1" ht="15.75" customHeight="1">
      <c r="A515" s="430" t="s">
        <v>521</v>
      </c>
      <c r="B515" s="431" t="s">
        <v>565</v>
      </c>
      <c r="C515" s="608"/>
      <c r="D515" s="628">
        <v>227182</v>
      </c>
      <c r="E515" s="530">
        <v>8</v>
      </c>
      <c r="F515" s="495"/>
      <c r="G515" s="551"/>
      <c r="H515" s="495">
        <v>539418</v>
      </c>
      <c r="I515" s="555">
        <v>550601</v>
      </c>
      <c r="J515" s="495">
        <v>256686</v>
      </c>
      <c r="K515" s="556">
        <v>273996</v>
      </c>
      <c r="L515" s="495">
        <v>0</v>
      </c>
      <c r="M515" s="556">
        <v>0</v>
      </c>
      <c r="N515" s="495">
        <v>440544</v>
      </c>
      <c r="O515" s="552">
        <v>443961</v>
      </c>
      <c r="P515" s="640">
        <f t="shared" si="144"/>
        <v>1236648</v>
      </c>
      <c r="Q515" s="640">
        <f t="shared" si="145"/>
        <v>41221.599999999999</v>
      </c>
      <c r="R515" s="641">
        <f t="shared" si="146"/>
        <v>1268558</v>
      </c>
      <c r="S515" s="641">
        <f t="shared" si="147"/>
        <v>42285.26666666667</v>
      </c>
      <c r="T515" s="495">
        <v>207745</v>
      </c>
      <c r="U515" s="552">
        <v>248743</v>
      </c>
      <c r="V515" s="640">
        <f t="shared" si="148"/>
        <v>1236648</v>
      </c>
      <c r="W515" s="641">
        <f t="shared" si="149"/>
        <v>1268558</v>
      </c>
      <c r="X515" s="495">
        <v>67582</v>
      </c>
      <c r="Y515" s="556">
        <v>57434</v>
      </c>
      <c r="Z515" s="495">
        <v>10620</v>
      </c>
      <c r="AA515" s="556">
        <v>73987</v>
      </c>
      <c r="AB515" s="495">
        <v>53288</v>
      </c>
      <c r="AC515" s="556">
        <v>75756</v>
      </c>
      <c r="AD515" s="495">
        <v>84121</v>
      </c>
      <c r="AE515" s="552">
        <v>94801</v>
      </c>
      <c r="AF515" s="640">
        <f t="shared" si="150"/>
        <v>215611</v>
      </c>
      <c r="AG515" s="640">
        <f t="shared" si="151"/>
        <v>239.56777777777779</v>
      </c>
      <c r="AH515" s="641">
        <f t="shared" si="152"/>
        <v>301978</v>
      </c>
      <c r="AI515" s="641">
        <f t="shared" si="153"/>
        <v>335.5311111111111</v>
      </c>
      <c r="AJ515" s="495"/>
      <c r="AK515" s="496"/>
      <c r="AL515" s="640">
        <f t="shared" si="154"/>
        <v>0</v>
      </c>
      <c r="AM515" s="641">
        <f t="shared" si="155"/>
        <v>0</v>
      </c>
      <c r="AN515" s="495"/>
      <c r="AO515" s="496"/>
      <c r="AP515" s="495"/>
      <c r="AQ515" s="496"/>
      <c r="AR515" s="495"/>
      <c r="AS515" s="496"/>
      <c r="AT515" s="495"/>
      <c r="AU515" s="496"/>
      <c r="AV515" s="640">
        <f t="shared" si="156"/>
        <v>0</v>
      </c>
      <c r="AW515" s="640">
        <f t="shared" si="157"/>
        <v>0</v>
      </c>
      <c r="AX515" s="641">
        <f t="shared" si="158"/>
        <v>0</v>
      </c>
      <c r="AY515" s="641">
        <f t="shared" si="159"/>
        <v>0</v>
      </c>
      <c r="AZ515" s="640">
        <f t="shared" si="160"/>
        <v>41461.167777777773</v>
      </c>
      <c r="BA515" s="641">
        <f t="shared" si="161"/>
        <v>42620.797777777778</v>
      </c>
    </row>
    <row r="516" spans="1:53" s="365" customFormat="1" ht="15.75" customHeight="1">
      <c r="A516" s="430" t="s">
        <v>521</v>
      </c>
      <c r="B516" s="450" t="s">
        <v>566</v>
      </c>
      <c r="C516" s="608"/>
      <c r="D516" s="628">
        <v>226578</v>
      </c>
      <c r="E516" s="530">
        <v>8</v>
      </c>
      <c r="F516" s="495"/>
      <c r="G516" s="551"/>
      <c r="H516" s="495">
        <v>72494</v>
      </c>
      <c r="I516" s="555">
        <v>63124</v>
      </c>
      <c r="J516" s="495">
        <v>21619</v>
      </c>
      <c r="K516" s="556">
        <v>17435</v>
      </c>
      <c r="L516" s="495">
        <v>12119</v>
      </c>
      <c r="M516" s="556">
        <v>10230</v>
      </c>
      <c r="N516" s="495">
        <v>62084</v>
      </c>
      <c r="O516" s="552">
        <v>60246</v>
      </c>
      <c r="P516" s="640">
        <f t="shared" si="144"/>
        <v>168316</v>
      </c>
      <c r="Q516" s="640">
        <f t="shared" si="145"/>
        <v>5610.5333333333338</v>
      </c>
      <c r="R516" s="641">
        <f t="shared" si="146"/>
        <v>151035</v>
      </c>
      <c r="S516" s="641">
        <f t="shared" si="147"/>
        <v>5034.5</v>
      </c>
      <c r="T516" s="495">
        <v>21894</v>
      </c>
      <c r="U516" s="552">
        <v>19132</v>
      </c>
      <c r="V516" s="640">
        <f t="shared" si="148"/>
        <v>168316</v>
      </c>
      <c r="W516" s="641">
        <f t="shared" si="149"/>
        <v>151035</v>
      </c>
      <c r="X516" s="495">
        <v>42310</v>
      </c>
      <c r="Y516" s="556">
        <v>32565</v>
      </c>
      <c r="Z516" s="495">
        <v>15686</v>
      </c>
      <c r="AA516" s="556">
        <v>27360</v>
      </c>
      <c r="AB516" s="495">
        <v>37933</v>
      </c>
      <c r="AC516" s="556">
        <v>44041</v>
      </c>
      <c r="AD516" s="495">
        <v>43200</v>
      </c>
      <c r="AE516" s="552">
        <v>28815</v>
      </c>
      <c r="AF516" s="640">
        <f t="shared" si="150"/>
        <v>139129</v>
      </c>
      <c r="AG516" s="640">
        <f t="shared" si="151"/>
        <v>154.58777777777777</v>
      </c>
      <c r="AH516" s="641">
        <f t="shared" si="152"/>
        <v>132781</v>
      </c>
      <c r="AI516" s="641">
        <f t="shared" si="153"/>
        <v>147.53444444444443</v>
      </c>
      <c r="AJ516" s="495"/>
      <c r="AK516" s="496"/>
      <c r="AL516" s="640">
        <f t="shared" si="154"/>
        <v>0</v>
      </c>
      <c r="AM516" s="641">
        <f t="shared" si="155"/>
        <v>0</v>
      </c>
      <c r="AN516" s="495"/>
      <c r="AO516" s="496"/>
      <c r="AP516" s="495"/>
      <c r="AQ516" s="496"/>
      <c r="AR516" s="495"/>
      <c r="AS516" s="496"/>
      <c r="AT516" s="495"/>
      <c r="AU516" s="496"/>
      <c r="AV516" s="640">
        <f t="shared" si="156"/>
        <v>0</v>
      </c>
      <c r="AW516" s="640">
        <f t="shared" si="157"/>
        <v>0</v>
      </c>
      <c r="AX516" s="641">
        <f t="shared" si="158"/>
        <v>0</v>
      </c>
      <c r="AY516" s="641">
        <f t="shared" si="159"/>
        <v>0</v>
      </c>
      <c r="AZ516" s="640">
        <f t="shared" si="160"/>
        <v>5765.1211111111115</v>
      </c>
      <c r="BA516" s="641">
        <f t="shared" si="161"/>
        <v>5182.0344444444445</v>
      </c>
    </row>
    <row r="517" spans="1:53" s="365" customFormat="1" ht="15.75" customHeight="1">
      <c r="A517" s="430" t="s">
        <v>521</v>
      </c>
      <c r="B517" s="451" t="s">
        <v>835</v>
      </c>
      <c r="C517" s="608"/>
      <c r="D517" s="628">
        <v>226930</v>
      </c>
      <c r="E517" s="557">
        <v>8</v>
      </c>
      <c r="F517" s="495"/>
      <c r="G517" s="551"/>
      <c r="H517" s="495">
        <v>78668</v>
      </c>
      <c r="I517" s="551"/>
      <c r="J517" s="495">
        <v>41033</v>
      </c>
      <c r="K517" s="496"/>
      <c r="L517" s="495">
        <v>0</v>
      </c>
      <c r="M517" s="496"/>
      <c r="N517" s="495">
        <v>0</v>
      </c>
      <c r="O517" s="496"/>
      <c r="P517" s="640">
        <f t="shared" si="144"/>
        <v>119701</v>
      </c>
      <c r="Q517" s="640">
        <f t="shared" si="145"/>
        <v>3990.0333333333333</v>
      </c>
      <c r="R517" s="641">
        <f t="shared" si="146"/>
        <v>0</v>
      </c>
      <c r="S517" s="641">
        <f t="shared" si="147"/>
        <v>0</v>
      </c>
      <c r="T517" s="495">
        <v>26408</v>
      </c>
      <c r="U517" s="496"/>
      <c r="V517" s="640">
        <f t="shared" si="148"/>
        <v>119701</v>
      </c>
      <c r="W517" s="641">
        <f t="shared" si="149"/>
        <v>0</v>
      </c>
      <c r="X517" s="495">
        <v>31500</v>
      </c>
      <c r="Y517" s="496"/>
      <c r="Z517" s="495">
        <v>13465</v>
      </c>
      <c r="AA517" s="496"/>
      <c r="AB517" s="495">
        <v>13576</v>
      </c>
      <c r="AC517" s="496"/>
      <c r="AD517" s="495">
        <v>0</v>
      </c>
      <c r="AE517" s="496"/>
      <c r="AF517" s="640">
        <f t="shared" si="150"/>
        <v>58541</v>
      </c>
      <c r="AG517" s="640">
        <f t="shared" si="151"/>
        <v>65.045555555555552</v>
      </c>
      <c r="AH517" s="641">
        <f t="shared" si="152"/>
        <v>0</v>
      </c>
      <c r="AI517" s="641">
        <f t="shared" si="153"/>
        <v>0</v>
      </c>
      <c r="AJ517" s="495"/>
      <c r="AK517" s="496"/>
      <c r="AL517" s="640">
        <f t="shared" si="154"/>
        <v>0</v>
      </c>
      <c r="AM517" s="641">
        <f t="shared" si="155"/>
        <v>0</v>
      </c>
      <c r="AN517" s="495"/>
      <c r="AO517" s="496"/>
      <c r="AP517" s="495"/>
      <c r="AQ517" s="496"/>
      <c r="AR517" s="495"/>
      <c r="AS517" s="496"/>
      <c r="AT517" s="495"/>
      <c r="AU517" s="496"/>
      <c r="AV517" s="640">
        <f t="shared" si="156"/>
        <v>0</v>
      </c>
      <c r="AW517" s="640">
        <f t="shared" si="157"/>
        <v>0</v>
      </c>
      <c r="AX517" s="641">
        <f t="shared" si="158"/>
        <v>0</v>
      </c>
      <c r="AY517" s="641">
        <f t="shared" si="159"/>
        <v>0</v>
      </c>
      <c r="AZ517" s="640">
        <f t="shared" si="160"/>
        <v>4055.0788888888887</v>
      </c>
      <c r="BA517" s="641">
        <f t="shared" si="161"/>
        <v>0</v>
      </c>
    </row>
    <row r="518" spans="1:53" s="365" customFormat="1" ht="15.75" customHeight="1">
      <c r="A518" s="430" t="s">
        <v>521</v>
      </c>
      <c r="B518" s="450" t="s">
        <v>567</v>
      </c>
      <c r="C518" s="608"/>
      <c r="D518" s="628">
        <v>227146</v>
      </c>
      <c r="E518" s="530">
        <v>8</v>
      </c>
      <c r="F518" s="495"/>
      <c r="G518" s="551"/>
      <c r="H518" s="495">
        <v>66967</v>
      </c>
      <c r="I518" s="555">
        <v>59387</v>
      </c>
      <c r="J518" s="495">
        <v>11002</v>
      </c>
      <c r="K518" s="556">
        <v>9205</v>
      </c>
      <c r="L518" s="495">
        <v>8939</v>
      </c>
      <c r="M518" s="556">
        <v>7568</v>
      </c>
      <c r="N518" s="495">
        <v>64917</v>
      </c>
      <c r="O518" s="552">
        <v>58689</v>
      </c>
      <c r="P518" s="640">
        <f t="shared" si="144"/>
        <v>151825</v>
      </c>
      <c r="Q518" s="640">
        <f t="shared" si="145"/>
        <v>5060.833333333333</v>
      </c>
      <c r="R518" s="641">
        <f t="shared" si="146"/>
        <v>134849</v>
      </c>
      <c r="S518" s="641">
        <f t="shared" si="147"/>
        <v>4494.9666666666662</v>
      </c>
      <c r="T518" s="495">
        <v>37729</v>
      </c>
      <c r="U518" s="552">
        <v>33560</v>
      </c>
      <c r="V518" s="640">
        <f t="shared" si="148"/>
        <v>151825</v>
      </c>
      <c r="W518" s="641">
        <f t="shared" si="149"/>
        <v>134849</v>
      </c>
      <c r="X518" s="495">
        <v>34060</v>
      </c>
      <c r="Y518" s="556">
        <v>23112</v>
      </c>
      <c r="Z518" s="495">
        <v>19285</v>
      </c>
      <c r="AA518" s="556">
        <v>17581</v>
      </c>
      <c r="AB518" s="495">
        <v>61176</v>
      </c>
      <c r="AC518" s="556">
        <v>47545</v>
      </c>
      <c r="AD518" s="495">
        <v>37226</v>
      </c>
      <c r="AE518" s="552">
        <v>18790</v>
      </c>
      <c r="AF518" s="640">
        <f t="shared" si="150"/>
        <v>151747</v>
      </c>
      <c r="AG518" s="640">
        <f t="shared" si="151"/>
        <v>168.60777777777778</v>
      </c>
      <c r="AH518" s="641">
        <f t="shared" si="152"/>
        <v>107028</v>
      </c>
      <c r="AI518" s="641">
        <f t="shared" si="153"/>
        <v>118.92</v>
      </c>
      <c r="AJ518" s="495"/>
      <c r="AK518" s="496"/>
      <c r="AL518" s="640">
        <f t="shared" si="154"/>
        <v>0</v>
      </c>
      <c r="AM518" s="641">
        <f t="shared" si="155"/>
        <v>0</v>
      </c>
      <c r="AN518" s="495"/>
      <c r="AO518" s="496"/>
      <c r="AP518" s="495"/>
      <c r="AQ518" s="496"/>
      <c r="AR518" s="495"/>
      <c r="AS518" s="496"/>
      <c r="AT518" s="495"/>
      <c r="AU518" s="496"/>
      <c r="AV518" s="640">
        <f t="shared" si="156"/>
        <v>0</v>
      </c>
      <c r="AW518" s="640">
        <f t="shared" si="157"/>
        <v>0</v>
      </c>
      <c r="AX518" s="641">
        <f t="shared" si="158"/>
        <v>0</v>
      </c>
      <c r="AY518" s="641">
        <f t="shared" si="159"/>
        <v>0</v>
      </c>
      <c r="AZ518" s="640">
        <f t="shared" si="160"/>
        <v>5229.4411111111112</v>
      </c>
      <c r="BA518" s="641">
        <f t="shared" si="161"/>
        <v>4613.8866666666663</v>
      </c>
    </row>
    <row r="519" spans="1:53" s="365" customFormat="1" ht="15.75" customHeight="1">
      <c r="A519" s="430" t="s">
        <v>521</v>
      </c>
      <c r="B519" s="450" t="s">
        <v>568</v>
      </c>
      <c r="C519" s="608"/>
      <c r="D519" s="628">
        <v>224110</v>
      </c>
      <c r="E519" s="530">
        <v>8</v>
      </c>
      <c r="F519" s="495"/>
      <c r="G519" s="551"/>
      <c r="H519" s="495">
        <v>75454</v>
      </c>
      <c r="I519" s="555">
        <v>66829</v>
      </c>
      <c r="J519" s="495">
        <v>31024</v>
      </c>
      <c r="K519" s="556">
        <v>25466</v>
      </c>
      <c r="L519" s="495">
        <v>0</v>
      </c>
      <c r="M519" s="556">
        <v>0</v>
      </c>
      <c r="N519" s="495">
        <v>62006</v>
      </c>
      <c r="O519" s="552">
        <v>58028</v>
      </c>
      <c r="P519" s="640">
        <f t="shared" si="144"/>
        <v>168484</v>
      </c>
      <c r="Q519" s="640">
        <f t="shared" si="145"/>
        <v>5616.1333333333332</v>
      </c>
      <c r="R519" s="641">
        <f t="shared" si="146"/>
        <v>150323</v>
      </c>
      <c r="S519" s="641">
        <f t="shared" si="147"/>
        <v>5010.7666666666664</v>
      </c>
      <c r="T519" s="495">
        <v>26088</v>
      </c>
      <c r="U519" s="552">
        <v>19740</v>
      </c>
      <c r="V519" s="640">
        <f t="shared" si="148"/>
        <v>168484</v>
      </c>
      <c r="W519" s="641">
        <f t="shared" si="149"/>
        <v>150323</v>
      </c>
      <c r="X519" s="495">
        <v>8698</v>
      </c>
      <c r="Y519" s="556">
        <v>7471</v>
      </c>
      <c r="Z519" s="495">
        <v>3772</v>
      </c>
      <c r="AA519" s="556">
        <v>7413</v>
      </c>
      <c r="AB519" s="495">
        <v>3798</v>
      </c>
      <c r="AC519" s="556">
        <v>4084</v>
      </c>
      <c r="AD519" s="495">
        <v>6705</v>
      </c>
      <c r="AE519" s="552">
        <v>3232</v>
      </c>
      <c r="AF519" s="640">
        <f t="shared" si="150"/>
        <v>22973</v>
      </c>
      <c r="AG519" s="640">
        <f t="shared" si="151"/>
        <v>25.525555555555556</v>
      </c>
      <c r="AH519" s="641">
        <f t="shared" si="152"/>
        <v>22200</v>
      </c>
      <c r="AI519" s="641">
        <f t="shared" si="153"/>
        <v>24.666666666666668</v>
      </c>
      <c r="AJ519" s="495"/>
      <c r="AK519" s="496"/>
      <c r="AL519" s="640">
        <f t="shared" si="154"/>
        <v>0</v>
      </c>
      <c r="AM519" s="641">
        <f t="shared" si="155"/>
        <v>0</v>
      </c>
      <c r="AN519" s="495"/>
      <c r="AO519" s="496"/>
      <c r="AP519" s="495"/>
      <c r="AQ519" s="496"/>
      <c r="AR519" s="495"/>
      <c r="AS519" s="496"/>
      <c r="AT519" s="495"/>
      <c r="AU519" s="496"/>
      <c r="AV519" s="640">
        <f t="shared" si="156"/>
        <v>0</v>
      </c>
      <c r="AW519" s="640">
        <f t="shared" si="157"/>
        <v>0</v>
      </c>
      <c r="AX519" s="641">
        <f t="shared" si="158"/>
        <v>0</v>
      </c>
      <c r="AY519" s="641">
        <f t="shared" si="159"/>
        <v>0</v>
      </c>
      <c r="AZ519" s="640">
        <f t="shared" si="160"/>
        <v>5641.6588888888891</v>
      </c>
      <c r="BA519" s="641">
        <f t="shared" si="161"/>
        <v>5035.4333333333334</v>
      </c>
    </row>
    <row r="520" spans="1:53" s="365" customFormat="1" ht="15.75" customHeight="1">
      <c r="A520" s="430" t="s">
        <v>521</v>
      </c>
      <c r="B520" s="451" t="s">
        <v>814</v>
      </c>
      <c r="C520" s="608"/>
      <c r="D520" s="628">
        <v>227191</v>
      </c>
      <c r="E520" s="530">
        <v>8</v>
      </c>
      <c r="F520" s="495"/>
      <c r="G520" s="551"/>
      <c r="H520" s="495">
        <v>71451</v>
      </c>
      <c r="I520" s="551"/>
      <c r="J520" s="495">
        <v>52425</v>
      </c>
      <c r="K520" s="496"/>
      <c r="L520" s="495">
        <v>0</v>
      </c>
      <c r="M520" s="496"/>
      <c r="N520" s="495">
        <v>0</v>
      </c>
      <c r="O520" s="496"/>
      <c r="P520" s="640">
        <f t="shared" ref="P520:P583" si="162">SUM(H520,J520,L520,N520)</f>
        <v>123876</v>
      </c>
      <c r="Q520" s="640">
        <f t="shared" ref="Q520:Q583" si="163">+P520/30</f>
        <v>4129.2</v>
      </c>
      <c r="R520" s="641">
        <f t="shared" ref="R520:R583" si="164">SUM(I520,K520,M520,O520)</f>
        <v>0</v>
      </c>
      <c r="S520" s="641">
        <f t="shared" ref="S520:S583" si="165">+R520/30</f>
        <v>0</v>
      </c>
      <c r="T520" s="495">
        <v>13178</v>
      </c>
      <c r="U520" s="496"/>
      <c r="V520" s="640">
        <f t="shared" ref="V520:V583" si="166">IF(ISBLANK(T520),0,P520)</f>
        <v>123876</v>
      </c>
      <c r="W520" s="641">
        <f t="shared" ref="W520:W583" si="167">IF(ISBLANK(U520),0,R520)</f>
        <v>0</v>
      </c>
      <c r="X520" s="495">
        <v>132919</v>
      </c>
      <c r="Y520" s="496"/>
      <c r="Z520" s="495">
        <v>20000</v>
      </c>
      <c r="AA520" s="496"/>
      <c r="AB520" s="495">
        <v>20698</v>
      </c>
      <c r="AC520" s="496"/>
      <c r="AD520" s="495">
        <v>0</v>
      </c>
      <c r="AE520" s="496"/>
      <c r="AF520" s="640">
        <f t="shared" ref="AF520:AF583" si="168">SUM(X520,Z520,AB520,AD520)</f>
        <v>173617</v>
      </c>
      <c r="AG520" s="640">
        <f t="shared" ref="AG520:AG583" si="169">+AF520/900</f>
        <v>192.90777777777777</v>
      </c>
      <c r="AH520" s="641">
        <f t="shared" ref="AH520:AH583" si="170">SUM(Y520,AA520,AC520,AE520)</f>
        <v>0</v>
      </c>
      <c r="AI520" s="641">
        <f t="shared" ref="AI520:AI583" si="171">+AH520/900</f>
        <v>0</v>
      </c>
      <c r="AJ520" s="495"/>
      <c r="AK520" s="496"/>
      <c r="AL520" s="640">
        <f t="shared" ref="AL520:AL583" si="172">IF(ISBLANK(AJ520),0,AF520)</f>
        <v>0</v>
      </c>
      <c r="AM520" s="641">
        <f t="shared" ref="AM520:AM583" si="173">IF(ISBLANK(AK520),0,AH520)</f>
        <v>0</v>
      </c>
      <c r="AN520" s="495"/>
      <c r="AO520" s="496"/>
      <c r="AP520" s="495"/>
      <c r="AQ520" s="496"/>
      <c r="AR520" s="495"/>
      <c r="AS520" s="496"/>
      <c r="AT520" s="495"/>
      <c r="AU520" s="496"/>
      <c r="AV520" s="640">
        <f t="shared" ref="AV520:AV583" si="174">SUM(AN520,AP520,AR520,AT520)</f>
        <v>0</v>
      </c>
      <c r="AW520" s="640">
        <f t="shared" ref="AW520:AW583" si="175">+AV520/24</f>
        <v>0</v>
      </c>
      <c r="AX520" s="641">
        <f t="shared" ref="AX520:AX583" si="176">SUM(AO520,AQ520,AS520,AU520)</f>
        <v>0</v>
      </c>
      <c r="AY520" s="641">
        <f t="shared" ref="AY520:AY583" si="177">+AX520/24</f>
        <v>0</v>
      </c>
      <c r="AZ520" s="640">
        <f t="shared" ref="AZ520:AZ583" si="178">SUM(Q520,AG520,AW520)</f>
        <v>4322.1077777777773</v>
      </c>
      <c r="BA520" s="641">
        <f t="shared" ref="BA520:BA583" si="179">SUM(S520,AI520,AY520)</f>
        <v>0</v>
      </c>
    </row>
    <row r="521" spans="1:53" s="365" customFormat="1" ht="15.75" customHeight="1">
      <c r="A521" s="430" t="s">
        <v>521</v>
      </c>
      <c r="B521" s="452" t="s">
        <v>569</v>
      </c>
      <c r="C521" s="608"/>
      <c r="D521" s="628">
        <v>420398</v>
      </c>
      <c r="E521" s="530">
        <v>8</v>
      </c>
      <c r="F521" s="495"/>
      <c r="G521" s="551"/>
      <c r="H521" s="495">
        <v>118232</v>
      </c>
      <c r="I521" s="555">
        <v>107461</v>
      </c>
      <c r="J521" s="495">
        <v>37888</v>
      </c>
      <c r="K521" s="556">
        <v>30566</v>
      </c>
      <c r="L521" s="495">
        <v>0</v>
      </c>
      <c r="M521" s="556">
        <v>0</v>
      </c>
      <c r="N521" s="495">
        <v>130014</v>
      </c>
      <c r="O521" s="552">
        <v>114164</v>
      </c>
      <c r="P521" s="640">
        <f t="shared" si="162"/>
        <v>286134</v>
      </c>
      <c r="Q521" s="640">
        <f t="shared" si="163"/>
        <v>9537.7999999999993</v>
      </c>
      <c r="R521" s="641">
        <f t="shared" si="164"/>
        <v>252191</v>
      </c>
      <c r="S521" s="641">
        <f t="shared" si="165"/>
        <v>8406.3666666666668</v>
      </c>
      <c r="T521" s="495">
        <v>43397</v>
      </c>
      <c r="U521" s="552">
        <v>40553</v>
      </c>
      <c r="V521" s="640">
        <f t="shared" si="166"/>
        <v>286134</v>
      </c>
      <c r="W521" s="641">
        <f t="shared" si="167"/>
        <v>252191</v>
      </c>
      <c r="X521" s="495">
        <v>14264</v>
      </c>
      <c r="Y521" s="556">
        <v>19446</v>
      </c>
      <c r="Z521" s="495">
        <v>6390</v>
      </c>
      <c r="AA521" s="556">
        <v>17064</v>
      </c>
      <c r="AB521" s="495">
        <v>19056</v>
      </c>
      <c r="AC521" s="556">
        <v>16834</v>
      </c>
      <c r="AD521" s="495">
        <v>16556</v>
      </c>
      <c r="AE521" s="552">
        <v>33324</v>
      </c>
      <c r="AF521" s="640">
        <f t="shared" si="168"/>
        <v>56266</v>
      </c>
      <c r="AG521" s="640">
        <f t="shared" si="169"/>
        <v>62.517777777777781</v>
      </c>
      <c r="AH521" s="641">
        <f t="shared" si="170"/>
        <v>86668</v>
      </c>
      <c r="AI521" s="641">
        <f t="shared" si="171"/>
        <v>96.297777777777782</v>
      </c>
      <c r="AJ521" s="495"/>
      <c r="AK521" s="496"/>
      <c r="AL521" s="640">
        <f t="shared" si="172"/>
        <v>0</v>
      </c>
      <c r="AM521" s="641">
        <f t="shared" si="173"/>
        <v>0</v>
      </c>
      <c r="AN521" s="495"/>
      <c r="AO521" s="496"/>
      <c r="AP521" s="495"/>
      <c r="AQ521" s="496"/>
      <c r="AR521" s="495"/>
      <c r="AS521" s="496"/>
      <c r="AT521" s="495"/>
      <c r="AU521" s="496"/>
      <c r="AV521" s="640">
        <f t="shared" si="174"/>
        <v>0</v>
      </c>
      <c r="AW521" s="640">
        <f t="shared" si="175"/>
        <v>0</v>
      </c>
      <c r="AX521" s="641">
        <f t="shared" si="176"/>
        <v>0</v>
      </c>
      <c r="AY521" s="641">
        <f t="shared" si="177"/>
        <v>0</v>
      </c>
      <c r="AZ521" s="640">
        <f t="shared" si="178"/>
        <v>9600.3177777777764</v>
      </c>
      <c r="BA521" s="641">
        <f t="shared" si="179"/>
        <v>8502.6644444444446</v>
      </c>
    </row>
    <row r="522" spans="1:53" s="365" customFormat="1" ht="15.75" customHeight="1">
      <c r="A522" s="430" t="s">
        <v>521</v>
      </c>
      <c r="B522" s="451" t="s">
        <v>815</v>
      </c>
      <c r="C522" s="608"/>
      <c r="D522" s="628">
        <v>246354</v>
      </c>
      <c r="E522" s="530">
        <v>8</v>
      </c>
      <c r="F522" s="495"/>
      <c r="G522" s="551"/>
      <c r="H522" s="495">
        <v>67722</v>
      </c>
      <c r="I522" s="555">
        <v>61956</v>
      </c>
      <c r="J522" s="495">
        <v>22327</v>
      </c>
      <c r="K522" s="556">
        <v>16978</v>
      </c>
      <c r="L522" s="495">
        <v>0</v>
      </c>
      <c r="M522" s="556">
        <v>0</v>
      </c>
      <c r="N522" s="495">
        <v>73085</v>
      </c>
      <c r="O522" s="552">
        <v>66309</v>
      </c>
      <c r="P522" s="640">
        <f t="shared" si="162"/>
        <v>163134</v>
      </c>
      <c r="Q522" s="640">
        <f t="shared" si="163"/>
        <v>5437.8</v>
      </c>
      <c r="R522" s="641">
        <f t="shared" si="164"/>
        <v>145243</v>
      </c>
      <c r="S522" s="641">
        <f t="shared" si="165"/>
        <v>4841.4333333333334</v>
      </c>
      <c r="T522" s="495">
        <v>38070</v>
      </c>
      <c r="U522" s="552">
        <v>37253</v>
      </c>
      <c r="V522" s="640">
        <f t="shared" si="166"/>
        <v>163134</v>
      </c>
      <c r="W522" s="641">
        <f t="shared" si="167"/>
        <v>145243</v>
      </c>
      <c r="X522" s="495">
        <v>14826</v>
      </c>
      <c r="Y522" s="556">
        <v>10758</v>
      </c>
      <c r="Z522" s="495">
        <v>10919</v>
      </c>
      <c r="AA522" s="556">
        <v>13526</v>
      </c>
      <c r="AB522" s="495">
        <v>11456</v>
      </c>
      <c r="AC522" s="556">
        <v>11354</v>
      </c>
      <c r="AD522" s="495">
        <v>6427</v>
      </c>
      <c r="AE522" s="552">
        <v>16850</v>
      </c>
      <c r="AF522" s="640">
        <f t="shared" si="168"/>
        <v>43628</v>
      </c>
      <c r="AG522" s="640">
        <f t="shared" si="169"/>
        <v>48.475555555555559</v>
      </c>
      <c r="AH522" s="641">
        <f t="shared" si="170"/>
        <v>52488</v>
      </c>
      <c r="AI522" s="641">
        <f t="shared" si="171"/>
        <v>58.32</v>
      </c>
      <c r="AJ522" s="495"/>
      <c r="AK522" s="496"/>
      <c r="AL522" s="640">
        <f t="shared" si="172"/>
        <v>0</v>
      </c>
      <c r="AM522" s="641">
        <f t="shared" si="173"/>
        <v>0</v>
      </c>
      <c r="AN522" s="495"/>
      <c r="AO522" s="496"/>
      <c r="AP522" s="495"/>
      <c r="AQ522" s="496"/>
      <c r="AR522" s="495"/>
      <c r="AS522" s="496"/>
      <c r="AT522" s="495"/>
      <c r="AU522" s="496"/>
      <c r="AV522" s="640">
        <f t="shared" si="174"/>
        <v>0</v>
      </c>
      <c r="AW522" s="640">
        <f t="shared" si="175"/>
        <v>0</v>
      </c>
      <c r="AX522" s="641">
        <f t="shared" si="176"/>
        <v>0</v>
      </c>
      <c r="AY522" s="641">
        <f t="shared" si="177"/>
        <v>0</v>
      </c>
      <c r="AZ522" s="640">
        <f t="shared" si="178"/>
        <v>5486.2755555555559</v>
      </c>
      <c r="BA522" s="641">
        <f t="shared" si="179"/>
        <v>4899.7533333333331</v>
      </c>
    </row>
    <row r="523" spans="1:53" s="365" customFormat="1" ht="15.75" customHeight="1">
      <c r="A523" s="430" t="s">
        <v>521</v>
      </c>
      <c r="B523" s="451" t="s">
        <v>816</v>
      </c>
      <c r="C523" s="608"/>
      <c r="D523" s="628">
        <v>227766</v>
      </c>
      <c r="E523" s="530">
        <v>8</v>
      </c>
      <c r="F523" s="495"/>
      <c r="G523" s="551"/>
      <c r="H523" s="495">
        <v>141822</v>
      </c>
      <c r="I523" s="551"/>
      <c r="J523" s="495">
        <v>78958</v>
      </c>
      <c r="K523" s="496"/>
      <c r="L523" s="495">
        <v>0</v>
      </c>
      <c r="M523" s="496"/>
      <c r="N523" s="495">
        <v>0</v>
      </c>
      <c r="O523" s="496"/>
      <c r="P523" s="640">
        <f t="shared" si="162"/>
        <v>220780</v>
      </c>
      <c r="Q523" s="640">
        <f t="shared" si="163"/>
        <v>7359.333333333333</v>
      </c>
      <c r="R523" s="641">
        <f t="shared" si="164"/>
        <v>0</v>
      </c>
      <c r="S523" s="641">
        <f t="shared" si="165"/>
        <v>0</v>
      </c>
      <c r="T523" s="495">
        <v>32442</v>
      </c>
      <c r="U523" s="496"/>
      <c r="V523" s="640">
        <f t="shared" si="166"/>
        <v>220780</v>
      </c>
      <c r="W523" s="641">
        <f t="shared" si="167"/>
        <v>0</v>
      </c>
      <c r="X523" s="495">
        <v>81457</v>
      </c>
      <c r="Y523" s="496"/>
      <c r="Z523" s="495">
        <v>54372</v>
      </c>
      <c r="AA523" s="496"/>
      <c r="AB523" s="495">
        <v>22428</v>
      </c>
      <c r="AC523" s="496"/>
      <c r="AD523" s="495">
        <v>0</v>
      </c>
      <c r="AE523" s="496"/>
      <c r="AF523" s="640">
        <f t="shared" si="168"/>
        <v>158257</v>
      </c>
      <c r="AG523" s="640">
        <f t="shared" si="169"/>
        <v>175.8411111111111</v>
      </c>
      <c r="AH523" s="641">
        <f t="shared" si="170"/>
        <v>0</v>
      </c>
      <c r="AI523" s="641">
        <f t="shared" si="171"/>
        <v>0</v>
      </c>
      <c r="AJ523" s="495"/>
      <c r="AK523" s="496"/>
      <c r="AL523" s="640">
        <f t="shared" si="172"/>
        <v>0</v>
      </c>
      <c r="AM523" s="641">
        <f t="shared" si="173"/>
        <v>0</v>
      </c>
      <c r="AN523" s="495"/>
      <c r="AO523" s="496"/>
      <c r="AP523" s="495"/>
      <c r="AQ523" s="496"/>
      <c r="AR523" s="495"/>
      <c r="AS523" s="496"/>
      <c r="AT523" s="495"/>
      <c r="AU523" s="496"/>
      <c r="AV523" s="640">
        <f t="shared" si="174"/>
        <v>0</v>
      </c>
      <c r="AW523" s="640">
        <f t="shared" si="175"/>
        <v>0</v>
      </c>
      <c r="AX523" s="641">
        <f t="shared" si="176"/>
        <v>0</v>
      </c>
      <c r="AY523" s="641">
        <f t="shared" si="177"/>
        <v>0</v>
      </c>
      <c r="AZ523" s="640">
        <f t="shared" si="178"/>
        <v>7535.1744444444439</v>
      </c>
      <c r="BA523" s="641">
        <f t="shared" si="179"/>
        <v>0</v>
      </c>
    </row>
    <row r="524" spans="1:53" s="365" customFormat="1" ht="15.75" customHeight="1">
      <c r="A524" s="433" t="s">
        <v>521</v>
      </c>
      <c r="B524" s="452" t="s">
        <v>570</v>
      </c>
      <c r="C524" s="608"/>
      <c r="D524" s="628">
        <v>227924</v>
      </c>
      <c r="E524" s="530">
        <v>8</v>
      </c>
      <c r="F524" s="495"/>
      <c r="G524" s="551"/>
      <c r="H524" s="495">
        <v>130371</v>
      </c>
      <c r="I524" s="555">
        <v>115374</v>
      </c>
      <c r="J524" s="495">
        <v>42730</v>
      </c>
      <c r="K524" s="556">
        <v>32882</v>
      </c>
      <c r="L524" s="495">
        <v>0</v>
      </c>
      <c r="M524" s="556">
        <v>0</v>
      </c>
      <c r="N524" s="495">
        <v>130351</v>
      </c>
      <c r="O524" s="552">
        <v>120451</v>
      </c>
      <c r="P524" s="640">
        <f t="shared" si="162"/>
        <v>303452</v>
      </c>
      <c r="Q524" s="640">
        <f t="shared" si="163"/>
        <v>10115.066666666668</v>
      </c>
      <c r="R524" s="641">
        <f t="shared" si="164"/>
        <v>268707</v>
      </c>
      <c r="S524" s="641">
        <f t="shared" si="165"/>
        <v>8956.9</v>
      </c>
      <c r="T524" s="495">
        <v>24701</v>
      </c>
      <c r="U524" s="552">
        <v>23359</v>
      </c>
      <c r="V524" s="640">
        <f t="shared" si="166"/>
        <v>303452</v>
      </c>
      <c r="W524" s="641">
        <f t="shared" si="167"/>
        <v>268707</v>
      </c>
      <c r="X524" s="495">
        <v>7372</v>
      </c>
      <c r="Y524" s="556">
        <v>5512</v>
      </c>
      <c r="Z524" s="495">
        <v>6576</v>
      </c>
      <c r="AA524" s="556">
        <v>9439</v>
      </c>
      <c r="AB524" s="495">
        <v>6624</v>
      </c>
      <c r="AC524" s="556">
        <v>5904</v>
      </c>
      <c r="AD524" s="495">
        <v>5070</v>
      </c>
      <c r="AE524" s="552">
        <v>11820</v>
      </c>
      <c r="AF524" s="640">
        <f t="shared" si="168"/>
        <v>25642</v>
      </c>
      <c r="AG524" s="640">
        <f t="shared" si="169"/>
        <v>28.49111111111111</v>
      </c>
      <c r="AH524" s="641">
        <f t="shared" si="170"/>
        <v>32675</v>
      </c>
      <c r="AI524" s="641">
        <f t="shared" si="171"/>
        <v>36.305555555555557</v>
      </c>
      <c r="AJ524" s="495"/>
      <c r="AK524" s="496"/>
      <c r="AL524" s="640">
        <f t="shared" si="172"/>
        <v>0</v>
      </c>
      <c r="AM524" s="641">
        <f t="shared" si="173"/>
        <v>0</v>
      </c>
      <c r="AN524" s="495"/>
      <c r="AO524" s="496"/>
      <c r="AP524" s="495"/>
      <c r="AQ524" s="496"/>
      <c r="AR524" s="495"/>
      <c r="AS524" s="496"/>
      <c r="AT524" s="495"/>
      <c r="AU524" s="496"/>
      <c r="AV524" s="640">
        <f t="shared" si="174"/>
        <v>0</v>
      </c>
      <c r="AW524" s="640">
        <f t="shared" si="175"/>
        <v>0</v>
      </c>
      <c r="AX524" s="641">
        <f t="shared" si="176"/>
        <v>0</v>
      </c>
      <c r="AY524" s="641">
        <f t="shared" si="177"/>
        <v>0</v>
      </c>
      <c r="AZ524" s="640">
        <f t="shared" si="178"/>
        <v>10143.557777777778</v>
      </c>
      <c r="BA524" s="641">
        <f t="shared" si="179"/>
        <v>8993.2055555555544</v>
      </c>
    </row>
    <row r="525" spans="1:53" s="365" customFormat="1" ht="15.75" customHeight="1">
      <c r="A525" s="433" t="s">
        <v>521</v>
      </c>
      <c r="B525" s="450" t="s">
        <v>571</v>
      </c>
      <c r="C525" s="608"/>
      <c r="D525" s="628">
        <v>227979</v>
      </c>
      <c r="E525" s="530">
        <v>8</v>
      </c>
      <c r="F525" s="495"/>
      <c r="G525" s="551"/>
      <c r="H525" s="495">
        <v>242491</v>
      </c>
      <c r="I525" s="555">
        <v>234188</v>
      </c>
      <c r="J525" s="495">
        <v>89936</v>
      </c>
      <c r="K525" s="556">
        <v>84651</v>
      </c>
      <c r="L525" s="495">
        <v>0</v>
      </c>
      <c r="M525" s="556">
        <v>0</v>
      </c>
      <c r="N525" s="495">
        <v>256587</v>
      </c>
      <c r="O525" s="552">
        <v>256359</v>
      </c>
      <c r="P525" s="640">
        <f t="shared" si="162"/>
        <v>589014</v>
      </c>
      <c r="Q525" s="640">
        <f t="shared" si="163"/>
        <v>19633.8</v>
      </c>
      <c r="R525" s="641">
        <f t="shared" si="164"/>
        <v>575198</v>
      </c>
      <c r="S525" s="641">
        <f t="shared" si="165"/>
        <v>19173.266666666666</v>
      </c>
      <c r="T525" s="495">
        <v>90956</v>
      </c>
      <c r="U525" s="552">
        <v>92661</v>
      </c>
      <c r="V525" s="640">
        <f t="shared" si="166"/>
        <v>589014</v>
      </c>
      <c r="W525" s="641">
        <f t="shared" si="167"/>
        <v>575198</v>
      </c>
      <c r="X525" s="495">
        <v>61128</v>
      </c>
      <c r="Y525" s="556">
        <v>31605</v>
      </c>
      <c r="Z525" s="495">
        <v>8557</v>
      </c>
      <c r="AA525" s="556">
        <v>24231</v>
      </c>
      <c r="AB525" s="495">
        <v>16672</v>
      </c>
      <c r="AC525" s="556">
        <v>39544</v>
      </c>
      <c r="AD525" s="495">
        <v>31090</v>
      </c>
      <c r="AE525" s="552">
        <v>57986</v>
      </c>
      <c r="AF525" s="640">
        <f t="shared" si="168"/>
        <v>117447</v>
      </c>
      <c r="AG525" s="640">
        <f t="shared" si="169"/>
        <v>130.49666666666667</v>
      </c>
      <c r="AH525" s="641">
        <f t="shared" si="170"/>
        <v>153366</v>
      </c>
      <c r="AI525" s="641">
        <f t="shared" si="171"/>
        <v>170.40666666666667</v>
      </c>
      <c r="AJ525" s="495"/>
      <c r="AK525" s="496"/>
      <c r="AL525" s="640">
        <f t="shared" si="172"/>
        <v>0</v>
      </c>
      <c r="AM525" s="641">
        <f t="shared" si="173"/>
        <v>0</v>
      </c>
      <c r="AN525" s="495"/>
      <c r="AO525" s="496"/>
      <c r="AP525" s="495"/>
      <c r="AQ525" s="496"/>
      <c r="AR525" s="495"/>
      <c r="AS525" s="496"/>
      <c r="AT525" s="495"/>
      <c r="AU525" s="496"/>
      <c r="AV525" s="640">
        <f t="shared" si="174"/>
        <v>0</v>
      </c>
      <c r="AW525" s="640">
        <f t="shared" si="175"/>
        <v>0</v>
      </c>
      <c r="AX525" s="641">
        <f t="shared" si="176"/>
        <v>0</v>
      </c>
      <c r="AY525" s="641">
        <f t="shared" si="177"/>
        <v>0</v>
      </c>
      <c r="AZ525" s="640">
        <f t="shared" si="178"/>
        <v>19764.296666666665</v>
      </c>
      <c r="BA525" s="641">
        <f t="shared" si="179"/>
        <v>19343.673333333332</v>
      </c>
    </row>
    <row r="526" spans="1:53" s="365" customFormat="1" ht="15.75" customHeight="1">
      <c r="A526" s="433" t="s">
        <v>521</v>
      </c>
      <c r="B526" s="450" t="s">
        <v>572</v>
      </c>
      <c r="C526" s="608"/>
      <c r="D526" s="628">
        <v>228158</v>
      </c>
      <c r="E526" s="530">
        <v>8</v>
      </c>
      <c r="F526" s="495"/>
      <c r="G526" s="551"/>
      <c r="H526" s="495">
        <v>78310</v>
      </c>
      <c r="I526" s="555">
        <v>72511</v>
      </c>
      <c r="J526" s="495">
        <v>19209</v>
      </c>
      <c r="K526" s="556">
        <v>19714</v>
      </c>
      <c r="L526" s="495">
        <v>0</v>
      </c>
      <c r="M526" s="556">
        <v>0</v>
      </c>
      <c r="N526" s="495">
        <v>80920</v>
      </c>
      <c r="O526" s="552">
        <v>81724</v>
      </c>
      <c r="P526" s="640">
        <f t="shared" si="162"/>
        <v>178439</v>
      </c>
      <c r="Q526" s="640">
        <f t="shared" si="163"/>
        <v>5947.9666666666662</v>
      </c>
      <c r="R526" s="641">
        <f t="shared" si="164"/>
        <v>173949</v>
      </c>
      <c r="S526" s="641">
        <f t="shared" si="165"/>
        <v>5798.3</v>
      </c>
      <c r="T526" s="495">
        <v>24701</v>
      </c>
      <c r="U526" s="552">
        <v>26988</v>
      </c>
      <c r="V526" s="640">
        <f t="shared" si="166"/>
        <v>178439</v>
      </c>
      <c r="W526" s="641">
        <f t="shared" si="167"/>
        <v>173949</v>
      </c>
      <c r="X526" s="495">
        <v>19232</v>
      </c>
      <c r="Y526" s="556">
        <v>13126</v>
      </c>
      <c r="Z526" s="495">
        <v>8255</v>
      </c>
      <c r="AA526" s="556">
        <v>13542</v>
      </c>
      <c r="AB526" s="495">
        <v>13180</v>
      </c>
      <c r="AC526" s="556">
        <v>17653</v>
      </c>
      <c r="AD526" s="495">
        <v>19631</v>
      </c>
      <c r="AE526" s="552">
        <v>22067</v>
      </c>
      <c r="AF526" s="640">
        <f t="shared" si="168"/>
        <v>60298</v>
      </c>
      <c r="AG526" s="640">
        <f t="shared" si="169"/>
        <v>66.997777777777785</v>
      </c>
      <c r="AH526" s="641">
        <f t="shared" si="170"/>
        <v>66388</v>
      </c>
      <c r="AI526" s="641">
        <f t="shared" si="171"/>
        <v>73.76444444444445</v>
      </c>
      <c r="AJ526" s="495"/>
      <c r="AK526" s="496"/>
      <c r="AL526" s="640">
        <f t="shared" si="172"/>
        <v>0</v>
      </c>
      <c r="AM526" s="641">
        <f t="shared" si="173"/>
        <v>0</v>
      </c>
      <c r="AN526" s="495"/>
      <c r="AO526" s="496"/>
      <c r="AP526" s="495"/>
      <c r="AQ526" s="496"/>
      <c r="AR526" s="495"/>
      <c r="AS526" s="496"/>
      <c r="AT526" s="495"/>
      <c r="AU526" s="496"/>
      <c r="AV526" s="640">
        <f t="shared" si="174"/>
        <v>0</v>
      </c>
      <c r="AW526" s="640">
        <f t="shared" si="175"/>
        <v>0</v>
      </c>
      <c r="AX526" s="641">
        <f t="shared" si="176"/>
        <v>0</v>
      </c>
      <c r="AY526" s="641">
        <f t="shared" si="177"/>
        <v>0</v>
      </c>
      <c r="AZ526" s="640">
        <f t="shared" si="178"/>
        <v>6014.9644444444439</v>
      </c>
      <c r="BA526" s="641">
        <f t="shared" si="179"/>
        <v>5872.0644444444442</v>
      </c>
    </row>
    <row r="527" spans="1:53" s="365" customFormat="1" ht="15.75" customHeight="1">
      <c r="A527" s="433" t="s">
        <v>521</v>
      </c>
      <c r="B527" s="451" t="s">
        <v>817</v>
      </c>
      <c r="C527" s="608"/>
      <c r="D527" s="628">
        <v>227854</v>
      </c>
      <c r="E527" s="530">
        <v>8</v>
      </c>
      <c r="F527" s="495"/>
      <c r="G527" s="551"/>
      <c r="H527" s="495">
        <v>82580</v>
      </c>
      <c r="I527" s="555">
        <v>76777</v>
      </c>
      <c r="J527" s="495">
        <v>24838</v>
      </c>
      <c r="K527" s="556">
        <v>24334</v>
      </c>
      <c r="L527" s="495">
        <v>0</v>
      </c>
      <c r="M527" s="556">
        <v>0</v>
      </c>
      <c r="N527" s="495">
        <v>76428</v>
      </c>
      <c r="O527" s="552">
        <v>76048</v>
      </c>
      <c r="P527" s="640">
        <f t="shared" si="162"/>
        <v>183846</v>
      </c>
      <c r="Q527" s="640">
        <f t="shared" si="163"/>
        <v>6128.2</v>
      </c>
      <c r="R527" s="641">
        <f t="shared" si="164"/>
        <v>177159</v>
      </c>
      <c r="S527" s="641">
        <f t="shared" si="165"/>
        <v>5905.3</v>
      </c>
      <c r="T527" s="495">
        <v>41474</v>
      </c>
      <c r="U527" s="552">
        <v>38709</v>
      </c>
      <c r="V527" s="640">
        <f t="shared" si="166"/>
        <v>183846</v>
      </c>
      <c r="W527" s="641">
        <f t="shared" si="167"/>
        <v>177159</v>
      </c>
      <c r="X527" s="495">
        <v>30534</v>
      </c>
      <c r="Y527" s="556">
        <v>5724</v>
      </c>
      <c r="Z527" s="495">
        <v>9254</v>
      </c>
      <c r="AA527" s="556">
        <v>9156</v>
      </c>
      <c r="AB527" s="495">
        <v>8056</v>
      </c>
      <c r="AC527" s="556">
        <v>15306</v>
      </c>
      <c r="AD527" s="495">
        <v>8493</v>
      </c>
      <c r="AE527" s="552">
        <v>19742</v>
      </c>
      <c r="AF527" s="640">
        <f t="shared" si="168"/>
        <v>56337</v>
      </c>
      <c r="AG527" s="640">
        <f t="shared" si="169"/>
        <v>62.596666666666664</v>
      </c>
      <c r="AH527" s="641">
        <f t="shared" si="170"/>
        <v>49928</v>
      </c>
      <c r="AI527" s="641">
        <f t="shared" si="171"/>
        <v>55.475555555555559</v>
      </c>
      <c r="AJ527" s="495"/>
      <c r="AK527" s="496"/>
      <c r="AL527" s="640">
        <f t="shared" si="172"/>
        <v>0</v>
      </c>
      <c r="AM527" s="641">
        <f t="shared" si="173"/>
        <v>0</v>
      </c>
      <c r="AN527" s="495"/>
      <c r="AO527" s="496"/>
      <c r="AP527" s="495"/>
      <c r="AQ527" s="496"/>
      <c r="AR527" s="495"/>
      <c r="AS527" s="496"/>
      <c r="AT527" s="495"/>
      <c r="AU527" s="496"/>
      <c r="AV527" s="640">
        <f t="shared" si="174"/>
        <v>0</v>
      </c>
      <c r="AW527" s="640">
        <f t="shared" si="175"/>
        <v>0</v>
      </c>
      <c r="AX527" s="641">
        <f t="shared" si="176"/>
        <v>0</v>
      </c>
      <c r="AY527" s="641">
        <f t="shared" si="177"/>
        <v>0</v>
      </c>
      <c r="AZ527" s="640">
        <f t="shared" si="178"/>
        <v>6190.7966666666662</v>
      </c>
      <c r="BA527" s="641">
        <f t="shared" si="179"/>
        <v>5960.7755555555559</v>
      </c>
    </row>
    <row r="528" spans="1:53" s="365" customFormat="1" ht="15.75" customHeight="1">
      <c r="A528" s="433" t="s">
        <v>521</v>
      </c>
      <c r="B528" s="450" t="s">
        <v>573</v>
      </c>
      <c r="C528" s="608"/>
      <c r="D528" s="628">
        <v>228547</v>
      </c>
      <c r="E528" s="530">
        <v>8</v>
      </c>
      <c r="F528" s="495"/>
      <c r="G528" s="551"/>
      <c r="H528" s="495">
        <v>367816</v>
      </c>
      <c r="I528" s="555">
        <v>351112</v>
      </c>
      <c r="J528" s="495">
        <v>206272</v>
      </c>
      <c r="K528" s="556">
        <v>174560</v>
      </c>
      <c r="L528" s="495">
        <v>0</v>
      </c>
      <c r="M528" s="556">
        <v>0</v>
      </c>
      <c r="N528" s="495">
        <v>318185</v>
      </c>
      <c r="O528" s="552">
        <v>252284</v>
      </c>
      <c r="P528" s="640">
        <f t="shared" si="162"/>
        <v>892273</v>
      </c>
      <c r="Q528" s="640">
        <f t="shared" si="163"/>
        <v>29742.433333333334</v>
      </c>
      <c r="R528" s="641">
        <f t="shared" si="164"/>
        <v>777956</v>
      </c>
      <c r="S528" s="641">
        <f t="shared" si="165"/>
        <v>25931.866666666665</v>
      </c>
      <c r="T528" s="495">
        <v>121026</v>
      </c>
      <c r="U528" s="552">
        <v>109895</v>
      </c>
      <c r="V528" s="640">
        <f t="shared" si="166"/>
        <v>892273</v>
      </c>
      <c r="W528" s="641">
        <f t="shared" si="167"/>
        <v>777956</v>
      </c>
      <c r="X528" s="495">
        <v>142215</v>
      </c>
      <c r="Y528" s="556">
        <v>102262</v>
      </c>
      <c r="Z528" s="495">
        <v>76805</v>
      </c>
      <c r="AA528" s="556">
        <v>116343</v>
      </c>
      <c r="AB528" s="495">
        <v>76082</v>
      </c>
      <c r="AC528" s="556">
        <v>129678</v>
      </c>
      <c r="AD528" s="495">
        <v>96718</v>
      </c>
      <c r="AE528" s="552">
        <v>142569</v>
      </c>
      <c r="AF528" s="640">
        <f t="shared" si="168"/>
        <v>391820</v>
      </c>
      <c r="AG528" s="640">
        <f t="shared" si="169"/>
        <v>435.35555555555555</v>
      </c>
      <c r="AH528" s="641">
        <f t="shared" si="170"/>
        <v>490852</v>
      </c>
      <c r="AI528" s="641">
        <f t="shared" si="171"/>
        <v>545.39111111111106</v>
      </c>
      <c r="AJ528" s="495"/>
      <c r="AK528" s="496"/>
      <c r="AL528" s="640">
        <f t="shared" si="172"/>
        <v>0</v>
      </c>
      <c r="AM528" s="641">
        <f t="shared" si="173"/>
        <v>0</v>
      </c>
      <c r="AN528" s="495"/>
      <c r="AO528" s="496"/>
      <c r="AP528" s="495"/>
      <c r="AQ528" s="496"/>
      <c r="AR528" s="495"/>
      <c r="AS528" s="496"/>
      <c r="AT528" s="495"/>
      <c r="AU528" s="496"/>
      <c r="AV528" s="640">
        <f t="shared" si="174"/>
        <v>0</v>
      </c>
      <c r="AW528" s="640">
        <f t="shared" si="175"/>
        <v>0</v>
      </c>
      <c r="AX528" s="641">
        <f t="shared" si="176"/>
        <v>0</v>
      </c>
      <c r="AY528" s="641">
        <f t="shared" si="177"/>
        <v>0</v>
      </c>
      <c r="AZ528" s="640">
        <f t="shared" si="178"/>
        <v>30177.788888888888</v>
      </c>
      <c r="BA528" s="641">
        <f t="shared" si="179"/>
        <v>26477.257777777777</v>
      </c>
    </row>
    <row r="529" spans="1:53" s="365" customFormat="1" ht="15.75" customHeight="1">
      <c r="A529" s="433" t="s">
        <v>521</v>
      </c>
      <c r="B529" s="431" t="s">
        <v>574</v>
      </c>
      <c r="C529" s="608"/>
      <c r="D529" s="628">
        <v>225308</v>
      </c>
      <c r="E529" s="530">
        <v>8</v>
      </c>
      <c r="F529" s="495"/>
      <c r="G529" s="551"/>
      <c r="H529" s="495">
        <v>54084</v>
      </c>
      <c r="I529" s="555">
        <v>45740</v>
      </c>
      <c r="J529" s="495">
        <v>11319</v>
      </c>
      <c r="K529" s="556">
        <v>18021</v>
      </c>
      <c r="L529" s="495">
        <v>0</v>
      </c>
      <c r="M529" s="556">
        <v>0</v>
      </c>
      <c r="N529" s="495">
        <v>54207</v>
      </c>
      <c r="O529" s="552">
        <v>47477</v>
      </c>
      <c r="P529" s="640">
        <f t="shared" si="162"/>
        <v>119610</v>
      </c>
      <c r="Q529" s="640">
        <f t="shared" si="163"/>
        <v>3987</v>
      </c>
      <c r="R529" s="641">
        <f t="shared" si="164"/>
        <v>111238</v>
      </c>
      <c r="S529" s="641">
        <f t="shared" si="165"/>
        <v>3707.9333333333334</v>
      </c>
      <c r="T529" s="495">
        <v>28008</v>
      </c>
      <c r="U529" s="552">
        <v>32364</v>
      </c>
      <c r="V529" s="640">
        <f t="shared" si="166"/>
        <v>119610</v>
      </c>
      <c r="W529" s="641">
        <f t="shared" si="167"/>
        <v>111238</v>
      </c>
      <c r="X529" s="495">
        <v>108186</v>
      </c>
      <c r="Y529" s="556">
        <v>70963</v>
      </c>
      <c r="Z529" s="495">
        <v>96114</v>
      </c>
      <c r="AA529" s="556">
        <v>79595</v>
      </c>
      <c r="AB529" s="495">
        <v>46116</v>
      </c>
      <c r="AC529" s="556">
        <v>36418</v>
      </c>
      <c r="AD529" s="495">
        <v>87630</v>
      </c>
      <c r="AE529" s="552">
        <v>72280</v>
      </c>
      <c r="AF529" s="640">
        <f t="shared" si="168"/>
        <v>338046</v>
      </c>
      <c r="AG529" s="640">
        <f t="shared" si="169"/>
        <v>375.60666666666668</v>
      </c>
      <c r="AH529" s="641">
        <f t="shared" si="170"/>
        <v>259256</v>
      </c>
      <c r="AI529" s="641">
        <f t="shared" si="171"/>
        <v>288.0622222222222</v>
      </c>
      <c r="AJ529" s="495"/>
      <c r="AK529" s="496"/>
      <c r="AL529" s="640">
        <f t="shared" si="172"/>
        <v>0</v>
      </c>
      <c r="AM529" s="641">
        <f t="shared" si="173"/>
        <v>0</v>
      </c>
      <c r="AN529" s="495"/>
      <c r="AO529" s="496"/>
      <c r="AP529" s="495"/>
      <c r="AQ529" s="496"/>
      <c r="AR529" s="495"/>
      <c r="AS529" s="496"/>
      <c r="AT529" s="495"/>
      <c r="AU529" s="496"/>
      <c r="AV529" s="640">
        <f t="shared" si="174"/>
        <v>0</v>
      </c>
      <c r="AW529" s="640">
        <f t="shared" si="175"/>
        <v>0</v>
      </c>
      <c r="AX529" s="641">
        <f t="shared" si="176"/>
        <v>0</v>
      </c>
      <c r="AY529" s="641">
        <f t="shared" si="177"/>
        <v>0</v>
      </c>
      <c r="AZ529" s="640">
        <f t="shared" si="178"/>
        <v>4362.6066666666666</v>
      </c>
      <c r="BA529" s="641">
        <f t="shared" si="179"/>
        <v>3995.9955555555557</v>
      </c>
    </row>
    <row r="530" spans="1:53" s="365" customFormat="1" ht="15.75" customHeight="1">
      <c r="A530" s="433" t="s">
        <v>521</v>
      </c>
      <c r="B530" s="450" t="s">
        <v>575</v>
      </c>
      <c r="C530" s="608"/>
      <c r="D530" s="628">
        <v>229355</v>
      </c>
      <c r="E530" s="530">
        <v>8</v>
      </c>
      <c r="F530" s="495"/>
      <c r="G530" s="551"/>
      <c r="H530" s="495">
        <v>108603</v>
      </c>
      <c r="I530" s="555">
        <v>105735</v>
      </c>
      <c r="J530" s="495">
        <v>25210</v>
      </c>
      <c r="K530" s="556">
        <v>19481</v>
      </c>
      <c r="L530" s="495">
        <v>7522</v>
      </c>
      <c r="M530" s="556">
        <v>6799</v>
      </c>
      <c r="N530" s="495">
        <v>106585</v>
      </c>
      <c r="O530" s="552">
        <v>106574</v>
      </c>
      <c r="P530" s="640">
        <f t="shared" si="162"/>
        <v>247920</v>
      </c>
      <c r="Q530" s="640">
        <f t="shared" si="163"/>
        <v>8264</v>
      </c>
      <c r="R530" s="641">
        <f t="shared" si="164"/>
        <v>238589</v>
      </c>
      <c r="S530" s="641">
        <f t="shared" si="165"/>
        <v>7952.9666666666662</v>
      </c>
      <c r="T530" s="495">
        <v>30619</v>
      </c>
      <c r="U530" s="552">
        <v>30638</v>
      </c>
      <c r="V530" s="640">
        <f t="shared" si="166"/>
        <v>247920</v>
      </c>
      <c r="W530" s="641">
        <f t="shared" si="167"/>
        <v>238589</v>
      </c>
      <c r="X530" s="495">
        <v>25303</v>
      </c>
      <c r="Y530" s="556">
        <v>25852</v>
      </c>
      <c r="Z530" s="495">
        <v>3538</v>
      </c>
      <c r="AA530" s="556">
        <v>28755</v>
      </c>
      <c r="AB530" s="495">
        <v>27128</v>
      </c>
      <c r="AC530" s="556">
        <v>42579</v>
      </c>
      <c r="AD530" s="495">
        <v>31938</v>
      </c>
      <c r="AE530" s="552">
        <v>22570</v>
      </c>
      <c r="AF530" s="640">
        <f t="shared" si="168"/>
        <v>87907</v>
      </c>
      <c r="AG530" s="640">
        <f t="shared" si="169"/>
        <v>97.674444444444447</v>
      </c>
      <c r="AH530" s="641">
        <f t="shared" si="170"/>
        <v>119756</v>
      </c>
      <c r="AI530" s="641">
        <f t="shared" si="171"/>
        <v>133.06222222222223</v>
      </c>
      <c r="AJ530" s="495"/>
      <c r="AK530" s="496"/>
      <c r="AL530" s="640">
        <f t="shared" si="172"/>
        <v>0</v>
      </c>
      <c r="AM530" s="641">
        <f t="shared" si="173"/>
        <v>0</v>
      </c>
      <c r="AN530" s="495"/>
      <c r="AO530" s="496"/>
      <c r="AP530" s="495"/>
      <c r="AQ530" s="496"/>
      <c r="AR530" s="495"/>
      <c r="AS530" s="496"/>
      <c r="AT530" s="495"/>
      <c r="AU530" s="496"/>
      <c r="AV530" s="640">
        <f t="shared" si="174"/>
        <v>0</v>
      </c>
      <c r="AW530" s="640">
        <f t="shared" si="175"/>
        <v>0</v>
      </c>
      <c r="AX530" s="641">
        <f t="shared" si="176"/>
        <v>0</v>
      </c>
      <c r="AY530" s="641">
        <f t="shared" si="177"/>
        <v>0</v>
      </c>
      <c r="AZ530" s="640">
        <f t="shared" si="178"/>
        <v>8361.6744444444448</v>
      </c>
      <c r="BA530" s="641">
        <f t="shared" si="179"/>
        <v>8086.0288888888881</v>
      </c>
    </row>
    <row r="531" spans="1:53" s="365" customFormat="1" ht="15.75" customHeight="1">
      <c r="A531" s="433" t="s">
        <v>521</v>
      </c>
      <c r="B531" s="450" t="s">
        <v>576</v>
      </c>
      <c r="C531" s="608"/>
      <c r="D531" s="628">
        <v>222567</v>
      </c>
      <c r="E531" s="530">
        <v>9</v>
      </c>
      <c r="F531" s="495"/>
      <c r="G531" s="551"/>
      <c r="H531" s="495">
        <v>42909</v>
      </c>
      <c r="I531" s="555">
        <v>37580</v>
      </c>
      <c r="J531" s="495">
        <v>17873</v>
      </c>
      <c r="K531" s="556">
        <v>17276</v>
      </c>
      <c r="L531" s="495">
        <v>0</v>
      </c>
      <c r="M531" s="556">
        <v>0</v>
      </c>
      <c r="N531" s="495">
        <v>40377</v>
      </c>
      <c r="O531" s="552">
        <v>35325</v>
      </c>
      <c r="P531" s="640">
        <f t="shared" si="162"/>
        <v>101159</v>
      </c>
      <c r="Q531" s="640">
        <f t="shared" si="163"/>
        <v>3371.9666666666667</v>
      </c>
      <c r="R531" s="641">
        <f t="shared" si="164"/>
        <v>90181</v>
      </c>
      <c r="S531" s="641">
        <f t="shared" si="165"/>
        <v>3006.0333333333333</v>
      </c>
      <c r="T531" s="495">
        <v>31000</v>
      </c>
      <c r="U531" s="552">
        <v>28270</v>
      </c>
      <c r="V531" s="640">
        <f t="shared" si="166"/>
        <v>101159</v>
      </c>
      <c r="W531" s="641">
        <f t="shared" si="167"/>
        <v>90181</v>
      </c>
      <c r="X531" s="495">
        <v>22814</v>
      </c>
      <c r="Y531" s="556">
        <v>18116</v>
      </c>
      <c r="Z531" s="495">
        <v>4536</v>
      </c>
      <c r="AA531" s="556">
        <v>9796</v>
      </c>
      <c r="AB531" s="495">
        <v>9928</v>
      </c>
      <c r="AC531" s="556">
        <v>10477</v>
      </c>
      <c r="AD531" s="495">
        <v>17450</v>
      </c>
      <c r="AE531" s="552">
        <v>9308</v>
      </c>
      <c r="AF531" s="640">
        <f t="shared" si="168"/>
        <v>54728</v>
      </c>
      <c r="AG531" s="640">
        <f t="shared" si="169"/>
        <v>60.808888888888887</v>
      </c>
      <c r="AH531" s="641">
        <f t="shared" si="170"/>
        <v>47697</v>
      </c>
      <c r="AI531" s="641">
        <f t="shared" si="171"/>
        <v>52.99666666666667</v>
      </c>
      <c r="AJ531" s="495"/>
      <c r="AK531" s="496"/>
      <c r="AL531" s="640">
        <f t="shared" si="172"/>
        <v>0</v>
      </c>
      <c r="AM531" s="641">
        <f t="shared" si="173"/>
        <v>0</v>
      </c>
      <c r="AN531" s="495"/>
      <c r="AO531" s="496"/>
      <c r="AP531" s="495"/>
      <c r="AQ531" s="496"/>
      <c r="AR531" s="495"/>
      <c r="AS531" s="496"/>
      <c r="AT531" s="495"/>
      <c r="AU531" s="496"/>
      <c r="AV531" s="640">
        <f t="shared" si="174"/>
        <v>0</v>
      </c>
      <c r="AW531" s="640">
        <f t="shared" si="175"/>
        <v>0</v>
      </c>
      <c r="AX531" s="641">
        <f t="shared" si="176"/>
        <v>0</v>
      </c>
      <c r="AY531" s="641">
        <f t="shared" si="177"/>
        <v>0</v>
      </c>
      <c r="AZ531" s="640">
        <f t="shared" si="178"/>
        <v>3432.7755555555555</v>
      </c>
      <c r="BA531" s="641">
        <f t="shared" si="179"/>
        <v>3059.0299999999997</v>
      </c>
    </row>
    <row r="532" spans="1:53" s="365" customFormat="1" ht="15.75" customHeight="1">
      <c r="A532" s="433" t="s">
        <v>521</v>
      </c>
      <c r="B532" s="450" t="s">
        <v>577</v>
      </c>
      <c r="C532" s="608"/>
      <c r="D532" s="628">
        <v>222822</v>
      </c>
      <c r="E532" s="530">
        <v>9</v>
      </c>
      <c r="F532" s="495"/>
      <c r="G532" s="551"/>
      <c r="H532" s="495">
        <v>33392</v>
      </c>
      <c r="I532" s="555">
        <v>31476</v>
      </c>
      <c r="J532" s="495">
        <v>8127</v>
      </c>
      <c r="K532" s="556">
        <v>7778</v>
      </c>
      <c r="L532" s="495">
        <v>0</v>
      </c>
      <c r="M532" s="556">
        <v>0</v>
      </c>
      <c r="N532" s="495">
        <v>36131</v>
      </c>
      <c r="O532" s="552">
        <v>34194</v>
      </c>
      <c r="P532" s="640">
        <f t="shared" si="162"/>
        <v>77650</v>
      </c>
      <c r="Q532" s="640">
        <f t="shared" si="163"/>
        <v>2588.3333333333335</v>
      </c>
      <c r="R532" s="641">
        <f t="shared" si="164"/>
        <v>73448</v>
      </c>
      <c r="S532" s="641">
        <f t="shared" si="165"/>
        <v>2448.2666666666669</v>
      </c>
      <c r="T532" s="495">
        <v>17817</v>
      </c>
      <c r="U532" s="552">
        <v>18958</v>
      </c>
      <c r="V532" s="640">
        <f t="shared" si="166"/>
        <v>77650</v>
      </c>
      <c r="W532" s="641">
        <f t="shared" si="167"/>
        <v>73448</v>
      </c>
      <c r="X532" s="495">
        <v>23143</v>
      </c>
      <c r="Y532" s="556">
        <v>45108</v>
      </c>
      <c r="Z532" s="495">
        <v>39697</v>
      </c>
      <c r="AA532" s="556">
        <v>29093</v>
      </c>
      <c r="AB532" s="495">
        <v>63699</v>
      </c>
      <c r="AC532" s="556">
        <v>47098</v>
      </c>
      <c r="AD532" s="495">
        <v>22529</v>
      </c>
      <c r="AE532" s="552">
        <v>18977</v>
      </c>
      <c r="AF532" s="640">
        <f t="shared" si="168"/>
        <v>149068</v>
      </c>
      <c r="AG532" s="640">
        <f t="shared" si="169"/>
        <v>165.63111111111112</v>
      </c>
      <c r="AH532" s="641">
        <f t="shared" si="170"/>
        <v>140276</v>
      </c>
      <c r="AI532" s="641">
        <f t="shared" si="171"/>
        <v>155.86222222222221</v>
      </c>
      <c r="AJ532" s="495"/>
      <c r="AK532" s="496"/>
      <c r="AL532" s="640">
        <f t="shared" si="172"/>
        <v>0</v>
      </c>
      <c r="AM532" s="641">
        <f t="shared" si="173"/>
        <v>0</v>
      </c>
      <c r="AN532" s="495"/>
      <c r="AO532" s="496"/>
      <c r="AP532" s="495"/>
      <c r="AQ532" s="496"/>
      <c r="AR532" s="495"/>
      <c r="AS532" s="496"/>
      <c r="AT532" s="495"/>
      <c r="AU532" s="496"/>
      <c r="AV532" s="640">
        <f t="shared" si="174"/>
        <v>0</v>
      </c>
      <c r="AW532" s="640">
        <f t="shared" si="175"/>
        <v>0</v>
      </c>
      <c r="AX532" s="641">
        <f t="shared" si="176"/>
        <v>0</v>
      </c>
      <c r="AY532" s="641">
        <f t="shared" si="177"/>
        <v>0</v>
      </c>
      <c r="AZ532" s="640">
        <f t="shared" si="178"/>
        <v>2753.9644444444448</v>
      </c>
      <c r="BA532" s="641">
        <f t="shared" si="179"/>
        <v>2604.1288888888889</v>
      </c>
    </row>
    <row r="533" spans="1:53" s="365" customFormat="1" ht="15.75" customHeight="1">
      <c r="A533" s="433" t="s">
        <v>521</v>
      </c>
      <c r="B533" s="451" t="s">
        <v>818</v>
      </c>
      <c r="C533" s="608"/>
      <c r="D533" s="628">
        <v>223773</v>
      </c>
      <c r="E533" s="530">
        <v>9</v>
      </c>
      <c r="F533" s="495"/>
      <c r="G533" s="551"/>
      <c r="H533" s="495">
        <v>60014</v>
      </c>
      <c r="I533" s="551"/>
      <c r="J533" s="495">
        <v>35867</v>
      </c>
      <c r="K533" s="496"/>
      <c r="L533" s="495">
        <v>0</v>
      </c>
      <c r="M533" s="496"/>
      <c r="N533" s="495">
        <v>0</v>
      </c>
      <c r="O533" s="496"/>
      <c r="P533" s="640">
        <f t="shared" si="162"/>
        <v>95881</v>
      </c>
      <c r="Q533" s="640">
        <f t="shared" si="163"/>
        <v>3196.0333333333333</v>
      </c>
      <c r="R533" s="641">
        <f t="shared" si="164"/>
        <v>0</v>
      </c>
      <c r="S533" s="641">
        <f t="shared" si="165"/>
        <v>0</v>
      </c>
      <c r="T533" s="495">
        <v>13858</v>
      </c>
      <c r="U533" s="496"/>
      <c r="V533" s="640">
        <f t="shared" si="166"/>
        <v>95881</v>
      </c>
      <c r="W533" s="641">
        <f t="shared" si="167"/>
        <v>0</v>
      </c>
      <c r="X533" s="495">
        <v>45895</v>
      </c>
      <c r="Y533" s="496"/>
      <c r="Z533" s="495">
        <v>125379</v>
      </c>
      <c r="AA533" s="496"/>
      <c r="AB533" s="495">
        <v>48404</v>
      </c>
      <c r="AC533" s="496"/>
      <c r="AD533" s="495">
        <v>0</v>
      </c>
      <c r="AE533" s="496"/>
      <c r="AF533" s="640">
        <f t="shared" si="168"/>
        <v>219678</v>
      </c>
      <c r="AG533" s="640">
        <f t="shared" si="169"/>
        <v>244.08666666666667</v>
      </c>
      <c r="AH533" s="641">
        <f t="shared" si="170"/>
        <v>0</v>
      </c>
      <c r="AI533" s="641">
        <f t="shared" si="171"/>
        <v>0</v>
      </c>
      <c r="AJ533" s="495"/>
      <c r="AK533" s="496"/>
      <c r="AL533" s="640">
        <f t="shared" si="172"/>
        <v>0</v>
      </c>
      <c r="AM533" s="641">
        <f t="shared" si="173"/>
        <v>0</v>
      </c>
      <c r="AN533" s="495"/>
      <c r="AO533" s="496"/>
      <c r="AP533" s="495"/>
      <c r="AQ533" s="496"/>
      <c r="AR533" s="495"/>
      <c r="AS533" s="496"/>
      <c r="AT533" s="495"/>
      <c r="AU533" s="496"/>
      <c r="AV533" s="640">
        <f t="shared" si="174"/>
        <v>0</v>
      </c>
      <c r="AW533" s="640">
        <f t="shared" si="175"/>
        <v>0</v>
      </c>
      <c r="AX533" s="641">
        <f t="shared" si="176"/>
        <v>0</v>
      </c>
      <c r="AY533" s="641">
        <f t="shared" si="177"/>
        <v>0</v>
      </c>
      <c r="AZ533" s="640">
        <f t="shared" si="178"/>
        <v>3440.12</v>
      </c>
      <c r="BA533" s="641">
        <f t="shared" si="179"/>
        <v>0</v>
      </c>
    </row>
    <row r="534" spans="1:53" s="365" customFormat="1" ht="15.75" customHeight="1">
      <c r="A534" s="433" t="s">
        <v>521</v>
      </c>
      <c r="B534" s="451" t="s">
        <v>836</v>
      </c>
      <c r="C534" s="608"/>
      <c r="D534" s="628">
        <v>223898</v>
      </c>
      <c r="E534" s="530">
        <v>9</v>
      </c>
      <c r="F534" s="495"/>
      <c r="G534" s="551"/>
      <c r="H534" s="495">
        <v>28502</v>
      </c>
      <c r="I534" s="555">
        <v>26235</v>
      </c>
      <c r="J534" s="495">
        <v>6632</v>
      </c>
      <c r="K534" s="556">
        <v>6241</v>
      </c>
      <c r="L534" s="495">
        <v>2720</v>
      </c>
      <c r="M534" s="556">
        <v>2560</v>
      </c>
      <c r="N534" s="495">
        <v>28293</v>
      </c>
      <c r="O534" s="552">
        <v>26457</v>
      </c>
      <c r="P534" s="640">
        <f t="shared" si="162"/>
        <v>66147</v>
      </c>
      <c r="Q534" s="640">
        <f t="shared" si="163"/>
        <v>2204.9</v>
      </c>
      <c r="R534" s="641">
        <f t="shared" si="164"/>
        <v>61493</v>
      </c>
      <c r="S534" s="641">
        <f t="shared" si="165"/>
        <v>2049.7666666666669</v>
      </c>
      <c r="T534" s="495">
        <v>12466</v>
      </c>
      <c r="U534" s="552">
        <v>11543</v>
      </c>
      <c r="V534" s="640">
        <f t="shared" si="166"/>
        <v>66147</v>
      </c>
      <c r="W534" s="641">
        <f t="shared" si="167"/>
        <v>61493</v>
      </c>
      <c r="X534" s="495">
        <v>4228</v>
      </c>
      <c r="Y534" s="556">
        <v>80</v>
      </c>
      <c r="Z534" s="495">
        <v>1000</v>
      </c>
      <c r="AA534" s="556">
        <v>1120</v>
      </c>
      <c r="AB534" s="495">
        <v>3516</v>
      </c>
      <c r="AC534" s="556">
        <v>5414</v>
      </c>
      <c r="AD534" s="495">
        <v>3703</v>
      </c>
      <c r="AE534" s="552">
        <v>3124</v>
      </c>
      <c r="AF534" s="640">
        <f t="shared" si="168"/>
        <v>12447</v>
      </c>
      <c r="AG534" s="640">
        <f t="shared" si="169"/>
        <v>13.83</v>
      </c>
      <c r="AH534" s="641">
        <f t="shared" si="170"/>
        <v>9738</v>
      </c>
      <c r="AI534" s="641">
        <f t="shared" si="171"/>
        <v>10.82</v>
      </c>
      <c r="AJ534" s="495"/>
      <c r="AK534" s="496"/>
      <c r="AL534" s="640">
        <f t="shared" si="172"/>
        <v>0</v>
      </c>
      <c r="AM534" s="641">
        <f t="shared" si="173"/>
        <v>0</v>
      </c>
      <c r="AN534" s="495"/>
      <c r="AO534" s="496"/>
      <c r="AP534" s="495"/>
      <c r="AQ534" s="496"/>
      <c r="AR534" s="495"/>
      <c r="AS534" s="496"/>
      <c r="AT534" s="495"/>
      <c r="AU534" s="496"/>
      <c r="AV534" s="640">
        <f t="shared" si="174"/>
        <v>0</v>
      </c>
      <c r="AW534" s="640">
        <f t="shared" si="175"/>
        <v>0</v>
      </c>
      <c r="AX534" s="641">
        <f t="shared" si="176"/>
        <v>0</v>
      </c>
      <c r="AY534" s="641">
        <f t="shared" si="177"/>
        <v>0</v>
      </c>
      <c r="AZ534" s="640">
        <f t="shared" si="178"/>
        <v>2218.73</v>
      </c>
      <c r="BA534" s="641">
        <f t="shared" si="179"/>
        <v>2060.586666666667</v>
      </c>
    </row>
    <row r="535" spans="1:53" s="365" customFormat="1" ht="15.75" customHeight="1">
      <c r="A535" s="433" t="s">
        <v>521</v>
      </c>
      <c r="B535" s="450" t="s">
        <v>578</v>
      </c>
      <c r="C535" s="608"/>
      <c r="D535" s="628">
        <v>223320</v>
      </c>
      <c r="E535" s="530">
        <v>9</v>
      </c>
      <c r="F535" s="495"/>
      <c r="G535" s="551"/>
      <c r="H535" s="495">
        <v>35600</v>
      </c>
      <c r="I535" s="555">
        <v>27131</v>
      </c>
      <c r="J535" s="495">
        <v>6559</v>
      </c>
      <c r="K535" s="556">
        <v>5614</v>
      </c>
      <c r="L535" s="495">
        <v>3445</v>
      </c>
      <c r="M535" s="556">
        <v>3156</v>
      </c>
      <c r="N535" s="495">
        <v>30785</v>
      </c>
      <c r="O535" s="552">
        <v>28344</v>
      </c>
      <c r="P535" s="640">
        <f t="shared" si="162"/>
        <v>76389</v>
      </c>
      <c r="Q535" s="640">
        <f t="shared" si="163"/>
        <v>2546.3000000000002</v>
      </c>
      <c r="R535" s="641">
        <f t="shared" si="164"/>
        <v>64245</v>
      </c>
      <c r="S535" s="641">
        <f t="shared" si="165"/>
        <v>2141.5</v>
      </c>
      <c r="T535" s="495">
        <v>28242</v>
      </c>
      <c r="U535" s="552">
        <v>23250</v>
      </c>
      <c r="V535" s="640">
        <f t="shared" si="166"/>
        <v>76389</v>
      </c>
      <c r="W535" s="641">
        <f t="shared" si="167"/>
        <v>64245</v>
      </c>
      <c r="X535" s="495">
        <v>1678</v>
      </c>
      <c r="Y535" s="556">
        <v>52284</v>
      </c>
      <c r="Z535" s="495">
        <v>0</v>
      </c>
      <c r="AA535" s="556">
        <v>10038</v>
      </c>
      <c r="AB535" s="495">
        <v>6593</v>
      </c>
      <c r="AC535" s="556">
        <v>10548</v>
      </c>
      <c r="AD535" s="495">
        <v>49932</v>
      </c>
      <c r="AE535" s="552">
        <v>41636</v>
      </c>
      <c r="AF535" s="640">
        <f t="shared" si="168"/>
        <v>58203</v>
      </c>
      <c r="AG535" s="640">
        <f t="shared" si="169"/>
        <v>64.67</v>
      </c>
      <c r="AH535" s="641">
        <f t="shared" si="170"/>
        <v>114506</v>
      </c>
      <c r="AI535" s="641">
        <f t="shared" si="171"/>
        <v>127.22888888888889</v>
      </c>
      <c r="AJ535" s="495"/>
      <c r="AK535" s="496"/>
      <c r="AL535" s="640">
        <f t="shared" si="172"/>
        <v>0</v>
      </c>
      <c r="AM535" s="641">
        <f t="shared" si="173"/>
        <v>0</v>
      </c>
      <c r="AN535" s="495"/>
      <c r="AO535" s="496"/>
      <c r="AP535" s="495"/>
      <c r="AQ535" s="496"/>
      <c r="AR535" s="495"/>
      <c r="AS535" s="496"/>
      <c r="AT535" s="495"/>
      <c r="AU535" s="496"/>
      <c r="AV535" s="640">
        <f t="shared" si="174"/>
        <v>0</v>
      </c>
      <c r="AW535" s="640">
        <f t="shared" si="175"/>
        <v>0</v>
      </c>
      <c r="AX535" s="641">
        <f t="shared" si="176"/>
        <v>0</v>
      </c>
      <c r="AY535" s="641">
        <f t="shared" si="177"/>
        <v>0</v>
      </c>
      <c r="AZ535" s="640">
        <f t="shared" si="178"/>
        <v>2610.9700000000003</v>
      </c>
      <c r="BA535" s="641">
        <f t="shared" si="179"/>
        <v>2268.7288888888888</v>
      </c>
    </row>
    <row r="536" spans="1:53" s="365" customFormat="1" ht="15.75" customHeight="1">
      <c r="A536" s="433" t="s">
        <v>521</v>
      </c>
      <c r="B536" s="450" t="s">
        <v>579</v>
      </c>
      <c r="C536" s="608"/>
      <c r="D536" s="628">
        <v>226408</v>
      </c>
      <c r="E536" s="530">
        <v>9</v>
      </c>
      <c r="F536" s="495"/>
      <c r="G536" s="551"/>
      <c r="H536" s="495">
        <v>36237</v>
      </c>
      <c r="I536" s="555">
        <v>31036</v>
      </c>
      <c r="J536" s="495">
        <v>10632</v>
      </c>
      <c r="K536" s="556">
        <v>9221</v>
      </c>
      <c r="L536" s="495">
        <v>0</v>
      </c>
      <c r="M536" s="556">
        <v>0</v>
      </c>
      <c r="N536" s="495">
        <v>39016</v>
      </c>
      <c r="O536" s="552">
        <v>35908</v>
      </c>
      <c r="P536" s="640">
        <f t="shared" si="162"/>
        <v>85885</v>
      </c>
      <c r="Q536" s="640">
        <f t="shared" si="163"/>
        <v>2862.8333333333335</v>
      </c>
      <c r="R536" s="641">
        <f t="shared" si="164"/>
        <v>76165</v>
      </c>
      <c r="S536" s="641">
        <f t="shared" si="165"/>
        <v>2538.8333333333335</v>
      </c>
      <c r="T536" s="495">
        <v>21807</v>
      </c>
      <c r="U536" s="552">
        <v>19923</v>
      </c>
      <c r="V536" s="640">
        <f t="shared" si="166"/>
        <v>85885</v>
      </c>
      <c r="W536" s="641">
        <f t="shared" si="167"/>
        <v>76165</v>
      </c>
      <c r="X536" s="495">
        <v>29949</v>
      </c>
      <c r="Y536" s="556">
        <v>30862</v>
      </c>
      <c r="Z536" s="495">
        <v>2382</v>
      </c>
      <c r="AA536" s="556">
        <v>11985</v>
      </c>
      <c r="AB536" s="495">
        <v>9690</v>
      </c>
      <c r="AC536" s="556">
        <v>18433</v>
      </c>
      <c r="AD536" s="495">
        <v>10069</v>
      </c>
      <c r="AE536" s="552">
        <v>14292</v>
      </c>
      <c r="AF536" s="640">
        <f t="shared" si="168"/>
        <v>52090</v>
      </c>
      <c r="AG536" s="640">
        <f t="shared" si="169"/>
        <v>57.87777777777778</v>
      </c>
      <c r="AH536" s="641">
        <f t="shared" si="170"/>
        <v>75572</v>
      </c>
      <c r="AI536" s="641">
        <f t="shared" si="171"/>
        <v>83.968888888888884</v>
      </c>
      <c r="AJ536" s="495"/>
      <c r="AK536" s="496"/>
      <c r="AL536" s="640">
        <f t="shared" si="172"/>
        <v>0</v>
      </c>
      <c r="AM536" s="641">
        <f t="shared" si="173"/>
        <v>0</v>
      </c>
      <c r="AN536" s="495"/>
      <c r="AO536" s="496"/>
      <c r="AP536" s="495"/>
      <c r="AQ536" s="496"/>
      <c r="AR536" s="495"/>
      <c r="AS536" s="496"/>
      <c r="AT536" s="495"/>
      <c r="AU536" s="496"/>
      <c r="AV536" s="640">
        <f t="shared" si="174"/>
        <v>0</v>
      </c>
      <c r="AW536" s="640">
        <f t="shared" si="175"/>
        <v>0</v>
      </c>
      <c r="AX536" s="641">
        <f t="shared" si="176"/>
        <v>0</v>
      </c>
      <c r="AY536" s="641">
        <f t="shared" si="177"/>
        <v>0</v>
      </c>
      <c r="AZ536" s="640">
        <f t="shared" si="178"/>
        <v>2920.7111111111112</v>
      </c>
      <c r="BA536" s="641">
        <f t="shared" si="179"/>
        <v>2622.8022222222226</v>
      </c>
    </row>
    <row r="537" spans="1:53" s="365" customFormat="1" ht="15.75" customHeight="1">
      <c r="A537" s="433" t="s">
        <v>521</v>
      </c>
      <c r="B537" s="451" t="s">
        <v>580</v>
      </c>
      <c r="C537" s="608"/>
      <c r="D537" s="628">
        <v>225070</v>
      </c>
      <c r="E537" s="530">
        <v>9</v>
      </c>
      <c r="F537" s="495"/>
      <c r="G537" s="551"/>
      <c r="H537" s="495">
        <v>33036</v>
      </c>
      <c r="I537" s="555">
        <v>29886</v>
      </c>
      <c r="J537" s="495">
        <v>9891</v>
      </c>
      <c r="K537" s="556">
        <v>7481</v>
      </c>
      <c r="L537" s="495">
        <v>0</v>
      </c>
      <c r="M537" s="556">
        <v>0</v>
      </c>
      <c r="N537" s="495">
        <v>33893</v>
      </c>
      <c r="O537" s="552">
        <v>33039</v>
      </c>
      <c r="P537" s="640">
        <f t="shared" si="162"/>
        <v>76820</v>
      </c>
      <c r="Q537" s="640">
        <f t="shared" si="163"/>
        <v>2560.6666666666665</v>
      </c>
      <c r="R537" s="641">
        <f t="shared" si="164"/>
        <v>70406</v>
      </c>
      <c r="S537" s="641">
        <f t="shared" si="165"/>
        <v>2346.8666666666668</v>
      </c>
      <c r="T537" s="495">
        <v>12370</v>
      </c>
      <c r="U537" s="552">
        <v>14168</v>
      </c>
      <c r="V537" s="640">
        <f t="shared" si="166"/>
        <v>76820</v>
      </c>
      <c r="W537" s="641">
        <f t="shared" si="167"/>
        <v>70406</v>
      </c>
      <c r="X537" s="495">
        <v>16399</v>
      </c>
      <c r="Y537" s="556">
        <v>11630</v>
      </c>
      <c r="Z537" s="495">
        <v>8230</v>
      </c>
      <c r="AA537" s="556">
        <v>11472</v>
      </c>
      <c r="AB537" s="495">
        <v>10718</v>
      </c>
      <c r="AC537" s="556">
        <v>10361</v>
      </c>
      <c r="AD537" s="495">
        <v>16229</v>
      </c>
      <c r="AE537" s="552">
        <v>12639</v>
      </c>
      <c r="AF537" s="640">
        <f t="shared" si="168"/>
        <v>51576</v>
      </c>
      <c r="AG537" s="640">
        <f t="shared" si="169"/>
        <v>57.306666666666665</v>
      </c>
      <c r="AH537" s="641">
        <f t="shared" si="170"/>
        <v>46102</v>
      </c>
      <c r="AI537" s="641">
        <f t="shared" si="171"/>
        <v>51.224444444444444</v>
      </c>
      <c r="AJ537" s="495"/>
      <c r="AK537" s="496"/>
      <c r="AL537" s="640">
        <f t="shared" si="172"/>
        <v>0</v>
      </c>
      <c r="AM537" s="641">
        <f t="shared" si="173"/>
        <v>0</v>
      </c>
      <c r="AN537" s="495"/>
      <c r="AO537" s="496"/>
      <c r="AP537" s="495"/>
      <c r="AQ537" s="496"/>
      <c r="AR537" s="495"/>
      <c r="AS537" s="496"/>
      <c r="AT537" s="495"/>
      <c r="AU537" s="496"/>
      <c r="AV537" s="640">
        <f t="shared" si="174"/>
        <v>0</v>
      </c>
      <c r="AW537" s="640">
        <f t="shared" si="175"/>
        <v>0</v>
      </c>
      <c r="AX537" s="641">
        <f t="shared" si="176"/>
        <v>0</v>
      </c>
      <c r="AY537" s="641">
        <f t="shared" si="177"/>
        <v>0</v>
      </c>
      <c r="AZ537" s="640">
        <f t="shared" si="178"/>
        <v>2617.9733333333334</v>
      </c>
      <c r="BA537" s="641">
        <f t="shared" si="179"/>
        <v>2398.0911111111113</v>
      </c>
    </row>
    <row r="538" spans="1:53" s="365" customFormat="1" ht="15.75" customHeight="1">
      <c r="A538" s="433" t="s">
        <v>521</v>
      </c>
      <c r="B538" s="450" t="s">
        <v>581</v>
      </c>
      <c r="C538" s="608"/>
      <c r="D538" s="628">
        <v>225371</v>
      </c>
      <c r="E538" s="530">
        <v>9</v>
      </c>
      <c r="F538" s="495"/>
      <c r="G538" s="551"/>
      <c r="H538" s="495">
        <v>35967</v>
      </c>
      <c r="I538" s="555">
        <v>32603</v>
      </c>
      <c r="J538" s="495">
        <v>9619</v>
      </c>
      <c r="K538" s="556">
        <v>8208</v>
      </c>
      <c r="L538" s="495">
        <v>3450</v>
      </c>
      <c r="M538" s="556">
        <v>2655</v>
      </c>
      <c r="N538" s="495">
        <v>32839</v>
      </c>
      <c r="O538" s="552">
        <v>30945</v>
      </c>
      <c r="P538" s="640">
        <f t="shared" si="162"/>
        <v>81875</v>
      </c>
      <c r="Q538" s="640">
        <f t="shared" si="163"/>
        <v>2729.1666666666665</v>
      </c>
      <c r="R538" s="641">
        <f t="shared" si="164"/>
        <v>74411</v>
      </c>
      <c r="S538" s="641">
        <f t="shared" si="165"/>
        <v>2480.3666666666668</v>
      </c>
      <c r="T538" s="495">
        <v>16219</v>
      </c>
      <c r="U538" s="552">
        <v>16446</v>
      </c>
      <c r="V538" s="640">
        <f t="shared" si="166"/>
        <v>81875</v>
      </c>
      <c r="W538" s="641">
        <f t="shared" si="167"/>
        <v>74411</v>
      </c>
      <c r="X538" s="495">
        <v>25286</v>
      </c>
      <c r="Y538" s="556">
        <v>19387</v>
      </c>
      <c r="Z538" s="495">
        <v>3046</v>
      </c>
      <c r="AA538" s="556">
        <v>12900</v>
      </c>
      <c r="AB538" s="495">
        <v>4342</v>
      </c>
      <c r="AC538" s="556">
        <v>16068</v>
      </c>
      <c r="AD538" s="495">
        <v>5068</v>
      </c>
      <c r="AE538" s="552">
        <v>8506</v>
      </c>
      <c r="AF538" s="640">
        <f t="shared" si="168"/>
        <v>37742</v>
      </c>
      <c r="AG538" s="640">
        <f t="shared" si="169"/>
        <v>41.935555555555553</v>
      </c>
      <c r="AH538" s="641">
        <f t="shared" si="170"/>
        <v>56861</v>
      </c>
      <c r="AI538" s="641">
        <f t="shared" si="171"/>
        <v>63.178888888888892</v>
      </c>
      <c r="AJ538" s="495"/>
      <c r="AK538" s="496"/>
      <c r="AL538" s="640">
        <f t="shared" si="172"/>
        <v>0</v>
      </c>
      <c r="AM538" s="641">
        <f t="shared" si="173"/>
        <v>0</v>
      </c>
      <c r="AN538" s="495"/>
      <c r="AO538" s="496"/>
      <c r="AP538" s="495"/>
      <c r="AQ538" s="496"/>
      <c r="AR538" s="495"/>
      <c r="AS538" s="496"/>
      <c r="AT538" s="495"/>
      <c r="AU538" s="496"/>
      <c r="AV538" s="640">
        <f t="shared" si="174"/>
        <v>0</v>
      </c>
      <c r="AW538" s="640">
        <f t="shared" si="175"/>
        <v>0</v>
      </c>
      <c r="AX538" s="641">
        <f t="shared" si="176"/>
        <v>0</v>
      </c>
      <c r="AY538" s="641">
        <f t="shared" si="177"/>
        <v>0</v>
      </c>
      <c r="AZ538" s="640">
        <f t="shared" si="178"/>
        <v>2771.1022222222223</v>
      </c>
      <c r="BA538" s="641">
        <f t="shared" si="179"/>
        <v>2543.5455555555559</v>
      </c>
    </row>
    <row r="539" spans="1:53" s="365" customFormat="1" ht="15.75" customHeight="1">
      <c r="A539" s="433" t="s">
        <v>521</v>
      </c>
      <c r="B539" s="453" t="s">
        <v>582</v>
      </c>
      <c r="C539" s="608"/>
      <c r="D539" s="628">
        <v>225520</v>
      </c>
      <c r="E539" s="530">
        <v>9</v>
      </c>
      <c r="F539" s="495"/>
      <c r="G539" s="551"/>
      <c r="H539" s="495">
        <v>25072</v>
      </c>
      <c r="I539" s="555">
        <v>25016</v>
      </c>
      <c r="J539" s="495">
        <v>4414</v>
      </c>
      <c r="K539" s="556">
        <v>3392</v>
      </c>
      <c r="L539" s="495">
        <v>2174</v>
      </c>
      <c r="M539" s="556">
        <v>2079</v>
      </c>
      <c r="N539" s="495">
        <v>28078</v>
      </c>
      <c r="O539" s="552">
        <v>27578</v>
      </c>
      <c r="P539" s="640">
        <f t="shared" si="162"/>
        <v>59738</v>
      </c>
      <c r="Q539" s="640">
        <f t="shared" si="163"/>
        <v>1991.2666666666667</v>
      </c>
      <c r="R539" s="641">
        <f t="shared" si="164"/>
        <v>58065</v>
      </c>
      <c r="S539" s="641">
        <f t="shared" si="165"/>
        <v>1935.5</v>
      </c>
      <c r="T539" s="495">
        <v>15202</v>
      </c>
      <c r="U539" s="552">
        <v>16449</v>
      </c>
      <c r="V539" s="640">
        <f t="shared" si="166"/>
        <v>59738</v>
      </c>
      <c r="W539" s="641">
        <f t="shared" si="167"/>
        <v>58065</v>
      </c>
      <c r="X539" s="495">
        <v>112996</v>
      </c>
      <c r="Y539" s="556">
        <v>49956</v>
      </c>
      <c r="Z539" s="495">
        <v>14690</v>
      </c>
      <c r="AA539" s="556">
        <v>72869</v>
      </c>
      <c r="AB539" s="495">
        <v>31336</v>
      </c>
      <c r="AC539" s="556">
        <v>52394</v>
      </c>
      <c r="AD539" s="495">
        <v>40849</v>
      </c>
      <c r="AE539" s="552">
        <v>54973</v>
      </c>
      <c r="AF539" s="640">
        <f t="shared" si="168"/>
        <v>199871</v>
      </c>
      <c r="AG539" s="640">
        <f t="shared" si="169"/>
        <v>222.07888888888888</v>
      </c>
      <c r="AH539" s="641">
        <f t="shared" si="170"/>
        <v>230192</v>
      </c>
      <c r="AI539" s="641">
        <f t="shared" si="171"/>
        <v>255.76888888888888</v>
      </c>
      <c r="AJ539" s="495"/>
      <c r="AK539" s="496"/>
      <c r="AL539" s="640">
        <f t="shared" si="172"/>
        <v>0</v>
      </c>
      <c r="AM539" s="641">
        <f t="shared" si="173"/>
        <v>0</v>
      </c>
      <c r="AN539" s="495"/>
      <c r="AO539" s="496"/>
      <c r="AP539" s="495"/>
      <c r="AQ539" s="496"/>
      <c r="AR539" s="495"/>
      <c r="AS539" s="496"/>
      <c r="AT539" s="495"/>
      <c r="AU539" s="496"/>
      <c r="AV539" s="640">
        <f t="shared" si="174"/>
        <v>0</v>
      </c>
      <c r="AW539" s="640">
        <f t="shared" si="175"/>
        <v>0</v>
      </c>
      <c r="AX539" s="641">
        <f t="shared" si="176"/>
        <v>0</v>
      </c>
      <c r="AY539" s="641">
        <f t="shared" si="177"/>
        <v>0</v>
      </c>
      <c r="AZ539" s="640">
        <f t="shared" si="178"/>
        <v>2213.3455555555556</v>
      </c>
      <c r="BA539" s="641">
        <f t="shared" si="179"/>
        <v>2191.2688888888888</v>
      </c>
    </row>
    <row r="540" spans="1:53" s="365" customFormat="1" ht="15.75" customHeight="1">
      <c r="A540" s="430" t="s">
        <v>521</v>
      </c>
      <c r="B540" s="431" t="s">
        <v>583</v>
      </c>
      <c r="C540" s="608"/>
      <c r="D540" s="628">
        <v>226019</v>
      </c>
      <c r="E540" s="530">
        <v>9</v>
      </c>
      <c r="F540" s="495"/>
      <c r="G540" s="551"/>
      <c r="H540" s="495">
        <v>62906</v>
      </c>
      <c r="I540" s="555">
        <v>41432</v>
      </c>
      <c r="J540" s="495">
        <v>7020</v>
      </c>
      <c r="K540" s="556">
        <v>7061</v>
      </c>
      <c r="L540" s="495">
        <v>0</v>
      </c>
      <c r="M540" s="556">
        <v>0</v>
      </c>
      <c r="N540" s="495">
        <v>50850</v>
      </c>
      <c r="O540" s="552">
        <v>49348</v>
      </c>
      <c r="P540" s="640">
        <f t="shared" si="162"/>
        <v>120776</v>
      </c>
      <c r="Q540" s="640">
        <f t="shared" si="163"/>
        <v>4025.8666666666668</v>
      </c>
      <c r="R540" s="641">
        <f t="shared" si="164"/>
        <v>97841</v>
      </c>
      <c r="S540" s="641">
        <f t="shared" si="165"/>
        <v>3261.3666666666668</v>
      </c>
      <c r="T540" s="495">
        <v>18815</v>
      </c>
      <c r="U540" s="552">
        <v>16074</v>
      </c>
      <c r="V540" s="640">
        <f t="shared" si="166"/>
        <v>120776</v>
      </c>
      <c r="W540" s="641">
        <f t="shared" si="167"/>
        <v>97841</v>
      </c>
      <c r="X540" s="495">
        <v>94426</v>
      </c>
      <c r="Y540" s="556">
        <v>119021</v>
      </c>
      <c r="Z540" s="495">
        <v>32272</v>
      </c>
      <c r="AA540" s="556">
        <v>92885</v>
      </c>
      <c r="AB540" s="495">
        <v>119621</v>
      </c>
      <c r="AC540" s="556">
        <v>122419</v>
      </c>
      <c r="AD540" s="495">
        <v>116810</v>
      </c>
      <c r="AE540" s="552">
        <v>123524</v>
      </c>
      <c r="AF540" s="640">
        <f t="shared" si="168"/>
        <v>363129</v>
      </c>
      <c r="AG540" s="640">
        <f t="shared" si="169"/>
        <v>403.47666666666669</v>
      </c>
      <c r="AH540" s="641">
        <f t="shared" si="170"/>
        <v>457849</v>
      </c>
      <c r="AI540" s="641">
        <f t="shared" si="171"/>
        <v>508.7211111111111</v>
      </c>
      <c r="AJ540" s="495"/>
      <c r="AK540" s="496"/>
      <c r="AL540" s="640">
        <f t="shared" si="172"/>
        <v>0</v>
      </c>
      <c r="AM540" s="641">
        <f t="shared" si="173"/>
        <v>0</v>
      </c>
      <c r="AN540" s="495"/>
      <c r="AO540" s="496"/>
      <c r="AP540" s="495"/>
      <c r="AQ540" s="496"/>
      <c r="AR540" s="495"/>
      <c r="AS540" s="496"/>
      <c r="AT540" s="495"/>
      <c r="AU540" s="496"/>
      <c r="AV540" s="640">
        <f t="shared" si="174"/>
        <v>0</v>
      </c>
      <c r="AW540" s="640">
        <f t="shared" si="175"/>
        <v>0</v>
      </c>
      <c r="AX540" s="641">
        <f t="shared" si="176"/>
        <v>0</v>
      </c>
      <c r="AY540" s="641">
        <f t="shared" si="177"/>
        <v>0</v>
      </c>
      <c r="AZ540" s="640">
        <f t="shared" si="178"/>
        <v>4429.3433333333332</v>
      </c>
      <c r="BA540" s="641">
        <f t="shared" si="179"/>
        <v>3770.0877777777778</v>
      </c>
    </row>
    <row r="541" spans="1:53" s="365" customFormat="1" ht="15.75" customHeight="1">
      <c r="A541" s="430" t="s">
        <v>521</v>
      </c>
      <c r="B541" s="450" t="s">
        <v>584</v>
      </c>
      <c r="C541" s="608"/>
      <c r="D541" s="628">
        <v>441760</v>
      </c>
      <c r="E541" s="530">
        <v>9</v>
      </c>
      <c r="F541" s="495"/>
      <c r="G541" s="551"/>
      <c r="H541" s="495">
        <v>32004</v>
      </c>
      <c r="I541" s="555">
        <v>33714</v>
      </c>
      <c r="J541" s="495">
        <v>6842</v>
      </c>
      <c r="K541" s="556">
        <v>6899</v>
      </c>
      <c r="L541" s="495">
        <v>0</v>
      </c>
      <c r="M541" s="556">
        <v>0</v>
      </c>
      <c r="N541" s="495">
        <v>38512</v>
      </c>
      <c r="O541" s="552">
        <v>38106</v>
      </c>
      <c r="P541" s="640">
        <f t="shared" si="162"/>
        <v>77358</v>
      </c>
      <c r="Q541" s="640">
        <f t="shared" si="163"/>
        <v>2578.6</v>
      </c>
      <c r="R541" s="641">
        <f t="shared" si="164"/>
        <v>78719</v>
      </c>
      <c r="S541" s="641">
        <f t="shared" si="165"/>
        <v>2623.9666666666667</v>
      </c>
      <c r="T541" s="495">
        <v>13239</v>
      </c>
      <c r="U541" s="552">
        <v>16284</v>
      </c>
      <c r="V541" s="640">
        <f t="shared" si="166"/>
        <v>77358</v>
      </c>
      <c r="W541" s="641">
        <f t="shared" si="167"/>
        <v>78719</v>
      </c>
      <c r="X541" s="495">
        <v>52880</v>
      </c>
      <c r="Y541" s="556">
        <v>49741</v>
      </c>
      <c r="Z541" s="495">
        <v>30582</v>
      </c>
      <c r="AA541" s="556">
        <v>96939</v>
      </c>
      <c r="AB541" s="495">
        <v>37281</v>
      </c>
      <c r="AC541" s="556">
        <v>86690</v>
      </c>
      <c r="AD541" s="495">
        <v>44733</v>
      </c>
      <c r="AE541" s="552">
        <v>75558</v>
      </c>
      <c r="AF541" s="640">
        <f t="shared" si="168"/>
        <v>165476</v>
      </c>
      <c r="AG541" s="640">
        <f t="shared" si="169"/>
        <v>183.86222222222221</v>
      </c>
      <c r="AH541" s="641">
        <f t="shared" si="170"/>
        <v>308928</v>
      </c>
      <c r="AI541" s="641">
        <f t="shared" si="171"/>
        <v>343.25333333333333</v>
      </c>
      <c r="AJ541" s="495"/>
      <c r="AK541" s="496"/>
      <c r="AL541" s="640">
        <f t="shared" si="172"/>
        <v>0</v>
      </c>
      <c r="AM541" s="641">
        <f t="shared" si="173"/>
        <v>0</v>
      </c>
      <c r="AN541" s="495"/>
      <c r="AO541" s="496"/>
      <c r="AP541" s="495"/>
      <c r="AQ541" s="496"/>
      <c r="AR541" s="495"/>
      <c r="AS541" s="496"/>
      <c r="AT541" s="495"/>
      <c r="AU541" s="496"/>
      <c r="AV541" s="640">
        <f t="shared" si="174"/>
        <v>0</v>
      </c>
      <c r="AW541" s="640">
        <f t="shared" si="175"/>
        <v>0</v>
      </c>
      <c r="AX541" s="641">
        <f t="shared" si="176"/>
        <v>0</v>
      </c>
      <c r="AY541" s="641">
        <f t="shared" si="177"/>
        <v>0</v>
      </c>
      <c r="AZ541" s="640">
        <f t="shared" si="178"/>
        <v>2762.462222222222</v>
      </c>
      <c r="BA541" s="641">
        <f t="shared" si="179"/>
        <v>2967.2200000000003</v>
      </c>
    </row>
    <row r="542" spans="1:53" s="365" customFormat="1" ht="15.75" customHeight="1">
      <c r="A542" s="430" t="s">
        <v>521</v>
      </c>
      <c r="B542" s="450" t="s">
        <v>586</v>
      </c>
      <c r="C542" s="608"/>
      <c r="D542" s="628">
        <v>226204</v>
      </c>
      <c r="E542" s="530">
        <v>9</v>
      </c>
      <c r="F542" s="495"/>
      <c r="G542" s="551"/>
      <c r="H542" s="495">
        <v>60919</v>
      </c>
      <c r="I542" s="555">
        <v>75452</v>
      </c>
      <c r="J542" s="495">
        <v>31586</v>
      </c>
      <c r="K542" s="556">
        <v>32566</v>
      </c>
      <c r="L542" s="495">
        <v>0</v>
      </c>
      <c r="M542" s="556">
        <v>0</v>
      </c>
      <c r="N542" s="495">
        <v>37710</v>
      </c>
      <c r="O542" s="552">
        <v>54036</v>
      </c>
      <c r="P542" s="640">
        <f t="shared" si="162"/>
        <v>130215</v>
      </c>
      <c r="Q542" s="640">
        <f t="shared" si="163"/>
        <v>4340.5</v>
      </c>
      <c r="R542" s="641">
        <f t="shared" si="164"/>
        <v>162054</v>
      </c>
      <c r="S542" s="641">
        <f t="shared" si="165"/>
        <v>5401.8</v>
      </c>
      <c r="T542" s="495">
        <v>21062</v>
      </c>
      <c r="U542" s="552">
        <v>37111</v>
      </c>
      <c r="V542" s="640">
        <f t="shared" si="166"/>
        <v>130215</v>
      </c>
      <c r="W542" s="641">
        <f t="shared" si="167"/>
        <v>162054</v>
      </c>
      <c r="X542" s="495">
        <v>16100</v>
      </c>
      <c r="Y542" s="556">
        <v>7139</v>
      </c>
      <c r="Z542" s="495">
        <v>407</v>
      </c>
      <c r="AA542" s="556">
        <v>5368</v>
      </c>
      <c r="AB542" s="495">
        <v>8345</v>
      </c>
      <c r="AC542" s="556">
        <v>8400</v>
      </c>
      <c r="AD542" s="495">
        <v>5000</v>
      </c>
      <c r="AE542" s="552">
        <v>8190</v>
      </c>
      <c r="AF542" s="640">
        <f t="shared" si="168"/>
        <v>29852</v>
      </c>
      <c r="AG542" s="640">
        <f t="shared" si="169"/>
        <v>33.168888888888887</v>
      </c>
      <c r="AH542" s="641">
        <f t="shared" si="170"/>
        <v>29097</v>
      </c>
      <c r="AI542" s="641">
        <f t="shared" si="171"/>
        <v>32.33</v>
      </c>
      <c r="AJ542" s="495"/>
      <c r="AK542" s="496"/>
      <c r="AL542" s="640">
        <f t="shared" si="172"/>
        <v>0</v>
      </c>
      <c r="AM542" s="641">
        <f t="shared" si="173"/>
        <v>0</v>
      </c>
      <c r="AN542" s="495"/>
      <c r="AO542" s="496"/>
      <c r="AP542" s="495"/>
      <c r="AQ542" s="496"/>
      <c r="AR542" s="495"/>
      <c r="AS542" s="496"/>
      <c r="AT542" s="495"/>
      <c r="AU542" s="496"/>
      <c r="AV542" s="640">
        <f t="shared" si="174"/>
        <v>0</v>
      </c>
      <c r="AW542" s="640">
        <f t="shared" si="175"/>
        <v>0</v>
      </c>
      <c r="AX542" s="641">
        <f t="shared" si="176"/>
        <v>0</v>
      </c>
      <c r="AY542" s="641">
        <f t="shared" si="177"/>
        <v>0</v>
      </c>
      <c r="AZ542" s="640">
        <f t="shared" si="178"/>
        <v>4373.6688888888893</v>
      </c>
      <c r="BA542" s="641">
        <f t="shared" si="179"/>
        <v>5434.13</v>
      </c>
    </row>
    <row r="543" spans="1:53" s="365" customFormat="1" ht="15" customHeight="1">
      <c r="A543" s="430" t="s">
        <v>521</v>
      </c>
      <c r="B543" s="431" t="s">
        <v>587</v>
      </c>
      <c r="C543" s="558"/>
      <c r="D543" s="628">
        <v>227225</v>
      </c>
      <c r="E543" s="530">
        <v>9</v>
      </c>
      <c r="F543" s="495"/>
      <c r="G543" s="551"/>
      <c r="H543" s="495">
        <v>25503</v>
      </c>
      <c r="I543" s="555">
        <v>23616</v>
      </c>
      <c r="J543" s="495">
        <v>8126</v>
      </c>
      <c r="K543" s="556">
        <v>7246</v>
      </c>
      <c r="L543" s="495">
        <v>0</v>
      </c>
      <c r="M543" s="556">
        <v>0</v>
      </c>
      <c r="N543" s="495">
        <v>24893</v>
      </c>
      <c r="O543" s="552">
        <v>25206</v>
      </c>
      <c r="P543" s="640">
        <f t="shared" si="162"/>
        <v>58522</v>
      </c>
      <c r="Q543" s="640">
        <f t="shared" si="163"/>
        <v>1950.7333333333333</v>
      </c>
      <c r="R543" s="641">
        <f t="shared" si="164"/>
        <v>56068</v>
      </c>
      <c r="S543" s="641">
        <f t="shared" si="165"/>
        <v>1868.9333333333334</v>
      </c>
      <c r="T543" s="495">
        <v>10041</v>
      </c>
      <c r="U543" s="552">
        <v>10950</v>
      </c>
      <c r="V543" s="640">
        <f t="shared" si="166"/>
        <v>58522</v>
      </c>
      <c r="W543" s="641">
        <f t="shared" si="167"/>
        <v>56068</v>
      </c>
      <c r="X543" s="495">
        <v>6647</v>
      </c>
      <c r="Y543" s="556">
        <v>6740</v>
      </c>
      <c r="Z543" s="495">
        <v>2944</v>
      </c>
      <c r="AA543" s="556">
        <v>5800</v>
      </c>
      <c r="AB543" s="495">
        <v>2486</v>
      </c>
      <c r="AC543" s="556">
        <v>6445</v>
      </c>
      <c r="AD543" s="495">
        <v>3957</v>
      </c>
      <c r="AE543" s="552">
        <v>8836</v>
      </c>
      <c r="AF543" s="640">
        <f t="shared" si="168"/>
        <v>16034</v>
      </c>
      <c r="AG543" s="640">
        <f t="shared" si="169"/>
        <v>17.815555555555555</v>
      </c>
      <c r="AH543" s="641">
        <f t="shared" si="170"/>
        <v>27821</v>
      </c>
      <c r="AI543" s="641">
        <f t="shared" si="171"/>
        <v>30.912222222222223</v>
      </c>
      <c r="AJ543" s="495"/>
      <c r="AK543" s="496"/>
      <c r="AL543" s="640">
        <f t="shared" si="172"/>
        <v>0</v>
      </c>
      <c r="AM543" s="641">
        <f t="shared" si="173"/>
        <v>0</v>
      </c>
      <c r="AN543" s="495"/>
      <c r="AO543" s="496"/>
      <c r="AP543" s="495"/>
      <c r="AQ543" s="496"/>
      <c r="AR543" s="495"/>
      <c r="AS543" s="496"/>
      <c r="AT543" s="495"/>
      <c r="AU543" s="496"/>
      <c r="AV543" s="640">
        <f t="shared" si="174"/>
        <v>0</v>
      </c>
      <c r="AW543" s="640">
        <f t="shared" si="175"/>
        <v>0</v>
      </c>
      <c r="AX543" s="641">
        <f t="shared" si="176"/>
        <v>0</v>
      </c>
      <c r="AY543" s="641">
        <f t="shared" si="177"/>
        <v>0</v>
      </c>
      <c r="AZ543" s="640">
        <f t="shared" si="178"/>
        <v>1968.548888888889</v>
      </c>
      <c r="BA543" s="641">
        <f t="shared" si="179"/>
        <v>1899.8455555555556</v>
      </c>
    </row>
    <row r="544" spans="1:53" s="365" customFormat="1" ht="15" customHeight="1">
      <c r="A544" s="430" t="s">
        <v>521</v>
      </c>
      <c r="B544" s="450" t="s">
        <v>588</v>
      </c>
      <c r="C544" s="432"/>
      <c r="D544" s="628">
        <v>227304</v>
      </c>
      <c r="E544" s="530">
        <v>9</v>
      </c>
      <c r="F544" s="495"/>
      <c r="G544" s="551"/>
      <c r="H544" s="495">
        <v>53441</v>
      </c>
      <c r="I544" s="555">
        <v>54961</v>
      </c>
      <c r="J544" s="495">
        <v>7288</v>
      </c>
      <c r="K544" s="556">
        <v>7582</v>
      </c>
      <c r="L544" s="495">
        <v>8169</v>
      </c>
      <c r="M544" s="556">
        <v>7552</v>
      </c>
      <c r="N544" s="495">
        <v>59196</v>
      </c>
      <c r="O544" s="552">
        <v>67910</v>
      </c>
      <c r="P544" s="640">
        <f t="shared" si="162"/>
        <v>128094</v>
      </c>
      <c r="Q544" s="640">
        <f t="shared" si="163"/>
        <v>4269.8</v>
      </c>
      <c r="R544" s="641">
        <f t="shared" si="164"/>
        <v>138005</v>
      </c>
      <c r="S544" s="641">
        <f t="shared" si="165"/>
        <v>4600.166666666667</v>
      </c>
      <c r="T544" s="495">
        <v>34370</v>
      </c>
      <c r="U544" s="552">
        <v>40922</v>
      </c>
      <c r="V544" s="640">
        <f t="shared" si="166"/>
        <v>128094</v>
      </c>
      <c r="W544" s="641">
        <f t="shared" si="167"/>
        <v>138005</v>
      </c>
      <c r="X544" s="495">
        <v>36101</v>
      </c>
      <c r="Y544" s="556">
        <v>30288</v>
      </c>
      <c r="Z544" s="495">
        <v>22501</v>
      </c>
      <c r="AA544" s="556">
        <v>30867</v>
      </c>
      <c r="AB544" s="495">
        <v>25765</v>
      </c>
      <c r="AC544" s="556">
        <v>32327</v>
      </c>
      <c r="AD544" s="495">
        <v>25079</v>
      </c>
      <c r="AE544" s="552">
        <v>28450</v>
      </c>
      <c r="AF544" s="640">
        <f t="shared" si="168"/>
        <v>109446</v>
      </c>
      <c r="AG544" s="640">
        <f t="shared" si="169"/>
        <v>121.60666666666667</v>
      </c>
      <c r="AH544" s="641">
        <f t="shared" si="170"/>
        <v>121932</v>
      </c>
      <c r="AI544" s="641">
        <f t="shared" si="171"/>
        <v>135.47999999999999</v>
      </c>
      <c r="AJ544" s="495"/>
      <c r="AK544" s="496"/>
      <c r="AL544" s="640">
        <f t="shared" si="172"/>
        <v>0</v>
      </c>
      <c r="AM544" s="641">
        <f t="shared" si="173"/>
        <v>0</v>
      </c>
      <c r="AN544" s="495"/>
      <c r="AO544" s="496"/>
      <c r="AP544" s="495"/>
      <c r="AQ544" s="496"/>
      <c r="AR544" s="495"/>
      <c r="AS544" s="496"/>
      <c r="AT544" s="495"/>
      <c r="AU544" s="496"/>
      <c r="AV544" s="640">
        <f t="shared" si="174"/>
        <v>0</v>
      </c>
      <c r="AW544" s="640">
        <f t="shared" si="175"/>
        <v>0</v>
      </c>
      <c r="AX544" s="641">
        <f t="shared" si="176"/>
        <v>0</v>
      </c>
      <c r="AY544" s="641">
        <f t="shared" si="177"/>
        <v>0</v>
      </c>
      <c r="AZ544" s="640">
        <f t="shared" si="178"/>
        <v>4391.4066666666668</v>
      </c>
      <c r="BA544" s="641">
        <f t="shared" si="179"/>
        <v>4735.6466666666665</v>
      </c>
    </row>
    <row r="545" spans="1:53" s="365" customFormat="1" ht="15" customHeight="1">
      <c r="A545" s="430" t="s">
        <v>521</v>
      </c>
      <c r="B545" s="450" t="s">
        <v>589</v>
      </c>
      <c r="C545" s="432"/>
      <c r="D545" s="628">
        <v>227401</v>
      </c>
      <c r="E545" s="530">
        <v>9</v>
      </c>
      <c r="F545" s="495"/>
      <c r="G545" s="551"/>
      <c r="H545" s="495">
        <v>37329</v>
      </c>
      <c r="I545" s="555">
        <v>32854</v>
      </c>
      <c r="J545" s="495">
        <v>9958</v>
      </c>
      <c r="K545" s="556">
        <v>10412</v>
      </c>
      <c r="L545" s="495">
        <v>0</v>
      </c>
      <c r="M545" s="556">
        <v>0</v>
      </c>
      <c r="N545" s="495">
        <v>41626</v>
      </c>
      <c r="O545" s="552">
        <v>39948</v>
      </c>
      <c r="P545" s="640">
        <f t="shared" si="162"/>
        <v>88913</v>
      </c>
      <c r="Q545" s="640">
        <f t="shared" si="163"/>
        <v>2963.7666666666669</v>
      </c>
      <c r="R545" s="641">
        <f t="shared" si="164"/>
        <v>83214</v>
      </c>
      <c r="S545" s="641">
        <f t="shared" si="165"/>
        <v>2773.8</v>
      </c>
      <c r="T545" s="495">
        <v>23484</v>
      </c>
      <c r="U545" s="552">
        <v>23225</v>
      </c>
      <c r="V545" s="640">
        <f t="shared" si="166"/>
        <v>88913</v>
      </c>
      <c r="W545" s="641">
        <f t="shared" si="167"/>
        <v>83214</v>
      </c>
      <c r="X545" s="495">
        <v>6389</v>
      </c>
      <c r="Y545" s="556">
        <v>11924</v>
      </c>
      <c r="Z545" s="495">
        <v>5245</v>
      </c>
      <c r="AA545" s="556">
        <v>9844</v>
      </c>
      <c r="AB545" s="495">
        <v>13803</v>
      </c>
      <c r="AC545" s="556">
        <v>11556</v>
      </c>
      <c r="AD545" s="495">
        <v>8647</v>
      </c>
      <c r="AE545" s="552">
        <v>17608</v>
      </c>
      <c r="AF545" s="640">
        <f t="shared" si="168"/>
        <v>34084</v>
      </c>
      <c r="AG545" s="640">
        <f t="shared" si="169"/>
        <v>37.871111111111112</v>
      </c>
      <c r="AH545" s="641">
        <f t="shared" si="170"/>
        <v>50932</v>
      </c>
      <c r="AI545" s="641">
        <f t="shared" si="171"/>
        <v>56.591111111111111</v>
      </c>
      <c r="AJ545" s="495"/>
      <c r="AK545" s="496"/>
      <c r="AL545" s="640">
        <f t="shared" si="172"/>
        <v>0</v>
      </c>
      <c r="AM545" s="641">
        <f t="shared" si="173"/>
        <v>0</v>
      </c>
      <c r="AN545" s="495"/>
      <c r="AO545" s="496"/>
      <c r="AP545" s="495"/>
      <c r="AQ545" s="496"/>
      <c r="AR545" s="495"/>
      <c r="AS545" s="496"/>
      <c r="AT545" s="495"/>
      <c r="AU545" s="496"/>
      <c r="AV545" s="640">
        <f t="shared" si="174"/>
        <v>0</v>
      </c>
      <c r="AW545" s="640">
        <f t="shared" si="175"/>
        <v>0</v>
      </c>
      <c r="AX545" s="641">
        <f t="shared" si="176"/>
        <v>0</v>
      </c>
      <c r="AY545" s="641">
        <f t="shared" si="177"/>
        <v>0</v>
      </c>
      <c r="AZ545" s="640">
        <f t="shared" si="178"/>
        <v>3001.637777777778</v>
      </c>
      <c r="BA545" s="641">
        <f t="shared" si="179"/>
        <v>2830.3911111111115</v>
      </c>
    </row>
    <row r="546" spans="1:53" s="365" customFormat="1" ht="15" customHeight="1">
      <c r="A546" s="430" t="s">
        <v>521</v>
      </c>
      <c r="B546" s="450" t="s">
        <v>590</v>
      </c>
      <c r="C546" s="432"/>
      <c r="D546" s="628">
        <v>228316</v>
      </c>
      <c r="E546" s="530">
        <v>9</v>
      </c>
      <c r="F546" s="495"/>
      <c r="G546" s="551"/>
      <c r="H546" s="495">
        <v>54242</v>
      </c>
      <c r="I546" s="555">
        <v>49634</v>
      </c>
      <c r="J546" s="495">
        <v>11952</v>
      </c>
      <c r="K546" s="556">
        <v>11852</v>
      </c>
      <c r="L546" s="495">
        <v>5258</v>
      </c>
      <c r="M546" s="556">
        <v>4651</v>
      </c>
      <c r="N546" s="495">
        <v>50094</v>
      </c>
      <c r="O546" s="552">
        <v>42113</v>
      </c>
      <c r="P546" s="640">
        <f t="shared" si="162"/>
        <v>121546</v>
      </c>
      <c r="Q546" s="640">
        <f t="shared" si="163"/>
        <v>4051.5333333333333</v>
      </c>
      <c r="R546" s="641">
        <f t="shared" si="164"/>
        <v>108250</v>
      </c>
      <c r="S546" s="641">
        <f t="shared" si="165"/>
        <v>3608.3333333333335</v>
      </c>
      <c r="T546" s="495">
        <v>42354</v>
      </c>
      <c r="U546" s="552">
        <v>40145</v>
      </c>
      <c r="V546" s="640">
        <f t="shared" si="166"/>
        <v>121546</v>
      </c>
      <c r="W546" s="641">
        <f t="shared" si="167"/>
        <v>108250</v>
      </c>
      <c r="X546" s="495">
        <v>15092</v>
      </c>
      <c r="Y546" s="556">
        <v>20423</v>
      </c>
      <c r="Z546" s="495">
        <v>4650</v>
      </c>
      <c r="AA546" s="556">
        <v>19044</v>
      </c>
      <c r="AB546" s="495">
        <v>8606</v>
      </c>
      <c r="AC546" s="556">
        <v>17884</v>
      </c>
      <c r="AD546" s="495">
        <v>12128</v>
      </c>
      <c r="AE546" s="552">
        <v>20138</v>
      </c>
      <c r="AF546" s="640">
        <f t="shared" si="168"/>
        <v>40476</v>
      </c>
      <c r="AG546" s="640">
        <f t="shared" si="169"/>
        <v>44.973333333333336</v>
      </c>
      <c r="AH546" s="641">
        <f t="shared" si="170"/>
        <v>77489</v>
      </c>
      <c r="AI546" s="641">
        <f t="shared" si="171"/>
        <v>86.098888888888894</v>
      </c>
      <c r="AJ546" s="495"/>
      <c r="AK546" s="496"/>
      <c r="AL546" s="640">
        <f t="shared" si="172"/>
        <v>0</v>
      </c>
      <c r="AM546" s="641">
        <f t="shared" si="173"/>
        <v>0</v>
      </c>
      <c r="AN546" s="495"/>
      <c r="AO546" s="496"/>
      <c r="AP546" s="495"/>
      <c r="AQ546" s="496"/>
      <c r="AR546" s="495"/>
      <c r="AS546" s="496"/>
      <c r="AT546" s="495"/>
      <c r="AU546" s="496"/>
      <c r="AV546" s="640">
        <f t="shared" si="174"/>
        <v>0</v>
      </c>
      <c r="AW546" s="640">
        <f t="shared" si="175"/>
        <v>0</v>
      </c>
      <c r="AX546" s="641">
        <f t="shared" si="176"/>
        <v>0</v>
      </c>
      <c r="AY546" s="641">
        <f t="shared" si="177"/>
        <v>0</v>
      </c>
      <c r="AZ546" s="640">
        <f t="shared" si="178"/>
        <v>4096.5066666666662</v>
      </c>
      <c r="BA546" s="641">
        <f t="shared" si="179"/>
        <v>3694.4322222222222</v>
      </c>
    </row>
    <row r="547" spans="1:53" s="365" customFormat="1" ht="15" customHeight="1">
      <c r="A547" s="430" t="s">
        <v>521</v>
      </c>
      <c r="B547" s="450" t="s">
        <v>591</v>
      </c>
      <c r="C547" s="432"/>
      <c r="D547" s="628">
        <v>228608</v>
      </c>
      <c r="E547" s="530">
        <v>9</v>
      </c>
      <c r="F547" s="495"/>
      <c r="G547" s="551"/>
      <c r="H547" s="495">
        <v>38725</v>
      </c>
      <c r="I547" s="555">
        <v>38719</v>
      </c>
      <c r="J547" s="495">
        <v>11492</v>
      </c>
      <c r="K547" s="556">
        <v>18311</v>
      </c>
      <c r="L547" s="495">
        <v>0</v>
      </c>
      <c r="M547" s="556">
        <v>0</v>
      </c>
      <c r="N547" s="495">
        <v>34876</v>
      </c>
      <c r="O547" s="552">
        <v>28423</v>
      </c>
      <c r="P547" s="640">
        <f t="shared" si="162"/>
        <v>85093</v>
      </c>
      <c r="Q547" s="640">
        <f t="shared" si="163"/>
        <v>2836.4333333333334</v>
      </c>
      <c r="R547" s="641">
        <f t="shared" si="164"/>
        <v>85453</v>
      </c>
      <c r="S547" s="641">
        <f t="shared" si="165"/>
        <v>2848.4333333333334</v>
      </c>
      <c r="T547" s="495">
        <v>15971</v>
      </c>
      <c r="U547" s="552">
        <v>15613</v>
      </c>
      <c r="V547" s="640">
        <f t="shared" si="166"/>
        <v>85093</v>
      </c>
      <c r="W547" s="641">
        <f t="shared" si="167"/>
        <v>85453</v>
      </c>
      <c r="X547" s="495">
        <v>3080</v>
      </c>
      <c r="Y547" s="556">
        <v>18638</v>
      </c>
      <c r="Z547" s="495">
        <v>10560</v>
      </c>
      <c r="AA547" s="556">
        <v>3990</v>
      </c>
      <c r="AB547" s="495">
        <v>4978</v>
      </c>
      <c r="AC547" s="556">
        <v>11295</v>
      </c>
      <c r="AD547" s="495">
        <v>17138</v>
      </c>
      <c r="AE547" s="552">
        <v>31769</v>
      </c>
      <c r="AF547" s="640">
        <f t="shared" si="168"/>
        <v>35756</v>
      </c>
      <c r="AG547" s="640">
        <f t="shared" si="169"/>
        <v>39.728888888888889</v>
      </c>
      <c r="AH547" s="641">
        <f t="shared" si="170"/>
        <v>65692</v>
      </c>
      <c r="AI547" s="641">
        <f t="shared" si="171"/>
        <v>72.99111111111111</v>
      </c>
      <c r="AJ547" s="495"/>
      <c r="AK547" s="496"/>
      <c r="AL547" s="640">
        <f t="shared" si="172"/>
        <v>0</v>
      </c>
      <c r="AM547" s="641">
        <f t="shared" si="173"/>
        <v>0</v>
      </c>
      <c r="AN547" s="495"/>
      <c r="AO547" s="496"/>
      <c r="AP547" s="495"/>
      <c r="AQ547" s="496"/>
      <c r="AR547" s="495"/>
      <c r="AS547" s="496"/>
      <c r="AT547" s="495"/>
      <c r="AU547" s="496"/>
      <c r="AV547" s="640">
        <f t="shared" si="174"/>
        <v>0</v>
      </c>
      <c r="AW547" s="640">
        <f t="shared" si="175"/>
        <v>0</v>
      </c>
      <c r="AX547" s="641">
        <f t="shared" si="176"/>
        <v>0</v>
      </c>
      <c r="AY547" s="641">
        <f t="shared" si="177"/>
        <v>0</v>
      </c>
      <c r="AZ547" s="640">
        <f t="shared" si="178"/>
        <v>2876.1622222222222</v>
      </c>
      <c r="BA547" s="641">
        <f t="shared" si="179"/>
        <v>2921.4244444444444</v>
      </c>
    </row>
    <row r="548" spans="1:53" s="365" customFormat="1" ht="15" customHeight="1">
      <c r="A548" s="430" t="s">
        <v>521</v>
      </c>
      <c r="B548" s="450" t="s">
        <v>592</v>
      </c>
      <c r="C548" s="432"/>
      <c r="D548" s="628">
        <v>228699</v>
      </c>
      <c r="E548" s="530">
        <v>9</v>
      </c>
      <c r="F548" s="495"/>
      <c r="G548" s="551"/>
      <c r="H548" s="495">
        <v>30551</v>
      </c>
      <c r="I548" s="555">
        <v>26820</v>
      </c>
      <c r="J548" s="495">
        <v>6841</v>
      </c>
      <c r="K548" s="556">
        <v>5648</v>
      </c>
      <c r="L548" s="495">
        <v>0</v>
      </c>
      <c r="M548" s="556">
        <v>0</v>
      </c>
      <c r="N548" s="495">
        <v>34257</v>
      </c>
      <c r="O548" s="552">
        <v>31319</v>
      </c>
      <c r="P548" s="640">
        <f t="shared" si="162"/>
        <v>71649</v>
      </c>
      <c r="Q548" s="640">
        <f t="shared" si="163"/>
        <v>2388.3000000000002</v>
      </c>
      <c r="R548" s="641">
        <f t="shared" si="164"/>
        <v>63787</v>
      </c>
      <c r="S548" s="641">
        <f t="shared" si="165"/>
        <v>2126.2333333333331</v>
      </c>
      <c r="T548" s="495">
        <v>18514</v>
      </c>
      <c r="U548" s="552">
        <v>19336</v>
      </c>
      <c r="V548" s="640">
        <f t="shared" si="166"/>
        <v>71649</v>
      </c>
      <c r="W548" s="641">
        <f t="shared" si="167"/>
        <v>63787</v>
      </c>
      <c r="X548" s="495">
        <v>84998</v>
      </c>
      <c r="Y548" s="556">
        <v>14864</v>
      </c>
      <c r="Z548" s="495">
        <v>4657</v>
      </c>
      <c r="AA548" s="556">
        <v>46871</v>
      </c>
      <c r="AB548" s="495">
        <v>10150</v>
      </c>
      <c r="AC548" s="556">
        <v>52679</v>
      </c>
      <c r="AD548" s="495">
        <v>15523</v>
      </c>
      <c r="AE548" s="552">
        <v>53105</v>
      </c>
      <c r="AF548" s="640">
        <f t="shared" si="168"/>
        <v>115328</v>
      </c>
      <c r="AG548" s="640">
        <f t="shared" si="169"/>
        <v>128.14222222222222</v>
      </c>
      <c r="AH548" s="641">
        <f t="shared" si="170"/>
        <v>167519</v>
      </c>
      <c r="AI548" s="641">
        <f t="shared" si="171"/>
        <v>186.13222222222223</v>
      </c>
      <c r="AJ548" s="495"/>
      <c r="AK548" s="496"/>
      <c r="AL548" s="640">
        <f t="shared" si="172"/>
        <v>0</v>
      </c>
      <c r="AM548" s="641">
        <f t="shared" si="173"/>
        <v>0</v>
      </c>
      <c r="AN548" s="495"/>
      <c r="AO548" s="496"/>
      <c r="AP548" s="495"/>
      <c r="AQ548" s="496"/>
      <c r="AR548" s="495"/>
      <c r="AS548" s="496"/>
      <c r="AT548" s="495"/>
      <c r="AU548" s="496"/>
      <c r="AV548" s="640">
        <f t="shared" si="174"/>
        <v>0</v>
      </c>
      <c r="AW548" s="640">
        <f t="shared" si="175"/>
        <v>0</v>
      </c>
      <c r="AX548" s="641">
        <f t="shared" si="176"/>
        <v>0</v>
      </c>
      <c r="AY548" s="641">
        <f t="shared" si="177"/>
        <v>0</v>
      </c>
      <c r="AZ548" s="640">
        <f t="shared" si="178"/>
        <v>2516.4422222222224</v>
      </c>
      <c r="BA548" s="641">
        <f t="shared" si="179"/>
        <v>2312.3655555555551</v>
      </c>
    </row>
    <row r="549" spans="1:53" s="365" customFormat="1" ht="15" customHeight="1">
      <c r="A549" s="430" t="s">
        <v>521</v>
      </c>
      <c r="B549" s="450" t="s">
        <v>593</v>
      </c>
      <c r="C549" s="432"/>
      <c r="D549" s="628">
        <v>227377</v>
      </c>
      <c r="E549" s="530">
        <v>9</v>
      </c>
      <c r="F549" s="495"/>
      <c r="G549" s="551"/>
      <c r="H549" s="495">
        <v>64456</v>
      </c>
      <c r="I549" s="555">
        <v>63045</v>
      </c>
      <c r="J549" s="495">
        <v>10761</v>
      </c>
      <c r="K549" s="556">
        <v>10103</v>
      </c>
      <c r="L549" s="495">
        <v>8315</v>
      </c>
      <c r="M549" s="556">
        <v>6617</v>
      </c>
      <c r="N549" s="495">
        <v>61364</v>
      </c>
      <c r="O549" s="552">
        <v>53845</v>
      </c>
      <c r="P549" s="640">
        <f t="shared" si="162"/>
        <v>144896</v>
      </c>
      <c r="Q549" s="640">
        <f t="shared" si="163"/>
        <v>4829.8666666666668</v>
      </c>
      <c r="R549" s="641">
        <f t="shared" si="164"/>
        <v>133610</v>
      </c>
      <c r="S549" s="641">
        <f t="shared" si="165"/>
        <v>4453.666666666667</v>
      </c>
      <c r="T549" s="495">
        <v>52725</v>
      </c>
      <c r="U549" s="552">
        <v>52008</v>
      </c>
      <c r="V549" s="640">
        <f t="shared" si="166"/>
        <v>144896</v>
      </c>
      <c r="W549" s="641">
        <f t="shared" si="167"/>
        <v>133610</v>
      </c>
      <c r="X549" s="495">
        <v>16704</v>
      </c>
      <c r="Y549" s="556">
        <v>16304</v>
      </c>
      <c r="Z549" s="495">
        <v>19936</v>
      </c>
      <c r="AA549" s="556">
        <v>25664</v>
      </c>
      <c r="AB549" s="495">
        <v>10040</v>
      </c>
      <c r="AC549" s="556">
        <v>20228</v>
      </c>
      <c r="AD549" s="495">
        <v>13200</v>
      </c>
      <c r="AE549" s="552">
        <v>36680</v>
      </c>
      <c r="AF549" s="640">
        <f t="shared" si="168"/>
        <v>59880</v>
      </c>
      <c r="AG549" s="640">
        <f t="shared" si="169"/>
        <v>66.533333333333331</v>
      </c>
      <c r="AH549" s="641">
        <f t="shared" si="170"/>
        <v>98876</v>
      </c>
      <c r="AI549" s="641">
        <f t="shared" si="171"/>
        <v>109.86222222222223</v>
      </c>
      <c r="AJ549" s="495"/>
      <c r="AK549" s="496"/>
      <c r="AL549" s="640">
        <f t="shared" si="172"/>
        <v>0</v>
      </c>
      <c r="AM549" s="641">
        <f t="shared" si="173"/>
        <v>0</v>
      </c>
      <c r="AN549" s="495"/>
      <c r="AO549" s="496"/>
      <c r="AP549" s="495"/>
      <c r="AQ549" s="496"/>
      <c r="AR549" s="495"/>
      <c r="AS549" s="496"/>
      <c r="AT549" s="495"/>
      <c r="AU549" s="496"/>
      <c r="AV549" s="640">
        <f t="shared" si="174"/>
        <v>0</v>
      </c>
      <c r="AW549" s="640">
        <f t="shared" si="175"/>
        <v>0</v>
      </c>
      <c r="AX549" s="641">
        <f t="shared" si="176"/>
        <v>0</v>
      </c>
      <c r="AY549" s="641">
        <f t="shared" si="177"/>
        <v>0</v>
      </c>
      <c r="AZ549" s="640">
        <f t="shared" si="178"/>
        <v>4896.4000000000005</v>
      </c>
      <c r="BA549" s="641">
        <f t="shared" si="179"/>
        <v>4563.528888888889</v>
      </c>
    </row>
    <row r="550" spans="1:53" s="365" customFormat="1" ht="15" customHeight="1">
      <c r="A550" s="430" t="s">
        <v>521</v>
      </c>
      <c r="B550" s="450" t="s">
        <v>594</v>
      </c>
      <c r="C550" s="432"/>
      <c r="D550" s="628">
        <v>229319</v>
      </c>
      <c r="E550" s="530">
        <v>9</v>
      </c>
      <c r="F550" s="495"/>
      <c r="G550" s="551"/>
      <c r="H550" s="495">
        <v>30839</v>
      </c>
      <c r="I550" s="555">
        <v>28004</v>
      </c>
      <c r="J550" s="495">
        <v>4452</v>
      </c>
      <c r="K550" s="556">
        <v>16660</v>
      </c>
      <c r="L550" s="495">
        <v>0</v>
      </c>
      <c r="M550" s="556">
        <v>0</v>
      </c>
      <c r="N550" s="495">
        <v>45140</v>
      </c>
      <c r="O550" s="552">
        <v>28922</v>
      </c>
      <c r="P550" s="640">
        <f t="shared" si="162"/>
        <v>80431</v>
      </c>
      <c r="Q550" s="640">
        <f t="shared" si="163"/>
        <v>2681.0333333333333</v>
      </c>
      <c r="R550" s="641">
        <f t="shared" si="164"/>
        <v>73586</v>
      </c>
      <c r="S550" s="641">
        <f t="shared" si="165"/>
        <v>2452.8666666666668</v>
      </c>
      <c r="T550" s="495">
        <v>1329</v>
      </c>
      <c r="U550" s="552">
        <v>853</v>
      </c>
      <c r="V550" s="640">
        <f t="shared" si="166"/>
        <v>80431</v>
      </c>
      <c r="W550" s="641">
        <f t="shared" si="167"/>
        <v>73586</v>
      </c>
      <c r="X550" s="495">
        <v>8452</v>
      </c>
      <c r="Y550" s="556">
        <v>5990</v>
      </c>
      <c r="Z550" s="495">
        <v>2080</v>
      </c>
      <c r="AA550" s="556">
        <v>14206</v>
      </c>
      <c r="AB550" s="495">
        <v>5120</v>
      </c>
      <c r="AC550" s="556">
        <v>8265</v>
      </c>
      <c r="AD550" s="495">
        <v>10000</v>
      </c>
      <c r="AE550" s="552">
        <v>6880</v>
      </c>
      <c r="AF550" s="640">
        <f t="shared" si="168"/>
        <v>25652</v>
      </c>
      <c r="AG550" s="640">
        <f t="shared" si="169"/>
        <v>28.502222222222223</v>
      </c>
      <c r="AH550" s="641">
        <f t="shared" si="170"/>
        <v>35341</v>
      </c>
      <c r="AI550" s="641">
        <f t="shared" si="171"/>
        <v>39.267777777777781</v>
      </c>
      <c r="AJ550" s="495"/>
      <c r="AK550" s="496"/>
      <c r="AL550" s="640">
        <f t="shared" si="172"/>
        <v>0</v>
      </c>
      <c r="AM550" s="641">
        <f t="shared" si="173"/>
        <v>0</v>
      </c>
      <c r="AN550" s="495"/>
      <c r="AO550" s="496"/>
      <c r="AP550" s="495"/>
      <c r="AQ550" s="496"/>
      <c r="AR550" s="495"/>
      <c r="AS550" s="496"/>
      <c r="AT550" s="495"/>
      <c r="AU550" s="496"/>
      <c r="AV550" s="640">
        <f t="shared" si="174"/>
        <v>0</v>
      </c>
      <c r="AW550" s="640">
        <f t="shared" si="175"/>
        <v>0</v>
      </c>
      <c r="AX550" s="641">
        <f t="shared" si="176"/>
        <v>0</v>
      </c>
      <c r="AY550" s="641">
        <f t="shared" si="177"/>
        <v>0</v>
      </c>
      <c r="AZ550" s="640">
        <f t="shared" si="178"/>
        <v>2709.5355555555557</v>
      </c>
      <c r="BA550" s="641">
        <f t="shared" si="179"/>
        <v>2492.1344444444444</v>
      </c>
    </row>
    <row r="551" spans="1:53" s="365" customFormat="1" ht="15" customHeight="1">
      <c r="A551" s="430" t="s">
        <v>521</v>
      </c>
      <c r="B551" s="431" t="s">
        <v>595</v>
      </c>
      <c r="C551" s="432"/>
      <c r="D551" s="628">
        <v>228680</v>
      </c>
      <c r="E551" s="530">
        <v>9</v>
      </c>
      <c r="F551" s="495"/>
      <c r="G551" s="551"/>
      <c r="H551" s="495">
        <v>35851</v>
      </c>
      <c r="I551" s="555">
        <v>29578</v>
      </c>
      <c r="J551" s="495">
        <v>1647</v>
      </c>
      <c r="K551" s="556">
        <v>19264</v>
      </c>
      <c r="L551" s="495">
        <v>0</v>
      </c>
      <c r="M551" s="556">
        <v>0</v>
      </c>
      <c r="N551" s="495">
        <v>51374</v>
      </c>
      <c r="O551" s="552">
        <v>31295</v>
      </c>
      <c r="P551" s="640">
        <f t="shared" si="162"/>
        <v>88872</v>
      </c>
      <c r="Q551" s="640">
        <f t="shared" si="163"/>
        <v>2962.4</v>
      </c>
      <c r="R551" s="641">
        <f t="shared" si="164"/>
        <v>80137</v>
      </c>
      <c r="S551" s="641">
        <f t="shared" si="165"/>
        <v>2671.2333333333331</v>
      </c>
      <c r="T551" s="495">
        <v>1192</v>
      </c>
      <c r="U551" s="552">
        <v>1107</v>
      </c>
      <c r="V551" s="640">
        <f t="shared" si="166"/>
        <v>88872</v>
      </c>
      <c r="W551" s="641">
        <f t="shared" si="167"/>
        <v>80137</v>
      </c>
      <c r="X551" s="495">
        <v>0</v>
      </c>
      <c r="Y551" s="556">
        <v>1904</v>
      </c>
      <c r="Z551" s="495">
        <v>0</v>
      </c>
      <c r="AA551" s="556">
        <v>504</v>
      </c>
      <c r="AB551" s="495">
        <v>1400</v>
      </c>
      <c r="AC551" s="556">
        <v>0</v>
      </c>
      <c r="AD551" s="495">
        <v>0</v>
      </c>
      <c r="AE551" s="552">
        <v>0</v>
      </c>
      <c r="AF551" s="640">
        <f t="shared" si="168"/>
        <v>1400</v>
      </c>
      <c r="AG551" s="640">
        <f t="shared" si="169"/>
        <v>1.5555555555555556</v>
      </c>
      <c r="AH551" s="641">
        <f t="shared" si="170"/>
        <v>2408</v>
      </c>
      <c r="AI551" s="641">
        <f t="shared" si="171"/>
        <v>2.6755555555555555</v>
      </c>
      <c r="AJ551" s="495"/>
      <c r="AK551" s="496"/>
      <c r="AL551" s="640">
        <f t="shared" si="172"/>
        <v>0</v>
      </c>
      <c r="AM551" s="641">
        <f t="shared" si="173"/>
        <v>0</v>
      </c>
      <c r="AN551" s="495"/>
      <c r="AO551" s="496"/>
      <c r="AP551" s="495"/>
      <c r="AQ551" s="496"/>
      <c r="AR551" s="495"/>
      <c r="AS551" s="496"/>
      <c r="AT551" s="495"/>
      <c r="AU551" s="496"/>
      <c r="AV551" s="640">
        <f t="shared" si="174"/>
        <v>0</v>
      </c>
      <c r="AW551" s="640">
        <f t="shared" si="175"/>
        <v>0</v>
      </c>
      <c r="AX551" s="641">
        <f t="shared" si="176"/>
        <v>0</v>
      </c>
      <c r="AY551" s="641">
        <f t="shared" si="177"/>
        <v>0</v>
      </c>
      <c r="AZ551" s="640">
        <f t="shared" si="178"/>
        <v>2963.9555555555557</v>
      </c>
      <c r="BA551" s="641">
        <f t="shared" si="179"/>
        <v>2673.9088888888887</v>
      </c>
    </row>
    <row r="552" spans="1:53" s="365" customFormat="1" ht="15" customHeight="1">
      <c r="A552" s="430" t="s">
        <v>521</v>
      </c>
      <c r="B552" s="450" t="s">
        <v>596</v>
      </c>
      <c r="C552" s="558"/>
      <c r="D552" s="628">
        <v>229504</v>
      </c>
      <c r="E552" s="530">
        <v>9</v>
      </c>
      <c r="F552" s="495"/>
      <c r="G552" s="551"/>
      <c r="H552" s="495">
        <v>23349</v>
      </c>
      <c r="I552" s="555">
        <v>20709</v>
      </c>
      <c r="J552" s="495">
        <v>2467</v>
      </c>
      <c r="K552" s="556">
        <v>1820</v>
      </c>
      <c r="L552" s="495">
        <v>3912</v>
      </c>
      <c r="M552" s="556">
        <v>3657</v>
      </c>
      <c r="N552" s="495">
        <v>23765</v>
      </c>
      <c r="O552" s="552">
        <v>19644</v>
      </c>
      <c r="P552" s="640">
        <f t="shared" si="162"/>
        <v>53493</v>
      </c>
      <c r="Q552" s="640">
        <f t="shared" si="163"/>
        <v>1783.1</v>
      </c>
      <c r="R552" s="641">
        <f t="shared" si="164"/>
        <v>45830</v>
      </c>
      <c r="S552" s="641">
        <f t="shared" si="165"/>
        <v>1527.6666666666667</v>
      </c>
      <c r="T552" s="495">
        <v>8957</v>
      </c>
      <c r="U552" s="552">
        <v>7762</v>
      </c>
      <c r="V552" s="640">
        <f t="shared" si="166"/>
        <v>53493</v>
      </c>
      <c r="W552" s="641">
        <f t="shared" si="167"/>
        <v>45830</v>
      </c>
      <c r="X552" s="495">
        <v>55757</v>
      </c>
      <c r="Y552" s="556">
        <v>48503</v>
      </c>
      <c r="Z552" s="495">
        <v>32096</v>
      </c>
      <c r="AA552" s="556">
        <v>36214</v>
      </c>
      <c r="AB552" s="495">
        <v>15016</v>
      </c>
      <c r="AC552" s="556">
        <v>29006</v>
      </c>
      <c r="AD552" s="495">
        <v>65616</v>
      </c>
      <c r="AE552" s="552">
        <v>60866</v>
      </c>
      <c r="AF552" s="640">
        <f t="shared" si="168"/>
        <v>168485</v>
      </c>
      <c r="AG552" s="640">
        <f t="shared" si="169"/>
        <v>187.20555555555555</v>
      </c>
      <c r="AH552" s="641">
        <f t="shared" si="170"/>
        <v>174589</v>
      </c>
      <c r="AI552" s="641">
        <f t="shared" si="171"/>
        <v>193.98777777777778</v>
      </c>
      <c r="AJ552" s="495"/>
      <c r="AK552" s="496"/>
      <c r="AL552" s="640">
        <f t="shared" si="172"/>
        <v>0</v>
      </c>
      <c r="AM552" s="641">
        <f t="shared" si="173"/>
        <v>0</v>
      </c>
      <c r="AN552" s="495"/>
      <c r="AO552" s="496"/>
      <c r="AP552" s="495"/>
      <c r="AQ552" s="496"/>
      <c r="AR552" s="495"/>
      <c r="AS552" s="496"/>
      <c r="AT552" s="495"/>
      <c r="AU552" s="496"/>
      <c r="AV552" s="640">
        <f t="shared" si="174"/>
        <v>0</v>
      </c>
      <c r="AW552" s="640">
        <f t="shared" si="175"/>
        <v>0</v>
      </c>
      <c r="AX552" s="641">
        <f t="shared" si="176"/>
        <v>0</v>
      </c>
      <c r="AY552" s="641">
        <f t="shared" si="177"/>
        <v>0</v>
      </c>
      <c r="AZ552" s="640">
        <f t="shared" si="178"/>
        <v>1970.3055555555554</v>
      </c>
      <c r="BA552" s="641">
        <f t="shared" si="179"/>
        <v>1721.6544444444446</v>
      </c>
    </row>
    <row r="553" spans="1:53" s="365" customFormat="1" ht="15" customHeight="1">
      <c r="A553" s="430" t="s">
        <v>521</v>
      </c>
      <c r="B553" s="450" t="s">
        <v>597</v>
      </c>
      <c r="C553" s="432"/>
      <c r="D553" s="628">
        <v>229540</v>
      </c>
      <c r="E553" s="530">
        <v>9</v>
      </c>
      <c r="F553" s="495"/>
      <c r="G553" s="551"/>
      <c r="H553" s="495">
        <v>24997</v>
      </c>
      <c r="I553" s="555">
        <v>21311</v>
      </c>
      <c r="J553" s="495">
        <v>7545</v>
      </c>
      <c r="K553" s="556">
        <v>7113</v>
      </c>
      <c r="L553" s="495">
        <v>0</v>
      </c>
      <c r="M553" s="556">
        <v>0</v>
      </c>
      <c r="N553" s="495">
        <v>24574</v>
      </c>
      <c r="O553" s="552">
        <v>23112</v>
      </c>
      <c r="P553" s="640">
        <f t="shared" si="162"/>
        <v>57116</v>
      </c>
      <c r="Q553" s="640">
        <f t="shared" si="163"/>
        <v>1903.8666666666666</v>
      </c>
      <c r="R553" s="641">
        <f t="shared" si="164"/>
        <v>51536</v>
      </c>
      <c r="S553" s="641">
        <f t="shared" si="165"/>
        <v>1717.8666666666666</v>
      </c>
      <c r="T553" s="495">
        <v>6033</v>
      </c>
      <c r="U553" s="552">
        <v>5709</v>
      </c>
      <c r="V553" s="640">
        <f t="shared" si="166"/>
        <v>57116</v>
      </c>
      <c r="W553" s="641">
        <f t="shared" si="167"/>
        <v>51536</v>
      </c>
      <c r="X553" s="495">
        <v>28270</v>
      </c>
      <c r="Y553" s="556">
        <v>18346</v>
      </c>
      <c r="Z553" s="495">
        <v>13718</v>
      </c>
      <c r="AA553" s="556">
        <v>23076</v>
      </c>
      <c r="AB553" s="495">
        <v>14695</v>
      </c>
      <c r="AC553" s="556">
        <v>18619</v>
      </c>
      <c r="AD553" s="495">
        <v>31559</v>
      </c>
      <c r="AE553" s="552">
        <v>37857</v>
      </c>
      <c r="AF553" s="640">
        <f t="shared" si="168"/>
        <v>88242</v>
      </c>
      <c r="AG553" s="640">
        <f t="shared" si="169"/>
        <v>98.046666666666667</v>
      </c>
      <c r="AH553" s="641">
        <f t="shared" si="170"/>
        <v>97898</v>
      </c>
      <c r="AI553" s="641">
        <f t="shared" si="171"/>
        <v>108.77555555555556</v>
      </c>
      <c r="AJ553" s="495"/>
      <c r="AK553" s="496"/>
      <c r="AL553" s="640">
        <f t="shared" si="172"/>
        <v>0</v>
      </c>
      <c r="AM553" s="641">
        <f t="shared" si="173"/>
        <v>0</v>
      </c>
      <c r="AN553" s="495"/>
      <c r="AO553" s="496"/>
      <c r="AP553" s="495"/>
      <c r="AQ553" s="496"/>
      <c r="AR553" s="495"/>
      <c r="AS553" s="496"/>
      <c r="AT553" s="495"/>
      <c r="AU553" s="496"/>
      <c r="AV553" s="640">
        <f t="shared" si="174"/>
        <v>0</v>
      </c>
      <c r="AW553" s="640">
        <f t="shared" si="175"/>
        <v>0</v>
      </c>
      <c r="AX553" s="641">
        <f t="shared" si="176"/>
        <v>0</v>
      </c>
      <c r="AY553" s="641">
        <f t="shared" si="177"/>
        <v>0</v>
      </c>
      <c r="AZ553" s="640">
        <f t="shared" si="178"/>
        <v>2001.9133333333332</v>
      </c>
      <c r="BA553" s="641">
        <f t="shared" si="179"/>
        <v>1826.642222222222</v>
      </c>
    </row>
    <row r="554" spans="1:53" s="365" customFormat="1" ht="15" customHeight="1">
      <c r="A554" s="430" t="s">
        <v>521</v>
      </c>
      <c r="B554" s="450" t="s">
        <v>598</v>
      </c>
      <c r="C554" s="432"/>
      <c r="D554" s="628">
        <v>229799</v>
      </c>
      <c r="E554" s="530">
        <v>9</v>
      </c>
      <c r="F554" s="495"/>
      <c r="G554" s="551"/>
      <c r="H554" s="495">
        <v>46080</v>
      </c>
      <c r="I554" s="555">
        <v>41371</v>
      </c>
      <c r="J554" s="495">
        <v>6740</v>
      </c>
      <c r="K554" s="556">
        <v>10185</v>
      </c>
      <c r="L554" s="495">
        <v>5813</v>
      </c>
      <c r="M554" s="556">
        <v>0</v>
      </c>
      <c r="N554" s="495">
        <v>46253</v>
      </c>
      <c r="O554" s="552">
        <v>48339</v>
      </c>
      <c r="P554" s="640">
        <f t="shared" si="162"/>
        <v>104886</v>
      </c>
      <c r="Q554" s="640">
        <f t="shared" si="163"/>
        <v>3496.2</v>
      </c>
      <c r="R554" s="641">
        <f t="shared" si="164"/>
        <v>99895</v>
      </c>
      <c r="S554" s="641">
        <f t="shared" si="165"/>
        <v>3329.8333333333335</v>
      </c>
      <c r="T554" s="495">
        <v>17064</v>
      </c>
      <c r="U554" s="552">
        <v>22342</v>
      </c>
      <c r="V554" s="640">
        <f t="shared" si="166"/>
        <v>104886</v>
      </c>
      <c r="W554" s="641">
        <f t="shared" si="167"/>
        <v>99895</v>
      </c>
      <c r="X554" s="495">
        <v>25023</v>
      </c>
      <c r="Y554" s="556">
        <v>18283</v>
      </c>
      <c r="Z554" s="495">
        <v>10408</v>
      </c>
      <c r="AA554" s="556">
        <v>24970</v>
      </c>
      <c r="AB554" s="495">
        <v>26999</v>
      </c>
      <c r="AC554" s="556">
        <v>22748</v>
      </c>
      <c r="AD554" s="495">
        <v>14092</v>
      </c>
      <c r="AE554" s="552">
        <v>13461</v>
      </c>
      <c r="AF554" s="640">
        <f t="shared" si="168"/>
        <v>76522</v>
      </c>
      <c r="AG554" s="640">
        <f t="shared" si="169"/>
        <v>85.024444444444441</v>
      </c>
      <c r="AH554" s="641">
        <f t="shared" si="170"/>
        <v>79462</v>
      </c>
      <c r="AI554" s="641">
        <f t="shared" si="171"/>
        <v>88.291111111111107</v>
      </c>
      <c r="AJ554" s="495"/>
      <c r="AK554" s="496"/>
      <c r="AL554" s="640">
        <f t="shared" si="172"/>
        <v>0</v>
      </c>
      <c r="AM554" s="641">
        <f t="shared" si="173"/>
        <v>0</v>
      </c>
      <c r="AN554" s="495"/>
      <c r="AO554" s="496"/>
      <c r="AP554" s="495"/>
      <c r="AQ554" s="496"/>
      <c r="AR554" s="495"/>
      <c r="AS554" s="496"/>
      <c r="AT554" s="495"/>
      <c r="AU554" s="496"/>
      <c r="AV554" s="640">
        <f t="shared" si="174"/>
        <v>0</v>
      </c>
      <c r="AW554" s="640">
        <f t="shared" si="175"/>
        <v>0</v>
      </c>
      <c r="AX554" s="641">
        <f t="shared" si="176"/>
        <v>0</v>
      </c>
      <c r="AY554" s="641">
        <f t="shared" si="177"/>
        <v>0</v>
      </c>
      <c r="AZ554" s="640">
        <f t="shared" si="178"/>
        <v>3581.2244444444441</v>
      </c>
      <c r="BA554" s="641">
        <f t="shared" si="179"/>
        <v>3418.1244444444446</v>
      </c>
    </row>
    <row r="555" spans="1:53" s="365" customFormat="1" ht="15" customHeight="1">
      <c r="A555" s="430" t="s">
        <v>521</v>
      </c>
      <c r="B555" s="450" t="s">
        <v>599</v>
      </c>
      <c r="C555" s="432"/>
      <c r="D555" s="628">
        <v>229841</v>
      </c>
      <c r="E555" s="530">
        <v>9</v>
      </c>
      <c r="F555" s="495"/>
      <c r="G555" s="551"/>
      <c r="H555" s="495">
        <v>59528</v>
      </c>
      <c r="I555" s="555">
        <v>50424</v>
      </c>
      <c r="J555" s="495">
        <v>10245</v>
      </c>
      <c r="K555" s="556">
        <v>14415</v>
      </c>
      <c r="L555" s="495">
        <v>5883</v>
      </c>
      <c r="M555" s="556">
        <v>0</v>
      </c>
      <c r="N555" s="495">
        <v>57917</v>
      </c>
      <c r="O555" s="552">
        <v>51723</v>
      </c>
      <c r="P555" s="640">
        <f t="shared" si="162"/>
        <v>133573</v>
      </c>
      <c r="Q555" s="640">
        <f t="shared" si="163"/>
        <v>4452.4333333333334</v>
      </c>
      <c r="R555" s="641">
        <f t="shared" si="164"/>
        <v>116562</v>
      </c>
      <c r="S555" s="641">
        <f t="shared" si="165"/>
        <v>3885.4</v>
      </c>
      <c r="T555" s="495">
        <v>6738</v>
      </c>
      <c r="U555" s="552">
        <v>6099</v>
      </c>
      <c r="V555" s="640">
        <f t="shared" si="166"/>
        <v>133573</v>
      </c>
      <c r="W555" s="641">
        <f t="shared" si="167"/>
        <v>116562</v>
      </c>
      <c r="X555" s="495">
        <v>7544</v>
      </c>
      <c r="Y555" s="556">
        <v>3854</v>
      </c>
      <c r="Z555" s="495">
        <v>2968</v>
      </c>
      <c r="AA555" s="556">
        <v>7006</v>
      </c>
      <c r="AB555" s="495">
        <v>8709</v>
      </c>
      <c r="AC555" s="556">
        <v>11766</v>
      </c>
      <c r="AD555" s="495">
        <v>7098</v>
      </c>
      <c r="AE555" s="552">
        <v>7378</v>
      </c>
      <c r="AF555" s="640">
        <f t="shared" si="168"/>
        <v>26319</v>
      </c>
      <c r="AG555" s="640">
        <f t="shared" si="169"/>
        <v>29.243333333333332</v>
      </c>
      <c r="AH555" s="641">
        <f t="shared" si="170"/>
        <v>30004</v>
      </c>
      <c r="AI555" s="641">
        <f t="shared" si="171"/>
        <v>33.337777777777781</v>
      </c>
      <c r="AJ555" s="495"/>
      <c r="AK555" s="496"/>
      <c r="AL555" s="640">
        <f t="shared" si="172"/>
        <v>0</v>
      </c>
      <c r="AM555" s="641">
        <f t="shared" si="173"/>
        <v>0</v>
      </c>
      <c r="AN555" s="495"/>
      <c r="AO555" s="496"/>
      <c r="AP555" s="495"/>
      <c r="AQ555" s="496"/>
      <c r="AR555" s="495"/>
      <c r="AS555" s="496"/>
      <c r="AT555" s="495"/>
      <c r="AU555" s="496"/>
      <c r="AV555" s="640">
        <f t="shared" si="174"/>
        <v>0</v>
      </c>
      <c r="AW555" s="640">
        <f t="shared" si="175"/>
        <v>0</v>
      </c>
      <c r="AX555" s="641">
        <f t="shared" si="176"/>
        <v>0</v>
      </c>
      <c r="AY555" s="641">
        <f t="shared" si="177"/>
        <v>0</v>
      </c>
      <c r="AZ555" s="640">
        <f t="shared" si="178"/>
        <v>4481.6766666666663</v>
      </c>
      <c r="BA555" s="641">
        <f t="shared" si="179"/>
        <v>3918.7377777777779</v>
      </c>
    </row>
    <row r="556" spans="1:53" s="365" customFormat="1" ht="15" customHeight="1">
      <c r="A556" s="430" t="s">
        <v>521</v>
      </c>
      <c r="B556" s="450" t="s">
        <v>600</v>
      </c>
      <c r="C556" s="432"/>
      <c r="D556" s="628">
        <v>223922</v>
      </c>
      <c r="E556" s="530">
        <v>10</v>
      </c>
      <c r="F556" s="495"/>
      <c r="G556" s="551"/>
      <c r="H556" s="495">
        <v>13076</v>
      </c>
      <c r="I556" s="555">
        <v>11375</v>
      </c>
      <c r="J556" s="495">
        <v>844</v>
      </c>
      <c r="K556" s="556">
        <v>2647</v>
      </c>
      <c r="L556" s="495">
        <v>2476</v>
      </c>
      <c r="M556" s="556">
        <v>653</v>
      </c>
      <c r="N556" s="495">
        <v>12614</v>
      </c>
      <c r="O556" s="552">
        <v>13279</v>
      </c>
      <c r="P556" s="640">
        <f t="shared" si="162"/>
        <v>29010</v>
      </c>
      <c r="Q556" s="640">
        <f t="shared" si="163"/>
        <v>967</v>
      </c>
      <c r="R556" s="641">
        <f t="shared" si="164"/>
        <v>27954</v>
      </c>
      <c r="S556" s="641">
        <f t="shared" si="165"/>
        <v>931.8</v>
      </c>
      <c r="T556" s="495">
        <v>7738</v>
      </c>
      <c r="U556" s="552">
        <v>7354</v>
      </c>
      <c r="V556" s="640">
        <f t="shared" si="166"/>
        <v>29010</v>
      </c>
      <c r="W556" s="641">
        <f t="shared" si="167"/>
        <v>27954</v>
      </c>
      <c r="X556" s="495">
        <v>1104</v>
      </c>
      <c r="Y556" s="556">
        <v>3776</v>
      </c>
      <c r="Z556" s="495">
        <v>0</v>
      </c>
      <c r="AA556" s="556">
        <v>2352</v>
      </c>
      <c r="AB556" s="495">
        <v>2376</v>
      </c>
      <c r="AC556" s="556">
        <v>1808</v>
      </c>
      <c r="AD556" s="495">
        <v>2552</v>
      </c>
      <c r="AE556" s="552">
        <v>6240</v>
      </c>
      <c r="AF556" s="640">
        <f t="shared" si="168"/>
        <v>6032</v>
      </c>
      <c r="AG556" s="640">
        <f t="shared" si="169"/>
        <v>6.7022222222222219</v>
      </c>
      <c r="AH556" s="641">
        <f t="shared" si="170"/>
        <v>14176</v>
      </c>
      <c r="AI556" s="641">
        <f t="shared" si="171"/>
        <v>15.751111111111111</v>
      </c>
      <c r="AJ556" s="495"/>
      <c r="AK556" s="496"/>
      <c r="AL556" s="640">
        <f t="shared" si="172"/>
        <v>0</v>
      </c>
      <c r="AM556" s="641">
        <f t="shared" si="173"/>
        <v>0</v>
      </c>
      <c r="AN556" s="495"/>
      <c r="AO556" s="496"/>
      <c r="AP556" s="495"/>
      <c r="AQ556" s="496"/>
      <c r="AR556" s="495"/>
      <c r="AS556" s="496"/>
      <c r="AT556" s="495"/>
      <c r="AU556" s="496"/>
      <c r="AV556" s="640">
        <f t="shared" si="174"/>
        <v>0</v>
      </c>
      <c r="AW556" s="640">
        <f t="shared" si="175"/>
        <v>0</v>
      </c>
      <c r="AX556" s="641">
        <f t="shared" si="176"/>
        <v>0</v>
      </c>
      <c r="AY556" s="641">
        <f t="shared" si="177"/>
        <v>0</v>
      </c>
      <c r="AZ556" s="640">
        <f t="shared" si="178"/>
        <v>973.70222222222219</v>
      </c>
      <c r="BA556" s="641">
        <f t="shared" si="179"/>
        <v>947.55111111111103</v>
      </c>
    </row>
    <row r="557" spans="1:53" s="365" customFormat="1" ht="15" customHeight="1">
      <c r="A557" s="430" t="s">
        <v>521</v>
      </c>
      <c r="B557" s="450" t="s">
        <v>601</v>
      </c>
      <c r="C557" s="432"/>
      <c r="D557" s="628">
        <v>224891</v>
      </c>
      <c r="E557" s="530">
        <v>10</v>
      </c>
      <c r="F557" s="495"/>
      <c r="G557" s="551"/>
      <c r="H557" s="495">
        <v>11863</v>
      </c>
      <c r="I557" s="555">
        <v>12987</v>
      </c>
      <c r="J557" s="495">
        <v>1787</v>
      </c>
      <c r="K557" s="556">
        <v>2301</v>
      </c>
      <c r="L557" s="495">
        <v>1006</v>
      </c>
      <c r="M557" s="556">
        <v>1039</v>
      </c>
      <c r="N557" s="495">
        <v>13751</v>
      </c>
      <c r="O557" s="552">
        <v>14577</v>
      </c>
      <c r="P557" s="640">
        <f t="shared" si="162"/>
        <v>28407</v>
      </c>
      <c r="Q557" s="640">
        <f t="shared" si="163"/>
        <v>946.9</v>
      </c>
      <c r="R557" s="641">
        <f t="shared" si="164"/>
        <v>30904</v>
      </c>
      <c r="S557" s="641">
        <f t="shared" si="165"/>
        <v>1030.1333333333334</v>
      </c>
      <c r="T557" s="495">
        <v>10545</v>
      </c>
      <c r="U557" s="552">
        <v>11402</v>
      </c>
      <c r="V557" s="640">
        <f t="shared" si="166"/>
        <v>28407</v>
      </c>
      <c r="W557" s="641">
        <f t="shared" si="167"/>
        <v>30904</v>
      </c>
      <c r="X557" s="495">
        <v>17525</v>
      </c>
      <c r="Y557" s="556">
        <v>11219</v>
      </c>
      <c r="Z557" s="495">
        <v>7898</v>
      </c>
      <c r="AA557" s="556">
        <v>12620</v>
      </c>
      <c r="AB557" s="495">
        <v>11312</v>
      </c>
      <c r="AC557" s="556">
        <v>14055</v>
      </c>
      <c r="AD557" s="495">
        <v>18493</v>
      </c>
      <c r="AE557" s="552">
        <v>16343</v>
      </c>
      <c r="AF557" s="640">
        <f t="shared" si="168"/>
        <v>55228</v>
      </c>
      <c r="AG557" s="640">
        <f t="shared" si="169"/>
        <v>61.364444444444445</v>
      </c>
      <c r="AH557" s="641">
        <f t="shared" si="170"/>
        <v>54237</v>
      </c>
      <c r="AI557" s="641">
        <f t="shared" si="171"/>
        <v>60.263333333333335</v>
      </c>
      <c r="AJ557" s="495"/>
      <c r="AK557" s="496"/>
      <c r="AL557" s="640">
        <f t="shared" si="172"/>
        <v>0</v>
      </c>
      <c r="AM557" s="641">
        <f t="shared" si="173"/>
        <v>0</v>
      </c>
      <c r="AN557" s="495"/>
      <c r="AO557" s="496"/>
      <c r="AP557" s="495"/>
      <c r="AQ557" s="496"/>
      <c r="AR557" s="495"/>
      <c r="AS557" s="496"/>
      <c r="AT557" s="495"/>
      <c r="AU557" s="496"/>
      <c r="AV557" s="640">
        <f t="shared" si="174"/>
        <v>0</v>
      </c>
      <c r="AW557" s="640">
        <f t="shared" si="175"/>
        <v>0</v>
      </c>
      <c r="AX557" s="641">
        <f t="shared" si="176"/>
        <v>0</v>
      </c>
      <c r="AY557" s="641">
        <f t="shared" si="177"/>
        <v>0</v>
      </c>
      <c r="AZ557" s="640">
        <f t="shared" si="178"/>
        <v>1008.2644444444444</v>
      </c>
      <c r="BA557" s="641">
        <f t="shared" si="179"/>
        <v>1090.3966666666668</v>
      </c>
    </row>
    <row r="558" spans="1:53" s="365" customFormat="1" ht="15" customHeight="1">
      <c r="A558" s="430" t="s">
        <v>521</v>
      </c>
      <c r="B558" s="450" t="s">
        <v>602</v>
      </c>
      <c r="C558" s="432"/>
      <c r="D558" s="628">
        <v>224961</v>
      </c>
      <c r="E558" s="530">
        <v>10</v>
      </c>
      <c r="F558" s="495"/>
      <c r="G558" s="551"/>
      <c r="H558" s="495">
        <v>18697</v>
      </c>
      <c r="I558" s="555">
        <v>19018</v>
      </c>
      <c r="J558" s="495">
        <v>3300</v>
      </c>
      <c r="K558" s="556">
        <v>3675</v>
      </c>
      <c r="L558" s="495">
        <v>4562</v>
      </c>
      <c r="M558" s="556">
        <v>3363</v>
      </c>
      <c r="N558" s="495">
        <v>18166</v>
      </c>
      <c r="O558" s="552">
        <v>16443</v>
      </c>
      <c r="P558" s="640">
        <f t="shared" si="162"/>
        <v>44725</v>
      </c>
      <c r="Q558" s="640">
        <f t="shared" si="163"/>
        <v>1490.8333333333333</v>
      </c>
      <c r="R558" s="641">
        <f t="shared" si="164"/>
        <v>42499</v>
      </c>
      <c r="S558" s="641">
        <f t="shared" si="165"/>
        <v>1416.6333333333334</v>
      </c>
      <c r="T558" s="495">
        <v>6491</v>
      </c>
      <c r="U558" s="552">
        <v>6163</v>
      </c>
      <c r="V558" s="640">
        <f t="shared" si="166"/>
        <v>44725</v>
      </c>
      <c r="W558" s="641">
        <f t="shared" si="167"/>
        <v>42499</v>
      </c>
      <c r="X558" s="495">
        <v>24177</v>
      </c>
      <c r="Y558" s="556">
        <v>13374</v>
      </c>
      <c r="Z558" s="495">
        <v>432</v>
      </c>
      <c r="AA558" s="556">
        <v>5091</v>
      </c>
      <c r="AB558" s="495">
        <v>2028</v>
      </c>
      <c r="AC558" s="556">
        <v>4864</v>
      </c>
      <c r="AD558" s="495">
        <v>15463</v>
      </c>
      <c r="AE558" s="552">
        <v>11805</v>
      </c>
      <c r="AF558" s="640">
        <f t="shared" si="168"/>
        <v>42100</v>
      </c>
      <c r="AG558" s="640">
        <f t="shared" si="169"/>
        <v>46.777777777777779</v>
      </c>
      <c r="AH558" s="641">
        <f t="shared" si="170"/>
        <v>35134</v>
      </c>
      <c r="AI558" s="641">
        <f t="shared" si="171"/>
        <v>39.037777777777777</v>
      </c>
      <c r="AJ558" s="495"/>
      <c r="AK558" s="496"/>
      <c r="AL558" s="640">
        <f t="shared" si="172"/>
        <v>0</v>
      </c>
      <c r="AM558" s="641">
        <f t="shared" si="173"/>
        <v>0</v>
      </c>
      <c r="AN558" s="495"/>
      <c r="AO558" s="496"/>
      <c r="AP558" s="495"/>
      <c r="AQ558" s="496"/>
      <c r="AR558" s="495"/>
      <c r="AS558" s="496"/>
      <c r="AT558" s="495"/>
      <c r="AU558" s="496"/>
      <c r="AV558" s="640">
        <f t="shared" si="174"/>
        <v>0</v>
      </c>
      <c r="AW558" s="640">
        <f t="shared" si="175"/>
        <v>0</v>
      </c>
      <c r="AX558" s="641">
        <f t="shared" si="176"/>
        <v>0</v>
      </c>
      <c r="AY558" s="641">
        <f t="shared" si="177"/>
        <v>0</v>
      </c>
      <c r="AZ558" s="640">
        <f t="shared" si="178"/>
        <v>1537.6111111111111</v>
      </c>
      <c r="BA558" s="641">
        <f t="shared" si="179"/>
        <v>1455.6711111111113</v>
      </c>
    </row>
    <row r="559" spans="1:53" s="365" customFormat="1" ht="15" customHeight="1">
      <c r="A559" s="430" t="s">
        <v>521</v>
      </c>
      <c r="B559" s="450" t="s">
        <v>603</v>
      </c>
      <c r="C559" s="432"/>
      <c r="D559" s="628">
        <v>226107</v>
      </c>
      <c r="E559" s="530">
        <v>10</v>
      </c>
      <c r="F559" s="495"/>
      <c r="G559" s="551"/>
      <c r="H559" s="495">
        <v>19031</v>
      </c>
      <c r="I559" s="555">
        <v>18445</v>
      </c>
      <c r="J559" s="495">
        <v>8765</v>
      </c>
      <c r="K559" s="556">
        <v>6838</v>
      </c>
      <c r="L559" s="495">
        <v>0</v>
      </c>
      <c r="M559" s="556">
        <v>0</v>
      </c>
      <c r="N559" s="495">
        <v>20531</v>
      </c>
      <c r="O559" s="552">
        <v>20219</v>
      </c>
      <c r="P559" s="640">
        <f t="shared" si="162"/>
        <v>48327</v>
      </c>
      <c r="Q559" s="640">
        <f t="shared" si="163"/>
        <v>1610.9</v>
      </c>
      <c r="R559" s="641">
        <f t="shared" si="164"/>
        <v>45502</v>
      </c>
      <c r="S559" s="641">
        <f t="shared" si="165"/>
        <v>1516.7333333333333</v>
      </c>
      <c r="T559" s="495">
        <v>7072</v>
      </c>
      <c r="U559" s="552">
        <v>8927</v>
      </c>
      <c r="V559" s="640">
        <f t="shared" si="166"/>
        <v>48327</v>
      </c>
      <c r="W559" s="641">
        <f t="shared" si="167"/>
        <v>45502</v>
      </c>
      <c r="X559" s="495">
        <v>8783</v>
      </c>
      <c r="Y559" s="556">
        <v>4784</v>
      </c>
      <c r="Z559" s="495">
        <v>1768</v>
      </c>
      <c r="AA559" s="556">
        <v>10742</v>
      </c>
      <c r="AB559" s="495">
        <v>7206</v>
      </c>
      <c r="AC559" s="556">
        <v>14787</v>
      </c>
      <c r="AD559" s="495">
        <v>1931</v>
      </c>
      <c r="AE559" s="552">
        <v>9312</v>
      </c>
      <c r="AF559" s="640">
        <f t="shared" si="168"/>
        <v>19688</v>
      </c>
      <c r="AG559" s="640">
        <f t="shared" si="169"/>
        <v>21.875555555555554</v>
      </c>
      <c r="AH559" s="641">
        <f t="shared" si="170"/>
        <v>39625</v>
      </c>
      <c r="AI559" s="641">
        <f t="shared" si="171"/>
        <v>44.027777777777779</v>
      </c>
      <c r="AJ559" s="495"/>
      <c r="AK559" s="496"/>
      <c r="AL559" s="640">
        <f t="shared" si="172"/>
        <v>0</v>
      </c>
      <c r="AM559" s="641">
        <f t="shared" si="173"/>
        <v>0</v>
      </c>
      <c r="AN559" s="495"/>
      <c r="AO559" s="496"/>
      <c r="AP559" s="495"/>
      <c r="AQ559" s="496"/>
      <c r="AR559" s="495"/>
      <c r="AS559" s="496"/>
      <c r="AT559" s="495"/>
      <c r="AU559" s="496"/>
      <c r="AV559" s="640">
        <f t="shared" si="174"/>
        <v>0</v>
      </c>
      <c r="AW559" s="640">
        <f t="shared" si="175"/>
        <v>0</v>
      </c>
      <c r="AX559" s="641">
        <f t="shared" si="176"/>
        <v>0</v>
      </c>
      <c r="AY559" s="641">
        <f t="shared" si="177"/>
        <v>0</v>
      </c>
      <c r="AZ559" s="640">
        <f t="shared" si="178"/>
        <v>1632.7755555555557</v>
      </c>
      <c r="BA559" s="641">
        <f t="shared" si="179"/>
        <v>1560.7611111111112</v>
      </c>
    </row>
    <row r="560" spans="1:53" s="365" customFormat="1" ht="15.75" customHeight="1">
      <c r="A560" s="430" t="s">
        <v>521</v>
      </c>
      <c r="B560" s="450" t="s">
        <v>585</v>
      </c>
      <c r="C560" s="608"/>
      <c r="D560" s="628">
        <v>226116</v>
      </c>
      <c r="E560" s="530">
        <v>10</v>
      </c>
      <c r="F560" s="495"/>
      <c r="G560" s="551"/>
      <c r="H560" s="495">
        <v>22534</v>
      </c>
      <c r="I560" s="555">
        <v>18892</v>
      </c>
      <c r="J560" s="495">
        <v>8953</v>
      </c>
      <c r="K560" s="556">
        <v>5999</v>
      </c>
      <c r="L560" s="495">
        <v>0</v>
      </c>
      <c r="M560" s="556">
        <v>0</v>
      </c>
      <c r="N560" s="495">
        <v>22662</v>
      </c>
      <c r="O560" s="552">
        <v>20934</v>
      </c>
      <c r="P560" s="640">
        <f t="shared" si="162"/>
        <v>54149</v>
      </c>
      <c r="Q560" s="640">
        <f t="shared" si="163"/>
        <v>1804.9666666666667</v>
      </c>
      <c r="R560" s="641">
        <f t="shared" si="164"/>
        <v>45825</v>
      </c>
      <c r="S560" s="641">
        <f t="shared" si="165"/>
        <v>1527.5</v>
      </c>
      <c r="T560" s="495">
        <v>10086</v>
      </c>
      <c r="U560" s="552">
        <v>9766</v>
      </c>
      <c r="V560" s="640">
        <f t="shared" si="166"/>
        <v>54149</v>
      </c>
      <c r="W560" s="641">
        <f t="shared" si="167"/>
        <v>45825</v>
      </c>
      <c r="X560" s="495">
        <v>36551</v>
      </c>
      <c r="Y560" s="556">
        <v>8560</v>
      </c>
      <c r="Z560" s="495">
        <v>3160</v>
      </c>
      <c r="AA560" s="556">
        <v>23768</v>
      </c>
      <c r="AB560" s="495">
        <v>7152</v>
      </c>
      <c r="AC560" s="556">
        <v>11000</v>
      </c>
      <c r="AD560" s="495">
        <v>24624</v>
      </c>
      <c r="AE560" s="552">
        <v>23160</v>
      </c>
      <c r="AF560" s="640">
        <f t="shared" si="168"/>
        <v>71487</v>
      </c>
      <c r="AG560" s="640">
        <f t="shared" si="169"/>
        <v>79.430000000000007</v>
      </c>
      <c r="AH560" s="641">
        <f t="shared" si="170"/>
        <v>66488</v>
      </c>
      <c r="AI560" s="641">
        <f t="shared" si="171"/>
        <v>73.87555555555555</v>
      </c>
      <c r="AJ560" s="495"/>
      <c r="AK560" s="496"/>
      <c r="AL560" s="640">
        <f t="shared" si="172"/>
        <v>0</v>
      </c>
      <c r="AM560" s="641">
        <f t="shared" si="173"/>
        <v>0</v>
      </c>
      <c r="AN560" s="495"/>
      <c r="AO560" s="496"/>
      <c r="AP560" s="495"/>
      <c r="AQ560" s="496"/>
      <c r="AR560" s="495"/>
      <c r="AS560" s="496"/>
      <c r="AT560" s="495"/>
      <c r="AU560" s="496"/>
      <c r="AV560" s="640">
        <f t="shared" si="174"/>
        <v>0</v>
      </c>
      <c r="AW560" s="640">
        <f t="shared" si="175"/>
        <v>0</v>
      </c>
      <c r="AX560" s="641">
        <f t="shared" si="176"/>
        <v>0</v>
      </c>
      <c r="AY560" s="641">
        <f t="shared" si="177"/>
        <v>0</v>
      </c>
      <c r="AZ560" s="640">
        <f t="shared" si="178"/>
        <v>1884.3966666666668</v>
      </c>
      <c r="BA560" s="641">
        <f t="shared" si="179"/>
        <v>1601.3755555555556</v>
      </c>
    </row>
    <row r="561" spans="1:53" s="365" customFormat="1" ht="15.75" customHeight="1">
      <c r="A561" s="430" t="s">
        <v>521</v>
      </c>
      <c r="B561" s="452" t="s">
        <v>604</v>
      </c>
      <c r="C561" s="607"/>
      <c r="D561" s="553">
        <v>488730</v>
      </c>
      <c r="E561" s="559">
        <v>9</v>
      </c>
      <c r="F561" s="495"/>
      <c r="G561" s="551"/>
      <c r="H561" s="495">
        <v>47061</v>
      </c>
      <c r="I561" s="555">
        <v>38530</v>
      </c>
      <c r="J561" s="495">
        <v>10298</v>
      </c>
      <c r="K561" s="556">
        <v>9181</v>
      </c>
      <c r="L561" s="495">
        <v>0</v>
      </c>
      <c r="M561" s="556">
        <v>0</v>
      </c>
      <c r="N561" s="495">
        <v>44986</v>
      </c>
      <c r="O561" s="552">
        <v>43223</v>
      </c>
      <c r="P561" s="640">
        <f t="shared" si="162"/>
        <v>102345</v>
      </c>
      <c r="Q561" s="640">
        <f t="shared" si="163"/>
        <v>3411.5</v>
      </c>
      <c r="R561" s="641">
        <f t="shared" si="164"/>
        <v>90934</v>
      </c>
      <c r="S561" s="641">
        <f t="shared" si="165"/>
        <v>3031.1333333333332</v>
      </c>
      <c r="T561" s="495">
        <v>13148</v>
      </c>
      <c r="U561" s="552">
        <v>13626</v>
      </c>
      <c r="V561" s="640">
        <f t="shared" si="166"/>
        <v>102345</v>
      </c>
      <c r="W561" s="641">
        <f t="shared" si="167"/>
        <v>90934</v>
      </c>
      <c r="X561" s="495">
        <v>5808</v>
      </c>
      <c r="Y561" s="556">
        <v>7008</v>
      </c>
      <c r="Z561" s="495">
        <v>3952</v>
      </c>
      <c r="AA561" s="556">
        <v>2080</v>
      </c>
      <c r="AB561" s="495">
        <v>2384</v>
      </c>
      <c r="AC561" s="556">
        <v>2864</v>
      </c>
      <c r="AD561" s="495">
        <v>3616</v>
      </c>
      <c r="AE561" s="552">
        <v>7694</v>
      </c>
      <c r="AF561" s="640">
        <f t="shared" si="168"/>
        <v>15760</v>
      </c>
      <c r="AG561" s="640">
        <f t="shared" si="169"/>
        <v>17.511111111111113</v>
      </c>
      <c r="AH561" s="641">
        <f t="shared" si="170"/>
        <v>19646</v>
      </c>
      <c r="AI561" s="641">
        <f t="shared" si="171"/>
        <v>21.828888888888891</v>
      </c>
      <c r="AJ561" s="495"/>
      <c r="AK561" s="496"/>
      <c r="AL561" s="640">
        <f t="shared" si="172"/>
        <v>0</v>
      </c>
      <c r="AM561" s="641">
        <f t="shared" si="173"/>
        <v>0</v>
      </c>
      <c r="AN561" s="495"/>
      <c r="AO561" s="496"/>
      <c r="AP561" s="495"/>
      <c r="AQ561" s="496"/>
      <c r="AR561" s="495"/>
      <c r="AS561" s="496"/>
      <c r="AT561" s="495"/>
      <c r="AU561" s="496"/>
      <c r="AV561" s="640">
        <f t="shared" si="174"/>
        <v>0</v>
      </c>
      <c r="AW561" s="640">
        <f t="shared" si="175"/>
        <v>0</v>
      </c>
      <c r="AX561" s="641">
        <f t="shared" si="176"/>
        <v>0</v>
      </c>
      <c r="AY561" s="641">
        <f t="shared" si="177"/>
        <v>0</v>
      </c>
      <c r="AZ561" s="640">
        <f t="shared" si="178"/>
        <v>3429.0111111111109</v>
      </c>
      <c r="BA561" s="641">
        <f t="shared" si="179"/>
        <v>3052.962222222222</v>
      </c>
    </row>
    <row r="562" spans="1:53" s="365" customFormat="1" ht="15" customHeight="1">
      <c r="A562" s="430" t="s">
        <v>521</v>
      </c>
      <c r="B562" s="450" t="s">
        <v>605</v>
      </c>
      <c r="C562" s="432"/>
      <c r="D562" s="628">
        <v>227386</v>
      </c>
      <c r="E562" s="530">
        <v>10</v>
      </c>
      <c r="F562" s="495"/>
      <c r="G562" s="551"/>
      <c r="H562" s="495">
        <v>20595</v>
      </c>
      <c r="I562" s="555">
        <v>21382</v>
      </c>
      <c r="J562" s="495">
        <v>3321</v>
      </c>
      <c r="K562" s="556">
        <v>2992</v>
      </c>
      <c r="L562" s="495">
        <v>1908</v>
      </c>
      <c r="M562" s="556">
        <v>2173</v>
      </c>
      <c r="N562" s="495">
        <v>22918</v>
      </c>
      <c r="O562" s="552">
        <v>22863</v>
      </c>
      <c r="P562" s="640">
        <f t="shared" si="162"/>
        <v>48742</v>
      </c>
      <c r="Q562" s="640">
        <f t="shared" si="163"/>
        <v>1624.7333333333333</v>
      </c>
      <c r="R562" s="641">
        <f t="shared" si="164"/>
        <v>49410</v>
      </c>
      <c r="S562" s="641">
        <f t="shared" si="165"/>
        <v>1647</v>
      </c>
      <c r="T562" s="495">
        <v>11241</v>
      </c>
      <c r="U562" s="552">
        <v>12490</v>
      </c>
      <c r="V562" s="640">
        <f t="shared" si="166"/>
        <v>48742</v>
      </c>
      <c r="W562" s="641">
        <f t="shared" si="167"/>
        <v>49410</v>
      </c>
      <c r="X562" s="495">
        <v>8826</v>
      </c>
      <c r="Y562" s="556">
        <v>11695</v>
      </c>
      <c r="Z562" s="495">
        <v>6434</v>
      </c>
      <c r="AA562" s="556">
        <v>8802</v>
      </c>
      <c r="AB562" s="495">
        <v>13645</v>
      </c>
      <c r="AC562" s="556">
        <v>10559</v>
      </c>
      <c r="AD562" s="495">
        <v>13291</v>
      </c>
      <c r="AE562" s="552">
        <v>9653</v>
      </c>
      <c r="AF562" s="640">
        <f t="shared" si="168"/>
        <v>42196</v>
      </c>
      <c r="AG562" s="640">
        <f t="shared" si="169"/>
        <v>46.884444444444448</v>
      </c>
      <c r="AH562" s="641">
        <f t="shared" si="170"/>
        <v>40709</v>
      </c>
      <c r="AI562" s="641">
        <f t="shared" si="171"/>
        <v>45.232222222222219</v>
      </c>
      <c r="AJ562" s="495"/>
      <c r="AK562" s="496"/>
      <c r="AL562" s="640">
        <f t="shared" si="172"/>
        <v>0</v>
      </c>
      <c r="AM562" s="641">
        <f t="shared" si="173"/>
        <v>0</v>
      </c>
      <c r="AN562" s="495"/>
      <c r="AO562" s="496"/>
      <c r="AP562" s="495"/>
      <c r="AQ562" s="496"/>
      <c r="AR562" s="495"/>
      <c r="AS562" s="496"/>
      <c r="AT562" s="495"/>
      <c r="AU562" s="496"/>
      <c r="AV562" s="640">
        <f t="shared" si="174"/>
        <v>0</v>
      </c>
      <c r="AW562" s="640">
        <f t="shared" si="175"/>
        <v>0</v>
      </c>
      <c r="AX562" s="641">
        <f t="shared" si="176"/>
        <v>0</v>
      </c>
      <c r="AY562" s="641">
        <f t="shared" si="177"/>
        <v>0</v>
      </c>
      <c r="AZ562" s="640">
        <f t="shared" si="178"/>
        <v>1671.6177777777777</v>
      </c>
      <c r="BA562" s="641">
        <f t="shared" si="179"/>
        <v>1692.2322222222222</v>
      </c>
    </row>
    <row r="563" spans="1:53" s="365" customFormat="1" ht="15" customHeight="1">
      <c r="A563" s="430" t="s">
        <v>521</v>
      </c>
      <c r="B563" s="450" t="s">
        <v>606</v>
      </c>
      <c r="C563" s="432"/>
      <c r="D563" s="628">
        <v>227687</v>
      </c>
      <c r="E563" s="530">
        <v>10</v>
      </c>
      <c r="F563" s="495"/>
      <c r="G563" s="551"/>
      <c r="H563" s="495">
        <v>19494</v>
      </c>
      <c r="I563" s="555">
        <v>19651</v>
      </c>
      <c r="J563" s="495">
        <v>3050</v>
      </c>
      <c r="K563" s="556">
        <v>3004</v>
      </c>
      <c r="L563" s="495">
        <v>931</v>
      </c>
      <c r="M563" s="556">
        <v>730</v>
      </c>
      <c r="N563" s="495">
        <v>21363</v>
      </c>
      <c r="O563" s="552">
        <v>19835</v>
      </c>
      <c r="P563" s="640">
        <f t="shared" si="162"/>
        <v>44838</v>
      </c>
      <c r="Q563" s="640">
        <f t="shared" si="163"/>
        <v>1494.6</v>
      </c>
      <c r="R563" s="641">
        <f t="shared" si="164"/>
        <v>43220</v>
      </c>
      <c r="S563" s="641">
        <f t="shared" si="165"/>
        <v>1440.6666666666667</v>
      </c>
      <c r="T563" s="495">
        <v>13286</v>
      </c>
      <c r="U563" s="552">
        <v>15057</v>
      </c>
      <c r="V563" s="640">
        <f t="shared" si="166"/>
        <v>44838</v>
      </c>
      <c r="W563" s="641">
        <f t="shared" si="167"/>
        <v>43220</v>
      </c>
      <c r="X563" s="495">
        <v>20456</v>
      </c>
      <c r="Y563" s="556">
        <v>22080</v>
      </c>
      <c r="Z563" s="495">
        <v>20262</v>
      </c>
      <c r="AA563" s="556">
        <v>7030</v>
      </c>
      <c r="AB563" s="495">
        <v>8062</v>
      </c>
      <c r="AC563" s="556">
        <v>8800</v>
      </c>
      <c r="AD563" s="495">
        <v>5528</v>
      </c>
      <c r="AE563" s="552">
        <v>4500</v>
      </c>
      <c r="AF563" s="640">
        <f t="shared" si="168"/>
        <v>54308</v>
      </c>
      <c r="AG563" s="640">
        <f t="shared" si="169"/>
        <v>60.342222222222219</v>
      </c>
      <c r="AH563" s="641">
        <f t="shared" si="170"/>
        <v>42410</v>
      </c>
      <c r="AI563" s="641">
        <f t="shared" si="171"/>
        <v>47.12222222222222</v>
      </c>
      <c r="AJ563" s="495"/>
      <c r="AK563" s="496"/>
      <c r="AL563" s="640">
        <f t="shared" si="172"/>
        <v>0</v>
      </c>
      <c r="AM563" s="641">
        <f t="shared" si="173"/>
        <v>0</v>
      </c>
      <c r="AN563" s="495"/>
      <c r="AO563" s="496"/>
      <c r="AP563" s="495"/>
      <c r="AQ563" s="496"/>
      <c r="AR563" s="495"/>
      <c r="AS563" s="496"/>
      <c r="AT563" s="495"/>
      <c r="AU563" s="496"/>
      <c r="AV563" s="640">
        <f t="shared" si="174"/>
        <v>0</v>
      </c>
      <c r="AW563" s="640">
        <f t="shared" si="175"/>
        <v>0</v>
      </c>
      <c r="AX563" s="641">
        <f t="shared" si="176"/>
        <v>0</v>
      </c>
      <c r="AY563" s="641">
        <f t="shared" si="177"/>
        <v>0</v>
      </c>
      <c r="AZ563" s="640">
        <f t="shared" si="178"/>
        <v>1554.9422222222222</v>
      </c>
      <c r="BA563" s="641">
        <f t="shared" si="179"/>
        <v>1487.788888888889</v>
      </c>
    </row>
    <row r="564" spans="1:53" s="365" customFormat="1" ht="15" customHeight="1">
      <c r="A564" s="430" t="s">
        <v>521</v>
      </c>
      <c r="B564" s="453" t="s">
        <v>607</v>
      </c>
      <c r="C564" s="432"/>
      <c r="D564" s="628">
        <v>382911</v>
      </c>
      <c r="E564" s="530">
        <v>10</v>
      </c>
      <c r="F564" s="495"/>
      <c r="G564" s="551"/>
      <c r="H564" s="495">
        <v>627</v>
      </c>
      <c r="I564" s="555">
        <v>633</v>
      </c>
      <c r="J564" s="495">
        <v>0</v>
      </c>
      <c r="K564" s="556">
        <v>19</v>
      </c>
      <c r="L564" s="495">
        <v>0</v>
      </c>
      <c r="M564" s="556">
        <v>0</v>
      </c>
      <c r="N564" s="495">
        <v>469</v>
      </c>
      <c r="O564" s="552">
        <v>507</v>
      </c>
      <c r="P564" s="640">
        <f t="shared" si="162"/>
        <v>1096</v>
      </c>
      <c r="Q564" s="640">
        <f t="shared" si="163"/>
        <v>36.533333333333331</v>
      </c>
      <c r="R564" s="641">
        <f t="shared" si="164"/>
        <v>1159</v>
      </c>
      <c r="S564" s="641">
        <f t="shared" si="165"/>
        <v>38.633333333333333</v>
      </c>
      <c r="T564" s="495">
        <v>15</v>
      </c>
      <c r="U564" s="552">
        <v>36</v>
      </c>
      <c r="V564" s="640">
        <f t="shared" si="166"/>
        <v>1096</v>
      </c>
      <c r="W564" s="641">
        <f t="shared" si="167"/>
        <v>1159</v>
      </c>
      <c r="X564" s="495">
        <v>0</v>
      </c>
      <c r="Y564" s="560"/>
      <c r="Z564" s="495">
        <v>0</v>
      </c>
      <c r="AA564" s="496"/>
      <c r="AB564" s="495">
        <v>0</v>
      </c>
      <c r="AC564" s="556">
        <v>800</v>
      </c>
      <c r="AD564" s="495">
        <v>0</v>
      </c>
      <c r="AE564" s="496"/>
      <c r="AF564" s="640">
        <f t="shared" si="168"/>
        <v>0</v>
      </c>
      <c r="AG564" s="640">
        <f t="shared" si="169"/>
        <v>0</v>
      </c>
      <c r="AH564" s="641">
        <f t="shared" si="170"/>
        <v>800</v>
      </c>
      <c r="AI564" s="641">
        <f t="shared" si="171"/>
        <v>0.88888888888888884</v>
      </c>
      <c r="AJ564" s="495"/>
      <c r="AK564" s="496"/>
      <c r="AL564" s="640">
        <f t="shared" si="172"/>
        <v>0</v>
      </c>
      <c r="AM564" s="641">
        <f t="shared" si="173"/>
        <v>0</v>
      </c>
      <c r="AN564" s="495"/>
      <c r="AO564" s="496"/>
      <c r="AP564" s="495"/>
      <c r="AQ564" s="496"/>
      <c r="AR564" s="495"/>
      <c r="AS564" s="496"/>
      <c r="AT564" s="495"/>
      <c r="AU564" s="496"/>
      <c r="AV564" s="640">
        <f t="shared" si="174"/>
        <v>0</v>
      </c>
      <c r="AW564" s="640">
        <f t="shared" si="175"/>
        <v>0</v>
      </c>
      <c r="AX564" s="641">
        <f t="shared" si="176"/>
        <v>0</v>
      </c>
      <c r="AY564" s="641">
        <f t="shared" si="177"/>
        <v>0</v>
      </c>
      <c r="AZ564" s="640">
        <f t="shared" si="178"/>
        <v>36.533333333333331</v>
      </c>
      <c r="BA564" s="641">
        <f t="shared" si="179"/>
        <v>39.522222222222219</v>
      </c>
    </row>
    <row r="565" spans="1:53" s="365" customFormat="1" ht="15" customHeight="1">
      <c r="A565" s="430" t="s">
        <v>521</v>
      </c>
      <c r="B565" s="451" t="s">
        <v>618</v>
      </c>
      <c r="C565" s="432"/>
      <c r="D565" s="635" t="s">
        <v>819</v>
      </c>
      <c r="E565" s="561">
        <v>10</v>
      </c>
      <c r="F565" s="495"/>
      <c r="G565" s="551"/>
      <c r="H565" s="495">
        <v>4525</v>
      </c>
      <c r="I565" s="555">
        <v>5482</v>
      </c>
      <c r="J565" s="495">
        <v>24</v>
      </c>
      <c r="K565" s="556">
        <v>3275</v>
      </c>
      <c r="L565" s="495">
        <v>0</v>
      </c>
      <c r="M565" s="556">
        <v>0</v>
      </c>
      <c r="N565" s="495">
        <v>7933</v>
      </c>
      <c r="O565" s="552">
        <v>6259</v>
      </c>
      <c r="P565" s="640">
        <f t="shared" si="162"/>
        <v>12482</v>
      </c>
      <c r="Q565" s="640">
        <f t="shared" si="163"/>
        <v>416.06666666666666</v>
      </c>
      <c r="R565" s="641">
        <f t="shared" si="164"/>
        <v>15016</v>
      </c>
      <c r="S565" s="641">
        <f t="shared" si="165"/>
        <v>500.53333333333336</v>
      </c>
      <c r="T565" s="495">
        <v>247</v>
      </c>
      <c r="U565" s="552">
        <v>318</v>
      </c>
      <c r="V565" s="640">
        <f t="shared" si="166"/>
        <v>12482</v>
      </c>
      <c r="W565" s="641">
        <f t="shared" si="167"/>
        <v>15016</v>
      </c>
      <c r="X565" s="495">
        <v>0</v>
      </c>
      <c r="Y565" s="556">
        <v>800</v>
      </c>
      <c r="Z565" s="495">
        <v>0</v>
      </c>
      <c r="AA565" s="556">
        <v>640</v>
      </c>
      <c r="AB565" s="495">
        <v>460</v>
      </c>
      <c r="AC565" s="556">
        <v>800</v>
      </c>
      <c r="AD565" s="495">
        <v>0</v>
      </c>
      <c r="AE565" s="552">
        <v>400</v>
      </c>
      <c r="AF565" s="640">
        <f t="shared" si="168"/>
        <v>460</v>
      </c>
      <c r="AG565" s="640">
        <f t="shared" si="169"/>
        <v>0.51111111111111107</v>
      </c>
      <c r="AH565" s="641">
        <f t="shared" si="170"/>
        <v>2640</v>
      </c>
      <c r="AI565" s="641">
        <f t="shared" si="171"/>
        <v>2.9333333333333331</v>
      </c>
      <c r="AJ565" s="495"/>
      <c r="AK565" s="496"/>
      <c r="AL565" s="640">
        <f t="shared" si="172"/>
        <v>0</v>
      </c>
      <c r="AM565" s="641">
        <f t="shared" si="173"/>
        <v>0</v>
      </c>
      <c r="AN565" s="495"/>
      <c r="AO565" s="496"/>
      <c r="AP565" s="495"/>
      <c r="AQ565" s="496"/>
      <c r="AR565" s="495"/>
      <c r="AS565" s="496"/>
      <c r="AT565" s="495"/>
      <c r="AU565" s="496"/>
      <c r="AV565" s="640">
        <f t="shared" si="174"/>
        <v>0</v>
      </c>
      <c r="AW565" s="640">
        <f t="shared" si="175"/>
        <v>0</v>
      </c>
      <c r="AX565" s="641">
        <f t="shared" si="176"/>
        <v>0</v>
      </c>
      <c r="AY565" s="641">
        <f t="shared" si="177"/>
        <v>0</v>
      </c>
      <c r="AZ565" s="640">
        <f t="shared" si="178"/>
        <v>416.57777777777778</v>
      </c>
      <c r="BA565" s="641">
        <f t="shared" si="179"/>
        <v>503.4666666666667</v>
      </c>
    </row>
    <row r="566" spans="1:53" s="365" customFormat="1" ht="15" customHeight="1">
      <c r="A566" s="430" t="s">
        <v>521</v>
      </c>
      <c r="B566" s="450" t="s">
        <v>608</v>
      </c>
      <c r="C566" s="432"/>
      <c r="D566" s="628">
        <v>408394</v>
      </c>
      <c r="E566" s="530">
        <v>10</v>
      </c>
      <c r="F566" s="495"/>
      <c r="G566" s="551"/>
      <c r="H566" s="495">
        <v>4788</v>
      </c>
      <c r="I566" s="555">
        <v>4213</v>
      </c>
      <c r="J566" s="495">
        <v>312</v>
      </c>
      <c r="K566" s="556">
        <v>3264</v>
      </c>
      <c r="L566" s="495">
        <v>0</v>
      </c>
      <c r="M566" s="556">
        <v>0</v>
      </c>
      <c r="N566" s="495">
        <v>8025</v>
      </c>
      <c r="O566" s="552">
        <v>5721</v>
      </c>
      <c r="P566" s="640">
        <f t="shared" si="162"/>
        <v>13125</v>
      </c>
      <c r="Q566" s="640">
        <f t="shared" si="163"/>
        <v>437.5</v>
      </c>
      <c r="R566" s="641">
        <f t="shared" si="164"/>
        <v>13198</v>
      </c>
      <c r="S566" s="641">
        <f t="shared" si="165"/>
        <v>439.93333333333334</v>
      </c>
      <c r="T566" s="495">
        <v>213</v>
      </c>
      <c r="U566" s="552">
        <v>273</v>
      </c>
      <c r="V566" s="640">
        <f t="shared" si="166"/>
        <v>13125</v>
      </c>
      <c r="W566" s="641">
        <f t="shared" si="167"/>
        <v>13198</v>
      </c>
      <c r="X566" s="495">
        <v>0</v>
      </c>
      <c r="Y566" s="556">
        <v>360</v>
      </c>
      <c r="Z566" s="495">
        <v>0</v>
      </c>
      <c r="AA566" s="556">
        <v>1200</v>
      </c>
      <c r="AB566" s="495">
        <v>0</v>
      </c>
      <c r="AC566" s="496"/>
      <c r="AD566" s="495">
        <v>0</v>
      </c>
      <c r="AE566" s="552">
        <v>1400</v>
      </c>
      <c r="AF566" s="640">
        <f t="shared" si="168"/>
        <v>0</v>
      </c>
      <c r="AG566" s="640">
        <f t="shared" si="169"/>
        <v>0</v>
      </c>
      <c r="AH566" s="641">
        <f t="shared" si="170"/>
        <v>2960</v>
      </c>
      <c r="AI566" s="641">
        <f t="shared" si="171"/>
        <v>3.2888888888888888</v>
      </c>
      <c r="AJ566" s="495"/>
      <c r="AK566" s="496"/>
      <c r="AL566" s="640">
        <f t="shared" si="172"/>
        <v>0</v>
      </c>
      <c r="AM566" s="641">
        <f t="shared" si="173"/>
        <v>0</v>
      </c>
      <c r="AN566" s="495"/>
      <c r="AO566" s="496"/>
      <c r="AP566" s="495"/>
      <c r="AQ566" s="496"/>
      <c r="AR566" s="495"/>
      <c r="AS566" s="496"/>
      <c r="AT566" s="495"/>
      <c r="AU566" s="496"/>
      <c r="AV566" s="640">
        <f t="shared" si="174"/>
        <v>0</v>
      </c>
      <c r="AW566" s="640">
        <f t="shared" si="175"/>
        <v>0</v>
      </c>
      <c r="AX566" s="641">
        <f t="shared" si="176"/>
        <v>0</v>
      </c>
      <c r="AY566" s="641">
        <f t="shared" si="177"/>
        <v>0</v>
      </c>
      <c r="AZ566" s="640">
        <f t="shared" si="178"/>
        <v>437.5</v>
      </c>
      <c r="BA566" s="641">
        <f t="shared" si="179"/>
        <v>443.22222222222223</v>
      </c>
    </row>
    <row r="567" spans="1:53" s="365" customFormat="1" ht="15" customHeight="1">
      <c r="A567" s="430" t="s">
        <v>521</v>
      </c>
      <c r="B567" s="451" t="s">
        <v>617</v>
      </c>
      <c r="C567" s="432"/>
      <c r="D567" s="635" t="s">
        <v>819</v>
      </c>
      <c r="E567" s="530">
        <v>10</v>
      </c>
      <c r="F567" s="495"/>
      <c r="G567" s="551"/>
      <c r="H567" s="495">
        <v>1958</v>
      </c>
      <c r="I567" s="555">
        <v>2289</v>
      </c>
      <c r="J567" s="495">
        <v>0</v>
      </c>
      <c r="K567" s="556">
        <v>1665</v>
      </c>
      <c r="L567" s="495">
        <v>0</v>
      </c>
      <c r="M567" s="556">
        <v>0</v>
      </c>
      <c r="N567" s="495">
        <v>3898</v>
      </c>
      <c r="O567" s="552">
        <v>1998</v>
      </c>
      <c r="P567" s="640">
        <f t="shared" si="162"/>
        <v>5856</v>
      </c>
      <c r="Q567" s="640">
        <f t="shared" si="163"/>
        <v>195.2</v>
      </c>
      <c r="R567" s="641">
        <f t="shared" si="164"/>
        <v>5952</v>
      </c>
      <c r="S567" s="641">
        <f t="shared" si="165"/>
        <v>198.4</v>
      </c>
      <c r="T567" s="495">
        <v>235</v>
      </c>
      <c r="U567" s="552">
        <v>169</v>
      </c>
      <c r="V567" s="640">
        <f t="shared" si="166"/>
        <v>5856</v>
      </c>
      <c r="W567" s="641">
        <f t="shared" si="167"/>
        <v>5952</v>
      </c>
      <c r="X567" s="495">
        <v>0</v>
      </c>
      <c r="Y567" s="556"/>
      <c r="Z567" s="495">
        <v>0</v>
      </c>
      <c r="AA567" s="496"/>
      <c r="AB567" s="495">
        <v>0</v>
      </c>
      <c r="AC567" s="496"/>
      <c r="AD567" s="495">
        <v>0</v>
      </c>
      <c r="AE567" s="496"/>
      <c r="AF567" s="640">
        <f t="shared" si="168"/>
        <v>0</v>
      </c>
      <c r="AG567" s="640">
        <f t="shared" si="169"/>
        <v>0</v>
      </c>
      <c r="AH567" s="641">
        <f t="shared" si="170"/>
        <v>0</v>
      </c>
      <c r="AI567" s="641">
        <f t="shared" si="171"/>
        <v>0</v>
      </c>
      <c r="AJ567" s="495"/>
      <c r="AK567" s="496"/>
      <c r="AL567" s="640">
        <f t="shared" si="172"/>
        <v>0</v>
      </c>
      <c r="AM567" s="641">
        <f t="shared" si="173"/>
        <v>0</v>
      </c>
      <c r="AN567" s="495"/>
      <c r="AO567" s="496"/>
      <c r="AP567" s="495"/>
      <c r="AQ567" s="496"/>
      <c r="AR567" s="495"/>
      <c r="AS567" s="496"/>
      <c r="AT567" s="495"/>
      <c r="AU567" s="496"/>
      <c r="AV567" s="640">
        <f t="shared" si="174"/>
        <v>0</v>
      </c>
      <c r="AW567" s="640">
        <f t="shared" si="175"/>
        <v>0</v>
      </c>
      <c r="AX567" s="641">
        <f t="shared" si="176"/>
        <v>0</v>
      </c>
      <c r="AY567" s="641">
        <f t="shared" si="177"/>
        <v>0</v>
      </c>
      <c r="AZ567" s="640">
        <f t="shared" si="178"/>
        <v>195.2</v>
      </c>
      <c r="BA567" s="641">
        <f t="shared" si="179"/>
        <v>198.4</v>
      </c>
    </row>
    <row r="568" spans="1:53" s="365" customFormat="1" ht="15" customHeight="1">
      <c r="A568" s="430" t="s">
        <v>521</v>
      </c>
      <c r="B568" s="450" t="s">
        <v>609</v>
      </c>
      <c r="C568" s="530"/>
      <c r="D568" s="628">
        <v>229328</v>
      </c>
      <c r="E568" s="530">
        <v>10</v>
      </c>
      <c r="F568" s="495"/>
      <c r="G568" s="551"/>
      <c r="H568" s="495">
        <v>12263</v>
      </c>
      <c r="I568" s="555">
        <v>10122</v>
      </c>
      <c r="J568" s="495">
        <v>4785</v>
      </c>
      <c r="K568" s="556">
        <v>6103</v>
      </c>
      <c r="L568" s="495">
        <v>0</v>
      </c>
      <c r="M568" s="556">
        <v>0</v>
      </c>
      <c r="N568" s="495">
        <v>15799</v>
      </c>
      <c r="O568" s="552">
        <v>10097</v>
      </c>
      <c r="P568" s="640">
        <f t="shared" si="162"/>
        <v>32847</v>
      </c>
      <c r="Q568" s="640">
        <f t="shared" si="163"/>
        <v>1094.9000000000001</v>
      </c>
      <c r="R568" s="641">
        <f t="shared" si="164"/>
        <v>26322</v>
      </c>
      <c r="S568" s="641">
        <f t="shared" si="165"/>
        <v>877.4</v>
      </c>
      <c r="T568" s="495">
        <v>1489</v>
      </c>
      <c r="U568" s="552">
        <v>615</v>
      </c>
      <c r="V568" s="640">
        <f t="shared" si="166"/>
        <v>32847</v>
      </c>
      <c r="W568" s="641">
        <f t="shared" si="167"/>
        <v>26322</v>
      </c>
      <c r="X568" s="495">
        <v>700</v>
      </c>
      <c r="Y568" s="556">
        <v>0</v>
      </c>
      <c r="Z568" s="495">
        <v>300</v>
      </c>
      <c r="AA568" s="556">
        <v>1440</v>
      </c>
      <c r="AB568" s="495">
        <v>800</v>
      </c>
      <c r="AC568" s="556">
        <v>0</v>
      </c>
      <c r="AD568" s="495">
        <v>480</v>
      </c>
      <c r="AE568" s="552">
        <v>840</v>
      </c>
      <c r="AF568" s="640">
        <f t="shared" si="168"/>
        <v>2280</v>
      </c>
      <c r="AG568" s="640">
        <f t="shared" si="169"/>
        <v>2.5333333333333332</v>
      </c>
      <c r="AH568" s="641">
        <f t="shared" si="170"/>
        <v>2280</v>
      </c>
      <c r="AI568" s="641">
        <f t="shared" si="171"/>
        <v>2.5333333333333332</v>
      </c>
      <c r="AJ568" s="495"/>
      <c r="AK568" s="496"/>
      <c r="AL568" s="640">
        <f t="shared" si="172"/>
        <v>0</v>
      </c>
      <c r="AM568" s="641">
        <f t="shared" si="173"/>
        <v>0</v>
      </c>
      <c r="AN568" s="495"/>
      <c r="AO568" s="496"/>
      <c r="AP568" s="495"/>
      <c r="AQ568" s="496"/>
      <c r="AR568" s="495"/>
      <c r="AS568" s="496"/>
      <c r="AT568" s="495"/>
      <c r="AU568" s="496"/>
      <c r="AV568" s="640">
        <f t="shared" si="174"/>
        <v>0</v>
      </c>
      <c r="AW568" s="640">
        <f t="shared" si="175"/>
        <v>0</v>
      </c>
      <c r="AX568" s="641">
        <f t="shared" si="176"/>
        <v>0</v>
      </c>
      <c r="AY568" s="641">
        <f t="shared" si="177"/>
        <v>0</v>
      </c>
      <c r="AZ568" s="640">
        <f t="shared" si="178"/>
        <v>1097.4333333333334</v>
      </c>
      <c r="BA568" s="641">
        <f t="shared" si="179"/>
        <v>879.93333333333328</v>
      </c>
    </row>
    <row r="569" spans="1:53" s="365" customFormat="1" ht="15" customHeight="1">
      <c r="A569" s="430" t="s">
        <v>521</v>
      </c>
      <c r="B569" s="450" t="s">
        <v>610</v>
      </c>
      <c r="C569" s="530"/>
      <c r="D569" s="628">
        <v>229832</v>
      </c>
      <c r="E569" s="530">
        <v>10</v>
      </c>
      <c r="F569" s="495"/>
      <c r="G569" s="551"/>
      <c r="H569" s="495">
        <v>15536</v>
      </c>
      <c r="I569" s="555">
        <v>12969</v>
      </c>
      <c r="J569" s="495">
        <v>4643</v>
      </c>
      <c r="K569" s="556">
        <v>3604</v>
      </c>
      <c r="L569" s="495">
        <v>3381</v>
      </c>
      <c r="M569" s="556">
        <v>2043</v>
      </c>
      <c r="N569" s="495">
        <v>11865</v>
      </c>
      <c r="O569" s="552">
        <v>12150</v>
      </c>
      <c r="P569" s="640">
        <f t="shared" si="162"/>
        <v>35425</v>
      </c>
      <c r="Q569" s="640">
        <f t="shared" si="163"/>
        <v>1180.8333333333333</v>
      </c>
      <c r="R569" s="641">
        <f t="shared" si="164"/>
        <v>30766</v>
      </c>
      <c r="S569" s="641">
        <f t="shared" si="165"/>
        <v>1025.5333333333333</v>
      </c>
      <c r="T569" s="495">
        <v>8616</v>
      </c>
      <c r="U569" s="552">
        <v>8883</v>
      </c>
      <c r="V569" s="640">
        <f t="shared" si="166"/>
        <v>35425</v>
      </c>
      <c r="W569" s="641">
        <f t="shared" si="167"/>
        <v>30766</v>
      </c>
      <c r="X569" s="495">
        <v>29459</v>
      </c>
      <c r="Y569" s="556">
        <v>15181</v>
      </c>
      <c r="Z569" s="495">
        <v>23188</v>
      </c>
      <c r="AA569" s="556">
        <v>15205</v>
      </c>
      <c r="AB569" s="495">
        <v>20288</v>
      </c>
      <c r="AC569" s="556">
        <v>7762</v>
      </c>
      <c r="AD569" s="495">
        <v>10868</v>
      </c>
      <c r="AE569" s="552">
        <v>25103</v>
      </c>
      <c r="AF569" s="640">
        <f t="shared" si="168"/>
        <v>83803</v>
      </c>
      <c r="AG569" s="640">
        <f t="shared" si="169"/>
        <v>93.114444444444445</v>
      </c>
      <c r="AH569" s="641">
        <f t="shared" si="170"/>
        <v>63251</v>
      </c>
      <c r="AI569" s="641">
        <f t="shared" si="171"/>
        <v>70.278888888888886</v>
      </c>
      <c r="AJ569" s="495"/>
      <c r="AK569" s="496"/>
      <c r="AL569" s="640">
        <f t="shared" si="172"/>
        <v>0</v>
      </c>
      <c r="AM569" s="641">
        <f t="shared" si="173"/>
        <v>0</v>
      </c>
      <c r="AN569" s="495"/>
      <c r="AO569" s="496"/>
      <c r="AP569" s="495"/>
      <c r="AQ569" s="496"/>
      <c r="AR569" s="495"/>
      <c r="AS569" s="496"/>
      <c r="AT569" s="495"/>
      <c r="AU569" s="496"/>
      <c r="AV569" s="640">
        <f t="shared" si="174"/>
        <v>0</v>
      </c>
      <c r="AW569" s="640">
        <f t="shared" si="175"/>
        <v>0</v>
      </c>
      <c r="AX569" s="641">
        <f t="shared" si="176"/>
        <v>0</v>
      </c>
      <c r="AY569" s="641">
        <f t="shared" si="177"/>
        <v>0</v>
      </c>
      <c r="AZ569" s="640">
        <f t="shared" si="178"/>
        <v>1273.9477777777777</v>
      </c>
      <c r="BA569" s="641">
        <f t="shared" si="179"/>
        <v>1095.8122222222221</v>
      </c>
    </row>
    <row r="570" spans="1:53" s="365" customFormat="1" ht="15" customHeight="1">
      <c r="A570" s="430" t="s">
        <v>521</v>
      </c>
      <c r="B570" s="451" t="s">
        <v>611</v>
      </c>
      <c r="C570" s="530"/>
      <c r="D570" s="628"/>
      <c r="E570" s="530">
        <v>11</v>
      </c>
      <c r="F570" s="495"/>
      <c r="G570" s="551"/>
      <c r="H570" s="495">
        <v>445966</v>
      </c>
      <c r="I570" s="551"/>
      <c r="J570" s="495">
        <v>138081</v>
      </c>
      <c r="K570" s="496"/>
      <c r="L570" s="495">
        <v>0</v>
      </c>
      <c r="M570" s="496"/>
      <c r="N570" s="495">
        <v>454864</v>
      </c>
      <c r="O570" s="496"/>
      <c r="P570" s="640">
        <f t="shared" si="162"/>
        <v>1038911</v>
      </c>
      <c r="Q570" s="640">
        <f t="shared" si="163"/>
        <v>34630.366666666669</v>
      </c>
      <c r="R570" s="641">
        <f t="shared" si="164"/>
        <v>0</v>
      </c>
      <c r="S570" s="641">
        <f t="shared" si="165"/>
        <v>0</v>
      </c>
      <c r="T570" s="495">
        <v>160790</v>
      </c>
      <c r="U570" s="496"/>
      <c r="V570" s="640">
        <f t="shared" si="166"/>
        <v>1038911</v>
      </c>
      <c r="W570" s="641">
        <f t="shared" si="167"/>
        <v>0</v>
      </c>
      <c r="X570" s="495">
        <v>72804</v>
      </c>
      <c r="Y570" s="496"/>
      <c r="Z570" s="495">
        <v>37091</v>
      </c>
      <c r="AA570" s="496"/>
      <c r="AB570" s="495">
        <v>47576</v>
      </c>
      <c r="AC570" s="496"/>
      <c r="AD570" s="495">
        <v>40162</v>
      </c>
      <c r="AE570" s="496"/>
      <c r="AF570" s="640">
        <f t="shared" si="168"/>
        <v>197633</v>
      </c>
      <c r="AG570" s="640">
        <f t="shared" si="169"/>
        <v>219.59222222222223</v>
      </c>
      <c r="AH570" s="641">
        <f t="shared" si="170"/>
        <v>0</v>
      </c>
      <c r="AI570" s="641">
        <f t="shared" si="171"/>
        <v>0</v>
      </c>
      <c r="AJ570" s="495"/>
      <c r="AK570" s="496"/>
      <c r="AL570" s="640">
        <f t="shared" si="172"/>
        <v>0</v>
      </c>
      <c r="AM570" s="641">
        <f t="shared" si="173"/>
        <v>0</v>
      </c>
      <c r="AN570" s="495"/>
      <c r="AO570" s="496"/>
      <c r="AP570" s="495"/>
      <c r="AQ570" s="496"/>
      <c r="AR570" s="495"/>
      <c r="AS570" s="496"/>
      <c r="AT570" s="495"/>
      <c r="AU570" s="496"/>
      <c r="AV570" s="640">
        <f t="shared" si="174"/>
        <v>0</v>
      </c>
      <c r="AW570" s="640">
        <f t="shared" si="175"/>
        <v>0</v>
      </c>
      <c r="AX570" s="641">
        <f t="shared" si="176"/>
        <v>0</v>
      </c>
      <c r="AY570" s="641">
        <f t="shared" si="177"/>
        <v>0</v>
      </c>
      <c r="AZ570" s="640">
        <f t="shared" si="178"/>
        <v>34849.95888888889</v>
      </c>
      <c r="BA570" s="641">
        <f t="shared" si="179"/>
        <v>0</v>
      </c>
    </row>
    <row r="571" spans="1:53" s="365" customFormat="1" ht="14.25" customHeight="1">
      <c r="A571" s="430" t="s">
        <v>521</v>
      </c>
      <c r="B571" s="451" t="s">
        <v>885</v>
      </c>
      <c r="C571" s="530"/>
      <c r="D571" s="628">
        <v>224615</v>
      </c>
      <c r="E571" s="530">
        <v>11</v>
      </c>
      <c r="F571" s="495"/>
      <c r="G571" s="551"/>
      <c r="H571" s="495">
        <v>612679</v>
      </c>
      <c r="I571" s="555">
        <v>549203</v>
      </c>
      <c r="J571" s="495">
        <v>384352</v>
      </c>
      <c r="K571" s="556">
        <v>346711</v>
      </c>
      <c r="L571" s="495">
        <v>0</v>
      </c>
      <c r="M571" s="496">
        <v>0</v>
      </c>
      <c r="N571" s="495">
        <v>0</v>
      </c>
      <c r="O571" s="496">
        <v>396836</v>
      </c>
      <c r="P571" s="640">
        <f t="shared" si="162"/>
        <v>997031</v>
      </c>
      <c r="Q571" s="640">
        <f t="shared" si="163"/>
        <v>33234.366666666669</v>
      </c>
      <c r="R571" s="641">
        <f t="shared" si="164"/>
        <v>1292750</v>
      </c>
      <c r="S571" s="641">
        <f t="shared" si="165"/>
        <v>43091.666666666664</v>
      </c>
      <c r="T571" s="495">
        <v>154139</v>
      </c>
      <c r="U571" s="496"/>
      <c r="V571" s="640">
        <f t="shared" si="166"/>
        <v>997031</v>
      </c>
      <c r="W571" s="641">
        <f t="shared" si="167"/>
        <v>0</v>
      </c>
      <c r="X571" s="495">
        <v>594370</v>
      </c>
      <c r="Y571" s="556">
        <v>194232</v>
      </c>
      <c r="Z571" s="495">
        <v>357622</v>
      </c>
      <c r="AA571" s="556">
        <v>169685</v>
      </c>
      <c r="AB571" s="495">
        <v>199105</v>
      </c>
      <c r="AC571" s="556">
        <v>267944</v>
      </c>
      <c r="AD571" s="495"/>
      <c r="AE571" s="552">
        <v>332182</v>
      </c>
      <c r="AF571" s="640">
        <f t="shared" si="168"/>
        <v>1151097</v>
      </c>
      <c r="AG571" s="640">
        <f t="shared" si="169"/>
        <v>1278.9966666666667</v>
      </c>
      <c r="AH571" s="641">
        <f t="shared" si="170"/>
        <v>964043</v>
      </c>
      <c r="AI571" s="641">
        <f t="shared" si="171"/>
        <v>1071.1588888888889</v>
      </c>
      <c r="AJ571" s="495"/>
      <c r="AK571" s="496"/>
      <c r="AL571" s="640">
        <f t="shared" si="172"/>
        <v>0</v>
      </c>
      <c r="AM571" s="641">
        <f t="shared" si="173"/>
        <v>0</v>
      </c>
      <c r="AN571" s="495"/>
      <c r="AO571" s="496"/>
      <c r="AP571" s="495"/>
      <c r="AQ571" s="496"/>
      <c r="AR571" s="495"/>
      <c r="AS571" s="496"/>
      <c r="AT571" s="495"/>
      <c r="AU571" s="496"/>
      <c r="AV571" s="640">
        <f t="shared" si="174"/>
        <v>0</v>
      </c>
      <c r="AW571" s="640">
        <f t="shared" si="175"/>
        <v>0</v>
      </c>
      <c r="AX571" s="641">
        <f t="shared" si="176"/>
        <v>0</v>
      </c>
      <c r="AY571" s="641">
        <f t="shared" si="177"/>
        <v>0</v>
      </c>
      <c r="AZ571" s="640">
        <f t="shared" si="178"/>
        <v>34513.363333333335</v>
      </c>
      <c r="BA571" s="641">
        <f t="shared" si="179"/>
        <v>44162.825555555552</v>
      </c>
    </row>
    <row r="572" spans="1:53" s="365" customFormat="1" ht="15" customHeight="1">
      <c r="A572" s="430" t="s">
        <v>521</v>
      </c>
      <c r="B572" s="451" t="s">
        <v>612</v>
      </c>
      <c r="C572" s="530"/>
      <c r="D572" s="628"/>
      <c r="E572" s="530">
        <v>11</v>
      </c>
      <c r="F572" s="495"/>
      <c r="G572" s="551"/>
      <c r="H572" s="495">
        <v>25699</v>
      </c>
      <c r="I572" s="551"/>
      <c r="J572" s="495">
        <v>4414</v>
      </c>
      <c r="K572" s="496"/>
      <c r="L572" s="495">
        <v>2174</v>
      </c>
      <c r="M572" s="496"/>
      <c r="N572" s="495">
        <v>28547</v>
      </c>
      <c r="O572" s="496"/>
      <c r="P572" s="640">
        <f t="shared" si="162"/>
        <v>60834</v>
      </c>
      <c r="Q572" s="640">
        <f t="shared" si="163"/>
        <v>2027.8</v>
      </c>
      <c r="R572" s="641">
        <f t="shared" si="164"/>
        <v>0</v>
      </c>
      <c r="S572" s="641">
        <f t="shared" si="165"/>
        <v>0</v>
      </c>
      <c r="T572" s="495">
        <v>15202</v>
      </c>
      <c r="U572" s="496"/>
      <c r="V572" s="640">
        <f t="shared" si="166"/>
        <v>60834</v>
      </c>
      <c r="W572" s="641">
        <f t="shared" si="167"/>
        <v>0</v>
      </c>
      <c r="X572" s="495">
        <v>112996</v>
      </c>
      <c r="Y572" s="496"/>
      <c r="Z572" s="495">
        <v>14690</v>
      </c>
      <c r="AA572" s="496"/>
      <c r="AB572" s="495">
        <v>31336</v>
      </c>
      <c r="AC572" s="496"/>
      <c r="AD572" s="495">
        <v>40849</v>
      </c>
      <c r="AE572" s="496"/>
      <c r="AF572" s="640">
        <f t="shared" si="168"/>
        <v>199871</v>
      </c>
      <c r="AG572" s="640">
        <f t="shared" si="169"/>
        <v>222.07888888888888</v>
      </c>
      <c r="AH572" s="641">
        <f t="shared" si="170"/>
        <v>0</v>
      </c>
      <c r="AI572" s="641">
        <f t="shared" si="171"/>
        <v>0</v>
      </c>
      <c r="AJ572" s="495"/>
      <c r="AK572" s="496"/>
      <c r="AL572" s="640">
        <f t="shared" si="172"/>
        <v>0</v>
      </c>
      <c r="AM572" s="641">
        <f t="shared" si="173"/>
        <v>0</v>
      </c>
      <c r="AN572" s="495"/>
      <c r="AO572" s="496"/>
      <c r="AP572" s="495"/>
      <c r="AQ572" s="496"/>
      <c r="AR572" s="495"/>
      <c r="AS572" s="496"/>
      <c r="AT572" s="495"/>
      <c r="AU572" s="496"/>
      <c r="AV572" s="640">
        <f t="shared" si="174"/>
        <v>0</v>
      </c>
      <c r="AW572" s="640">
        <f t="shared" si="175"/>
        <v>0</v>
      </c>
      <c r="AX572" s="641">
        <f t="shared" si="176"/>
        <v>0</v>
      </c>
      <c r="AY572" s="641">
        <f t="shared" si="177"/>
        <v>0</v>
      </c>
      <c r="AZ572" s="640">
        <f t="shared" si="178"/>
        <v>2249.8788888888889</v>
      </c>
      <c r="BA572" s="641">
        <f t="shared" si="179"/>
        <v>0</v>
      </c>
    </row>
    <row r="573" spans="1:53" s="365" customFormat="1" ht="15" customHeight="1">
      <c r="A573" s="430" t="s">
        <v>521</v>
      </c>
      <c r="B573" s="450" t="s">
        <v>613</v>
      </c>
      <c r="C573" s="530"/>
      <c r="D573" s="628">
        <v>484905</v>
      </c>
      <c r="E573" s="530">
        <v>4</v>
      </c>
      <c r="F573" s="495"/>
      <c r="G573" s="551"/>
      <c r="H573" s="495">
        <v>0</v>
      </c>
      <c r="I573" s="551"/>
      <c r="J573" s="495">
        <v>32598</v>
      </c>
      <c r="K573" s="496">
        <v>34830</v>
      </c>
      <c r="L573" s="495">
        <v>10503</v>
      </c>
      <c r="M573" s="496">
        <v>10609</v>
      </c>
      <c r="N573" s="495">
        <v>36674</v>
      </c>
      <c r="O573" s="496">
        <v>35613</v>
      </c>
      <c r="P573" s="640">
        <f t="shared" si="162"/>
        <v>79775</v>
      </c>
      <c r="Q573" s="640">
        <f t="shared" si="163"/>
        <v>2659.1666666666665</v>
      </c>
      <c r="R573" s="641">
        <f t="shared" si="164"/>
        <v>81052</v>
      </c>
      <c r="S573" s="641">
        <f t="shared" si="165"/>
        <v>2701.7333333333331</v>
      </c>
      <c r="T573" s="495">
        <v>0</v>
      </c>
      <c r="U573" s="552">
        <v>822</v>
      </c>
      <c r="V573" s="640">
        <f t="shared" si="166"/>
        <v>79775</v>
      </c>
      <c r="W573" s="641">
        <f t="shared" si="167"/>
        <v>81052</v>
      </c>
      <c r="X573" s="495"/>
      <c r="Y573" s="496"/>
      <c r="Z573" s="495"/>
      <c r="AA573" s="496"/>
      <c r="AB573" s="495"/>
      <c r="AC573" s="496"/>
      <c r="AD573" s="495"/>
      <c r="AE573" s="496"/>
      <c r="AF573" s="640">
        <f t="shared" si="168"/>
        <v>0</v>
      </c>
      <c r="AG573" s="640">
        <f t="shared" si="169"/>
        <v>0</v>
      </c>
      <c r="AH573" s="641">
        <f t="shared" si="170"/>
        <v>0</v>
      </c>
      <c r="AI573" s="641">
        <f t="shared" si="171"/>
        <v>0</v>
      </c>
      <c r="AJ573" s="495"/>
      <c r="AK573" s="496"/>
      <c r="AL573" s="640">
        <f t="shared" si="172"/>
        <v>0</v>
      </c>
      <c r="AM573" s="641">
        <f t="shared" si="173"/>
        <v>0</v>
      </c>
      <c r="AN573" s="495"/>
      <c r="AO573" s="496"/>
      <c r="AP573" s="495">
        <v>7270</v>
      </c>
      <c r="AQ573" s="496">
        <v>7410</v>
      </c>
      <c r="AR573" s="495">
        <v>2683</v>
      </c>
      <c r="AS573" s="496">
        <v>2725</v>
      </c>
      <c r="AT573" s="495">
        <v>7314</v>
      </c>
      <c r="AU573" s="496">
        <v>7076</v>
      </c>
      <c r="AV573" s="640">
        <f t="shared" si="174"/>
        <v>17267</v>
      </c>
      <c r="AW573" s="640">
        <f t="shared" si="175"/>
        <v>719.45833333333337</v>
      </c>
      <c r="AX573" s="641">
        <f t="shared" si="176"/>
        <v>17211</v>
      </c>
      <c r="AY573" s="641">
        <f t="shared" si="177"/>
        <v>717.125</v>
      </c>
      <c r="AZ573" s="640">
        <f t="shared" si="178"/>
        <v>3378.625</v>
      </c>
      <c r="BA573" s="641">
        <f t="shared" si="179"/>
        <v>3418.8583333333331</v>
      </c>
    </row>
    <row r="574" spans="1:53" s="365" customFormat="1" ht="15" customHeight="1">
      <c r="A574" s="430" t="s">
        <v>521</v>
      </c>
      <c r="B574" s="451" t="s">
        <v>611</v>
      </c>
      <c r="C574" s="530"/>
      <c r="D574" s="628"/>
      <c r="E574" s="530" t="s">
        <v>614</v>
      </c>
      <c r="F574" s="495"/>
      <c r="G574" s="551"/>
      <c r="H574" s="495">
        <v>398905</v>
      </c>
      <c r="I574" s="551"/>
      <c r="J574" s="495">
        <v>127783</v>
      </c>
      <c r="K574" s="496"/>
      <c r="L574" s="495">
        <v>0</v>
      </c>
      <c r="M574" s="496"/>
      <c r="N574" s="495">
        <v>409878</v>
      </c>
      <c r="O574" s="496"/>
      <c r="P574" s="640">
        <f t="shared" si="162"/>
        <v>936566</v>
      </c>
      <c r="Q574" s="640">
        <f t="shared" si="163"/>
        <v>31218.866666666665</v>
      </c>
      <c r="R574" s="641">
        <f t="shared" si="164"/>
        <v>0</v>
      </c>
      <c r="S574" s="641">
        <f t="shared" si="165"/>
        <v>0</v>
      </c>
      <c r="T574" s="495">
        <v>147642</v>
      </c>
      <c r="U574" s="496"/>
      <c r="V574" s="640">
        <f t="shared" si="166"/>
        <v>936566</v>
      </c>
      <c r="W574" s="641">
        <f t="shared" si="167"/>
        <v>0</v>
      </c>
      <c r="X574" s="495">
        <v>66996</v>
      </c>
      <c r="Y574" s="496"/>
      <c r="Z574" s="495">
        <v>33139</v>
      </c>
      <c r="AA574" s="496"/>
      <c r="AB574" s="495">
        <v>45192</v>
      </c>
      <c r="AC574" s="496"/>
      <c r="AD574" s="495">
        <v>36546</v>
      </c>
      <c r="AE574" s="496"/>
      <c r="AF574" s="640">
        <f t="shared" si="168"/>
        <v>181873</v>
      </c>
      <c r="AG574" s="640">
        <f t="shared" si="169"/>
        <v>202.08111111111111</v>
      </c>
      <c r="AH574" s="641">
        <f t="shared" si="170"/>
        <v>0</v>
      </c>
      <c r="AI574" s="641">
        <f t="shared" si="171"/>
        <v>0</v>
      </c>
      <c r="AJ574" s="495"/>
      <c r="AK574" s="496"/>
      <c r="AL574" s="640">
        <f t="shared" si="172"/>
        <v>0</v>
      </c>
      <c r="AM574" s="641">
        <f t="shared" si="173"/>
        <v>0</v>
      </c>
      <c r="AN574" s="495"/>
      <c r="AO574" s="496"/>
      <c r="AP574" s="495"/>
      <c r="AQ574" s="496"/>
      <c r="AR574" s="495"/>
      <c r="AS574" s="496"/>
      <c r="AT574" s="495"/>
      <c r="AU574" s="496"/>
      <c r="AV574" s="640">
        <f t="shared" si="174"/>
        <v>0</v>
      </c>
      <c r="AW574" s="640">
        <f t="shared" si="175"/>
        <v>0</v>
      </c>
      <c r="AX574" s="641">
        <f t="shared" si="176"/>
        <v>0</v>
      </c>
      <c r="AY574" s="641">
        <f t="shared" si="177"/>
        <v>0</v>
      </c>
      <c r="AZ574" s="640">
        <f t="shared" si="178"/>
        <v>31420.947777777776</v>
      </c>
      <c r="BA574" s="641">
        <f t="shared" si="179"/>
        <v>0</v>
      </c>
    </row>
    <row r="575" spans="1:53" s="365" customFormat="1" ht="15" customHeight="1">
      <c r="A575" s="430" t="s">
        <v>521</v>
      </c>
      <c r="B575" s="451" t="s">
        <v>820</v>
      </c>
      <c r="C575" s="530"/>
      <c r="D575" s="628"/>
      <c r="E575" s="530" t="s">
        <v>614</v>
      </c>
      <c r="F575" s="495"/>
      <c r="G575" s="551"/>
      <c r="H575" s="495">
        <v>552665</v>
      </c>
      <c r="I575" s="551"/>
      <c r="J575" s="495">
        <v>348485</v>
      </c>
      <c r="K575" s="496"/>
      <c r="L575" s="495">
        <v>0</v>
      </c>
      <c r="M575" s="496"/>
      <c r="N575" s="495"/>
      <c r="O575" s="496"/>
      <c r="P575" s="640">
        <f t="shared" si="162"/>
        <v>901150</v>
      </c>
      <c r="Q575" s="640">
        <f t="shared" si="163"/>
        <v>30038.333333333332</v>
      </c>
      <c r="R575" s="641">
        <f t="shared" si="164"/>
        <v>0</v>
      </c>
      <c r="S575" s="641">
        <f t="shared" si="165"/>
        <v>0</v>
      </c>
      <c r="T575" s="495">
        <v>140281</v>
      </c>
      <c r="U575" s="496"/>
      <c r="V575" s="640">
        <f t="shared" si="166"/>
        <v>901150</v>
      </c>
      <c r="W575" s="641">
        <f t="shared" si="167"/>
        <v>0</v>
      </c>
      <c r="X575" s="495">
        <v>548475</v>
      </c>
      <c r="Y575" s="496"/>
      <c r="Z575" s="495">
        <v>232243</v>
      </c>
      <c r="AA575" s="496"/>
      <c r="AB575" s="495">
        <v>150701</v>
      </c>
      <c r="AC575" s="496"/>
      <c r="AD575" s="495"/>
      <c r="AE575" s="496"/>
      <c r="AF575" s="640">
        <f t="shared" si="168"/>
        <v>931419</v>
      </c>
      <c r="AG575" s="640">
        <f t="shared" si="169"/>
        <v>1034.9100000000001</v>
      </c>
      <c r="AH575" s="641">
        <f t="shared" si="170"/>
        <v>0</v>
      </c>
      <c r="AI575" s="641">
        <f t="shared" si="171"/>
        <v>0</v>
      </c>
      <c r="AJ575" s="495"/>
      <c r="AK575" s="496"/>
      <c r="AL575" s="640">
        <f t="shared" si="172"/>
        <v>0</v>
      </c>
      <c r="AM575" s="641">
        <f t="shared" si="173"/>
        <v>0</v>
      </c>
      <c r="AN575" s="495"/>
      <c r="AO575" s="496"/>
      <c r="AP575" s="495"/>
      <c r="AQ575" s="496"/>
      <c r="AR575" s="495"/>
      <c r="AS575" s="496"/>
      <c r="AT575" s="495"/>
      <c r="AU575" s="496"/>
      <c r="AV575" s="640">
        <f t="shared" si="174"/>
        <v>0</v>
      </c>
      <c r="AW575" s="640">
        <f t="shared" si="175"/>
        <v>0</v>
      </c>
      <c r="AX575" s="641">
        <f t="shared" si="176"/>
        <v>0</v>
      </c>
      <c r="AY575" s="641">
        <f t="shared" si="177"/>
        <v>0</v>
      </c>
      <c r="AZ575" s="640">
        <f t="shared" si="178"/>
        <v>31073.243333333332</v>
      </c>
      <c r="BA575" s="641">
        <f t="shared" si="179"/>
        <v>0</v>
      </c>
    </row>
    <row r="576" spans="1:53" s="1" customFormat="1">
      <c r="A576" s="430" t="s">
        <v>521</v>
      </c>
      <c r="B576" s="451" t="s">
        <v>820</v>
      </c>
      <c r="C576" s="530"/>
      <c r="D576" s="628"/>
      <c r="E576" s="530" t="s">
        <v>615</v>
      </c>
      <c r="F576" s="495"/>
      <c r="G576" s="551"/>
      <c r="H576" s="495">
        <v>60014</v>
      </c>
      <c r="I576" s="551"/>
      <c r="J576" s="495">
        <v>35867</v>
      </c>
      <c r="K576" s="496"/>
      <c r="L576" s="495">
        <v>0</v>
      </c>
      <c r="M576" s="496"/>
      <c r="N576" s="495"/>
      <c r="O576" s="496"/>
      <c r="P576" s="640">
        <f t="shared" si="162"/>
        <v>95881</v>
      </c>
      <c r="Q576" s="640">
        <f t="shared" si="163"/>
        <v>3196.0333333333333</v>
      </c>
      <c r="R576" s="641">
        <f t="shared" si="164"/>
        <v>0</v>
      </c>
      <c r="S576" s="641">
        <f t="shared" si="165"/>
        <v>0</v>
      </c>
      <c r="T576" s="495">
        <v>13858</v>
      </c>
      <c r="U576" s="496"/>
      <c r="V576" s="640">
        <f t="shared" si="166"/>
        <v>95881</v>
      </c>
      <c r="W576" s="641">
        <f t="shared" si="167"/>
        <v>0</v>
      </c>
      <c r="X576" s="495">
        <v>45895</v>
      </c>
      <c r="Y576" s="496"/>
      <c r="Z576" s="495">
        <v>125379</v>
      </c>
      <c r="AA576" s="496"/>
      <c r="AB576" s="495">
        <v>48404</v>
      </c>
      <c r="AC576" s="496"/>
      <c r="AD576" s="495"/>
      <c r="AE576" s="496"/>
      <c r="AF576" s="640">
        <f t="shared" si="168"/>
        <v>219678</v>
      </c>
      <c r="AG576" s="640">
        <f t="shared" si="169"/>
        <v>244.08666666666667</v>
      </c>
      <c r="AH576" s="641">
        <f t="shared" si="170"/>
        <v>0</v>
      </c>
      <c r="AI576" s="641">
        <f t="shared" si="171"/>
        <v>0</v>
      </c>
      <c r="AJ576" s="495"/>
      <c r="AK576" s="496"/>
      <c r="AL576" s="640">
        <f t="shared" si="172"/>
        <v>0</v>
      </c>
      <c r="AM576" s="641">
        <f t="shared" si="173"/>
        <v>0</v>
      </c>
      <c r="AN576" s="495"/>
      <c r="AO576" s="496"/>
      <c r="AP576" s="495"/>
      <c r="AQ576" s="496"/>
      <c r="AR576" s="495"/>
      <c r="AS576" s="496"/>
      <c r="AT576" s="495"/>
      <c r="AU576" s="496"/>
      <c r="AV576" s="640">
        <f t="shared" si="174"/>
        <v>0</v>
      </c>
      <c r="AW576" s="640">
        <f t="shared" si="175"/>
        <v>0</v>
      </c>
      <c r="AX576" s="641">
        <f t="shared" si="176"/>
        <v>0</v>
      </c>
      <c r="AY576" s="641">
        <f t="shared" si="177"/>
        <v>0</v>
      </c>
      <c r="AZ576" s="640">
        <f t="shared" si="178"/>
        <v>3440.12</v>
      </c>
      <c r="BA576" s="641">
        <f t="shared" si="179"/>
        <v>0</v>
      </c>
    </row>
    <row r="577" spans="1:53" s="1" customFormat="1">
      <c r="A577" s="430" t="s">
        <v>521</v>
      </c>
      <c r="B577" s="451" t="s">
        <v>612</v>
      </c>
      <c r="C577" s="530"/>
      <c r="D577" s="628"/>
      <c r="E577" s="530" t="s">
        <v>615</v>
      </c>
      <c r="F577" s="495"/>
      <c r="G577" s="551"/>
      <c r="H577" s="495">
        <v>25072</v>
      </c>
      <c r="I577" s="551"/>
      <c r="J577" s="495">
        <v>4414</v>
      </c>
      <c r="K577" s="496"/>
      <c r="L577" s="495">
        <v>2174</v>
      </c>
      <c r="M577" s="496"/>
      <c r="N577" s="495">
        <v>28078</v>
      </c>
      <c r="O577" s="496"/>
      <c r="P577" s="640">
        <f t="shared" si="162"/>
        <v>59738</v>
      </c>
      <c r="Q577" s="640">
        <f t="shared" si="163"/>
        <v>1991.2666666666667</v>
      </c>
      <c r="R577" s="641">
        <f t="shared" si="164"/>
        <v>0</v>
      </c>
      <c r="S577" s="641">
        <f t="shared" si="165"/>
        <v>0</v>
      </c>
      <c r="T577" s="495">
        <v>15202</v>
      </c>
      <c r="U577" s="496"/>
      <c r="V577" s="640">
        <f t="shared" si="166"/>
        <v>59738</v>
      </c>
      <c r="W577" s="641">
        <f t="shared" si="167"/>
        <v>0</v>
      </c>
      <c r="X577" s="495">
        <v>112996</v>
      </c>
      <c r="Y577" s="496"/>
      <c r="Z577" s="495">
        <v>14690</v>
      </c>
      <c r="AA577" s="496"/>
      <c r="AB577" s="495">
        <v>31336</v>
      </c>
      <c r="AC577" s="496"/>
      <c r="AD577" s="495">
        <v>40849</v>
      </c>
      <c r="AE577" s="496"/>
      <c r="AF577" s="640">
        <f t="shared" si="168"/>
        <v>199871</v>
      </c>
      <c r="AG577" s="640">
        <f t="shared" si="169"/>
        <v>222.07888888888888</v>
      </c>
      <c r="AH577" s="641">
        <f t="shared" si="170"/>
        <v>0</v>
      </c>
      <c r="AI577" s="641">
        <f t="shared" si="171"/>
        <v>0</v>
      </c>
      <c r="AJ577" s="495"/>
      <c r="AK577" s="496"/>
      <c r="AL577" s="640">
        <f t="shared" si="172"/>
        <v>0</v>
      </c>
      <c r="AM577" s="641">
        <f t="shared" si="173"/>
        <v>0</v>
      </c>
      <c r="AN577" s="495"/>
      <c r="AO577" s="496"/>
      <c r="AP577" s="495"/>
      <c r="AQ577" s="496"/>
      <c r="AR577" s="495"/>
      <c r="AS577" s="496"/>
      <c r="AT577" s="495"/>
      <c r="AU577" s="496"/>
      <c r="AV577" s="640">
        <f t="shared" si="174"/>
        <v>0</v>
      </c>
      <c r="AW577" s="640">
        <f t="shared" si="175"/>
        <v>0</v>
      </c>
      <c r="AX577" s="641">
        <f t="shared" si="176"/>
        <v>0</v>
      </c>
      <c r="AY577" s="641">
        <f t="shared" si="177"/>
        <v>0</v>
      </c>
      <c r="AZ577" s="640">
        <f t="shared" si="178"/>
        <v>2213.3455555555556</v>
      </c>
      <c r="BA577" s="641">
        <f t="shared" si="179"/>
        <v>0</v>
      </c>
    </row>
    <row r="578" spans="1:53" s="1" customFormat="1">
      <c r="A578" s="430" t="s">
        <v>521</v>
      </c>
      <c r="B578" s="451" t="s">
        <v>611</v>
      </c>
      <c r="C578" s="530"/>
      <c r="D578" s="628"/>
      <c r="E578" s="530" t="s">
        <v>616</v>
      </c>
      <c r="F578" s="495"/>
      <c r="G578" s="551"/>
      <c r="H578" s="495">
        <v>47061</v>
      </c>
      <c r="I578" s="551"/>
      <c r="J578" s="495">
        <v>10298</v>
      </c>
      <c r="K578" s="496"/>
      <c r="L578" s="495">
        <v>0</v>
      </c>
      <c r="M578" s="496"/>
      <c r="N578" s="495">
        <v>44986</v>
      </c>
      <c r="O578" s="496"/>
      <c r="P578" s="640">
        <f t="shared" si="162"/>
        <v>102345</v>
      </c>
      <c r="Q578" s="640">
        <f t="shared" si="163"/>
        <v>3411.5</v>
      </c>
      <c r="R578" s="641">
        <f t="shared" si="164"/>
        <v>0</v>
      </c>
      <c r="S578" s="641">
        <f t="shared" si="165"/>
        <v>0</v>
      </c>
      <c r="T578" s="495">
        <v>13148</v>
      </c>
      <c r="U578" s="496"/>
      <c r="V578" s="640">
        <f t="shared" si="166"/>
        <v>102345</v>
      </c>
      <c r="W578" s="641">
        <f t="shared" si="167"/>
        <v>0</v>
      </c>
      <c r="X578" s="495">
        <v>5808</v>
      </c>
      <c r="Y578" s="496"/>
      <c r="Z578" s="495">
        <v>3952</v>
      </c>
      <c r="AA578" s="496"/>
      <c r="AB578" s="495">
        <v>2384</v>
      </c>
      <c r="AC578" s="496"/>
      <c r="AD578" s="495">
        <v>3616</v>
      </c>
      <c r="AE578" s="496"/>
      <c r="AF578" s="640">
        <f t="shared" si="168"/>
        <v>15760</v>
      </c>
      <c r="AG578" s="640">
        <f t="shared" si="169"/>
        <v>17.511111111111113</v>
      </c>
      <c r="AH578" s="641">
        <f t="shared" si="170"/>
        <v>0</v>
      </c>
      <c r="AI578" s="641">
        <f t="shared" si="171"/>
        <v>0</v>
      </c>
      <c r="AJ578" s="495"/>
      <c r="AK578" s="496"/>
      <c r="AL578" s="640">
        <f t="shared" si="172"/>
        <v>0</v>
      </c>
      <c r="AM578" s="641">
        <f t="shared" si="173"/>
        <v>0</v>
      </c>
      <c r="AN578" s="495"/>
      <c r="AO578" s="496"/>
      <c r="AP578" s="495"/>
      <c r="AQ578" s="496"/>
      <c r="AR578" s="495"/>
      <c r="AS578" s="496"/>
      <c r="AT578" s="495"/>
      <c r="AU578" s="496"/>
      <c r="AV578" s="640">
        <f t="shared" si="174"/>
        <v>0</v>
      </c>
      <c r="AW578" s="640">
        <f t="shared" si="175"/>
        <v>0</v>
      </c>
      <c r="AX578" s="641">
        <f t="shared" si="176"/>
        <v>0</v>
      </c>
      <c r="AY578" s="641">
        <f t="shared" si="177"/>
        <v>0</v>
      </c>
      <c r="AZ578" s="640">
        <f t="shared" si="178"/>
        <v>3429.0111111111109</v>
      </c>
      <c r="BA578" s="641">
        <f t="shared" si="179"/>
        <v>0</v>
      </c>
    </row>
    <row r="579" spans="1:53" s="365" customFormat="1" ht="15" customHeight="1">
      <c r="A579" s="430" t="s">
        <v>521</v>
      </c>
      <c r="B579" s="451" t="s">
        <v>612</v>
      </c>
      <c r="C579" s="530"/>
      <c r="D579" s="628"/>
      <c r="E579" s="530" t="s">
        <v>616</v>
      </c>
      <c r="F579" s="495"/>
      <c r="G579" s="551"/>
      <c r="H579" s="495">
        <v>627</v>
      </c>
      <c r="I579" s="551"/>
      <c r="J579" s="495">
        <v>0</v>
      </c>
      <c r="K579" s="496"/>
      <c r="L579" s="495">
        <v>0</v>
      </c>
      <c r="M579" s="496"/>
      <c r="N579" s="495">
        <v>469</v>
      </c>
      <c r="O579" s="496"/>
      <c r="P579" s="640">
        <f t="shared" si="162"/>
        <v>1096</v>
      </c>
      <c r="Q579" s="640">
        <f t="shared" si="163"/>
        <v>36.533333333333331</v>
      </c>
      <c r="R579" s="641">
        <f t="shared" si="164"/>
        <v>0</v>
      </c>
      <c r="S579" s="641">
        <f t="shared" si="165"/>
        <v>0</v>
      </c>
      <c r="T579" s="495">
        <v>0</v>
      </c>
      <c r="U579" s="496"/>
      <c r="V579" s="640">
        <f t="shared" si="166"/>
        <v>1096</v>
      </c>
      <c r="W579" s="641">
        <f t="shared" si="167"/>
        <v>0</v>
      </c>
      <c r="X579" s="495">
        <v>0</v>
      </c>
      <c r="Y579" s="496"/>
      <c r="Z579" s="495">
        <v>0</v>
      </c>
      <c r="AA579" s="496"/>
      <c r="AB579" s="495">
        <v>0</v>
      </c>
      <c r="AC579" s="496"/>
      <c r="AD579" s="495">
        <v>0</v>
      </c>
      <c r="AE579" s="496"/>
      <c r="AF579" s="640">
        <f t="shared" si="168"/>
        <v>0</v>
      </c>
      <c r="AG579" s="640">
        <f t="shared" si="169"/>
        <v>0</v>
      </c>
      <c r="AH579" s="641">
        <f t="shared" si="170"/>
        <v>0</v>
      </c>
      <c r="AI579" s="641">
        <f t="shared" si="171"/>
        <v>0</v>
      </c>
      <c r="AJ579" s="495"/>
      <c r="AK579" s="496"/>
      <c r="AL579" s="640">
        <f t="shared" si="172"/>
        <v>0</v>
      </c>
      <c r="AM579" s="641">
        <f t="shared" si="173"/>
        <v>0</v>
      </c>
      <c r="AN579" s="495"/>
      <c r="AO579" s="496"/>
      <c r="AP579" s="495"/>
      <c r="AQ579" s="496"/>
      <c r="AR579" s="495"/>
      <c r="AS579" s="496"/>
      <c r="AT579" s="495"/>
      <c r="AU579" s="496"/>
      <c r="AV579" s="640">
        <f t="shared" si="174"/>
        <v>0</v>
      </c>
      <c r="AW579" s="640">
        <f t="shared" si="175"/>
        <v>0</v>
      </c>
      <c r="AX579" s="641">
        <f t="shared" si="176"/>
        <v>0</v>
      </c>
      <c r="AY579" s="641">
        <f t="shared" si="177"/>
        <v>0</v>
      </c>
      <c r="AZ579" s="640">
        <f t="shared" si="178"/>
        <v>36.533333333333331</v>
      </c>
      <c r="BA579" s="641">
        <f t="shared" si="179"/>
        <v>0</v>
      </c>
    </row>
    <row r="580" spans="1:53" s="365" customFormat="1" ht="15" customHeight="1">
      <c r="A580" s="433" t="s">
        <v>521</v>
      </c>
      <c r="B580" s="448" t="s">
        <v>885</v>
      </c>
      <c r="C580" s="610" t="s">
        <v>893</v>
      </c>
      <c r="D580" s="628">
        <v>224615</v>
      </c>
      <c r="E580" s="530">
        <v>8</v>
      </c>
      <c r="F580" s="495"/>
      <c r="G580" s="551"/>
      <c r="H580" s="495"/>
      <c r="I580" s="551"/>
      <c r="J580" s="495"/>
      <c r="K580" s="496"/>
      <c r="L580" s="495"/>
      <c r="M580" s="496"/>
      <c r="N580" s="495">
        <v>380470</v>
      </c>
      <c r="O580" s="496"/>
      <c r="P580" s="640">
        <f t="shared" si="162"/>
        <v>380470</v>
      </c>
      <c r="Q580" s="640">
        <f t="shared" si="163"/>
        <v>12682.333333333334</v>
      </c>
      <c r="R580" s="641">
        <f t="shared" si="164"/>
        <v>0</v>
      </c>
      <c r="S580" s="641">
        <f t="shared" si="165"/>
        <v>0</v>
      </c>
      <c r="T580" s="495">
        <v>58234</v>
      </c>
      <c r="U580" s="496"/>
      <c r="V580" s="640">
        <f t="shared" si="166"/>
        <v>380470</v>
      </c>
      <c r="W580" s="641">
        <f t="shared" si="167"/>
        <v>0</v>
      </c>
      <c r="X580" s="495"/>
      <c r="Y580" s="496"/>
      <c r="Z580" s="495"/>
      <c r="AA580" s="496"/>
      <c r="AB580" s="495"/>
      <c r="AC580" s="496"/>
      <c r="AD580" s="495">
        <v>274467</v>
      </c>
      <c r="AE580" s="496"/>
      <c r="AF580" s="640">
        <f t="shared" si="168"/>
        <v>274467</v>
      </c>
      <c r="AG580" s="640">
        <f t="shared" si="169"/>
        <v>304.96333333333331</v>
      </c>
      <c r="AH580" s="641">
        <f t="shared" si="170"/>
        <v>0</v>
      </c>
      <c r="AI580" s="641">
        <f t="shared" si="171"/>
        <v>0</v>
      </c>
      <c r="AJ580" s="495"/>
      <c r="AK580" s="496"/>
      <c r="AL580" s="640">
        <f t="shared" si="172"/>
        <v>0</v>
      </c>
      <c r="AM580" s="641">
        <f t="shared" si="173"/>
        <v>0</v>
      </c>
      <c r="AN580" s="495"/>
      <c r="AO580" s="496"/>
      <c r="AP580" s="495"/>
      <c r="AQ580" s="496"/>
      <c r="AR580" s="495"/>
      <c r="AS580" s="496"/>
      <c r="AT580" s="495"/>
      <c r="AU580" s="496"/>
      <c r="AV580" s="640">
        <f t="shared" si="174"/>
        <v>0</v>
      </c>
      <c r="AW580" s="640">
        <f t="shared" si="175"/>
        <v>0</v>
      </c>
      <c r="AX580" s="641">
        <f t="shared" si="176"/>
        <v>0</v>
      </c>
      <c r="AY580" s="641">
        <f t="shared" si="177"/>
        <v>0</v>
      </c>
      <c r="AZ580" s="640">
        <f t="shared" si="178"/>
        <v>12987.296666666667</v>
      </c>
      <c r="BA580" s="641">
        <f t="shared" si="179"/>
        <v>0</v>
      </c>
    </row>
    <row r="581" spans="1:53" s="365" customFormat="1" ht="15" customHeight="1">
      <c r="A581" s="433" t="s">
        <v>521</v>
      </c>
      <c r="B581" s="451" t="s">
        <v>886</v>
      </c>
      <c r="C581" s="530"/>
      <c r="D581" s="530"/>
      <c r="E581" s="530">
        <v>10</v>
      </c>
      <c r="F581" s="562"/>
      <c r="G581" s="563"/>
      <c r="H581" s="564"/>
      <c r="I581" s="565"/>
      <c r="J581" s="564"/>
      <c r="K581" s="560"/>
      <c r="L581" s="564"/>
      <c r="M581" s="560"/>
      <c r="N581" s="564"/>
      <c r="O581" s="552">
        <v>18069</v>
      </c>
      <c r="P581" s="640">
        <f t="shared" si="162"/>
        <v>0</v>
      </c>
      <c r="Q581" s="640">
        <f t="shared" si="163"/>
        <v>0</v>
      </c>
      <c r="R581" s="641">
        <f t="shared" si="164"/>
        <v>18069</v>
      </c>
      <c r="S581" s="641">
        <f t="shared" si="165"/>
        <v>602.29999999999995</v>
      </c>
      <c r="T581" s="566"/>
      <c r="U581" s="552">
        <v>772</v>
      </c>
      <c r="V581" s="640">
        <f t="shared" si="166"/>
        <v>0</v>
      </c>
      <c r="W581" s="641">
        <f t="shared" si="167"/>
        <v>18069</v>
      </c>
      <c r="X581" s="564"/>
      <c r="Y581" s="560"/>
      <c r="Z581" s="564"/>
      <c r="AA581" s="560"/>
      <c r="AB581" s="564"/>
      <c r="AC581" s="560"/>
      <c r="AD581" s="564"/>
      <c r="AE581" s="560"/>
      <c r="AF581" s="640">
        <f t="shared" si="168"/>
        <v>0</v>
      </c>
      <c r="AG581" s="640">
        <f t="shared" si="169"/>
        <v>0</v>
      </c>
      <c r="AH581" s="641">
        <f t="shared" si="170"/>
        <v>0</v>
      </c>
      <c r="AI581" s="641">
        <f t="shared" si="171"/>
        <v>0</v>
      </c>
      <c r="AJ581" s="566"/>
      <c r="AK581" s="560"/>
      <c r="AL581" s="640">
        <f t="shared" si="172"/>
        <v>0</v>
      </c>
      <c r="AM581" s="641">
        <f t="shared" si="173"/>
        <v>0</v>
      </c>
      <c r="AN581" s="564"/>
      <c r="AO581" s="560"/>
      <c r="AP581" s="564"/>
      <c r="AQ581" s="560"/>
      <c r="AR581" s="564"/>
      <c r="AS581" s="560"/>
      <c r="AT581" s="564"/>
      <c r="AU581" s="560"/>
      <c r="AV581" s="640">
        <f t="shared" si="174"/>
        <v>0</v>
      </c>
      <c r="AW581" s="640">
        <f t="shared" si="175"/>
        <v>0</v>
      </c>
      <c r="AX581" s="641">
        <f t="shared" si="176"/>
        <v>0</v>
      </c>
      <c r="AY581" s="641">
        <f t="shared" si="177"/>
        <v>0</v>
      </c>
      <c r="AZ581" s="640">
        <f t="shared" si="178"/>
        <v>0</v>
      </c>
      <c r="BA581" s="641">
        <f t="shared" si="179"/>
        <v>602.29999999999995</v>
      </c>
    </row>
    <row r="582" spans="1:53" s="178" customFormat="1" ht="15.75" customHeight="1">
      <c r="A582" s="473" t="s">
        <v>619</v>
      </c>
      <c r="B582" s="464" t="s">
        <v>850</v>
      </c>
      <c r="C582" s="474"/>
      <c r="D582" s="466">
        <v>232186</v>
      </c>
      <c r="E582" s="466">
        <v>1</v>
      </c>
      <c r="F582" s="486"/>
      <c r="G582" s="460"/>
      <c r="H582" s="486"/>
      <c r="I582" s="460"/>
      <c r="J582" s="486">
        <v>338616</v>
      </c>
      <c r="K582" s="460">
        <v>333698.5</v>
      </c>
      <c r="L582" s="486">
        <v>61816</v>
      </c>
      <c r="M582" s="460">
        <v>75208</v>
      </c>
      <c r="N582" s="486">
        <v>358793.5</v>
      </c>
      <c r="O582" s="460">
        <v>349496</v>
      </c>
      <c r="P582" s="640">
        <f t="shared" si="162"/>
        <v>759225.5</v>
      </c>
      <c r="Q582" s="640">
        <f t="shared" si="163"/>
        <v>25307.516666666666</v>
      </c>
      <c r="R582" s="641">
        <f t="shared" si="164"/>
        <v>758402.5</v>
      </c>
      <c r="S582" s="641">
        <f t="shared" si="165"/>
        <v>25280.083333333332</v>
      </c>
      <c r="T582" s="486">
        <v>14501</v>
      </c>
      <c r="U582" s="460">
        <v>9106</v>
      </c>
      <c r="V582" s="640">
        <f t="shared" si="166"/>
        <v>759225.5</v>
      </c>
      <c r="W582" s="641">
        <f t="shared" si="167"/>
        <v>758402.5</v>
      </c>
      <c r="X582" s="486"/>
      <c r="Y582" s="460"/>
      <c r="Z582" s="486"/>
      <c r="AA582" s="460"/>
      <c r="AB582" s="486"/>
      <c r="AC582" s="460"/>
      <c r="AD582" s="486"/>
      <c r="AE582" s="460"/>
      <c r="AF582" s="640">
        <f t="shared" si="168"/>
        <v>0</v>
      </c>
      <c r="AG582" s="640">
        <f t="shared" si="169"/>
        <v>0</v>
      </c>
      <c r="AH582" s="641">
        <f t="shared" si="170"/>
        <v>0</v>
      </c>
      <c r="AI582" s="641">
        <f t="shared" si="171"/>
        <v>0</v>
      </c>
      <c r="AJ582" s="486"/>
      <c r="AK582" s="460"/>
      <c r="AL582" s="640">
        <f t="shared" si="172"/>
        <v>0</v>
      </c>
      <c r="AM582" s="641">
        <f t="shared" si="173"/>
        <v>0</v>
      </c>
      <c r="AN582" s="486"/>
      <c r="AO582" s="460"/>
      <c r="AP582" s="486">
        <v>73957.5</v>
      </c>
      <c r="AQ582" s="460">
        <v>77535.5</v>
      </c>
      <c r="AR582" s="486">
        <v>20589</v>
      </c>
      <c r="AS582" s="460">
        <v>23903.5</v>
      </c>
      <c r="AT582" s="486">
        <v>78565</v>
      </c>
      <c r="AU582" s="460">
        <v>82193.5</v>
      </c>
      <c r="AV582" s="640">
        <f t="shared" si="174"/>
        <v>173111.5</v>
      </c>
      <c r="AW582" s="640">
        <f t="shared" si="175"/>
        <v>7212.979166666667</v>
      </c>
      <c r="AX582" s="641">
        <f t="shared" si="176"/>
        <v>183632.5</v>
      </c>
      <c r="AY582" s="641">
        <f t="shared" si="177"/>
        <v>7651.354166666667</v>
      </c>
      <c r="AZ582" s="640">
        <f t="shared" si="178"/>
        <v>32520.495833333334</v>
      </c>
      <c r="BA582" s="641">
        <f t="shared" si="179"/>
        <v>32931.4375</v>
      </c>
    </row>
    <row r="583" spans="1:53" s="178" customFormat="1" ht="15" customHeight="1">
      <c r="A583" s="473" t="s">
        <v>619</v>
      </c>
      <c r="B583" s="464" t="s">
        <v>851</v>
      </c>
      <c r="C583" s="474"/>
      <c r="D583" s="466">
        <v>232982</v>
      </c>
      <c r="E583" s="466">
        <v>1</v>
      </c>
      <c r="F583" s="486"/>
      <c r="G583" s="460"/>
      <c r="H583" s="486"/>
      <c r="I583" s="460"/>
      <c r="J583" s="486">
        <v>213104</v>
      </c>
      <c r="K583" s="460">
        <v>209229</v>
      </c>
      <c r="L583" s="486">
        <v>58936</v>
      </c>
      <c r="M583" s="460">
        <v>54261</v>
      </c>
      <c r="N583" s="486">
        <v>238597</v>
      </c>
      <c r="O583" s="460">
        <v>224501</v>
      </c>
      <c r="P583" s="640">
        <f t="shared" si="162"/>
        <v>510637</v>
      </c>
      <c r="Q583" s="640">
        <f t="shared" si="163"/>
        <v>17021.233333333334</v>
      </c>
      <c r="R583" s="641">
        <f t="shared" si="164"/>
        <v>487991</v>
      </c>
      <c r="S583" s="641">
        <f t="shared" si="165"/>
        <v>16266.366666666667</v>
      </c>
      <c r="T583" s="486">
        <v>65</v>
      </c>
      <c r="U583" s="460">
        <v>117</v>
      </c>
      <c r="V583" s="640">
        <f t="shared" si="166"/>
        <v>510637</v>
      </c>
      <c r="W583" s="641">
        <f t="shared" si="167"/>
        <v>487991</v>
      </c>
      <c r="X583" s="486"/>
      <c r="Y583" s="460"/>
      <c r="Z583" s="486"/>
      <c r="AA583" s="460"/>
      <c r="AB583" s="486"/>
      <c r="AC583" s="460"/>
      <c r="AD583" s="486"/>
      <c r="AE583" s="460"/>
      <c r="AF583" s="640">
        <f t="shared" si="168"/>
        <v>0</v>
      </c>
      <c r="AG583" s="640">
        <f t="shared" si="169"/>
        <v>0</v>
      </c>
      <c r="AH583" s="641">
        <f t="shared" si="170"/>
        <v>0</v>
      </c>
      <c r="AI583" s="641">
        <f t="shared" si="171"/>
        <v>0</v>
      </c>
      <c r="AJ583" s="486"/>
      <c r="AK583" s="460"/>
      <c r="AL583" s="640">
        <f t="shared" si="172"/>
        <v>0</v>
      </c>
      <c r="AM583" s="641">
        <f t="shared" si="173"/>
        <v>0</v>
      </c>
      <c r="AN583" s="486"/>
      <c r="AO583" s="460"/>
      <c r="AP583" s="486">
        <v>25608</v>
      </c>
      <c r="AQ583" s="460">
        <v>28257</v>
      </c>
      <c r="AR583" s="486">
        <v>14425</v>
      </c>
      <c r="AS583" s="460">
        <v>14815</v>
      </c>
      <c r="AT583" s="486">
        <v>28230</v>
      </c>
      <c r="AU583" s="460">
        <v>29337</v>
      </c>
      <c r="AV583" s="640">
        <f t="shared" si="174"/>
        <v>68263</v>
      </c>
      <c r="AW583" s="640">
        <f t="shared" si="175"/>
        <v>2844.2916666666665</v>
      </c>
      <c r="AX583" s="641">
        <f t="shared" si="176"/>
        <v>72409</v>
      </c>
      <c r="AY583" s="641">
        <f t="shared" si="177"/>
        <v>3017.0416666666665</v>
      </c>
      <c r="AZ583" s="640">
        <f t="shared" si="178"/>
        <v>19865.525000000001</v>
      </c>
      <c r="BA583" s="641">
        <f t="shared" si="179"/>
        <v>19283.408333333333</v>
      </c>
    </row>
    <row r="584" spans="1:53" s="178" customFormat="1" ht="12.75" customHeight="1">
      <c r="A584" s="473" t="s">
        <v>619</v>
      </c>
      <c r="B584" s="464" t="s">
        <v>852</v>
      </c>
      <c r="C584" s="465"/>
      <c r="D584" s="466">
        <v>234076</v>
      </c>
      <c r="E584" s="466">
        <v>1</v>
      </c>
      <c r="F584" s="486"/>
      <c r="G584" s="460"/>
      <c r="H584" s="486"/>
      <c r="I584" s="460"/>
      <c r="J584" s="486">
        <v>238263.5</v>
      </c>
      <c r="K584" s="460">
        <v>249910.5</v>
      </c>
      <c r="L584" s="486">
        <v>21095.5</v>
      </c>
      <c r="M584" s="460">
        <v>21829</v>
      </c>
      <c r="N584" s="486">
        <v>243065</v>
      </c>
      <c r="O584" s="460">
        <v>247913</v>
      </c>
      <c r="P584" s="640">
        <f t="shared" ref="P584:P644" si="180">SUM(H584,J584,L584,N584)</f>
        <v>502424</v>
      </c>
      <c r="Q584" s="640">
        <f t="shared" ref="Q584:Q644" si="181">+P584/30</f>
        <v>16747.466666666667</v>
      </c>
      <c r="R584" s="641">
        <f t="shared" ref="R584:R644" si="182">SUM(I584,K584,M584,O584)</f>
        <v>519652.5</v>
      </c>
      <c r="S584" s="641">
        <f t="shared" ref="S584:S644" si="183">+R584/30</f>
        <v>17321.75</v>
      </c>
      <c r="T584" s="486">
        <v>0</v>
      </c>
      <c r="U584" s="460">
        <v>0</v>
      </c>
      <c r="V584" s="640">
        <f t="shared" ref="V584:V644" si="184">IF(ISBLANK(T584),0,P584)</f>
        <v>502424</v>
      </c>
      <c r="W584" s="641">
        <f t="shared" ref="W584:W644" si="185">IF(ISBLANK(U584),0,R584)</f>
        <v>519652.5</v>
      </c>
      <c r="X584" s="486"/>
      <c r="Y584" s="460"/>
      <c r="Z584" s="486"/>
      <c r="AA584" s="460"/>
      <c r="AB584" s="486"/>
      <c r="AC584" s="460"/>
      <c r="AD584" s="486"/>
      <c r="AE584" s="460"/>
      <c r="AF584" s="640">
        <f t="shared" ref="AF584:AF644" si="186">SUM(X584,Z584,AB584,AD584)</f>
        <v>0</v>
      </c>
      <c r="AG584" s="640">
        <f t="shared" ref="AG584:AG644" si="187">+AF584/900</f>
        <v>0</v>
      </c>
      <c r="AH584" s="641">
        <f t="shared" ref="AH584:AH644" si="188">SUM(Y584,AA584,AC584,AE584)</f>
        <v>0</v>
      </c>
      <c r="AI584" s="641">
        <f t="shared" ref="AI584:AI644" si="189">+AH584/900</f>
        <v>0</v>
      </c>
      <c r="AJ584" s="486"/>
      <c r="AK584" s="460"/>
      <c r="AL584" s="640">
        <f t="shared" ref="AL584:AL644" si="190">IF(ISBLANK(AJ584),0,AF584)</f>
        <v>0</v>
      </c>
      <c r="AM584" s="641">
        <f t="shared" ref="AM584:AM644" si="191">IF(ISBLANK(AK584),0,AH584)</f>
        <v>0</v>
      </c>
      <c r="AN584" s="486"/>
      <c r="AO584" s="460"/>
      <c r="AP584" s="486">
        <v>91879.5</v>
      </c>
      <c r="AQ584" s="460">
        <v>89564.5</v>
      </c>
      <c r="AR584" s="486">
        <v>18107</v>
      </c>
      <c r="AS584" s="460">
        <v>20514</v>
      </c>
      <c r="AT584" s="486">
        <v>90925</v>
      </c>
      <c r="AU584" s="460">
        <v>96474</v>
      </c>
      <c r="AV584" s="640">
        <f t="shared" ref="AV584:AV644" si="192">SUM(AN584,AP584,AR584,AT584)</f>
        <v>200911.5</v>
      </c>
      <c r="AW584" s="640">
        <f t="shared" ref="AW584:AW644" si="193">+AV584/24</f>
        <v>8371.3125</v>
      </c>
      <c r="AX584" s="641">
        <f t="shared" ref="AX584:AX644" si="194">SUM(AO584,AQ584,AS584,AU584)</f>
        <v>206552.5</v>
      </c>
      <c r="AY584" s="641">
        <f t="shared" ref="AY584:AY644" si="195">+AX584/24</f>
        <v>8606.3541666666661</v>
      </c>
      <c r="AZ584" s="640">
        <f t="shared" ref="AZ584:AZ644" si="196">SUM(Q584,AG584,AW584)</f>
        <v>25118.779166666667</v>
      </c>
      <c r="BA584" s="641">
        <f t="shared" ref="BA584:BA644" si="197">SUM(S584,AI584,AY584)</f>
        <v>25928.104166666664</v>
      </c>
    </row>
    <row r="585" spans="1:53" s="178" customFormat="1" ht="12.75" customHeight="1">
      <c r="A585" s="473" t="s">
        <v>619</v>
      </c>
      <c r="B585" s="464" t="s">
        <v>853</v>
      </c>
      <c r="C585" s="475"/>
      <c r="D585" s="466">
        <v>234030</v>
      </c>
      <c r="E585" s="466">
        <v>1</v>
      </c>
      <c r="F585" s="486"/>
      <c r="G585" s="460"/>
      <c r="H585" s="486"/>
      <c r="I585" s="460"/>
      <c r="J585" s="486">
        <v>282686.5</v>
      </c>
      <c r="K585" s="460">
        <v>274390.5</v>
      </c>
      <c r="L585" s="486">
        <v>43550</v>
      </c>
      <c r="M585" s="460">
        <v>37763</v>
      </c>
      <c r="N585" s="486">
        <v>296965</v>
      </c>
      <c r="O585" s="460">
        <v>290714.5</v>
      </c>
      <c r="P585" s="640">
        <f t="shared" si="180"/>
        <v>623201.5</v>
      </c>
      <c r="Q585" s="640">
        <f t="shared" si="181"/>
        <v>20773.383333333335</v>
      </c>
      <c r="R585" s="641">
        <f t="shared" si="182"/>
        <v>602868</v>
      </c>
      <c r="S585" s="641">
        <f t="shared" si="183"/>
        <v>20095.599999999999</v>
      </c>
      <c r="T585" s="486">
        <v>3808</v>
      </c>
      <c r="U585" s="460">
        <v>107</v>
      </c>
      <c r="V585" s="640">
        <f t="shared" si="184"/>
        <v>623201.5</v>
      </c>
      <c r="W585" s="641">
        <f t="shared" si="185"/>
        <v>602868</v>
      </c>
      <c r="X585" s="486"/>
      <c r="Y585" s="460"/>
      <c r="Z585" s="486"/>
      <c r="AA585" s="460"/>
      <c r="AB585" s="486"/>
      <c r="AC585" s="460"/>
      <c r="AD585" s="486"/>
      <c r="AE585" s="460"/>
      <c r="AF585" s="640">
        <f t="shared" si="186"/>
        <v>0</v>
      </c>
      <c r="AG585" s="640">
        <f t="shared" si="187"/>
        <v>0</v>
      </c>
      <c r="AH585" s="641">
        <f t="shared" si="188"/>
        <v>0</v>
      </c>
      <c r="AI585" s="641">
        <f t="shared" si="189"/>
        <v>0</v>
      </c>
      <c r="AJ585" s="486"/>
      <c r="AK585" s="460"/>
      <c r="AL585" s="640">
        <f t="shared" si="190"/>
        <v>0</v>
      </c>
      <c r="AM585" s="641">
        <f t="shared" si="191"/>
        <v>0</v>
      </c>
      <c r="AN585" s="486"/>
      <c r="AO585" s="460"/>
      <c r="AP585" s="486">
        <v>57930.5</v>
      </c>
      <c r="AQ585" s="460">
        <v>60283.5</v>
      </c>
      <c r="AR585" s="486">
        <v>14310</v>
      </c>
      <c r="AS585" s="460">
        <v>16577.5</v>
      </c>
      <c r="AT585" s="486">
        <v>61909.5</v>
      </c>
      <c r="AU585" s="460">
        <v>62126.5</v>
      </c>
      <c r="AV585" s="640">
        <f t="shared" si="192"/>
        <v>134150</v>
      </c>
      <c r="AW585" s="640">
        <f t="shared" si="193"/>
        <v>5589.583333333333</v>
      </c>
      <c r="AX585" s="641">
        <f t="shared" si="194"/>
        <v>138987.5</v>
      </c>
      <c r="AY585" s="641">
        <f t="shared" si="195"/>
        <v>5791.145833333333</v>
      </c>
      <c r="AZ585" s="640">
        <f t="shared" si="196"/>
        <v>26362.966666666667</v>
      </c>
      <c r="BA585" s="641">
        <f t="shared" si="197"/>
        <v>25886.745833333331</v>
      </c>
    </row>
    <row r="586" spans="1:53" s="1" customFormat="1">
      <c r="A586" s="473" t="s">
        <v>619</v>
      </c>
      <c r="B586" s="464" t="s">
        <v>854</v>
      </c>
      <c r="C586" s="465"/>
      <c r="D586" s="466">
        <v>233921</v>
      </c>
      <c r="E586" s="466">
        <v>1</v>
      </c>
      <c r="F586" s="486"/>
      <c r="G586" s="460"/>
      <c r="H586" s="486"/>
      <c r="I586" s="460"/>
      <c r="J586" s="486">
        <v>434732</v>
      </c>
      <c r="K586" s="460">
        <v>440153</v>
      </c>
      <c r="L586" s="486">
        <v>27925</v>
      </c>
      <c r="M586" s="460">
        <v>35952</v>
      </c>
      <c r="N586" s="486">
        <v>459631</v>
      </c>
      <c r="O586" s="460">
        <v>450665</v>
      </c>
      <c r="P586" s="640">
        <f t="shared" si="180"/>
        <v>922288</v>
      </c>
      <c r="Q586" s="640">
        <f t="shared" si="181"/>
        <v>30742.933333333334</v>
      </c>
      <c r="R586" s="641">
        <f t="shared" si="182"/>
        <v>926770</v>
      </c>
      <c r="S586" s="641">
        <f t="shared" si="183"/>
        <v>30892.333333333332</v>
      </c>
      <c r="T586" s="486">
        <v>0</v>
      </c>
      <c r="U586" s="460">
        <v>0</v>
      </c>
      <c r="V586" s="640">
        <f t="shared" si="184"/>
        <v>922288</v>
      </c>
      <c r="W586" s="641">
        <f t="shared" si="185"/>
        <v>926770</v>
      </c>
      <c r="X586" s="486"/>
      <c r="Y586" s="460"/>
      <c r="Z586" s="486"/>
      <c r="AA586" s="460"/>
      <c r="AB586" s="486"/>
      <c r="AC586" s="460"/>
      <c r="AD586" s="486"/>
      <c r="AE586" s="460"/>
      <c r="AF586" s="640">
        <f t="shared" si="186"/>
        <v>0</v>
      </c>
      <c r="AG586" s="640">
        <f t="shared" si="187"/>
        <v>0</v>
      </c>
      <c r="AH586" s="641">
        <f t="shared" si="188"/>
        <v>0</v>
      </c>
      <c r="AI586" s="641">
        <f t="shared" si="189"/>
        <v>0</v>
      </c>
      <c r="AJ586" s="486"/>
      <c r="AK586" s="460"/>
      <c r="AL586" s="640">
        <f t="shared" si="190"/>
        <v>0</v>
      </c>
      <c r="AM586" s="641">
        <f t="shared" si="191"/>
        <v>0</v>
      </c>
      <c r="AN586" s="486"/>
      <c r="AO586" s="460"/>
      <c r="AP586" s="486">
        <v>68103</v>
      </c>
      <c r="AQ586" s="460">
        <v>67913</v>
      </c>
      <c r="AR586" s="486">
        <v>6393</v>
      </c>
      <c r="AS586" s="460">
        <v>7250</v>
      </c>
      <c r="AT586" s="486">
        <v>69235</v>
      </c>
      <c r="AU586" s="460">
        <v>75529</v>
      </c>
      <c r="AV586" s="640">
        <f t="shared" si="192"/>
        <v>143731</v>
      </c>
      <c r="AW586" s="640">
        <f t="shared" si="193"/>
        <v>5988.791666666667</v>
      </c>
      <c r="AX586" s="641">
        <f t="shared" si="194"/>
        <v>150692</v>
      </c>
      <c r="AY586" s="641">
        <f t="shared" si="195"/>
        <v>6278.833333333333</v>
      </c>
      <c r="AZ586" s="640">
        <f t="shared" si="196"/>
        <v>36731.724999999999</v>
      </c>
      <c r="BA586" s="641">
        <f t="shared" si="197"/>
        <v>37171.166666666664</v>
      </c>
    </row>
    <row r="587" spans="1:53" s="178" customFormat="1" ht="12.75" customHeight="1">
      <c r="A587" s="473" t="s">
        <v>619</v>
      </c>
      <c r="B587" s="464" t="s">
        <v>924</v>
      </c>
      <c r="C587" s="465"/>
      <c r="D587" s="466">
        <v>231624</v>
      </c>
      <c r="E587" s="466">
        <v>2</v>
      </c>
      <c r="F587" s="486"/>
      <c r="G587" s="460"/>
      <c r="H587" s="486"/>
      <c r="I587" s="460"/>
      <c r="J587" s="486">
        <v>85585.3</v>
      </c>
      <c r="K587" s="460">
        <v>86306.8</v>
      </c>
      <c r="L587" s="486">
        <v>7589</v>
      </c>
      <c r="M587" s="460">
        <v>7921</v>
      </c>
      <c r="N587" s="486">
        <v>89426</v>
      </c>
      <c r="O587" s="460">
        <v>91856.7</v>
      </c>
      <c r="P587" s="640">
        <f t="shared" si="180"/>
        <v>182600.3</v>
      </c>
      <c r="Q587" s="640">
        <f t="shared" si="181"/>
        <v>6086.6766666666663</v>
      </c>
      <c r="R587" s="641">
        <f t="shared" si="182"/>
        <v>186084.5</v>
      </c>
      <c r="S587" s="641">
        <f t="shared" si="183"/>
        <v>6202.8166666666666</v>
      </c>
      <c r="T587" s="486">
        <v>0</v>
      </c>
      <c r="U587" s="460">
        <v>0</v>
      </c>
      <c r="V587" s="640">
        <f t="shared" si="184"/>
        <v>182600.3</v>
      </c>
      <c r="W587" s="641">
        <f t="shared" si="185"/>
        <v>186084.5</v>
      </c>
      <c r="X587" s="486"/>
      <c r="Y587" s="460"/>
      <c r="Z587" s="486"/>
      <c r="AA587" s="460"/>
      <c r="AB587" s="486"/>
      <c r="AC587" s="460"/>
      <c r="AD587" s="486"/>
      <c r="AE587" s="460"/>
      <c r="AF587" s="640">
        <f t="shared" si="186"/>
        <v>0</v>
      </c>
      <c r="AG587" s="640">
        <f t="shared" si="187"/>
        <v>0</v>
      </c>
      <c r="AH587" s="641">
        <f t="shared" si="188"/>
        <v>0</v>
      </c>
      <c r="AI587" s="641">
        <f t="shared" si="189"/>
        <v>0</v>
      </c>
      <c r="AJ587" s="486"/>
      <c r="AK587" s="460"/>
      <c r="AL587" s="640">
        <f t="shared" si="190"/>
        <v>0</v>
      </c>
      <c r="AM587" s="641">
        <f t="shared" si="191"/>
        <v>0</v>
      </c>
      <c r="AN587" s="486"/>
      <c r="AO587" s="460"/>
      <c r="AP587" s="486">
        <v>27017</v>
      </c>
      <c r="AQ587" s="460">
        <v>29203.5</v>
      </c>
      <c r="AR587" s="486">
        <v>5967</v>
      </c>
      <c r="AS587" s="460">
        <v>7402.5</v>
      </c>
      <c r="AT587" s="486">
        <v>29149.5</v>
      </c>
      <c r="AU587" s="460">
        <v>30753</v>
      </c>
      <c r="AV587" s="640">
        <f t="shared" si="192"/>
        <v>62133.5</v>
      </c>
      <c r="AW587" s="640">
        <f t="shared" si="193"/>
        <v>2588.8958333333335</v>
      </c>
      <c r="AX587" s="641">
        <f t="shared" si="194"/>
        <v>67359</v>
      </c>
      <c r="AY587" s="641">
        <f t="shared" si="195"/>
        <v>2806.625</v>
      </c>
      <c r="AZ587" s="640">
        <f t="shared" si="196"/>
        <v>8675.5725000000002</v>
      </c>
      <c r="BA587" s="641">
        <f t="shared" si="197"/>
        <v>9009.4416666666657</v>
      </c>
    </row>
    <row r="588" spans="1:53" s="178" customFormat="1" ht="15" customHeight="1">
      <c r="A588" s="473" t="s">
        <v>619</v>
      </c>
      <c r="B588" s="464" t="s">
        <v>855</v>
      </c>
      <c r="C588" s="611" t="s">
        <v>895</v>
      </c>
      <c r="D588" s="466">
        <v>232423</v>
      </c>
      <c r="E588" s="466">
        <v>3</v>
      </c>
      <c r="F588" s="486"/>
      <c r="G588" s="460"/>
      <c r="H588" s="486"/>
      <c r="I588" s="460"/>
      <c r="J588" s="486">
        <v>268849</v>
      </c>
      <c r="K588" s="460">
        <v>268744</v>
      </c>
      <c r="L588" s="486">
        <v>33098</v>
      </c>
      <c r="M588" s="460">
        <v>41133</v>
      </c>
      <c r="N588" s="486">
        <v>287318</v>
      </c>
      <c r="O588" s="460">
        <v>287810</v>
      </c>
      <c r="P588" s="640">
        <f t="shared" si="180"/>
        <v>589265</v>
      </c>
      <c r="Q588" s="640">
        <f t="shared" si="181"/>
        <v>19642.166666666668</v>
      </c>
      <c r="R588" s="641">
        <f t="shared" si="182"/>
        <v>597687</v>
      </c>
      <c r="S588" s="641">
        <f t="shared" si="183"/>
        <v>19922.900000000001</v>
      </c>
      <c r="T588" s="486">
        <v>2642</v>
      </c>
      <c r="U588" s="460">
        <v>1550</v>
      </c>
      <c r="V588" s="640">
        <f t="shared" si="184"/>
        <v>589265</v>
      </c>
      <c r="W588" s="641">
        <f t="shared" si="185"/>
        <v>597687</v>
      </c>
      <c r="X588" s="486"/>
      <c r="Y588" s="460"/>
      <c r="Z588" s="486"/>
      <c r="AA588" s="460"/>
      <c r="AB588" s="486"/>
      <c r="AC588" s="460"/>
      <c r="AD588" s="486"/>
      <c r="AE588" s="460"/>
      <c r="AF588" s="640">
        <f t="shared" si="186"/>
        <v>0</v>
      </c>
      <c r="AG588" s="640">
        <f t="shared" si="187"/>
        <v>0</v>
      </c>
      <c r="AH588" s="641">
        <f t="shared" si="188"/>
        <v>0</v>
      </c>
      <c r="AI588" s="641">
        <f t="shared" si="189"/>
        <v>0</v>
      </c>
      <c r="AJ588" s="486"/>
      <c r="AK588" s="460"/>
      <c r="AL588" s="640">
        <f t="shared" si="190"/>
        <v>0</v>
      </c>
      <c r="AM588" s="641">
        <f t="shared" si="191"/>
        <v>0</v>
      </c>
      <c r="AN588" s="486"/>
      <c r="AO588" s="460"/>
      <c r="AP588" s="486">
        <v>13087</v>
      </c>
      <c r="AQ588" s="460">
        <v>13945</v>
      </c>
      <c r="AR588" s="486">
        <v>6886</v>
      </c>
      <c r="AS588" s="460">
        <v>6949</v>
      </c>
      <c r="AT588" s="486">
        <v>15588</v>
      </c>
      <c r="AU588" s="460">
        <v>16479</v>
      </c>
      <c r="AV588" s="640">
        <f t="shared" si="192"/>
        <v>35561</v>
      </c>
      <c r="AW588" s="640">
        <f t="shared" si="193"/>
        <v>1481.7083333333333</v>
      </c>
      <c r="AX588" s="641">
        <f t="shared" si="194"/>
        <v>37373</v>
      </c>
      <c r="AY588" s="641">
        <f t="shared" si="195"/>
        <v>1557.2083333333333</v>
      </c>
      <c r="AZ588" s="640">
        <f t="shared" si="196"/>
        <v>21123.875</v>
      </c>
      <c r="BA588" s="641">
        <f t="shared" si="197"/>
        <v>21480.108333333334</v>
      </c>
    </row>
    <row r="589" spans="1:53" s="178" customFormat="1" ht="12.75" customHeight="1">
      <c r="A589" s="473" t="s">
        <v>619</v>
      </c>
      <c r="B589" s="464" t="s">
        <v>856</v>
      </c>
      <c r="C589" s="476"/>
      <c r="D589" s="466">
        <v>232566</v>
      </c>
      <c r="E589" s="477">
        <v>5</v>
      </c>
      <c r="F589" s="486"/>
      <c r="G589" s="460"/>
      <c r="H589" s="486"/>
      <c r="I589" s="460"/>
      <c r="J589" s="486">
        <v>50265</v>
      </c>
      <c r="K589" s="460">
        <v>48073</v>
      </c>
      <c r="L589" s="486">
        <v>7770</v>
      </c>
      <c r="M589" s="460">
        <v>7003</v>
      </c>
      <c r="N589" s="486">
        <v>51540</v>
      </c>
      <c r="O589" s="460">
        <v>46461</v>
      </c>
      <c r="P589" s="640">
        <f t="shared" si="180"/>
        <v>109575</v>
      </c>
      <c r="Q589" s="640">
        <f t="shared" si="181"/>
        <v>3652.5</v>
      </c>
      <c r="R589" s="641">
        <f t="shared" si="182"/>
        <v>101537</v>
      </c>
      <c r="S589" s="641">
        <f t="shared" si="183"/>
        <v>3384.5666666666666</v>
      </c>
      <c r="T589" s="486">
        <v>3790</v>
      </c>
      <c r="U589" s="460">
        <v>3031</v>
      </c>
      <c r="V589" s="640">
        <f t="shared" si="184"/>
        <v>109575</v>
      </c>
      <c r="W589" s="641">
        <f t="shared" si="185"/>
        <v>101537</v>
      </c>
      <c r="X589" s="486"/>
      <c r="Y589" s="460"/>
      <c r="Z589" s="486"/>
      <c r="AA589" s="460"/>
      <c r="AB589" s="486"/>
      <c r="AC589" s="460"/>
      <c r="AD589" s="486"/>
      <c r="AE589" s="460"/>
      <c r="AF589" s="640">
        <f t="shared" si="186"/>
        <v>0</v>
      </c>
      <c r="AG589" s="640">
        <f t="shared" si="187"/>
        <v>0</v>
      </c>
      <c r="AH589" s="641">
        <f t="shared" si="188"/>
        <v>0</v>
      </c>
      <c r="AI589" s="641">
        <f t="shared" si="189"/>
        <v>0</v>
      </c>
      <c r="AJ589" s="486"/>
      <c r="AK589" s="460"/>
      <c r="AL589" s="640">
        <f t="shared" si="190"/>
        <v>0</v>
      </c>
      <c r="AM589" s="641">
        <f t="shared" si="191"/>
        <v>0</v>
      </c>
      <c r="AN589" s="486"/>
      <c r="AO589" s="460"/>
      <c r="AP589" s="486">
        <v>4082</v>
      </c>
      <c r="AQ589" s="460">
        <v>6825</v>
      </c>
      <c r="AR589" s="486">
        <v>4360</v>
      </c>
      <c r="AS589" s="460">
        <v>5878</v>
      </c>
      <c r="AT589" s="486">
        <v>6111</v>
      </c>
      <c r="AU589" s="460">
        <v>7661</v>
      </c>
      <c r="AV589" s="640">
        <f t="shared" si="192"/>
        <v>14553</v>
      </c>
      <c r="AW589" s="640">
        <f t="shared" si="193"/>
        <v>606.375</v>
      </c>
      <c r="AX589" s="641">
        <f t="shared" si="194"/>
        <v>20364</v>
      </c>
      <c r="AY589" s="641">
        <f t="shared" si="195"/>
        <v>848.5</v>
      </c>
      <c r="AZ589" s="640">
        <f t="shared" si="196"/>
        <v>4258.875</v>
      </c>
      <c r="BA589" s="641">
        <f t="shared" si="197"/>
        <v>4233.0666666666666</v>
      </c>
    </row>
    <row r="590" spans="1:53" s="178" customFormat="1" ht="12.75" customHeight="1">
      <c r="A590" s="473" t="s">
        <v>619</v>
      </c>
      <c r="B590" s="464" t="s">
        <v>857</v>
      </c>
      <c r="C590" s="476"/>
      <c r="D590" s="466">
        <v>232937</v>
      </c>
      <c r="E590" s="477">
        <v>4</v>
      </c>
      <c r="F590" s="486"/>
      <c r="G590" s="460"/>
      <c r="H590" s="486"/>
      <c r="I590" s="460"/>
      <c r="J590" s="486">
        <v>64911</v>
      </c>
      <c r="K590" s="460">
        <v>59311</v>
      </c>
      <c r="L590" s="486">
        <v>4564</v>
      </c>
      <c r="M590" s="460">
        <v>5396</v>
      </c>
      <c r="N590" s="486">
        <v>67327</v>
      </c>
      <c r="O590" s="460">
        <v>68650</v>
      </c>
      <c r="P590" s="640">
        <f t="shared" si="180"/>
        <v>136802</v>
      </c>
      <c r="Q590" s="640">
        <f t="shared" si="181"/>
        <v>4560.0666666666666</v>
      </c>
      <c r="R590" s="641">
        <f t="shared" si="182"/>
        <v>133357</v>
      </c>
      <c r="S590" s="641">
        <f t="shared" si="183"/>
        <v>4445.2333333333336</v>
      </c>
      <c r="T590" s="486">
        <v>106</v>
      </c>
      <c r="U590" s="460">
        <v>61</v>
      </c>
      <c r="V590" s="640">
        <f t="shared" si="184"/>
        <v>136802</v>
      </c>
      <c r="W590" s="641">
        <f t="shared" si="185"/>
        <v>133357</v>
      </c>
      <c r="X590" s="486"/>
      <c r="Y590" s="460"/>
      <c r="Z590" s="486"/>
      <c r="AA590" s="460"/>
      <c r="AB590" s="486"/>
      <c r="AC590" s="460"/>
      <c r="AD590" s="486"/>
      <c r="AE590" s="460"/>
      <c r="AF590" s="640">
        <f t="shared" si="186"/>
        <v>0</v>
      </c>
      <c r="AG590" s="640">
        <f t="shared" si="187"/>
        <v>0</v>
      </c>
      <c r="AH590" s="641">
        <f t="shared" si="188"/>
        <v>0</v>
      </c>
      <c r="AI590" s="641">
        <f t="shared" si="189"/>
        <v>0</v>
      </c>
      <c r="AJ590" s="486"/>
      <c r="AK590" s="460"/>
      <c r="AL590" s="640">
        <f t="shared" si="190"/>
        <v>0</v>
      </c>
      <c r="AM590" s="641">
        <f t="shared" si="191"/>
        <v>0</v>
      </c>
      <c r="AN590" s="486"/>
      <c r="AO590" s="460"/>
      <c r="AP590" s="486">
        <v>4145</v>
      </c>
      <c r="AQ590" s="460">
        <v>4052</v>
      </c>
      <c r="AR590" s="486">
        <v>204</v>
      </c>
      <c r="AS590" s="460">
        <v>412</v>
      </c>
      <c r="AT590" s="486">
        <v>4124</v>
      </c>
      <c r="AU590" s="460">
        <v>3709</v>
      </c>
      <c r="AV590" s="640">
        <f t="shared" si="192"/>
        <v>8473</v>
      </c>
      <c r="AW590" s="640">
        <f t="shared" si="193"/>
        <v>353.04166666666669</v>
      </c>
      <c r="AX590" s="641">
        <f t="shared" si="194"/>
        <v>8173</v>
      </c>
      <c r="AY590" s="641">
        <f t="shared" si="195"/>
        <v>340.54166666666669</v>
      </c>
      <c r="AZ590" s="640">
        <f t="shared" si="196"/>
        <v>4913.1083333333336</v>
      </c>
      <c r="BA590" s="641">
        <f t="shared" si="197"/>
        <v>4785.7750000000005</v>
      </c>
    </row>
    <row r="591" spans="1:53" s="178" customFormat="1" ht="15" customHeight="1">
      <c r="A591" s="473" t="s">
        <v>619</v>
      </c>
      <c r="B591" s="464" t="s">
        <v>858</v>
      </c>
      <c r="C591" s="474"/>
      <c r="D591" s="466">
        <v>233277</v>
      </c>
      <c r="E591" s="466">
        <v>3</v>
      </c>
      <c r="F591" s="486"/>
      <c r="G591" s="460"/>
      <c r="H591" s="486"/>
      <c r="I591" s="460"/>
      <c r="J591" s="486">
        <v>105583</v>
      </c>
      <c r="K591" s="460">
        <v>90896</v>
      </c>
      <c r="L591" s="486">
        <v>9226</v>
      </c>
      <c r="M591" s="460">
        <v>8953</v>
      </c>
      <c r="N591" s="486">
        <v>104755</v>
      </c>
      <c r="O591" s="460">
        <v>92331</v>
      </c>
      <c r="P591" s="640">
        <f t="shared" si="180"/>
        <v>219564</v>
      </c>
      <c r="Q591" s="640">
        <f t="shared" si="181"/>
        <v>7318.8</v>
      </c>
      <c r="R591" s="641">
        <f t="shared" si="182"/>
        <v>192180</v>
      </c>
      <c r="S591" s="641">
        <f t="shared" si="183"/>
        <v>6406</v>
      </c>
      <c r="T591" s="486">
        <v>356</v>
      </c>
      <c r="U591" s="460">
        <v>364</v>
      </c>
      <c r="V591" s="640">
        <f t="shared" si="184"/>
        <v>219564</v>
      </c>
      <c r="W591" s="641">
        <f t="shared" si="185"/>
        <v>192180</v>
      </c>
      <c r="X591" s="486"/>
      <c r="Y591" s="460"/>
      <c r="Z591" s="486"/>
      <c r="AA591" s="460"/>
      <c r="AB591" s="486"/>
      <c r="AC591" s="460"/>
      <c r="AD591" s="486"/>
      <c r="AE591" s="460"/>
      <c r="AF591" s="640">
        <f t="shared" si="186"/>
        <v>0</v>
      </c>
      <c r="AG591" s="640">
        <f t="shared" si="187"/>
        <v>0</v>
      </c>
      <c r="AH591" s="641">
        <f t="shared" si="188"/>
        <v>0</v>
      </c>
      <c r="AI591" s="641">
        <f t="shared" si="189"/>
        <v>0</v>
      </c>
      <c r="AJ591" s="486"/>
      <c r="AK591" s="460"/>
      <c r="AL591" s="640">
        <f t="shared" si="190"/>
        <v>0</v>
      </c>
      <c r="AM591" s="641">
        <f t="shared" si="191"/>
        <v>0</v>
      </c>
      <c r="AN591" s="486"/>
      <c r="AO591" s="460"/>
      <c r="AP591" s="486">
        <v>14714</v>
      </c>
      <c r="AQ591" s="460">
        <v>14305</v>
      </c>
      <c r="AR591" s="486">
        <v>9974</v>
      </c>
      <c r="AS591" s="460">
        <v>8775.4</v>
      </c>
      <c r="AT591" s="486">
        <v>16028</v>
      </c>
      <c r="AU591" s="460">
        <v>13776.8</v>
      </c>
      <c r="AV591" s="640">
        <f t="shared" si="192"/>
        <v>40716</v>
      </c>
      <c r="AW591" s="640">
        <f t="shared" si="193"/>
        <v>1696.5</v>
      </c>
      <c r="AX591" s="641">
        <f t="shared" si="194"/>
        <v>36857.199999999997</v>
      </c>
      <c r="AY591" s="641">
        <f t="shared" si="195"/>
        <v>1535.7166666666665</v>
      </c>
      <c r="AZ591" s="640">
        <f t="shared" si="196"/>
        <v>9015.2999999999993</v>
      </c>
      <c r="BA591" s="641">
        <f t="shared" si="197"/>
        <v>7941.7166666666662</v>
      </c>
    </row>
    <row r="592" spans="1:53" s="178" customFormat="1" ht="15" customHeight="1">
      <c r="A592" s="473" t="s">
        <v>619</v>
      </c>
      <c r="B592" s="464" t="s">
        <v>859</v>
      </c>
      <c r="C592" s="476"/>
      <c r="D592" s="466">
        <v>232681</v>
      </c>
      <c r="E592" s="477">
        <v>5</v>
      </c>
      <c r="F592" s="486"/>
      <c r="G592" s="460"/>
      <c r="H592" s="486"/>
      <c r="I592" s="460"/>
      <c r="J592" s="486">
        <v>53521</v>
      </c>
      <c r="K592" s="460">
        <v>50569</v>
      </c>
      <c r="L592" s="486">
        <v>5827</v>
      </c>
      <c r="M592" s="460">
        <v>4809</v>
      </c>
      <c r="N592" s="486">
        <v>55814</v>
      </c>
      <c r="O592" s="460">
        <v>48917</v>
      </c>
      <c r="P592" s="640">
        <f t="shared" si="180"/>
        <v>115162</v>
      </c>
      <c r="Q592" s="640">
        <f t="shared" si="181"/>
        <v>3838.7333333333331</v>
      </c>
      <c r="R592" s="641">
        <f t="shared" si="182"/>
        <v>104295</v>
      </c>
      <c r="S592" s="641">
        <f t="shared" si="183"/>
        <v>3476.5</v>
      </c>
      <c r="T592" s="486">
        <v>25</v>
      </c>
      <c r="U592" s="460">
        <v>27</v>
      </c>
      <c r="V592" s="640">
        <f t="shared" si="184"/>
        <v>115162</v>
      </c>
      <c r="W592" s="641">
        <f t="shared" si="185"/>
        <v>104295</v>
      </c>
      <c r="X592" s="486"/>
      <c r="Y592" s="460"/>
      <c r="Z592" s="486"/>
      <c r="AA592" s="460"/>
      <c r="AB592" s="486"/>
      <c r="AC592" s="460"/>
      <c r="AD592" s="486"/>
      <c r="AE592" s="460"/>
      <c r="AF592" s="640">
        <f t="shared" si="186"/>
        <v>0</v>
      </c>
      <c r="AG592" s="640">
        <f t="shared" si="187"/>
        <v>0</v>
      </c>
      <c r="AH592" s="641">
        <f t="shared" si="188"/>
        <v>0</v>
      </c>
      <c r="AI592" s="641">
        <f t="shared" si="189"/>
        <v>0</v>
      </c>
      <c r="AJ592" s="486"/>
      <c r="AK592" s="460"/>
      <c r="AL592" s="640">
        <f t="shared" si="190"/>
        <v>0</v>
      </c>
      <c r="AM592" s="641">
        <f t="shared" si="191"/>
        <v>0</v>
      </c>
      <c r="AN592" s="486"/>
      <c r="AO592" s="460"/>
      <c r="AP592" s="486">
        <v>2060.6</v>
      </c>
      <c r="AQ592" s="460">
        <v>1967.8</v>
      </c>
      <c r="AR592" s="486">
        <v>735</v>
      </c>
      <c r="AS592" s="460">
        <v>705</v>
      </c>
      <c r="AT592" s="486">
        <v>2375</v>
      </c>
      <c r="AU592" s="460">
        <v>2460</v>
      </c>
      <c r="AV592" s="640">
        <f t="shared" si="192"/>
        <v>5170.6000000000004</v>
      </c>
      <c r="AW592" s="640">
        <f t="shared" si="193"/>
        <v>215.44166666666669</v>
      </c>
      <c r="AX592" s="641">
        <f t="shared" si="194"/>
        <v>5132.8</v>
      </c>
      <c r="AY592" s="641">
        <f t="shared" si="195"/>
        <v>213.86666666666667</v>
      </c>
      <c r="AZ592" s="640">
        <f t="shared" si="196"/>
        <v>4054.1749999999997</v>
      </c>
      <c r="BA592" s="641">
        <f t="shared" si="197"/>
        <v>3690.3666666666668</v>
      </c>
    </row>
    <row r="593" spans="1:53" s="178" customFormat="1" ht="15" customHeight="1">
      <c r="A593" s="473" t="s">
        <v>619</v>
      </c>
      <c r="B593" s="464" t="s">
        <v>860</v>
      </c>
      <c r="C593" s="474"/>
      <c r="D593" s="466">
        <v>234155</v>
      </c>
      <c r="E593" s="466">
        <v>3</v>
      </c>
      <c r="F593" s="486"/>
      <c r="G593" s="460"/>
      <c r="H593" s="486"/>
      <c r="I593" s="460"/>
      <c r="J593" s="486">
        <v>55669</v>
      </c>
      <c r="K593" s="460">
        <v>49207</v>
      </c>
      <c r="L593" s="486">
        <v>3038</v>
      </c>
      <c r="M593" s="460">
        <v>4261</v>
      </c>
      <c r="N593" s="486">
        <v>54988</v>
      </c>
      <c r="O593" s="460">
        <v>56127</v>
      </c>
      <c r="P593" s="640">
        <f t="shared" si="180"/>
        <v>113695</v>
      </c>
      <c r="Q593" s="640">
        <f t="shared" si="181"/>
        <v>3789.8333333333335</v>
      </c>
      <c r="R593" s="641">
        <f t="shared" si="182"/>
        <v>109595</v>
      </c>
      <c r="S593" s="641">
        <f t="shared" si="183"/>
        <v>3653.1666666666665</v>
      </c>
      <c r="T593" s="486">
        <v>0</v>
      </c>
      <c r="U593" s="460">
        <v>0</v>
      </c>
      <c r="V593" s="640">
        <f t="shared" si="184"/>
        <v>113695</v>
      </c>
      <c r="W593" s="641">
        <f t="shared" si="185"/>
        <v>109595</v>
      </c>
      <c r="X593" s="486"/>
      <c r="Y593" s="460"/>
      <c r="Z593" s="486"/>
      <c r="AA593" s="460"/>
      <c r="AB593" s="486"/>
      <c r="AC593" s="460"/>
      <c r="AD593" s="486"/>
      <c r="AE593" s="460"/>
      <c r="AF593" s="640">
        <f t="shared" si="186"/>
        <v>0</v>
      </c>
      <c r="AG593" s="640">
        <f t="shared" si="187"/>
        <v>0</v>
      </c>
      <c r="AH593" s="641">
        <f t="shared" si="188"/>
        <v>0</v>
      </c>
      <c r="AI593" s="641">
        <f t="shared" si="189"/>
        <v>0</v>
      </c>
      <c r="AJ593" s="486"/>
      <c r="AK593" s="460"/>
      <c r="AL593" s="640">
        <f t="shared" si="190"/>
        <v>0</v>
      </c>
      <c r="AM593" s="641">
        <f t="shared" si="191"/>
        <v>0</v>
      </c>
      <c r="AN593" s="486"/>
      <c r="AO593" s="460"/>
      <c r="AP593" s="486">
        <v>2608</v>
      </c>
      <c r="AQ593" s="460">
        <v>3284</v>
      </c>
      <c r="AR593" s="486">
        <v>270</v>
      </c>
      <c r="AS593" s="460">
        <v>382</v>
      </c>
      <c r="AT593" s="486">
        <v>3138</v>
      </c>
      <c r="AU593" s="460">
        <v>3105</v>
      </c>
      <c r="AV593" s="640">
        <f t="shared" si="192"/>
        <v>6016</v>
      </c>
      <c r="AW593" s="640">
        <f t="shared" si="193"/>
        <v>250.66666666666666</v>
      </c>
      <c r="AX593" s="641">
        <f t="shared" si="194"/>
        <v>6771</v>
      </c>
      <c r="AY593" s="641">
        <f t="shared" si="195"/>
        <v>282.125</v>
      </c>
      <c r="AZ593" s="640">
        <f t="shared" si="196"/>
        <v>4040.5</v>
      </c>
      <c r="BA593" s="641">
        <f t="shared" si="197"/>
        <v>3935.2916666666665</v>
      </c>
    </row>
    <row r="594" spans="1:53" s="178" customFormat="1" ht="15" customHeight="1">
      <c r="A594" s="473" t="s">
        <v>619</v>
      </c>
      <c r="B594" s="464" t="s">
        <v>861</v>
      </c>
      <c r="C594" s="474"/>
      <c r="D594" s="466">
        <v>231712</v>
      </c>
      <c r="E594" s="466">
        <v>5</v>
      </c>
      <c r="F594" s="486"/>
      <c r="G594" s="460"/>
      <c r="H594" s="486"/>
      <c r="I594" s="460"/>
      <c r="J594" s="486">
        <v>66741</v>
      </c>
      <c r="K594" s="460">
        <v>65430</v>
      </c>
      <c r="L594" s="486">
        <v>2278</v>
      </c>
      <c r="M594" s="460">
        <v>1257</v>
      </c>
      <c r="N594" s="486">
        <v>70308</v>
      </c>
      <c r="O594" s="460">
        <v>65543</v>
      </c>
      <c r="P594" s="640">
        <f t="shared" si="180"/>
        <v>139327</v>
      </c>
      <c r="Q594" s="640">
        <f t="shared" si="181"/>
        <v>4644.2333333333336</v>
      </c>
      <c r="R594" s="641">
        <f t="shared" si="182"/>
        <v>132230</v>
      </c>
      <c r="S594" s="641">
        <f t="shared" si="183"/>
        <v>4407.666666666667</v>
      </c>
      <c r="T594" s="486">
        <v>129</v>
      </c>
      <c r="U594" s="460">
        <v>288</v>
      </c>
      <c r="V594" s="640">
        <f t="shared" si="184"/>
        <v>139327</v>
      </c>
      <c r="W594" s="641">
        <f t="shared" si="185"/>
        <v>132230</v>
      </c>
      <c r="X594" s="486"/>
      <c r="Y594" s="460"/>
      <c r="Z594" s="486"/>
      <c r="AA594" s="460"/>
      <c r="AB594" s="486"/>
      <c r="AC594" s="460"/>
      <c r="AD594" s="486"/>
      <c r="AE594" s="460"/>
      <c r="AF594" s="640">
        <f t="shared" si="186"/>
        <v>0</v>
      </c>
      <c r="AG594" s="640">
        <f t="shared" si="187"/>
        <v>0</v>
      </c>
      <c r="AH594" s="641">
        <f t="shared" si="188"/>
        <v>0</v>
      </c>
      <c r="AI594" s="641">
        <f t="shared" si="189"/>
        <v>0</v>
      </c>
      <c r="AJ594" s="486"/>
      <c r="AK594" s="460"/>
      <c r="AL594" s="640">
        <f t="shared" si="190"/>
        <v>0</v>
      </c>
      <c r="AM594" s="641">
        <f t="shared" si="191"/>
        <v>0</v>
      </c>
      <c r="AN594" s="486"/>
      <c r="AO594" s="460"/>
      <c r="AP594" s="486">
        <v>982</v>
      </c>
      <c r="AQ594" s="460">
        <v>1294</v>
      </c>
      <c r="AR594" s="486">
        <v>464</v>
      </c>
      <c r="AS594" s="460">
        <v>502</v>
      </c>
      <c r="AT594" s="486">
        <v>1330</v>
      </c>
      <c r="AU594" s="460">
        <v>1455</v>
      </c>
      <c r="AV594" s="640">
        <f t="shared" si="192"/>
        <v>2776</v>
      </c>
      <c r="AW594" s="640">
        <f t="shared" si="193"/>
        <v>115.66666666666667</v>
      </c>
      <c r="AX594" s="641">
        <f t="shared" si="194"/>
        <v>3251</v>
      </c>
      <c r="AY594" s="641">
        <f t="shared" si="195"/>
        <v>135.45833333333334</v>
      </c>
      <c r="AZ594" s="640">
        <f t="shared" si="196"/>
        <v>4759.9000000000005</v>
      </c>
      <c r="BA594" s="641">
        <f t="shared" si="197"/>
        <v>4543.125</v>
      </c>
    </row>
    <row r="595" spans="1:53" s="178" customFormat="1" ht="15" customHeight="1">
      <c r="A595" s="473" t="s">
        <v>619</v>
      </c>
      <c r="B595" s="642" t="s">
        <v>925</v>
      </c>
      <c r="C595" s="643" t="s">
        <v>926</v>
      </c>
      <c r="D595" s="466">
        <v>233897</v>
      </c>
      <c r="E595" s="466">
        <v>6</v>
      </c>
      <c r="F595" s="486"/>
      <c r="G595" s="460"/>
      <c r="H595" s="486"/>
      <c r="I595" s="460"/>
      <c r="J595" s="486">
        <v>19625</v>
      </c>
      <c r="K595" s="460">
        <v>18909</v>
      </c>
      <c r="L595" s="486">
        <v>6180</v>
      </c>
      <c r="M595" s="460">
        <v>7946</v>
      </c>
      <c r="N595" s="486">
        <v>20016</v>
      </c>
      <c r="O595" s="460">
        <v>19720</v>
      </c>
      <c r="P595" s="640">
        <f t="shared" si="180"/>
        <v>45821</v>
      </c>
      <c r="Q595" s="640">
        <f t="shared" si="181"/>
        <v>1527.3666666666666</v>
      </c>
      <c r="R595" s="641">
        <f t="shared" si="182"/>
        <v>46575</v>
      </c>
      <c r="S595" s="641">
        <f t="shared" si="183"/>
        <v>1552.5</v>
      </c>
      <c r="T595" s="486">
        <v>0</v>
      </c>
      <c r="U595" s="460">
        <v>27</v>
      </c>
      <c r="V595" s="640">
        <f t="shared" si="184"/>
        <v>45821</v>
      </c>
      <c r="W595" s="641">
        <f t="shared" si="185"/>
        <v>46575</v>
      </c>
      <c r="X595" s="486"/>
      <c r="Y595" s="460"/>
      <c r="Z595" s="486"/>
      <c r="AA595" s="460"/>
      <c r="AB595" s="486"/>
      <c r="AC595" s="460"/>
      <c r="AD595" s="486"/>
      <c r="AE595" s="460"/>
      <c r="AF595" s="640">
        <f t="shared" si="186"/>
        <v>0</v>
      </c>
      <c r="AG595" s="640">
        <f t="shared" si="187"/>
        <v>0</v>
      </c>
      <c r="AH595" s="641">
        <f t="shared" si="188"/>
        <v>0</v>
      </c>
      <c r="AI595" s="641">
        <f t="shared" si="189"/>
        <v>0</v>
      </c>
      <c r="AJ595" s="486"/>
      <c r="AK595" s="460"/>
      <c r="AL595" s="640">
        <f t="shared" si="190"/>
        <v>0</v>
      </c>
      <c r="AM595" s="641">
        <f t="shared" si="191"/>
        <v>0</v>
      </c>
      <c r="AN595" s="486"/>
      <c r="AO595" s="460"/>
      <c r="AP595" s="486"/>
      <c r="AQ595" s="460"/>
      <c r="AR595" s="486"/>
      <c r="AS595" s="460"/>
      <c r="AT595" s="486"/>
      <c r="AU595" s="460"/>
      <c r="AV595" s="640">
        <f t="shared" si="192"/>
        <v>0</v>
      </c>
      <c r="AW595" s="640">
        <f t="shared" si="193"/>
        <v>0</v>
      </c>
      <c r="AX595" s="641">
        <f t="shared" si="194"/>
        <v>0</v>
      </c>
      <c r="AY595" s="641">
        <f t="shared" si="195"/>
        <v>0</v>
      </c>
      <c r="AZ595" s="640">
        <f t="shared" si="196"/>
        <v>1527.3666666666666</v>
      </c>
      <c r="BA595" s="641">
        <f t="shared" si="197"/>
        <v>1552.5</v>
      </c>
    </row>
    <row r="596" spans="1:53" s="178" customFormat="1" ht="15" customHeight="1">
      <c r="A596" s="473" t="s">
        <v>619</v>
      </c>
      <c r="B596" s="464" t="s">
        <v>862</v>
      </c>
      <c r="C596" s="474"/>
      <c r="D596" s="466">
        <v>232414</v>
      </c>
      <c r="E596" s="466">
        <v>8</v>
      </c>
      <c r="F596" s="486"/>
      <c r="G596" s="460"/>
      <c r="H596" s="486"/>
      <c r="I596" s="460"/>
      <c r="J596" s="486">
        <v>67243</v>
      </c>
      <c r="K596" s="460">
        <v>59962</v>
      </c>
      <c r="L596" s="486">
        <v>23872</v>
      </c>
      <c r="M596" s="460">
        <v>24465</v>
      </c>
      <c r="N596" s="486">
        <v>66657</v>
      </c>
      <c r="O596" s="460">
        <v>61888</v>
      </c>
      <c r="P596" s="640">
        <f t="shared" si="180"/>
        <v>157772</v>
      </c>
      <c r="Q596" s="640">
        <f t="shared" si="181"/>
        <v>5259.0666666666666</v>
      </c>
      <c r="R596" s="641">
        <f t="shared" si="182"/>
        <v>146315</v>
      </c>
      <c r="S596" s="641">
        <f t="shared" si="183"/>
        <v>4877.166666666667</v>
      </c>
      <c r="T596" s="486">
        <v>39787</v>
      </c>
      <c r="U596" s="460">
        <v>43274</v>
      </c>
      <c r="V596" s="640">
        <f t="shared" si="184"/>
        <v>157772</v>
      </c>
      <c r="W596" s="641">
        <f t="shared" si="185"/>
        <v>146315</v>
      </c>
      <c r="X596" s="486"/>
      <c r="Y596" s="460"/>
      <c r="Z596" s="486"/>
      <c r="AA596" s="460"/>
      <c r="AB596" s="486"/>
      <c r="AC596" s="460"/>
      <c r="AD596" s="486"/>
      <c r="AE596" s="460"/>
      <c r="AF596" s="640">
        <f t="shared" si="186"/>
        <v>0</v>
      </c>
      <c r="AG596" s="640">
        <f t="shared" si="187"/>
        <v>0</v>
      </c>
      <c r="AH596" s="641">
        <f t="shared" si="188"/>
        <v>0</v>
      </c>
      <c r="AI596" s="641">
        <f t="shared" si="189"/>
        <v>0</v>
      </c>
      <c r="AJ596" s="486"/>
      <c r="AK596" s="460"/>
      <c r="AL596" s="640">
        <f t="shared" si="190"/>
        <v>0</v>
      </c>
      <c r="AM596" s="641">
        <f t="shared" si="191"/>
        <v>0</v>
      </c>
      <c r="AN596" s="486"/>
      <c r="AO596" s="460"/>
      <c r="AP596" s="486"/>
      <c r="AQ596" s="460"/>
      <c r="AR596" s="486"/>
      <c r="AS596" s="460"/>
      <c r="AT596" s="486"/>
      <c r="AU596" s="460"/>
      <c r="AV596" s="640">
        <f t="shared" si="192"/>
        <v>0</v>
      </c>
      <c r="AW596" s="640">
        <f t="shared" si="193"/>
        <v>0</v>
      </c>
      <c r="AX596" s="641">
        <f t="shared" si="194"/>
        <v>0</v>
      </c>
      <c r="AY596" s="641">
        <f t="shared" si="195"/>
        <v>0</v>
      </c>
      <c r="AZ596" s="640">
        <f t="shared" si="196"/>
        <v>5259.0666666666666</v>
      </c>
      <c r="BA596" s="641">
        <f t="shared" si="197"/>
        <v>4877.166666666667</v>
      </c>
    </row>
    <row r="597" spans="1:53" s="178" customFormat="1" ht="15" customHeight="1">
      <c r="A597" s="473" t="s">
        <v>619</v>
      </c>
      <c r="B597" s="642" t="s">
        <v>929</v>
      </c>
      <c r="C597" s="643" t="s">
        <v>930</v>
      </c>
      <c r="D597" s="466">
        <v>232450</v>
      </c>
      <c r="E597" s="466">
        <v>8</v>
      </c>
      <c r="F597" s="486"/>
      <c r="G597" s="460"/>
      <c r="H597" s="486"/>
      <c r="I597" s="460"/>
      <c r="J597" s="486">
        <v>70027</v>
      </c>
      <c r="K597" s="460">
        <v>64377</v>
      </c>
      <c r="L597" s="486">
        <v>17990</v>
      </c>
      <c r="M597" s="460">
        <v>20072</v>
      </c>
      <c r="N597" s="486">
        <v>70932</v>
      </c>
      <c r="O597" s="460">
        <v>64944</v>
      </c>
      <c r="P597" s="640">
        <f t="shared" si="180"/>
        <v>158949</v>
      </c>
      <c r="Q597" s="640">
        <f t="shared" si="181"/>
        <v>5298.3</v>
      </c>
      <c r="R597" s="641">
        <f t="shared" si="182"/>
        <v>149393</v>
      </c>
      <c r="S597" s="641">
        <f t="shared" si="183"/>
        <v>4979.7666666666664</v>
      </c>
      <c r="T597" s="486">
        <v>59783</v>
      </c>
      <c r="U597" s="460">
        <v>56228</v>
      </c>
      <c r="V597" s="640">
        <f t="shared" si="184"/>
        <v>158949</v>
      </c>
      <c r="W597" s="641">
        <f t="shared" si="185"/>
        <v>149393</v>
      </c>
      <c r="X597" s="486"/>
      <c r="Y597" s="460"/>
      <c r="Z597" s="486"/>
      <c r="AA597" s="460"/>
      <c r="AB597" s="486"/>
      <c r="AC597" s="460"/>
      <c r="AD597" s="486"/>
      <c r="AE597" s="460"/>
      <c r="AF597" s="640">
        <f t="shared" si="186"/>
        <v>0</v>
      </c>
      <c r="AG597" s="640">
        <f t="shared" si="187"/>
        <v>0</v>
      </c>
      <c r="AH597" s="641">
        <f t="shared" si="188"/>
        <v>0</v>
      </c>
      <c r="AI597" s="641">
        <f t="shared" si="189"/>
        <v>0</v>
      </c>
      <c r="AJ597" s="486"/>
      <c r="AK597" s="460"/>
      <c r="AL597" s="640">
        <f t="shared" si="190"/>
        <v>0</v>
      </c>
      <c r="AM597" s="641">
        <f t="shared" si="191"/>
        <v>0</v>
      </c>
      <c r="AN597" s="486"/>
      <c r="AO597" s="460"/>
      <c r="AP597" s="486"/>
      <c r="AQ597" s="460"/>
      <c r="AR597" s="486"/>
      <c r="AS597" s="460"/>
      <c r="AT597" s="486"/>
      <c r="AU597" s="460"/>
      <c r="AV597" s="640">
        <f t="shared" si="192"/>
        <v>0</v>
      </c>
      <c r="AW597" s="640">
        <f t="shared" si="193"/>
        <v>0</v>
      </c>
      <c r="AX597" s="641">
        <f t="shared" si="194"/>
        <v>0</v>
      </c>
      <c r="AY597" s="641">
        <f t="shared" si="195"/>
        <v>0</v>
      </c>
      <c r="AZ597" s="640">
        <f t="shared" si="196"/>
        <v>5298.3</v>
      </c>
      <c r="BA597" s="641">
        <f t="shared" si="197"/>
        <v>4979.7666666666664</v>
      </c>
    </row>
    <row r="598" spans="1:53" s="178" customFormat="1" ht="15" customHeight="1">
      <c r="A598" s="473" t="s">
        <v>619</v>
      </c>
      <c r="B598" s="464" t="s">
        <v>863</v>
      </c>
      <c r="C598" s="474"/>
      <c r="D598" s="466">
        <v>232946</v>
      </c>
      <c r="E598" s="466">
        <v>8</v>
      </c>
      <c r="F598" s="486"/>
      <c r="G598" s="460"/>
      <c r="H598" s="486"/>
      <c r="I598" s="460"/>
      <c r="J598" s="486">
        <v>374636</v>
      </c>
      <c r="K598" s="460">
        <v>369606</v>
      </c>
      <c r="L598" s="486">
        <v>122506</v>
      </c>
      <c r="M598" s="460">
        <v>167809</v>
      </c>
      <c r="N598" s="486">
        <v>426201</v>
      </c>
      <c r="O598" s="460">
        <v>391883</v>
      </c>
      <c r="P598" s="640">
        <f t="shared" si="180"/>
        <v>923343</v>
      </c>
      <c r="Q598" s="640">
        <f t="shared" si="181"/>
        <v>30778.1</v>
      </c>
      <c r="R598" s="641">
        <f t="shared" si="182"/>
        <v>929298</v>
      </c>
      <c r="S598" s="641">
        <f t="shared" si="183"/>
        <v>30976.6</v>
      </c>
      <c r="T598" s="486">
        <v>201989</v>
      </c>
      <c r="U598" s="460">
        <v>215237</v>
      </c>
      <c r="V598" s="640">
        <f t="shared" si="184"/>
        <v>923343</v>
      </c>
      <c r="W598" s="641">
        <f t="shared" si="185"/>
        <v>929298</v>
      </c>
      <c r="X598" s="486"/>
      <c r="Y598" s="460"/>
      <c r="Z598" s="486"/>
      <c r="AA598" s="460"/>
      <c r="AB598" s="486"/>
      <c r="AC598" s="460"/>
      <c r="AD598" s="486"/>
      <c r="AE598" s="460"/>
      <c r="AF598" s="640">
        <f t="shared" si="186"/>
        <v>0</v>
      </c>
      <c r="AG598" s="640">
        <f t="shared" si="187"/>
        <v>0</v>
      </c>
      <c r="AH598" s="641">
        <f t="shared" si="188"/>
        <v>0</v>
      </c>
      <c r="AI598" s="641">
        <f t="shared" si="189"/>
        <v>0</v>
      </c>
      <c r="AJ598" s="486"/>
      <c r="AK598" s="460"/>
      <c r="AL598" s="640">
        <f t="shared" si="190"/>
        <v>0</v>
      </c>
      <c r="AM598" s="641">
        <f t="shared" si="191"/>
        <v>0</v>
      </c>
      <c r="AN598" s="486"/>
      <c r="AO598" s="460"/>
      <c r="AP598" s="486"/>
      <c r="AQ598" s="460"/>
      <c r="AR598" s="486"/>
      <c r="AS598" s="460"/>
      <c r="AT598" s="486"/>
      <c r="AU598" s="460"/>
      <c r="AV598" s="640">
        <f t="shared" si="192"/>
        <v>0</v>
      </c>
      <c r="AW598" s="640">
        <f t="shared" si="193"/>
        <v>0</v>
      </c>
      <c r="AX598" s="641">
        <f t="shared" si="194"/>
        <v>0</v>
      </c>
      <c r="AY598" s="641">
        <f t="shared" si="195"/>
        <v>0</v>
      </c>
      <c r="AZ598" s="640">
        <f t="shared" si="196"/>
        <v>30778.1</v>
      </c>
      <c r="BA598" s="641">
        <f t="shared" si="197"/>
        <v>30976.6</v>
      </c>
    </row>
    <row r="599" spans="1:53" s="178" customFormat="1" ht="15" customHeight="1">
      <c r="A599" s="473" t="s">
        <v>619</v>
      </c>
      <c r="B599" s="595" t="s">
        <v>927</v>
      </c>
      <c r="C599" s="580" t="s">
        <v>928</v>
      </c>
      <c r="D599" s="466">
        <v>233754</v>
      </c>
      <c r="E599" s="596">
        <v>9</v>
      </c>
      <c r="F599" s="486"/>
      <c r="G599" s="460"/>
      <c r="H599" s="486"/>
      <c r="I599" s="460"/>
      <c r="J599" s="486">
        <v>60181</v>
      </c>
      <c r="K599" s="460">
        <v>51651</v>
      </c>
      <c r="L599" s="486">
        <v>18219</v>
      </c>
      <c r="M599" s="460">
        <v>17700</v>
      </c>
      <c r="N599" s="486">
        <v>53945</v>
      </c>
      <c r="O599" s="460">
        <v>49083</v>
      </c>
      <c r="P599" s="640">
        <f t="shared" si="180"/>
        <v>132345</v>
      </c>
      <c r="Q599" s="640">
        <f t="shared" si="181"/>
        <v>4411.5</v>
      </c>
      <c r="R599" s="641">
        <f t="shared" si="182"/>
        <v>118434</v>
      </c>
      <c r="S599" s="641">
        <f t="shared" si="183"/>
        <v>3947.8</v>
      </c>
      <c r="T599" s="486">
        <v>36327</v>
      </c>
      <c r="U599" s="460">
        <v>36672</v>
      </c>
      <c r="V599" s="640">
        <f t="shared" si="184"/>
        <v>132345</v>
      </c>
      <c r="W599" s="641">
        <f t="shared" si="185"/>
        <v>118434</v>
      </c>
      <c r="X599" s="486"/>
      <c r="Y599" s="460"/>
      <c r="Z599" s="486"/>
      <c r="AA599" s="460"/>
      <c r="AB599" s="486"/>
      <c r="AC599" s="460"/>
      <c r="AD599" s="486"/>
      <c r="AE599" s="460"/>
      <c r="AF599" s="640">
        <f t="shared" si="186"/>
        <v>0</v>
      </c>
      <c r="AG599" s="640">
        <f t="shared" si="187"/>
        <v>0</v>
      </c>
      <c r="AH599" s="641">
        <f t="shared" si="188"/>
        <v>0</v>
      </c>
      <c r="AI599" s="641">
        <f t="shared" si="189"/>
        <v>0</v>
      </c>
      <c r="AJ599" s="486"/>
      <c r="AK599" s="460"/>
      <c r="AL599" s="640">
        <f t="shared" si="190"/>
        <v>0</v>
      </c>
      <c r="AM599" s="641">
        <f t="shared" si="191"/>
        <v>0</v>
      </c>
      <c r="AN599" s="486"/>
      <c r="AO599" s="460"/>
      <c r="AP599" s="486"/>
      <c r="AQ599" s="460"/>
      <c r="AR599" s="486"/>
      <c r="AS599" s="460"/>
      <c r="AT599" s="486"/>
      <c r="AU599" s="460"/>
      <c r="AV599" s="640">
        <f t="shared" si="192"/>
        <v>0</v>
      </c>
      <c r="AW599" s="640">
        <f t="shared" si="193"/>
        <v>0</v>
      </c>
      <c r="AX599" s="641">
        <f t="shared" si="194"/>
        <v>0</v>
      </c>
      <c r="AY599" s="641">
        <f t="shared" si="195"/>
        <v>0</v>
      </c>
      <c r="AZ599" s="640">
        <f t="shared" si="196"/>
        <v>4411.5</v>
      </c>
      <c r="BA599" s="641">
        <f t="shared" si="197"/>
        <v>3947.8</v>
      </c>
    </row>
    <row r="600" spans="1:53" s="178" customFormat="1" ht="15" customHeight="1">
      <c r="A600" s="473" t="s">
        <v>619</v>
      </c>
      <c r="B600" s="464" t="s">
        <v>864</v>
      </c>
      <c r="C600" s="474"/>
      <c r="D600" s="466">
        <v>233772</v>
      </c>
      <c r="E600" s="466">
        <v>8</v>
      </c>
      <c r="F600" s="486"/>
      <c r="G600" s="460"/>
      <c r="H600" s="486"/>
      <c r="I600" s="460"/>
      <c r="J600" s="486">
        <v>152829</v>
      </c>
      <c r="K600" s="460">
        <v>135962</v>
      </c>
      <c r="L600" s="486">
        <v>57152</v>
      </c>
      <c r="M600" s="460">
        <v>46677</v>
      </c>
      <c r="N600" s="486">
        <v>149370</v>
      </c>
      <c r="O600" s="460">
        <v>143075</v>
      </c>
      <c r="P600" s="640">
        <f t="shared" si="180"/>
        <v>359351</v>
      </c>
      <c r="Q600" s="640">
        <f t="shared" si="181"/>
        <v>11978.366666666667</v>
      </c>
      <c r="R600" s="641">
        <f t="shared" si="182"/>
        <v>325714</v>
      </c>
      <c r="S600" s="641">
        <f t="shared" si="183"/>
        <v>10857.133333333333</v>
      </c>
      <c r="T600" s="486">
        <v>43263</v>
      </c>
      <c r="U600" s="460">
        <v>44847</v>
      </c>
      <c r="V600" s="640">
        <f t="shared" si="184"/>
        <v>359351</v>
      </c>
      <c r="W600" s="641">
        <f t="shared" si="185"/>
        <v>325714</v>
      </c>
      <c r="X600" s="486"/>
      <c r="Y600" s="460"/>
      <c r="Z600" s="486"/>
      <c r="AA600" s="460"/>
      <c r="AB600" s="486"/>
      <c r="AC600" s="460"/>
      <c r="AD600" s="486"/>
      <c r="AE600" s="460"/>
      <c r="AF600" s="640">
        <f t="shared" si="186"/>
        <v>0</v>
      </c>
      <c r="AG600" s="640">
        <f t="shared" si="187"/>
        <v>0</v>
      </c>
      <c r="AH600" s="641">
        <f t="shared" si="188"/>
        <v>0</v>
      </c>
      <c r="AI600" s="641">
        <f t="shared" si="189"/>
        <v>0</v>
      </c>
      <c r="AJ600" s="486"/>
      <c r="AK600" s="460"/>
      <c r="AL600" s="640">
        <f t="shared" si="190"/>
        <v>0</v>
      </c>
      <c r="AM600" s="641">
        <f t="shared" si="191"/>
        <v>0</v>
      </c>
      <c r="AN600" s="486"/>
      <c r="AO600" s="460"/>
      <c r="AP600" s="486"/>
      <c r="AQ600" s="460"/>
      <c r="AR600" s="486"/>
      <c r="AS600" s="460"/>
      <c r="AT600" s="486"/>
      <c r="AU600" s="460"/>
      <c r="AV600" s="640">
        <f t="shared" si="192"/>
        <v>0</v>
      </c>
      <c r="AW600" s="640">
        <f t="shared" si="193"/>
        <v>0</v>
      </c>
      <c r="AX600" s="641">
        <f t="shared" si="194"/>
        <v>0</v>
      </c>
      <c r="AY600" s="641">
        <f t="shared" si="195"/>
        <v>0</v>
      </c>
      <c r="AZ600" s="640">
        <f t="shared" si="196"/>
        <v>11978.366666666667</v>
      </c>
      <c r="BA600" s="641">
        <f t="shared" si="197"/>
        <v>10857.133333333333</v>
      </c>
    </row>
    <row r="601" spans="1:53" s="178" customFormat="1" ht="15" customHeight="1">
      <c r="A601" s="473" t="s">
        <v>619</v>
      </c>
      <c r="B601" s="464" t="s">
        <v>865</v>
      </c>
      <c r="C601" s="637" t="s">
        <v>923</v>
      </c>
      <c r="D601" s="466">
        <v>231536</v>
      </c>
      <c r="E601" s="466">
        <v>9</v>
      </c>
      <c r="F601" s="486"/>
      <c r="G601" s="460"/>
      <c r="H601" s="486"/>
      <c r="I601" s="460"/>
      <c r="J601" s="486">
        <v>27836</v>
      </c>
      <c r="K601" s="460">
        <v>24201</v>
      </c>
      <c r="L601" s="486">
        <v>7729</v>
      </c>
      <c r="M601" s="460">
        <v>8187</v>
      </c>
      <c r="N601" s="486">
        <v>29392</v>
      </c>
      <c r="O601" s="460">
        <v>27495</v>
      </c>
      <c r="P601" s="640">
        <f t="shared" si="180"/>
        <v>64957</v>
      </c>
      <c r="Q601" s="640">
        <f t="shared" si="181"/>
        <v>2165.2333333333331</v>
      </c>
      <c r="R601" s="641">
        <f t="shared" si="182"/>
        <v>59883</v>
      </c>
      <c r="S601" s="641">
        <f t="shared" si="183"/>
        <v>1996.1</v>
      </c>
      <c r="T601" s="486">
        <v>16901</v>
      </c>
      <c r="U601" s="460">
        <v>15623</v>
      </c>
      <c r="V601" s="640">
        <f t="shared" si="184"/>
        <v>64957</v>
      </c>
      <c r="W601" s="641">
        <f t="shared" si="185"/>
        <v>59883</v>
      </c>
      <c r="X601" s="486"/>
      <c r="Y601" s="460"/>
      <c r="Z601" s="486"/>
      <c r="AA601" s="460"/>
      <c r="AB601" s="486"/>
      <c r="AC601" s="460"/>
      <c r="AD601" s="486"/>
      <c r="AE601" s="460"/>
      <c r="AF601" s="640">
        <f t="shared" si="186"/>
        <v>0</v>
      </c>
      <c r="AG601" s="640">
        <f t="shared" si="187"/>
        <v>0</v>
      </c>
      <c r="AH601" s="641">
        <f t="shared" si="188"/>
        <v>0</v>
      </c>
      <c r="AI601" s="641">
        <f t="shared" si="189"/>
        <v>0</v>
      </c>
      <c r="AJ601" s="486"/>
      <c r="AK601" s="460"/>
      <c r="AL601" s="640">
        <f t="shared" si="190"/>
        <v>0</v>
      </c>
      <c r="AM601" s="641">
        <f t="shared" si="191"/>
        <v>0</v>
      </c>
      <c r="AN601" s="486"/>
      <c r="AO601" s="460"/>
      <c r="AP601" s="486"/>
      <c r="AQ601" s="460"/>
      <c r="AR601" s="486"/>
      <c r="AS601" s="460"/>
      <c r="AT601" s="486"/>
      <c r="AU601" s="460"/>
      <c r="AV601" s="640">
        <f t="shared" si="192"/>
        <v>0</v>
      </c>
      <c r="AW601" s="640">
        <f t="shared" si="193"/>
        <v>0</v>
      </c>
      <c r="AX601" s="641">
        <f t="shared" si="194"/>
        <v>0</v>
      </c>
      <c r="AY601" s="641">
        <f t="shared" si="195"/>
        <v>0</v>
      </c>
      <c r="AZ601" s="640">
        <f t="shared" si="196"/>
        <v>2165.2333333333331</v>
      </c>
      <c r="BA601" s="641">
        <f t="shared" si="197"/>
        <v>1996.1</v>
      </c>
    </row>
    <row r="602" spans="1:53" s="178" customFormat="1" ht="15" customHeight="1">
      <c r="A602" s="473" t="s">
        <v>619</v>
      </c>
      <c r="B602" s="464" t="s">
        <v>866</v>
      </c>
      <c r="C602" s="474"/>
      <c r="D602" s="466">
        <v>231697</v>
      </c>
      <c r="E602" s="466">
        <v>9</v>
      </c>
      <c r="F602" s="486"/>
      <c r="G602" s="460"/>
      <c r="H602" s="486"/>
      <c r="I602" s="460"/>
      <c r="J602" s="486">
        <v>28531</v>
      </c>
      <c r="K602" s="460">
        <v>25997</v>
      </c>
      <c r="L602" s="486">
        <v>7022</v>
      </c>
      <c r="M602" s="460">
        <v>6670</v>
      </c>
      <c r="N602" s="486">
        <v>29219</v>
      </c>
      <c r="O602" s="460">
        <v>28495</v>
      </c>
      <c r="P602" s="640">
        <f t="shared" si="180"/>
        <v>64772</v>
      </c>
      <c r="Q602" s="640">
        <f t="shared" si="181"/>
        <v>2159.0666666666666</v>
      </c>
      <c r="R602" s="641">
        <f t="shared" si="182"/>
        <v>61162</v>
      </c>
      <c r="S602" s="641">
        <f t="shared" si="183"/>
        <v>2038.7333333333333</v>
      </c>
      <c r="T602" s="486">
        <v>39776</v>
      </c>
      <c r="U602" s="460">
        <v>37053</v>
      </c>
      <c r="V602" s="640">
        <f t="shared" si="184"/>
        <v>64772</v>
      </c>
      <c r="W602" s="641">
        <f t="shared" si="185"/>
        <v>61162</v>
      </c>
      <c r="X602" s="486"/>
      <c r="Y602" s="460"/>
      <c r="Z602" s="486"/>
      <c r="AA602" s="460"/>
      <c r="AB602" s="486"/>
      <c r="AC602" s="460"/>
      <c r="AD602" s="486"/>
      <c r="AE602" s="460"/>
      <c r="AF602" s="640">
        <f t="shared" si="186"/>
        <v>0</v>
      </c>
      <c r="AG602" s="640">
        <f t="shared" si="187"/>
        <v>0</v>
      </c>
      <c r="AH602" s="641">
        <f t="shared" si="188"/>
        <v>0</v>
      </c>
      <c r="AI602" s="641">
        <f t="shared" si="189"/>
        <v>0</v>
      </c>
      <c r="AJ602" s="486"/>
      <c r="AK602" s="460"/>
      <c r="AL602" s="640">
        <f t="shared" si="190"/>
        <v>0</v>
      </c>
      <c r="AM602" s="641">
        <f t="shared" si="191"/>
        <v>0</v>
      </c>
      <c r="AN602" s="486"/>
      <c r="AO602" s="460"/>
      <c r="AP602" s="486"/>
      <c r="AQ602" s="460"/>
      <c r="AR602" s="486"/>
      <c r="AS602" s="460"/>
      <c r="AT602" s="486"/>
      <c r="AU602" s="460"/>
      <c r="AV602" s="640">
        <f t="shared" si="192"/>
        <v>0</v>
      </c>
      <c r="AW602" s="640">
        <f t="shared" si="193"/>
        <v>0</v>
      </c>
      <c r="AX602" s="641">
        <f t="shared" si="194"/>
        <v>0</v>
      </c>
      <c r="AY602" s="641">
        <f t="shared" si="195"/>
        <v>0</v>
      </c>
      <c r="AZ602" s="640">
        <f t="shared" si="196"/>
        <v>2159.0666666666666</v>
      </c>
      <c r="BA602" s="641">
        <f t="shared" si="197"/>
        <v>2038.7333333333333</v>
      </c>
    </row>
    <row r="603" spans="1:53" s="178" customFormat="1" ht="15" customHeight="1">
      <c r="A603" s="473" t="s">
        <v>619</v>
      </c>
      <c r="B603" s="464" t="s">
        <v>621</v>
      </c>
      <c r="C603" s="474"/>
      <c r="D603" s="466">
        <v>232195</v>
      </c>
      <c r="E603" s="466">
        <v>9</v>
      </c>
      <c r="F603" s="486"/>
      <c r="G603" s="460"/>
      <c r="H603" s="486"/>
      <c r="I603" s="460"/>
      <c r="J603" s="486">
        <v>56244</v>
      </c>
      <c r="K603" s="460">
        <v>58255</v>
      </c>
      <c r="L603" s="486">
        <v>16762</v>
      </c>
      <c r="M603" s="460">
        <v>21358</v>
      </c>
      <c r="N603" s="486">
        <v>62972</v>
      </c>
      <c r="O603" s="460">
        <v>61491</v>
      </c>
      <c r="P603" s="640">
        <f t="shared" si="180"/>
        <v>135978</v>
      </c>
      <c r="Q603" s="640">
        <f t="shared" si="181"/>
        <v>4532.6000000000004</v>
      </c>
      <c r="R603" s="641">
        <f t="shared" si="182"/>
        <v>141104</v>
      </c>
      <c r="S603" s="641">
        <f t="shared" si="183"/>
        <v>4703.4666666666662</v>
      </c>
      <c r="T603" s="486">
        <v>32196</v>
      </c>
      <c r="U603" s="460">
        <v>33826</v>
      </c>
      <c r="V603" s="640">
        <f t="shared" si="184"/>
        <v>135978</v>
      </c>
      <c r="W603" s="641">
        <f t="shared" si="185"/>
        <v>141104</v>
      </c>
      <c r="X603" s="486"/>
      <c r="Y603" s="460"/>
      <c r="Z603" s="486"/>
      <c r="AA603" s="460"/>
      <c r="AB603" s="486"/>
      <c r="AC603" s="460"/>
      <c r="AD603" s="486"/>
      <c r="AE603" s="460"/>
      <c r="AF603" s="640">
        <f t="shared" si="186"/>
        <v>0</v>
      </c>
      <c r="AG603" s="640">
        <f t="shared" si="187"/>
        <v>0</v>
      </c>
      <c r="AH603" s="641">
        <f t="shared" si="188"/>
        <v>0</v>
      </c>
      <c r="AI603" s="641">
        <f t="shared" si="189"/>
        <v>0</v>
      </c>
      <c r="AJ603" s="486"/>
      <c r="AK603" s="460"/>
      <c r="AL603" s="640">
        <f t="shared" si="190"/>
        <v>0</v>
      </c>
      <c r="AM603" s="641">
        <f t="shared" si="191"/>
        <v>0</v>
      </c>
      <c r="AN603" s="486"/>
      <c r="AO603" s="460"/>
      <c r="AP603" s="486"/>
      <c r="AQ603" s="460"/>
      <c r="AR603" s="486"/>
      <c r="AS603" s="460"/>
      <c r="AT603" s="486"/>
      <c r="AU603" s="460"/>
      <c r="AV603" s="640">
        <f t="shared" si="192"/>
        <v>0</v>
      </c>
      <c r="AW603" s="640">
        <f t="shared" si="193"/>
        <v>0</v>
      </c>
      <c r="AX603" s="641">
        <f t="shared" si="194"/>
        <v>0</v>
      </c>
      <c r="AY603" s="641">
        <f t="shared" si="195"/>
        <v>0</v>
      </c>
      <c r="AZ603" s="640">
        <f t="shared" si="196"/>
        <v>4532.6000000000004</v>
      </c>
      <c r="BA603" s="641">
        <f t="shared" si="197"/>
        <v>4703.4666666666662</v>
      </c>
    </row>
    <row r="604" spans="1:53" s="178" customFormat="1" ht="15" customHeight="1">
      <c r="A604" s="473" t="s">
        <v>619</v>
      </c>
      <c r="B604" s="642" t="s">
        <v>931</v>
      </c>
      <c r="C604" s="643" t="s">
        <v>932</v>
      </c>
      <c r="D604" s="466">
        <v>232575</v>
      </c>
      <c r="E604" s="466">
        <v>9</v>
      </c>
      <c r="F604" s="486"/>
      <c r="G604" s="460"/>
      <c r="H604" s="486"/>
      <c r="I604" s="460"/>
      <c r="J604" s="486">
        <v>49731</v>
      </c>
      <c r="K604" s="460">
        <v>44031</v>
      </c>
      <c r="L604" s="486">
        <v>11116</v>
      </c>
      <c r="M604" s="460">
        <v>12899</v>
      </c>
      <c r="N604" s="486">
        <v>54685</v>
      </c>
      <c r="O604" s="460">
        <v>50147</v>
      </c>
      <c r="P604" s="640">
        <f t="shared" si="180"/>
        <v>115532</v>
      </c>
      <c r="Q604" s="640">
        <f t="shared" si="181"/>
        <v>3851.0666666666666</v>
      </c>
      <c r="R604" s="641">
        <f t="shared" si="182"/>
        <v>107077</v>
      </c>
      <c r="S604" s="641">
        <f t="shared" si="183"/>
        <v>3569.2333333333331</v>
      </c>
      <c r="T604" s="486">
        <v>71645</v>
      </c>
      <c r="U604" s="460">
        <v>70536</v>
      </c>
      <c r="V604" s="640">
        <f t="shared" si="184"/>
        <v>115532</v>
      </c>
      <c r="W604" s="641">
        <f t="shared" si="185"/>
        <v>107077</v>
      </c>
      <c r="X604" s="486"/>
      <c r="Y604" s="460"/>
      <c r="Z604" s="486"/>
      <c r="AA604" s="460"/>
      <c r="AB604" s="486"/>
      <c r="AC604" s="460"/>
      <c r="AD604" s="486"/>
      <c r="AE604" s="460"/>
      <c r="AF604" s="640">
        <f t="shared" si="186"/>
        <v>0</v>
      </c>
      <c r="AG604" s="640">
        <f t="shared" si="187"/>
        <v>0</v>
      </c>
      <c r="AH604" s="641">
        <f t="shared" si="188"/>
        <v>0</v>
      </c>
      <c r="AI604" s="641">
        <f t="shared" si="189"/>
        <v>0</v>
      </c>
      <c r="AJ604" s="486"/>
      <c r="AK604" s="460"/>
      <c r="AL604" s="640">
        <f t="shared" si="190"/>
        <v>0</v>
      </c>
      <c r="AM604" s="641">
        <f t="shared" si="191"/>
        <v>0</v>
      </c>
      <c r="AN604" s="486"/>
      <c r="AO604" s="460"/>
      <c r="AP604" s="486"/>
      <c r="AQ604" s="460"/>
      <c r="AR604" s="486"/>
      <c r="AS604" s="460"/>
      <c r="AT604" s="486"/>
      <c r="AU604" s="460"/>
      <c r="AV604" s="640">
        <f t="shared" si="192"/>
        <v>0</v>
      </c>
      <c r="AW604" s="640">
        <f t="shared" si="193"/>
        <v>0</v>
      </c>
      <c r="AX604" s="641">
        <f t="shared" si="194"/>
        <v>0</v>
      </c>
      <c r="AY604" s="641">
        <f t="shared" si="195"/>
        <v>0</v>
      </c>
      <c r="AZ604" s="640">
        <f t="shared" si="196"/>
        <v>3851.0666666666666</v>
      </c>
      <c r="BA604" s="641">
        <f t="shared" si="197"/>
        <v>3569.2333333333331</v>
      </c>
    </row>
    <row r="605" spans="1:53" s="178" customFormat="1" ht="15" customHeight="1">
      <c r="A605" s="473" t="s">
        <v>619</v>
      </c>
      <c r="B605" s="464" t="s">
        <v>622</v>
      </c>
      <c r="C605" s="474"/>
      <c r="D605" s="466">
        <v>232867</v>
      </c>
      <c r="E605" s="466">
        <v>9</v>
      </c>
      <c r="F605" s="486"/>
      <c r="G605" s="460"/>
      <c r="H605" s="486"/>
      <c r="I605" s="460"/>
      <c r="J605" s="486">
        <v>33438</v>
      </c>
      <c r="K605" s="460">
        <v>30771</v>
      </c>
      <c r="L605" s="486">
        <v>6903</v>
      </c>
      <c r="M605" s="460">
        <v>7726</v>
      </c>
      <c r="N605" s="486">
        <v>38427</v>
      </c>
      <c r="O605" s="460">
        <v>36360</v>
      </c>
      <c r="P605" s="640">
        <f t="shared" si="180"/>
        <v>78768</v>
      </c>
      <c r="Q605" s="640">
        <f t="shared" si="181"/>
        <v>2625.6</v>
      </c>
      <c r="R605" s="641">
        <f t="shared" si="182"/>
        <v>74857</v>
      </c>
      <c r="S605" s="641">
        <f t="shared" si="183"/>
        <v>2495.2333333333331</v>
      </c>
      <c r="T605" s="486">
        <v>41209</v>
      </c>
      <c r="U605" s="460">
        <v>43179</v>
      </c>
      <c r="V605" s="640">
        <f t="shared" si="184"/>
        <v>78768</v>
      </c>
      <c r="W605" s="641">
        <f t="shared" si="185"/>
        <v>74857</v>
      </c>
      <c r="X605" s="486"/>
      <c r="Y605" s="460"/>
      <c r="Z605" s="486"/>
      <c r="AA605" s="460"/>
      <c r="AB605" s="486"/>
      <c r="AC605" s="460"/>
      <c r="AD605" s="486"/>
      <c r="AE605" s="460"/>
      <c r="AF605" s="640">
        <f t="shared" si="186"/>
        <v>0</v>
      </c>
      <c r="AG605" s="640">
        <f t="shared" si="187"/>
        <v>0</v>
      </c>
      <c r="AH605" s="641">
        <f t="shared" si="188"/>
        <v>0</v>
      </c>
      <c r="AI605" s="641">
        <f t="shared" si="189"/>
        <v>0</v>
      </c>
      <c r="AJ605" s="486"/>
      <c r="AK605" s="460"/>
      <c r="AL605" s="640">
        <f t="shared" si="190"/>
        <v>0</v>
      </c>
      <c r="AM605" s="641">
        <f t="shared" si="191"/>
        <v>0</v>
      </c>
      <c r="AN605" s="486"/>
      <c r="AO605" s="460"/>
      <c r="AP605" s="486"/>
      <c r="AQ605" s="460"/>
      <c r="AR605" s="486"/>
      <c r="AS605" s="460"/>
      <c r="AT605" s="486"/>
      <c r="AU605" s="460"/>
      <c r="AV605" s="640">
        <f t="shared" si="192"/>
        <v>0</v>
      </c>
      <c r="AW605" s="640">
        <f t="shared" si="193"/>
        <v>0</v>
      </c>
      <c r="AX605" s="641">
        <f t="shared" si="194"/>
        <v>0</v>
      </c>
      <c r="AY605" s="641">
        <f t="shared" si="195"/>
        <v>0</v>
      </c>
      <c r="AZ605" s="640">
        <f t="shared" si="196"/>
        <v>2625.6</v>
      </c>
      <c r="BA605" s="641">
        <f t="shared" si="197"/>
        <v>2495.2333333333331</v>
      </c>
    </row>
    <row r="606" spans="1:53" s="178" customFormat="1" ht="15" customHeight="1">
      <c r="A606" s="473" t="s">
        <v>619</v>
      </c>
      <c r="B606" s="464" t="s">
        <v>623</v>
      </c>
      <c r="C606" s="474"/>
      <c r="D606" s="466">
        <v>233116</v>
      </c>
      <c r="E606" s="466">
        <v>9</v>
      </c>
      <c r="F606" s="486"/>
      <c r="G606" s="460"/>
      <c r="H606" s="486"/>
      <c r="I606" s="460"/>
      <c r="J606" s="486">
        <v>34142</v>
      </c>
      <c r="K606" s="460">
        <v>32400</v>
      </c>
      <c r="L606" s="486">
        <v>8871</v>
      </c>
      <c r="M606" s="460">
        <v>9421</v>
      </c>
      <c r="N606" s="486">
        <v>39052</v>
      </c>
      <c r="O606" s="460">
        <v>38061</v>
      </c>
      <c r="P606" s="640">
        <f t="shared" si="180"/>
        <v>82065</v>
      </c>
      <c r="Q606" s="640">
        <f t="shared" si="181"/>
        <v>2735.5</v>
      </c>
      <c r="R606" s="641">
        <f t="shared" si="182"/>
        <v>79882</v>
      </c>
      <c r="S606" s="641">
        <f t="shared" si="183"/>
        <v>2662.7333333333331</v>
      </c>
      <c r="T606" s="486">
        <v>38320</v>
      </c>
      <c r="U606" s="460">
        <v>36011</v>
      </c>
      <c r="V606" s="640">
        <f t="shared" si="184"/>
        <v>82065</v>
      </c>
      <c r="W606" s="641">
        <f t="shared" si="185"/>
        <v>79882</v>
      </c>
      <c r="X606" s="486"/>
      <c r="Y606" s="460"/>
      <c r="Z606" s="486"/>
      <c r="AA606" s="460"/>
      <c r="AB606" s="486"/>
      <c r="AC606" s="460"/>
      <c r="AD606" s="486"/>
      <c r="AE606" s="460"/>
      <c r="AF606" s="640">
        <f t="shared" si="186"/>
        <v>0</v>
      </c>
      <c r="AG606" s="640">
        <f t="shared" si="187"/>
        <v>0</v>
      </c>
      <c r="AH606" s="641">
        <f t="shared" si="188"/>
        <v>0</v>
      </c>
      <c r="AI606" s="641">
        <f t="shared" si="189"/>
        <v>0</v>
      </c>
      <c r="AJ606" s="486"/>
      <c r="AK606" s="460"/>
      <c r="AL606" s="640">
        <f t="shared" si="190"/>
        <v>0</v>
      </c>
      <c r="AM606" s="641">
        <f t="shared" si="191"/>
        <v>0</v>
      </c>
      <c r="AN606" s="486"/>
      <c r="AO606" s="460"/>
      <c r="AP606" s="486"/>
      <c r="AQ606" s="460"/>
      <c r="AR606" s="486"/>
      <c r="AS606" s="460"/>
      <c r="AT606" s="486"/>
      <c r="AU606" s="460"/>
      <c r="AV606" s="640">
        <f t="shared" si="192"/>
        <v>0</v>
      </c>
      <c r="AW606" s="640">
        <f t="shared" si="193"/>
        <v>0</v>
      </c>
      <c r="AX606" s="641">
        <f t="shared" si="194"/>
        <v>0</v>
      </c>
      <c r="AY606" s="641">
        <f t="shared" si="195"/>
        <v>0</v>
      </c>
      <c r="AZ606" s="640">
        <f t="shared" si="196"/>
        <v>2735.5</v>
      </c>
      <c r="BA606" s="641">
        <f t="shared" si="197"/>
        <v>2662.7333333333331</v>
      </c>
    </row>
    <row r="607" spans="1:53" s="178" customFormat="1" ht="15" customHeight="1">
      <c r="A607" s="473" t="s">
        <v>619</v>
      </c>
      <c r="B607" s="595" t="s">
        <v>624</v>
      </c>
      <c r="C607" s="580" t="s">
        <v>916</v>
      </c>
      <c r="D607" s="596">
        <v>233639</v>
      </c>
      <c r="E607" s="596">
        <v>10</v>
      </c>
      <c r="F607" s="486"/>
      <c r="G607" s="460"/>
      <c r="H607" s="486"/>
      <c r="I607" s="460"/>
      <c r="J607" s="486">
        <v>26537</v>
      </c>
      <c r="K607" s="460">
        <v>25257</v>
      </c>
      <c r="L607" s="486">
        <v>4747</v>
      </c>
      <c r="M607" s="460">
        <v>4639</v>
      </c>
      <c r="N607" s="486">
        <v>28458</v>
      </c>
      <c r="O607" s="460">
        <v>26413</v>
      </c>
      <c r="P607" s="640">
        <f t="shared" si="180"/>
        <v>59742</v>
      </c>
      <c r="Q607" s="640">
        <f t="shared" si="181"/>
        <v>1991.4</v>
      </c>
      <c r="R607" s="641">
        <f t="shared" si="182"/>
        <v>56309</v>
      </c>
      <c r="S607" s="641">
        <f t="shared" si="183"/>
        <v>1876.9666666666667</v>
      </c>
      <c r="T607" s="486">
        <v>50331</v>
      </c>
      <c r="U607" s="460">
        <v>47386</v>
      </c>
      <c r="V607" s="640">
        <f t="shared" si="184"/>
        <v>59742</v>
      </c>
      <c r="W607" s="641">
        <f t="shared" si="185"/>
        <v>56309</v>
      </c>
      <c r="X607" s="486"/>
      <c r="Y607" s="460"/>
      <c r="Z607" s="486"/>
      <c r="AA607" s="460"/>
      <c r="AB607" s="486"/>
      <c r="AC607" s="460"/>
      <c r="AD607" s="486"/>
      <c r="AE607" s="460"/>
      <c r="AF607" s="640">
        <f t="shared" si="186"/>
        <v>0</v>
      </c>
      <c r="AG607" s="640">
        <f t="shared" si="187"/>
        <v>0</v>
      </c>
      <c r="AH607" s="641">
        <f t="shared" si="188"/>
        <v>0</v>
      </c>
      <c r="AI607" s="641">
        <f t="shared" si="189"/>
        <v>0</v>
      </c>
      <c r="AJ607" s="486"/>
      <c r="AK607" s="460"/>
      <c r="AL607" s="640">
        <f t="shared" si="190"/>
        <v>0</v>
      </c>
      <c r="AM607" s="641">
        <f t="shared" si="191"/>
        <v>0</v>
      </c>
      <c r="AN607" s="486"/>
      <c r="AO607" s="460"/>
      <c r="AP607" s="486"/>
      <c r="AQ607" s="460"/>
      <c r="AR607" s="486"/>
      <c r="AS607" s="460"/>
      <c r="AT607" s="486"/>
      <c r="AU607" s="460"/>
      <c r="AV607" s="640">
        <f t="shared" si="192"/>
        <v>0</v>
      </c>
      <c r="AW607" s="640">
        <f t="shared" si="193"/>
        <v>0</v>
      </c>
      <c r="AX607" s="641">
        <f t="shared" si="194"/>
        <v>0</v>
      </c>
      <c r="AY607" s="641">
        <f t="shared" si="195"/>
        <v>0</v>
      </c>
      <c r="AZ607" s="640">
        <f t="shared" si="196"/>
        <v>1991.4</v>
      </c>
      <c r="BA607" s="641">
        <f t="shared" si="197"/>
        <v>1876.9666666666667</v>
      </c>
    </row>
    <row r="608" spans="1:53" s="178" customFormat="1" ht="15" customHeight="1">
      <c r="A608" s="473" t="s">
        <v>619</v>
      </c>
      <c r="B608" s="464" t="s">
        <v>625</v>
      </c>
      <c r="C608" s="474"/>
      <c r="D608" s="466">
        <v>233949</v>
      </c>
      <c r="E608" s="466">
        <v>9</v>
      </c>
      <c r="F608" s="486"/>
      <c r="G608" s="460"/>
      <c r="H608" s="486"/>
      <c r="I608" s="460"/>
      <c r="J608" s="486">
        <v>44231</v>
      </c>
      <c r="K608" s="460">
        <v>42513</v>
      </c>
      <c r="L608" s="486">
        <v>10632</v>
      </c>
      <c r="M608" s="460">
        <v>10242</v>
      </c>
      <c r="N608" s="486">
        <v>48259</v>
      </c>
      <c r="O608" s="460">
        <v>46850</v>
      </c>
      <c r="P608" s="640">
        <f t="shared" si="180"/>
        <v>103122</v>
      </c>
      <c r="Q608" s="640">
        <f t="shared" si="181"/>
        <v>3437.4</v>
      </c>
      <c r="R608" s="641">
        <f t="shared" si="182"/>
        <v>99605</v>
      </c>
      <c r="S608" s="641">
        <f t="shared" si="183"/>
        <v>3320.1666666666665</v>
      </c>
      <c r="T608" s="486">
        <v>39688</v>
      </c>
      <c r="U608" s="460">
        <v>38241</v>
      </c>
      <c r="V608" s="640">
        <f t="shared" si="184"/>
        <v>103122</v>
      </c>
      <c r="W608" s="641">
        <f t="shared" si="185"/>
        <v>99605</v>
      </c>
      <c r="X608" s="486"/>
      <c r="Y608" s="460"/>
      <c r="Z608" s="486"/>
      <c r="AA608" s="460"/>
      <c r="AB608" s="486"/>
      <c r="AC608" s="460"/>
      <c r="AD608" s="486"/>
      <c r="AE608" s="460"/>
      <c r="AF608" s="640">
        <f t="shared" si="186"/>
        <v>0</v>
      </c>
      <c r="AG608" s="640">
        <f t="shared" si="187"/>
        <v>0</v>
      </c>
      <c r="AH608" s="641">
        <f t="shared" si="188"/>
        <v>0</v>
      </c>
      <c r="AI608" s="641">
        <f t="shared" si="189"/>
        <v>0</v>
      </c>
      <c r="AJ608" s="486"/>
      <c r="AK608" s="460"/>
      <c r="AL608" s="640">
        <f t="shared" si="190"/>
        <v>0</v>
      </c>
      <c r="AM608" s="641">
        <f t="shared" si="191"/>
        <v>0</v>
      </c>
      <c r="AN608" s="486"/>
      <c r="AO608" s="460"/>
      <c r="AP608" s="486"/>
      <c r="AQ608" s="460"/>
      <c r="AR608" s="486"/>
      <c r="AS608" s="460"/>
      <c r="AT608" s="486"/>
      <c r="AU608" s="460"/>
      <c r="AV608" s="640">
        <f t="shared" si="192"/>
        <v>0</v>
      </c>
      <c r="AW608" s="640">
        <f t="shared" si="193"/>
        <v>0</v>
      </c>
      <c r="AX608" s="641">
        <f t="shared" si="194"/>
        <v>0</v>
      </c>
      <c r="AY608" s="641">
        <f t="shared" si="195"/>
        <v>0</v>
      </c>
      <c r="AZ608" s="640">
        <f t="shared" si="196"/>
        <v>3437.4</v>
      </c>
      <c r="BA608" s="641">
        <f t="shared" si="197"/>
        <v>3320.1666666666665</v>
      </c>
    </row>
    <row r="609" spans="1:53" s="178" customFormat="1" ht="15" customHeight="1">
      <c r="A609" s="473" t="s">
        <v>619</v>
      </c>
      <c r="B609" s="642" t="s">
        <v>933</v>
      </c>
      <c r="C609" s="643" t="s">
        <v>934</v>
      </c>
      <c r="D609" s="466">
        <v>231873</v>
      </c>
      <c r="E609" s="466">
        <v>10</v>
      </c>
      <c r="F609" s="567"/>
      <c r="G609" s="459"/>
      <c r="H609" s="567"/>
      <c r="I609" s="459"/>
      <c r="J609" s="567">
        <v>7919</v>
      </c>
      <c r="K609" s="459">
        <v>8628</v>
      </c>
      <c r="L609" s="567">
        <v>1331</v>
      </c>
      <c r="M609" s="459">
        <v>1620</v>
      </c>
      <c r="N609" s="567">
        <v>9406</v>
      </c>
      <c r="O609" s="459">
        <v>9155</v>
      </c>
      <c r="P609" s="640">
        <f t="shared" si="180"/>
        <v>18656</v>
      </c>
      <c r="Q609" s="640">
        <f t="shared" si="181"/>
        <v>621.86666666666667</v>
      </c>
      <c r="R609" s="641">
        <f t="shared" si="182"/>
        <v>19403</v>
      </c>
      <c r="S609" s="641">
        <f t="shared" si="183"/>
        <v>646.76666666666665</v>
      </c>
      <c r="T609" s="567">
        <v>10447</v>
      </c>
      <c r="U609" s="459">
        <v>11990</v>
      </c>
      <c r="V609" s="640">
        <f t="shared" si="184"/>
        <v>18656</v>
      </c>
      <c r="W609" s="641">
        <f t="shared" si="185"/>
        <v>19403</v>
      </c>
      <c r="X609" s="567"/>
      <c r="Y609" s="459"/>
      <c r="Z609" s="567"/>
      <c r="AA609" s="459"/>
      <c r="AB609" s="567"/>
      <c r="AC609" s="459"/>
      <c r="AD609" s="567"/>
      <c r="AE609" s="459"/>
      <c r="AF609" s="640">
        <f t="shared" si="186"/>
        <v>0</v>
      </c>
      <c r="AG609" s="640">
        <f t="shared" si="187"/>
        <v>0</v>
      </c>
      <c r="AH609" s="641">
        <f t="shared" si="188"/>
        <v>0</v>
      </c>
      <c r="AI609" s="641">
        <f t="shared" si="189"/>
        <v>0</v>
      </c>
      <c r="AJ609" s="567"/>
      <c r="AK609" s="459"/>
      <c r="AL609" s="640">
        <f t="shared" si="190"/>
        <v>0</v>
      </c>
      <c r="AM609" s="641">
        <f t="shared" si="191"/>
        <v>0</v>
      </c>
      <c r="AN609" s="567"/>
      <c r="AO609" s="459"/>
      <c r="AP609" s="567"/>
      <c r="AQ609" s="459"/>
      <c r="AR609" s="567"/>
      <c r="AS609" s="459"/>
      <c r="AT609" s="567"/>
      <c r="AU609" s="459"/>
      <c r="AV609" s="640">
        <f t="shared" si="192"/>
        <v>0</v>
      </c>
      <c r="AW609" s="640">
        <f t="shared" si="193"/>
        <v>0</v>
      </c>
      <c r="AX609" s="641">
        <f t="shared" si="194"/>
        <v>0</v>
      </c>
      <c r="AY609" s="641">
        <f t="shared" si="195"/>
        <v>0</v>
      </c>
      <c r="AZ609" s="640">
        <f t="shared" si="196"/>
        <v>621.86666666666667</v>
      </c>
      <c r="BA609" s="641">
        <f t="shared" si="197"/>
        <v>646.76666666666665</v>
      </c>
    </row>
    <row r="610" spans="1:53" s="178" customFormat="1" ht="15" customHeight="1">
      <c r="A610" s="473" t="s">
        <v>619</v>
      </c>
      <c r="B610" s="464" t="s">
        <v>620</v>
      </c>
      <c r="C610" s="476"/>
      <c r="D610" s="466">
        <v>231882</v>
      </c>
      <c r="E610" s="466">
        <v>10</v>
      </c>
      <c r="F610" s="567"/>
      <c r="G610" s="459"/>
      <c r="H610" s="567"/>
      <c r="I610" s="459"/>
      <c r="J610" s="567">
        <v>21827</v>
      </c>
      <c r="K610" s="459">
        <v>18205</v>
      </c>
      <c r="L610" s="567">
        <v>5707</v>
      </c>
      <c r="M610" s="459">
        <v>5458</v>
      </c>
      <c r="N610" s="567">
        <v>21954</v>
      </c>
      <c r="O610" s="459">
        <v>20467</v>
      </c>
      <c r="P610" s="640">
        <f t="shared" si="180"/>
        <v>49488</v>
      </c>
      <c r="Q610" s="640">
        <f t="shared" si="181"/>
        <v>1649.6</v>
      </c>
      <c r="R610" s="641">
        <f t="shared" si="182"/>
        <v>44130</v>
      </c>
      <c r="S610" s="641">
        <f t="shared" si="183"/>
        <v>1471</v>
      </c>
      <c r="T610" s="567">
        <v>25445</v>
      </c>
      <c r="U610" s="459">
        <v>23579</v>
      </c>
      <c r="V610" s="640">
        <f t="shared" si="184"/>
        <v>49488</v>
      </c>
      <c r="W610" s="641">
        <f t="shared" si="185"/>
        <v>44130</v>
      </c>
      <c r="X610" s="567"/>
      <c r="Y610" s="459"/>
      <c r="Z610" s="567"/>
      <c r="AA610" s="459"/>
      <c r="AB610" s="567"/>
      <c r="AC610" s="459"/>
      <c r="AD610" s="567"/>
      <c r="AE610" s="459"/>
      <c r="AF610" s="640">
        <f t="shared" si="186"/>
        <v>0</v>
      </c>
      <c r="AG610" s="640">
        <f t="shared" si="187"/>
        <v>0</v>
      </c>
      <c r="AH610" s="641">
        <f t="shared" si="188"/>
        <v>0</v>
      </c>
      <c r="AI610" s="641">
        <f t="shared" si="189"/>
        <v>0</v>
      </c>
      <c r="AJ610" s="567"/>
      <c r="AK610" s="459"/>
      <c r="AL610" s="640">
        <f t="shared" si="190"/>
        <v>0</v>
      </c>
      <c r="AM610" s="641">
        <f t="shared" si="191"/>
        <v>0</v>
      </c>
      <c r="AN610" s="567"/>
      <c r="AO610" s="459"/>
      <c r="AP610" s="567"/>
      <c r="AQ610" s="459"/>
      <c r="AR610" s="567"/>
      <c r="AS610" s="459"/>
      <c r="AT610" s="567"/>
      <c r="AU610" s="459"/>
      <c r="AV610" s="640">
        <f t="shared" si="192"/>
        <v>0</v>
      </c>
      <c r="AW610" s="640">
        <f t="shared" si="193"/>
        <v>0</v>
      </c>
      <c r="AX610" s="641">
        <f t="shared" si="194"/>
        <v>0</v>
      </c>
      <c r="AY610" s="641">
        <f t="shared" si="195"/>
        <v>0</v>
      </c>
      <c r="AZ610" s="640">
        <f t="shared" si="196"/>
        <v>1649.6</v>
      </c>
      <c r="BA610" s="641">
        <f t="shared" si="197"/>
        <v>1471</v>
      </c>
    </row>
    <row r="611" spans="1:53" s="178" customFormat="1" ht="15" customHeight="1">
      <c r="A611" s="473" t="s">
        <v>619</v>
      </c>
      <c r="B611" s="464" t="s">
        <v>627</v>
      </c>
      <c r="C611" s="465"/>
      <c r="D611" s="466">
        <v>232052</v>
      </c>
      <c r="E611" s="466">
        <v>10</v>
      </c>
      <c r="F611" s="567"/>
      <c r="G611" s="459"/>
      <c r="H611" s="567"/>
      <c r="I611" s="459"/>
      <c r="J611" s="567">
        <v>5460</v>
      </c>
      <c r="K611" s="459">
        <v>5184</v>
      </c>
      <c r="L611" s="567">
        <v>783</v>
      </c>
      <c r="M611" s="459">
        <v>1023</v>
      </c>
      <c r="N611" s="567">
        <v>5939</v>
      </c>
      <c r="O611" s="459">
        <v>5517</v>
      </c>
      <c r="P611" s="640">
        <f t="shared" si="180"/>
        <v>12182</v>
      </c>
      <c r="Q611" s="640">
        <f t="shared" si="181"/>
        <v>406.06666666666666</v>
      </c>
      <c r="R611" s="641">
        <f t="shared" si="182"/>
        <v>11724</v>
      </c>
      <c r="S611" s="641">
        <f t="shared" si="183"/>
        <v>390.8</v>
      </c>
      <c r="T611" s="567">
        <v>6484</v>
      </c>
      <c r="U611" s="459">
        <v>6863</v>
      </c>
      <c r="V611" s="640">
        <f t="shared" si="184"/>
        <v>12182</v>
      </c>
      <c r="W611" s="641">
        <f t="shared" si="185"/>
        <v>11724</v>
      </c>
      <c r="X611" s="567"/>
      <c r="Y611" s="459"/>
      <c r="Z611" s="567"/>
      <c r="AA611" s="459"/>
      <c r="AB611" s="567"/>
      <c r="AC611" s="459"/>
      <c r="AD611" s="567"/>
      <c r="AE611" s="459"/>
      <c r="AF611" s="640">
        <f t="shared" si="186"/>
        <v>0</v>
      </c>
      <c r="AG611" s="640">
        <f t="shared" si="187"/>
        <v>0</v>
      </c>
      <c r="AH611" s="641">
        <f t="shared" si="188"/>
        <v>0</v>
      </c>
      <c r="AI611" s="641">
        <f t="shared" si="189"/>
        <v>0</v>
      </c>
      <c r="AJ611" s="567"/>
      <c r="AK611" s="459"/>
      <c r="AL611" s="640">
        <f t="shared" si="190"/>
        <v>0</v>
      </c>
      <c r="AM611" s="641">
        <f t="shared" si="191"/>
        <v>0</v>
      </c>
      <c r="AN611" s="567"/>
      <c r="AO611" s="459"/>
      <c r="AP611" s="567"/>
      <c r="AQ611" s="459"/>
      <c r="AR611" s="567"/>
      <c r="AS611" s="459"/>
      <c r="AT611" s="567"/>
      <c r="AU611" s="459"/>
      <c r="AV611" s="640">
        <f t="shared" si="192"/>
        <v>0</v>
      </c>
      <c r="AW611" s="640">
        <f t="shared" si="193"/>
        <v>0</v>
      </c>
      <c r="AX611" s="641">
        <f t="shared" si="194"/>
        <v>0</v>
      </c>
      <c r="AY611" s="641">
        <f t="shared" si="195"/>
        <v>0</v>
      </c>
      <c r="AZ611" s="640">
        <f t="shared" si="196"/>
        <v>406.06666666666666</v>
      </c>
      <c r="BA611" s="641">
        <f t="shared" si="197"/>
        <v>390.8</v>
      </c>
    </row>
    <row r="612" spans="1:53" s="178" customFormat="1" ht="12.75" customHeight="1">
      <c r="A612" s="473" t="s">
        <v>619</v>
      </c>
      <c r="B612" s="464" t="s">
        <v>628</v>
      </c>
      <c r="C612" s="475"/>
      <c r="D612" s="466">
        <v>232788</v>
      </c>
      <c r="E612" s="466">
        <v>10</v>
      </c>
      <c r="F612" s="567"/>
      <c r="G612" s="459"/>
      <c r="H612" s="567"/>
      <c r="I612" s="459"/>
      <c r="J612" s="567">
        <v>18368</v>
      </c>
      <c r="K612" s="459">
        <v>18242</v>
      </c>
      <c r="L612" s="567">
        <v>5334</v>
      </c>
      <c r="M612" s="459">
        <v>5776</v>
      </c>
      <c r="N612" s="567">
        <v>21535</v>
      </c>
      <c r="O612" s="459">
        <v>19667</v>
      </c>
      <c r="P612" s="640">
        <f t="shared" si="180"/>
        <v>45237</v>
      </c>
      <c r="Q612" s="640">
        <f t="shared" si="181"/>
        <v>1507.9</v>
      </c>
      <c r="R612" s="641">
        <f t="shared" si="182"/>
        <v>43685</v>
      </c>
      <c r="S612" s="641">
        <f t="shared" si="183"/>
        <v>1456.1666666666667</v>
      </c>
      <c r="T612" s="567">
        <v>24553</v>
      </c>
      <c r="U612" s="459">
        <v>24556</v>
      </c>
      <c r="V612" s="640">
        <f t="shared" si="184"/>
        <v>45237</v>
      </c>
      <c r="W612" s="641">
        <f t="shared" si="185"/>
        <v>43685</v>
      </c>
      <c r="X612" s="567"/>
      <c r="Y612" s="459"/>
      <c r="Z612" s="567"/>
      <c r="AA612" s="459"/>
      <c r="AB612" s="567"/>
      <c r="AC612" s="459"/>
      <c r="AD612" s="567"/>
      <c r="AE612" s="459"/>
      <c r="AF612" s="640">
        <f t="shared" si="186"/>
        <v>0</v>
      </c>
      <c r="AG612" s="640">
        <f t="shared" si="187"/>
        <v>0</v>
      </c>
      <c r="AH612" s="641">
        <f t="shared" si="188"/>
        <v>0</v>
      </c>
      <c r="AI612" s="641">
        <f t="shared" si="189"/>
        <v>0</v>
      </c>
      <c r="AJ612" s="567"/>
      <c r="AK612" s="459"/>
      <c r="AL612" s="640">
        <f t="shared" si="190"/>
        <v>0</v>
      </c>
      <c r="AM612" s="641">
        <f t="shared" si="191"/>
        <v>0</v>
      </c>
      <c r="AN612" s="567"/>
      <c r="AO612" s="459"/>
      <c r="AP612" s="567"/>
      <c r="AQ612" s="459"/>
      <c r="AR612" s="567"/>
      <c r="AS612" s="459"/>
      <c r="AT612" s="567"/>
      <c r="AU612" s="459"/>
      <c r="AV612" s="640">
        <f t="shared" si="192"/>
        <v>0</v>
      </c>
      <c r="AW612" s="640">
        <f t="shared" si="193"/>
        <v>0</v>
      </c>
      <c r="AX612" s="641">
        <f t="shared" si="194"/>
        <v>0</v>
      </c>
      <c r="AY612" s="641">
        <f t="shared" si="195"/>
        <v>0</v>
      </c>
      <c r="AZ612" s="640">
        <f t="shared" si="196"/>
        <v>1507.9</v>
      </c>
      <c r="BA612" s="641">
        <f t="shared" si="197"/>
        <v>1456.1666666666667</v>
      </c>
    </row>
    <row r="613" spans="1:53" s="178" customFormat="1" ht="12.75" customHeight="1">
      <c r="A613" s="473" t="s">
        <v>619</v>
      </c>
      <c r="B613" s="642" t="s">
        <v>935</v>
      </c>
      <c r="C613" s="643" t="s">
        <v>936</v>
      </c>
      <c r="D613" s="466">
        <v>233019</v>
      </c>
      <c r="E613" s="466">
        <v>10</v>
      </c>
      <c r="F613" s="567"/>
      <c r="G613" s="459"/>
      <c r="H613" s="567"/>
      <c r="I613" s="459"/>
      <c r="J613" s="567">
        <v>19699</v>
      </c>
      <c r="K613" s="459">
        <v>18130</v>
      </c>
      <c r="L613" s="567">
        <v>4288</v>
      </c>
      <c r="M613" s="459">
        <v>3750</v>
      </c>
      <c r="N613" s="567">
        <v>22098</v>
      </c>
      <c r="O613" s="459">
        <v>20657</v>
      </c>
      <c r="P613" s="640">
        <f t="shared" si="180"/>
        <v>46085</v>
      </c>
      <c r="Q613" s="640">
        <f t="shared" si="181"/>
        <v>1536.1666666666667</v>
      </c>
      <c r="R613" s="641">
        <f t="shared" si="182"/>
        <v>42537</v>
      </c>
      <c r="S613" s="641">
        <f t="shared" si="183"/>
        <v>1417.9</v>
      </c>
      <c r="T613" s="567">
        <v>22866</v>
      </c>
      <c r="U613" s="459">
        <v>20128</v>
      </c>
      <c r="V613" s="640">
        <f t="shared" si="184"/>
        <v>46085</v>
      </c>
      <c r="W613" s="641">
        <f t="shared" si="185"/>
        <v>42537</v>
      </c>
      <c r="X613" s="567"/>
      <c r="Y613" s="459"/>
      <c r="Z613" s="567"/>
      <c r="AA613" s="459"/>
      <c r="AB613" s="567"/>
      <c r="AC613" s="459"/>
      <c r="AD613" s="567"/>
      <c r="AE613" s="459"/>
      <c r="AF613" s="640">
        <f t="shared" si="186"/>
        <v>0</v>
      </c>
      <c r="AG613" s="640">
        <f t="shared" si="187"/>
        <v>0</v>
      </c>
      <c r="AH613" s="641">
        <f t="shared" si="188"/>
        <v>0</v>
      </c>
      <c r="AI613" s="641">
        <f t="shared" si="189"/>
        <v>0</v>
      </c>
      <c r="AJ613" s="567"/>
      <c r="AK613" s="459"/>
      <c r="AL613" s="640">
        <f t="shared" si="190"/>
        <v>0</v>
      </c>
      <c r="AM613" s="641">
        <f t="shared" si="191"/>
        <v>0</v>
      </c>
      <c r="AN613" s="567"/>
      <c r="AO613" s="459"/>
      <c r="AP613" s="567"/>
      <c r="AQ613" s="459"/>
      <c r="AR613" s="567"/>
      <c r="AS613" s="459"/>
      <c r="AT613" s="567"/>
      <c r="AU613" s="459"/>
      <c r="AV613" s="640">
        <f t="shared" si="192"/>
        <v>0</v>
      </c>
      <c r="AW613" s="640">
        <f t="shared" si="193"/>
        <v>0</v>
      </c>
      <c r="AX613" s="641">
        <f t="shared" si="194"/>
        <v>0</v>
      </c>
      <c r="AY613" s="641">
        <f t="shared" si="195"/>
        <v>0</v>
      </c>
      <c r="AZ613" s="640">
        <f t="shared" si="196"/>
        <v>1536.1666666666667</v>
      </c>
      <c r="BA613" s="641">
        <f t="shared" si="197"/>
        <v>1417.9</v>
      </c>
    </row>
    <row r="614" spans="1:53" s="178" customFormat="1" ht="12.75" customHeight="1">
      <c r="A614" s="473" t="s">
        <v>619</v>
      </c>
      <c r="B614" s="464" t="s">
        <v>629</v>
      </c>
      <c r="C614" s="465"/>
      <c r="D614" s="466">
        <v>233037</v>
      </c>
      <c r="E614" s="466">
        <v>10</v>
      </c>
      <c r="F614" s="567"/>
      <c r="G614" s="459"/>
      <c r="H614" s="567"/>
      <c r="I614" s="459"/>
      <c r="J614" s="567">
        <v>10120</v>
      </c>
      <c r="K614" s="459">
        <v>9521</v>
      </c>
      <c r="L614" s="567">
        <v>2808</v>
      </c>
      <c r="M614" s="459">
        <v>2700</v>
      </c>
      <c r="N614" s="567">
        <v>10008</v>
      </c>
      <c r="O614" s="459">
        <v>9826</v>
      </c>
      <c r="P614" s="640">
        <f t="shared" si="180"/>
        <v>22936</v>
      </c>
      <c r="Q614" s="640">
        <f t="shared" si="181"/>
        <v>764.5333333333333</v>
      </c>
      <c r="R614" s="641">
        <f t="shared" si="182"/>
        <v>22047</v>
      </c>
      <c r="S614" s="641">
        <f t="shared" si="183"/>
        <v>734.9</v>
      </c>
      <c r="T614" s="567">
        <v>16213</v>
      </c>
      <c r="U614" s="459">
        <v>15918</v>
      </c>
      <c r="V614" s="640">
        <f t="shared" si="184"/>
        <v>22936</v>
      </c>
      <c r="W614" s="641">
        <f t="shared" si="185"/>
        <v>22047</v>
      </c>
      <c r="X614" s="567"/>
      <c r="Y614" s="459"/>
      <c r="Z614" s="567"/>
      <c r="AA614" s="459"/>
      <c r="AB614" s="567"/>
      <c r="AC614" s="459"/>
      <c r="AD614" s="567"/>
      <c r="AE614" s="459"/>
      <c r="AF614" s="640">
        <f t="shared" si="186"/>
        <v>0</v>
      </c>
      <c r="AG614" s="640">
        <f t="shared" si="187"/>
        <v>0</v>
      </c>
      <c r="AH614" s="641">
        <f t="shared" si="188"/>
        <v>0</v>
      </c>
      <c r="AI614" s="641">
        <f t="shared" si="189"/>
        <v>0</v>
      </c>
      <c r="AJ614" s="567"/>
      <c r="AK614" s="459"/>
      <c r="AL614" s="640">
        <f t="shared" si="190"/>
        <v>0</v>
      </c>
      <c r="AM614" s="641">
        <f t="shared" si="191"/>
        <v>0</v>
      </c>
      <c r="AN614" s="567"/>
      <c r="AO614" s="459"/>
      <c r="AP614" s="567"/>
      <c r="AQ614" s="459"/>
      <c r="AR614" s="567"/>
      <c r="AS614" s="459"/>
      <c r="AT614" s="567"/>
      <c r="AU614" s="459"/>
      <c r="AV614" s="640">
        <f t="shared" si="192"/>
        <v>0</v>
      </c>
      <c r="AW614" s="640">
        <f t="shared" si="193"/>
        <v>0</v>
      </c>
      <c r="AX614" s="641">
        <f t="shared" si="194"/>
        <v>0</v>
      </c>
      <c r="AY614" s="641">
        <f t="shared" si="195"/>
        <v>0</v>
      </c>
      <c r="AZ614" s="640">
        <f t="shared" si="196"/>
        <v>764.5333333333333</v>
      </c>
      <c r="BA614" s="641">
        <f t="shared" si="197"/>
        <v>734.9</v>
      </c>
    </row>
    <row r="615" spans="1:53" s="178" customFormat="1" ht="12.75" customHeight="1">
      <c r="A615" s="473" t="s">
        <v>619</v>
      </c>
      <c r="B615" s="464" t="s">
        <v>630</v>
      </c>
      <c r="C615" s="465"/>
      <c r="D615" s="466">
        <v>233310</v>
      </c>
      <c r="E615" s="466">
        <v>10</v>
      </c>
      <c r="F615" s="567"/>
      <c r="G615" s="459"/>
      <c r="H615" s="567"/>
      <c r="I615" s="459"/>
      <c r="J615" s="567">
        <v>20326</v>
      </c>
      <c r="K615" s="459">
        <v>17985</v>
      </c>
      <c r="L615" s="567">
        <v>5351</v>
      </c>
      <c r="M615" s="459">
        <v>5601</v>
      </c>
      <c r="N615" s="567">
        <v>22233</v>
      </c>
      <c r="O615" s="459">
        <v>21610</v>
      </c>
      <c r="P615" s="640">
        <f t="shared" si="180"/>
        <v>47910</v>
      </c>
      <c r="Q615" s="640">
        <f t="shared" si="181"/>
        <v>1597</v>
      </c>
      <c r="R615" s="641">
        <f t="shared" si="182"/>
        <v>45196</v>
      </c>
      <c r="S615" s="641">
        <f t="shared" si="183"/>
        <v>1506.5333333333333</v>
      </c>
      <c r="T615" s="567">
        <v>39608</v>
      </c>
      <c r="U615" s="459">
        <v>39114</v>
      </c>
      <c r="V615" s="640">
        <f t="shared" si="184"/>
        <v>47910</v>
      </c>
      <c r="W615" s="641">
        <f t="shared" si="185"/>
        <v>45196</v>
      </c>
      <c r="X615" s="567"/>
      <c r="Y615" s="459"/>
      <c r="Z615" s="567"/>
      <c r="AA615" s="459"/>
      <c r="AB615" s="567"/>
      <c r="AC615" s="459"/>
      <c r="AD615" s="567"/>
      <c r="AE615" s="459"/>
      <c r="AF615" s="640">
        <f t="shared" si="186"/>
        <v>0</v>
      </c>
      <c r="AG615" s="640">
        <f t="shared" si="187"/>
        <v>0</v>
      </c>
      <c r="AH615" s="641">
        <f t="shared" si="188"/>
        <v>0</v>
      </c>
      <c r="AI615" s="641">
        <f t="shared" si="189"/>
        <v>0</v>
      </c>
      <c r="AJ615" s="567"/>
      <c r="AK615" s="459"/>
      <c r="AL615" s="640">
        <f t="shared" si="190"/>
        <v>0</v>
      </c>
      <c r="AM615" s="641">
        <f t="shared" si="191"/>
        <v>0</v>
      </c>
      <c r="AN615" s="567"/>
      <c r="AO615" s="459"/>
      <c r="AP615" s="567"/>
      <c r="AQ615" s="459"/>
      <c r="AR615" s="567"/>
      <c r="AS615" s="459"/>
      <c r="AT615" s="567"/>
      <c r="AU615" s="459"/>
      <c r="AV615" s="640">
        <f t="shared" si="192"/>
        <v>0</v>
      </c>
      <c r="AW615" s="640">
        <f t="shared" si="193"/>
        <v>0</v>
      </c>
      <c r="AX615" s="641">
        <f t="shared" si="194"/>
        <v>0</v>
      </c>
      <c r="AY615" s="641">
        <f t="shared" si="195"/>
        <v>0</v>
      </c>
      <c r="AZ615" s="640">
        <f t="shared" si="196"/>
        <v>1597</v>
      </c>
      <c r="BA615" s="641">
        <f t="shared" si="197"/>
        <v>1506.5333333333333</v>
      </c>
    </row>
    <row r="616" spans="1:53" s="1" customFormat="1">
      <c r="A616" s="473" t="s">
        <v>619</v>
      </c>
      <c r="B616" s="478" t="s">
        <v>631</v>
      </c>
      <c r="C616" s="465"/>
      <c r="D616" s="466">
        <v>233338</v>
      </c>
      <c r="E616" s="466">
        <v>10</v>
      </c>
      <c r="F616" s="567"/>
      <c r="G616" s="459"/>
      <c r="H616" s="567"/>
      <c r="I616" s="459"/>
      <c r="J616" s="567">
        <v>16391</v>
      </c>
      <c r="K616" s="459">
        <v>13244</v>
      </c>
      <c r="L616" s="567">
        <v>1221</v>
      </c>
      <c r="M616" s="459">
        <v>1215</v>
      </c>
      <c r="N616" s="567">
        <v>19236</v>
      </c>
      <c r="O616" s="459">
        <v>18087</v>
      </c>
      <c r="P616" s="640">
        <f t="shared" si="180"/>
        <v>36848</v>
      </c>
      <c r="Q616" s="640">
        <f t="shared" si="181"/>
        <v>1228.2666666666667</v>
      </c>
      <c r="R616" s="641">
        <f t="shared" si="182"/>
        <v>32546</v>
      </c>
      <c r="S616" s="641">
        <f t="shared" si="183"/>
        <v>1084.8666666666666</v>
      </c>
      <c r="T616" s="567">
        <v>25605</v>
      </c>
      <c r="U616" s="459">
        <v>25516</v>
      </c>
      <c r="V616" s="640">
        <f t="shared" si="184"/>
        <v>36848</v>
      </c>
      <c r="W616" s="641">
        <f t="shared" si="185"/>
        <v>32546</v>
      </c>
      <c r="X616" s="567"/>
      <c r="Y616" s="459"/>
      <c r="Z616" s="567"/>
      <c r="AA616" s="459"/>
      <c r="AB616" s="567"/>
      <c r="AC616" s="459"/>
      <c r="AD616" s="567"/>
      <c r="AE616" s="459"/>
      <c r="AF616" s="640">
        <f t="shared" si="186"/>
        <v>0</v>
      </c>
      <c r="AG616" s="640">
        <f t="shared" si="187"/>
        <v>0</v>
      </c>
      <c r="AH616" s="641">
        <f t="shared" si="188"/>
        <v>0</v>
      </c>
      <c r="AI616" s="641">
        <f t="shared" si="189"/>
        <v>0</v>
      </c>
      <c r="AJ616" s="567"/>
      <c r="AK616" s="459"/>
      <c r="AL616" s="640">
        <f t="shared" si="190"/>
        <v>0</v>
      </c>
      <c r="AM616" s="641">
        <f t="shared" si="191"/>
        <v>0</v>
      </c>
      <c r="AN616" s="567"/>
      <c r="AO616" s="459"/>
      <c r="AP616" s="567"/>
      <c r="AQ616" s="459"/>
      <c r="AR616" s="567"/>
      <c r="AS616" s="459"/>
      <c r="AT616" s="567"/>
      <c r="AU616" s="459"/>
      <c r="AV616" s="640">
        <f t="shared" si="192"/>
        <v>0</v>
      </c>
      <c r="AW616" s="640">
        <f t="shared" si="193"/>
        <v>0</v>
      </c>
      <c r="AX616" s="641">
        <f t="shared" si="194"/>
        <v>0</v>
      </c>
      <c r="AY616" s="641">
        <f t="shared" si="195"/>
        <v>0</v>
      </c>
      <c r="AZ616" s="640">
        <f t="shared" si="196"/>
        <v>1228.2666666666667</v>
      </c>
      <c r="BA616" s="641">
        <f t="shared" si="197"/>
        <v>1084.8666666666666</v>
      </c>
    </row>
    <row r="617" spans="1:53" s="178" customFormat="1" ht="12.75" customHeight="1">
      <c r="A617" s="473" t="s">
        <v>619</v>
      </c>
      <c r="B617" s="464" t="s">
        <v>632</v>
      </c>
      <c r="C617" s="475"/>
      <c r="D617" s="466">
        <v>233648</v>
      </c>
      <c r="E617" s="466">
        <v>10</v>
      </c>
      <c r="F617" s="567"/>
      <c r="G617" s="459"/>
      <c r="H617" s="567"/>
      <c r="I617" s="459"/>
      <c r="J617" s="567">
        <v>20190</v>
      </c>
      <c r="K617" s="459">
        <v>20560</v>
      </c>
      <c r="L617" s="567">
        <v>6103</v>
      </c>
      <c r="M617" s="459">
        <v>6221</v>
      </c>
      <c r="N617" s="567">
        <v>22421</v>
      </c>
      <c r="O617" s="459">
        <v>21465</v>
      </c>
      <c r="P617" s="640">
        <f t="shared" si="180"/>
        <v>48714</v>
      </c>
      <c r="Q617" s="640">
        <f t="shared" si="181"/>
        <v>1623.8</v>
      </c>
      <c r="R617" s="641">
        <f t="shared" si="182"/>
        <v>48246</v>
      </c>
      <c r="S617" s="641">
        <f t="shared" si="183"/>
        <v>1608.2</v>
      </c>
      <c r="T617" s="567">
        <v>17697</v>
      </c>
      <c r="U617" s="459">
        <v>15734</v>
      </c>
      <c r="V617" s="640">
        <f t="shared" si="184"/>
        <v>48714</v>
      </c>
      <c r="W617" s="641">
        <f t="shared" si="185"/>
        <v>48246</v>
      </c>
      <c r="X617" s="567"/>
      <c r="Y617" s="459"/>
      <c r="Z617" s="567"/>
      <c r="AA617" s="459"/>
      <c r="AB617" s="567"/>
      <c r="AC617" s="459"/>
      <c r="AD617" s="567"/>
      <c r="AE617" s="459"/>
      <c r="AF617" s="640">
        <f t="shared" si="186"/>
        <v>0</v>
      </c>
      <c r="AG617" s="640">
        <f t="shared" si="187"/>
        <v>0</v>
      </c>
      <c r="AH617" s="641">
        <f t="shared" si="188"/>
        <v>0</v>
      </c>
      <c r="AI617" s="641">
        <f t="shared" si="189"/>
        <v>0</v>
      </c>
      <c r="AJ617" s="567"/>
      <c r="AK617" s="459"/>
      <c r="AL617" s="640">
        <f t="shared" si="190"/>
        <v>0</v>
      </c>
      <c r="AM617" s="641">
        <f t="shared" si="191"/>
        <v>0</v>
      </c>
      <c r="AN617" s="567"/>
      <c r="AO617" s="459"/>
      <c r="AP617" s="567"/>
      <c r="AQ617" s="459"/>
      <c r="AR617" s="567"/>
      <c r="AS617" s="459"/>
      <c r="AT617" s="567"/>
      <c r="AU617" s="459"/>
      <c r="AV617" s="640">
        <f t="shared" si="192"/>
        <v>0</v>
      </c>
      <c r="AW617" s="640">
        <f t="shared" si="193"/>
        <v>0</v>
      </c>
      <c r="AX617" s="641">
        <f t="shared" si="194"/>
        <v>0</v>
      </c>
      <c r="AY617" s="641">
        <f t="shared" si="195"/>
        <v>0</v>
      </c>
      <c r="AZ617" s="640">
        <f t="shared" si="196"/>
        <v>1623.8</v>
      </c>
      <c r="BA617" s="641">
        <f t="shared" si="197"/>
        <v>1608.2</v>
      </c>
    </row>
    <row r="618" spans="1:53" s="178" customFormat="1" ht="12.75" customHeight="1">
      <c r="A618" s="473" t="s">
        <v>619</v>
      </c>
      <c r="B618" s="464" t="s">
        <v>633</v>
      </c>
      <c r="C618" s="465"/>
      <c r="D618" s="466">
        <v>233903</v>
      </c>
      <c r="E618" s="466">
        <v>10</v>
      </c>
      <c r="F618" s="567"/>
      <c r="G618" s="459"/>
      <c r="H618" s="567"/>
      <c r="I618" s="459"/>
      <c r="J618" s="567">
        <v>18506</v>
      </c>
      <c r="K618" s="459">
        <v>17616</v>
      </c>
      <c r="L618" s="567">
        <v>3777</v>
      </c>
      <c r="M618" s="459">
        <v>4328</v>
      </c>
      <c r="N618" s="567">
        <v>19702</v>
      </c>
      <c r="O618" s="459">
        <v>22831</v>
      </c>
      <c r="P618" s="640">
        <f t="shared" si="180"/>
        <v>41985</v>
      </c>
      <c r="Q618" s="640">
        <f t="shared" si="181"/>
        <v>1399.5</v>
      </c>
      <c r="R618" s="641">
        <f t="shared" si="182"/>
        <v>44775</v>
      </c>
      <c r="S618" s="641">
        <f t="shared" si="183"/>
        <v>1492.5</v>
      </c>
      <c r="T618" s="567">
        <v>18509</v>
      </c>
      <c r="U618" s="459">
        <v>19249</v>
      </c>
      <c r="V618" s="640">
        <f t="shared" si="184"/>
        <v>41985</v>
      </c>
      <c r="W618" s="641">
        <f t="shared" si="185"/>
        <v>44775</v>
      </c>
      <c r="X618" s="567"/>
      <c r="Y618" s="459"/>
      <c r="Z618" s="567"/>
      <c r="AA618" s="459"/>
      <c r="AB618" s="567"/>
      <c r="AC618" s="459"/>
      <c r="AD618" s="567"/>
      <c r="AE618" s="459"/>
      <c r="AF618" s="640">
        <f t="shared" si="186"/>
        <v>0</v>
      </c>
      <c r="AG618" s="640">
        <f t="shared" si="187"/>
        <v>0</v>
      </c>
      <c r="AH618" s="641">
        <f t="shared" si="188"/>
        <v>0</v>
      </c>
      <c r="AI618" s="641">
        <f t="shared" si="189"/>
        <v>0</v>
      </c>
      <c r="AJ618" s="567"/>
      <c r="AK618" s="459"/>
      <c r="AL618" s="640">
        <f t="shared" si="190"/>
        <v>0</v>
      </c>
      <c r="AM618" s="641">
        <f t="shared" si="191"/>
        <v>0</v>
      </c>
      <c r="AN618" s="567"/>
      <c r="AO618" s="459"/>
      <c r="AP618" s="567"/>
      <c r="AQ618" s="459"/>
      <c r="AR618" s="567"/>
      <c r="AS618" s="459"/>
      <c r="AT618" s="567"/>
      <c r="AU618" s="459"/>
      <c r="AV618" s="640">
        <f t="shared" si="192"/>
        <v>0</v>
      </c>
      <c r="AW618" s="640">
        <f t="shared" si="193"/>
        <v>0</v>
      </c>
      <c r="AX618" s="641">
        <f t="shared" si="194"/>
        <v>0</v>
      </c>
      <c r="AY618" s="641">
        <f t="shared" si="195"/>
        <v>0</v>
      </c>
      <c r="AZ618" s="640">
        <f t="shared" si="196"/>
        <v>1399.5</v>
      </c>
      <c r="BA618" s="641">
        <f t="shared" si="197"/>
        <v>1492.5</v>
      </c>
    </row>
    <row r="619" spans="1:53" s="178" customFormat="1" ht="12.75" customHeight="1">
      <c r="A619" s="473" t="s">
        <v>619</v>
      </c>
      <c r="B619" s="464" t="s">
        <v>626</v>
      </c>
      <c r="C619" s="476"/>
      <c r="D619" s="466">
        <v>234377</v>
      </c>
      <c r="E619" s="466">
        <v>10</v>
      </c>
      <c r="F619" s="567"/>
      <c r="G619" s="459"/>
      <c r="H619" s="567"/>
      <c r="I619" s="459"/>
      <c r="J619" s="567">
        <v>19675</v>
      </c>
      <c r="K619" s="459">
        <v>18006.5</v>
      </c>
      <c r="L619" s="567">
        <v>4281</v>
      </c>
      <c r="M619" s="459">
        <v>5002</v>
      </c>
      <c r="N619" s="567">
        <v>20131</v>
      </c>
      <c r="O619" s="459">
        <v>18543</v>
      </c>
      <c r="P619" s="640">
        <f t="shared" si="180"/>
        <v>44087</v>
      </c>
      <c r="Q619" s="640">
        <f t="shared" si="181"/>
        <v>1469.5666666666666</v>
      </c>
      <c r="R619" s="641">
        <f t="shared" si="182"/>
        <v>41551.5</v>
      </c>
      <c r="S619" s="641">
        <f t="shared" si="183"/>
        <v>1385.05</v>
      </c>
      <c r="T619" s="567">
        <v>25010</v>
      </c>
      <c r="U619" s="459">
        <v>22970</v>
      </c>
      <c r="V619" s="640">
        <f t="shared" si="184"/>
        <v>44087</v>
      </c>
      <c r="W619" s="641">
        <f t="shared" si="185"/>
        <v>41551.5</v>
      </c>
      <c r="X619" s="567"/>
      <c r="Y619" s="459"/>
      <c r="Z619" s="567"/>
      <c r="AA619" s="459"/>
      <c r="AB619" s="567"/>
      <c r="AC619" s="459"/>
      <c r="AD619" s="567"/>
      <c r="AE619" s="459"/>
      <c r="AF619" s="640">
        <f t="shared" si="186"/>
        <v>0</v>
      </c>
      <c r="AG619" s="640">
        <f t="shared" si="187"/>
        <v>0</v>
      </c>
      <c r="AH619" s="641">
        <f t="shared" si="188"/>
        <v>0</v>
      </c>
      <c r="AI619" s="641">
        <f t="shared" si="189"/>
        <v>0</v>
      </c>
      <c r="AJ619" s="567"/>
      <c r="AK619" s="459"/>
      <c r="AL619" s="640">
        <f t="shared" si="190"/>
        <v>0</v>
      </c>
      <c r="AM619" s="641">
        <f t="shared" si="191"/>
        <v>0</v>
      </c>
      <c r="AN619" s="567"/>
      <c r="AO619" s="459"/>
      <c r="AP619" s="567"/>
      <c r="AQ619" s="459"/>
      <c r="AR619" s="567"/>
      <c r="AS619" s="459"/>
      <c r="AT619" s="567"/>
      <c r="AU619" s="459"/>
      <c r="AV619" s="640">
        <f t="shared" si="192"/>
        <v>0</v>
      </c>
      <c r="AW619" s="640">
        <f t="shared" si="193"/>
        <v>0</v>
      </c>
      <c r="AX619" s="641">
        <f t="shared" si="194"/>
        <v>0</v>
      </c>
      <c r="AY619" s="641">
        <f t="shared" si="195"/>
        <v>0</v>
      </c>
      <c r="AZ619" s="640">
        <f t="shared" si="196"/>
        <v>1469.5666666666666</v>
      </c>
      <c r="BA619" s="641">
        <f t="shared" si="197"/>
        <v>1385.05</v>
      </c>
    </row>
    <row r="620" spans="1:53" s="178" customFormat="1" ht="12.75" customHeight="1">
      <c r="A620" s="473" t="s">
        <v>619</v>
      </c>
      <c r="B620" s="342" t="s">
        <v>634</v>
      </c>
      <c r="C620" s="479"/>
      <c r="D620" s="466" t="s">
        <v>635</v>
      </c>
      <c r="E620" s="5">
        <v>11</v>
      </c>
      <c r="F620" s="567"/>
      <c r="G620" s="459"/>
      <c r="H620" s="567"/>
      <c r="I620" s="459"/>
      <c r="J620" s="567">
        <v>1187696</v>
      </c>
      <c r="K620" s="459">
        <v>1117060.5</v>
      </c>
      <c r="L620" s="567">
        <v>353284</v>
      </c>
      <c r="M620" s="459">
        <v>399344</v>
      </c>
      <c r="N620" s="567">
        <v>1272996</v>
      </c>
      <c r="O620" s="459">
        <v>1195923</v>
      </c>
      <c r="P620" s="640">
        <f t="shared" si="180"/>
        <v>2813976</v>
      </c>
      <c r="Q620" s="640">
        <f t="shared" si="181"/>
        <v>93799.2</v>
      </c>
      <c r="R620" s="641">
        <f t="shared" si="182"/>
        <v>2712327.5</v>
      </c>
      <c r="S620" s="641">
        <f t="shared" si="183"/>
        <v>90410.916666666672</v>
      </c>
      <c r="T620" s="567">
        <v>918047</v>
      </c>
      <c r="U620" s="459">
        <f>SUM(U617:U619,U596:U615)</f>
        <v>918214</v>
      </c>
      <c r="V620" s="640">
        <f t="shared" si="184"/>
        <v>2813976</v>
      </c>
      <c r="W620" s="641">
        <f t="shared" si="185"/>
        <v>2712327.5</v>
      </c>
      <c r="X620" s="567"/>
      <c r="Y620" s="459"/>
      <c r="Z620" s="567"/>
      <c r="AA620" s="459"/>
      <c r="AB620" s="567"/>
      <c r="AC620" s="459"/>
      <c r="AD620" s="567"/>
      <c r="AE620" s="459"/>
      <c r="AF620" s="640">
        <f t="shared" si="186"/>
        <v>0</v>
      </c>
      <c r="AG620" s="640">
        <f t="shared" si="187"/>
        <v>0</v>
      </c>
      <c r="AH620" s="641">
        <f t="shared" si="188"/>
        <v>0</v>
      </c>
      <c r="AI620" s="641">
        <f t="shared" si="189"/>
        <v>0</v>
      </c>
      <c r="AJ620" s="567"/>
      <c r="AK620" s="459"/>
      <c r="AL620" s="640">
        <f t="shared" si="190"/>
        <v>0</v>
      </c>
      <c r="AM620" s="641">
        <f t="shared" si="191"/>
        <v>0</v>
      </c>
      <c r="AN620" s="567"/>
      <c r="AO620" s="459"/>
      <c r="AP620" s="567"/>
      <c r="AQ620" s="459"/>
      <c r="AR620" s="567"/>
      <c r="AS620" s="459"/>
      <c r="AT620" s="567"/>
      <c r="AU620" s="459"/>
      <c r="AV620" s="640">
        <f t="shared" si="192"/>
        <v>0</v>
      </c>
      <c r="AW620" s="640">
        <f t="shared" si="193"/>
        <v>0</v>
      </c>
      <c r="AX620" s="641">
        <f t="shared" si="194"/>
        <v>0</v>
      </c>
      <c r="AY620" s="641">
        <f t="shared" si="195"/>
        <v>0</v>
      </c>
      <c r="AZ620" s="640">
        <f t="shared" si="196"/>
        <v>93799.2</v>
      </c>
      <c r="BA620" s="641">
        <f t="shared" si="197"/>
        <v>90410.916666666672</v>
      </c>
    </row>
    <row r="621" spans="1:53" s="178" customFormat="1" ht="12.6" customHeight="1">
      <c r="A621" s="473" t="s">
        <v>619</v>
      </c>
      <c r="B621" s="480"/>
      <c r="C621" s="481"/>
      <c r="D621" s="466"/>
      <c r="E621" s="5" t="s">
        <v>614</v>
      </c>
      <c r="F621" s="567"/>
      <c r="G621" s="459"/>
      <c r="H621" s="567"/>
      <c r="I621" s="459"/>
      <c r="J621" s="567">
        <v>724916</v>
      </c>
      <c r="K621" s="459">
        <v>681558</v>
      </c>
      <c r="L621" s="567">
        <v>239739</v>
      </c>
      <c r="M621" s="459">
        <v>276723</v>
      </c>
      <c r="N621" s="567">
        <v>767105</v>
      </c>
      <c r="O621" s="459">
        <v>710873</v>
      </c>
      <c r="P621" s="640">
        <f t="shared" si="180"/>
        <v>1731760</v>
      </c>
      <c r="Q621" s="640">
        <f t="shared" si="181"/>
        <v>57725.333333333336</v>
      </c>
      <c r="R621" s="641">
        <f t="shared" si="182"/>
        <v>1669154</v>
      </c>
      <c r="S621" s="641">
        <f t="shared" si="183"/>
        <v>55638.466666666667</v>
      </c>
      <c r="T621" s="567">
        <v>381149</v>
      </c>
      <c r="U621" s="459">
        <f>SUM(U596:U600)</f>
        <v>396258</v>
      </c>
      <c r="V621" s="640">
        <f t="shared" si="184"/>
        <v>1731760</v>
      </c>
      <c r="W621" s="641">
        <f t="shared" si="185"/>
        <v>1669154</v>
      </c>
      <c r="X621" s="567"/>
      <c r="Y621" s="459"/>
      <c r="Z621" s="567"/>
      <c r="AA621" s="459"/>
      <c r="AB621" s="567"/>
      <c r="AC621" s="459"/>
      <c r="AD621" s="567"/>
      <c r="AE621" s="459"/>
      <c r="AF621" s="640">
        <f t="shared" si="186"/>
        <v>0</v>
      </c>
      <c r="AG621" s="640">
        <f t="shared" si="187"/>
        <v>0</v>
      </c>
      <c r="AH621" s="641">
        <f t="shared" si="188"/>
        <v>0</v>
      </c>
      <c r="AI621" s="641">
        <f t="shared" si="189"/>
        <v>0</v>
      </c>
      <c r="AJ621" s="567"/>
      <c r="AK621" s="459"/>
      <c r="AL621" s="640">
        <f t="shared" si="190"/>
        <v>0</v>
      </c>
      <c r="AM621" s="641">
        <f t="shared" si="191"/>
        <v>0</v>
      </c>
      <c r="AN621" s="567"/>
      <c r="AO621" s="459"/>
      <c r="AP621" s="567"/>
      <c r="AQ621" s="459"/>
      <c r="AR621" s="567"/>
      <c r="AS621" s="459"/>
      <c r="AT621" s="567"/>
      <c r="AU621" s="459"/>
      <c r="AV621" s="640">
        <f t="shared" si="192"/>
        <v>0</v>
      </c>
      <c r="AW621" s="640">
        <f t="shared" si="193"/>
        <v>0</v>
      </c>
      <c r="AX621" s="641">
        <f t="shared" si="194"/>
        <v>0</v>
      </c>
      <c r="AY621" s="641">
        <f t="shared" si="195"/>
        <v>0</v>
      </c>
      <c r="AZ621" s="640">
        <f t="shared" si="196"/>
        <v>57725.333333333336</v>
      </c>
      <c r="BA621" s="641">
        <f t="shared" si="197"/>
        <v>55638.466666666667</v>
      </c>
    </row>
    <row r="622" spans="1:53" s="178" customFormat="1" ht="12.6" customHeight="1">
      <c r="A622" s="473" t="s">
        <v>619</v>
      </c>
      <c r="B622" s="482"/>
      <c r="C622" s="483"/>
      <c r="D622" s="466"/>
      <c r="E622" s="5" t="s">
        <v>615</v>
      </c>
      <c r="F622" s="567"/>
      <c r="G622" s="459"/>
      <c r="H622" s="567"/>
      <c r="I622" s="459"/>
      <c r="J622" s="567">
        <v>300690</v>
      </c>
      <c r="K622" s="459">
        <v>283425</v>
      </c>
      <c r="L622" s="567">
        <v>73782</v>
      </c>
      <c r="M622" s="459">
        <v>81142</v>
      </c>
      <c r="N622" s="567">
        <v>330464</v>
      </c>
      <c r="O622" s="459">
        <v>315312</v>
      </c>
      <c r="P622" s="640">
        <f t="shared" si="180"/>
        <v>704936</v>
      </c>
      <c r="Q622" s="640">
        <f t="shared" si="181"/>
        <v>23497.866666666665</v>
      </c>
      <c r="R622" s="641">
        <f t="shared" si="182"/>
        <v>679879</v>
      </c>
      <c r="S622" s="641">
        <f t="shared" si="183"/>
        <v>22662.633333333335</v>
      </c>
      <c r="T622" s="567">
        <v>330066</v>
      </c>
      <c r="U622" s="459">
        <f>SUM(U601:U608)</f>
        <v>321855</v>
      </c>
      <c r="V622" s="640">
        <f t="shared" si="184"/>
        <v>704936</v>
      </c>
      <c r="W622" s="641">
        <f t="shared" si="185"/>
        <v>679879</v>
      </c>
      <c r="X622" s="567"/>
      <c r="Y622" s="459"/>
      <c r="Z622" s="567"/>
      <c r="AA622" s="459"/>
      <c r="AB622" s="567"/>
      <c r="AC622" s="459"/>
      <c r="AD622" s="567"/>
      <c r="AE622" s="459"/>
      <c r="AF622" s="640">
        <f t="shared" si="186"/>
        <v>0</v>
      </c>
      <c r="AG622" s="640">
        <f t="shared" si="187"/>
        <v>0</v>
      </c>
      <c r="AH622" s="641">
        <f t="shared" si="188"/>
        <v>0</v>
      </c>
      <c r="AI622" s="641">
        <f t="shared" si="189"/>
        <v>0</v>
      </c>
      <c r="AJ622" s="567"/>
      <c r="AK622" s="459"/>
      <c r="AL622" s="640">
        <f t="shared" si="190"/>
        <v>0</v>
      </c>
      <c r="AM622" s="641">
        <f t="shared" si="191"/>
        <v>0</v>
      </c>
      <c r="AN622" s="567"/>
      <c r="AO622" s="459"/>
      <c r="AP622" s="567"/>
      <c r="AQ622" s="459"/>
      <c r="AR622" s="567"/>
      <c r="AS622" s="459"/>
      <c r="AT622" s="567"/>
      <c r="AU622" s="459"/>
      <c r="AV622" s="640">
        <f t="shared" si="192"/>
        <v>0</v>
      </c>
      <c r="AW622" s="640">
        <f t="shared" si="193"/>
        <v>0</v>
      </c>
      <c r="AX622" s="641">
        <f t="shared" si="194"/>
        <v>0</v>
      </c>
      <c r="AY622" s="641">
        <f t="shared" si="195"/>
        <v>0</v>
      </c>
      <c r="AZ622" s="640">
        <f t="shared" si="196"/>
        <v>23497.866666666665</v>
      </c>
      <c r="BA622" s="641">
        <f t="shared" si="197"/>
        <v>22662.633333333335</v>
      </c>
    </row>
    <row r="623" spans="1:53" s="178" customFormat="1" ht="12.6" customHeight="1">
      <c r="A623" s="473" t="s">
        <v>619</v>
      </c>
      <c r="B623" s="342" t="s">
        <v>636</v>
      </c>
      <c r="C623" s="478"/>
      <c r="D623" s="466" t="s">
        <v>794</v>
      </c>
      <c r="E623" s="5" t="s">
        <v>616</v>
      </c>
      <c r="F623" s="567"/>
      <c r="G623" s="459"/>
      <c r="H623" s="567"/>
      <c r="I623" s="459"/>
      <c r="J623" s="567">
        <v>16391</v>
      </c>
      <c r="K623" s="459">
        <v>13244</v>
      </c>
      <c r="L623" s="567">
        <v>1221</v>
      </c>
      <c r="M623" s="459">
        <v>1215</v>
      </c>
      <c r="N623" s="567">
        <v>19236</v>
      </c>
      <c r="O623" s="459">
        <v>18087</v>
      </c>
      <c r="P623" s="640">
        <f t="shared" si="180"/>
        <v>36848</v>
      </c>
      <c r="Q623" s="640">
        <f t="shared" si="181"/>
        <v>1228.2666666666667</v>
      </c>
      <c r="R623" s="641">
        <f t="shared" si="182"/>
        <v>32546</v>
      </c>
      <c r="S623" s="641">
        <f t="shared" si="183"/>
        <v>1084.8666666666666</v>
      </c>
      <c r="T623" s="567">
        <v>25605</v>
      </c>
      <c r="U623" s="459">
        <f>U616</f>
        <v>25516</v>
      </c>
      <c r="V623" s="640">
        <f t="shared" si="184"/>
        <v>36848</v>
      </c>
      <c r="W623" s="641">
        <f t="shared" si="185"/>
        <v>32546</v>
      </c>
      <c r="X623" s="567"/>
      <c r="Y623" s="459"/>
      <c r="Z623" s="567"/>
      <c r="AA623" s="459"/>
      <c r="AB623" s="567"/>
      <c r="AC623" s="459"/>
      <c r="AD623" s="567"/>
      <c r="AE623" s="459"/>
      <c r="AF623" s="640">
        <f t="shared" si="186"/>
        <v>0</v>
      </c>
      <c r="AG623" s="640">
        <f t="shared" si="187"/>
        <v>0</v>
      </c>
      <c r="AH623" s="641">
        <f t="shared" si="188"/>
        <v>0</v>
      </c>
      <c r="AI623" s="641">
        <f t="shared" si="189"/>
        <v>0</v>
      </c>
      <c r="AJ623" s="567"/>
      <c r="AK623" s="459"/>
      <c r="AL623" s="640">
        <f t="shared" si="190"/>
        <v>0</v>
      </c>
      <c r="AM623" s="641">
        <f t="shared" si="191"/>
        <v>0</v>
      </c>
      <c r="AN623" s="567"/>
      <c r="AO623" s="459"/>
      <c r="AP623" s="567"/>
      <c r="AQ623" s="459"/>
      <c r="AR623" s="567"/>
      <c r="AS623" s="459"/>
      <c r="AT623" s="567"/>
      <c r="AU623" s="459"/>
      <c r="AV623" s="640">
        <f t="shared" si="192"/>
        <v>0</v>
      </c>
      <c r="AW623" s="640">
        <f t="shared" si="193"/>
        <v>0</v>
      </c>
      <c r="AX623" s="641">
        <f t="shared" si="194"/>
        <v>0</v>
      </c>
      <c r="AY623" s="641">
        <f t="shared" si="195"/>
        <v>0</v>
      </c>
      <c r="AZ623" s="640">
        <f t="shared" si="196"/>
        <v>1228.2666666666667</v>
      </c>
      <c r="BA623" s="641">
        <f t="shared" si="197"/>
        <v>1084.8666666666666</v>
      </c>
    </row>
    <row r="624" spans="1:53" s="178" customFormat="1" ht="12.6" customHeight="1">
      <c r="A624" s="473" t="s">
        <v>619</v>
      </c>
      <c r="B624" s="484"/>
      <c r="C624" s="485"/>
      <c r="D624" s="466"/>
      <c r="E624" s="5" t="s">
        <v>616</v>
      </c>
      <c r="F624" s="567"/>
      <c r="G624" s="459"/>
      <c r="H624" s="567"/>
      <c r="I624" s="459"/>
      <c r="J624" s="567">
        <v>162090</v>
      </c>
      <c r="K624" s="459">
        <v>152077.5</v>
      </c>
      <c r="L624" s="567">
        <v>39763</v>
      </c>
      <c r="M624" s="459">
        <v>41479</v>
      </c>
      <c r="N624" s="567">
        <v>175427</v>
      </c>
      <c r="O624" s="459">
        <v>169738</v>
      </c>
      <c r="P624" s="640">
        <f t="shared" si="180"/>
        <v>377280</v>
      </c>
      <c r="Q624" s="640">
        <f t="shared" si="181"/>
        <v>12576</v>
      </c>
      <c r="R624" s="641">
        <f t="shared" si="182"/>
        <v>363294.5</v>
      </c>
      <c r="S624" s="641">
        <f t="shared" si="183"/>
        <v>12109.816666666668</v>
      </c>
      <c r="T624" s="567">
        <v>206832</v>
      </c>
      <c r="U624" s="459">
        <f>SUM(U617:U619,U609:U615)</f>
        <v>200101</v>
      </c>
      <c r="V624" s="640">
        <f t="shared" si="184"/>
        <v>377280</v>
      </c>
      <c r="W624" s="641">
        <f t="shared" si="185"/>
        <v>363294.5</v>
      </c>
      <c r="X624" s="567"/>
      <c r="Y624" s="459"/>
      <c r="Z624" s="567"/>
      <c r="AA624" s="459"/>
      <c r="AB624" s="567"/>
      <c r="AC624" s="459"/>
      <c r="AD624" s="567"/>
      <c r="AE624" s="459"/>
      <c r="AF624" s="640">
        <f t="shared" si="186"/>
        <v>0</v>
      </c>
      <c r="AG624" s="640">
        <f t="shared" si="187"/>
        <v>0</v>
      </c>
      <c r="AH624" s="641">
        <f t="shared" si="188"/>
        <v>0</v>
      </c>
      <c r="AI624" s="641">
        <f t="shared" si="189"/>
        <v>0</v>
      </c>
      <c r="AJ624" s="567"/>
      <c r="AK624" s="459"/>
      <c r="AL624" s="640">
        <f t="shared" si="190"/>
        <v>0</v>
      </c>
      <c r="AM624" s="641">
        <f t="shared" si="191"/>
        <v>0</v>
      </c>
      <c r="AN624" s="567"/>
      <c r="AO624" s="459"/>
      <c r="AP624" s="567"/>
      <c r="AQ624" s="459"/>
      <c r="AR624" s="567"/>
      <c r="AS624" s="459"/>
      <c r="AT624" s="567"/>
      <c r="AU624" s="459"/>
      <c r="AV624" s="640">
        <f t="shared" si="192"/>
        <v>0</v>
      </c>
      <c r="AW624" s="640">
        <f t="shared" si="193"/>
        <v>0</v>
      </c>
      <c r="AX624" s="641">
        <f t="shared" si="194"/>
        <v>0</v>
      </c>
      <c r="AY624" s="641">
        <f t="shared" si="195"/>
        <v>0</v>
      </c>
      <c r="AZ624" s="640">
        <f t="shared" si="196"/>
        <v>12576</v>
      </c>
      <c r="BA624" s="641">
        <f t="shared" si="197"/>
        <v>12109.816666666668</v>
      </c>
    </row>
    <row r="625" spans="1:53" s="365" customFormat="1" ht="15.6" customHeight="1">
      <c r="A625" s="436" t="s">
        <v>410</v>
      </c>
      <c r="B625" s="454" t="s">
        <v>411</v>
      </c>
      <c r="C625" s="455"/>
      <c r="D625" s="629">
        <v>238032</v>
      </c>
      <c r="E625" s="538">
        <v>1</v>
      </c>
      <c r="F625" s="495" t="s">
        <v>74</v>
      </c>
      <c r="G625" s="496" t="s">
        <v>74</v>
      </c>
      <c r="H625" s="528"/>
      <c r="I625" s="496"/>
      <c r="J625" s="528">
        <v>271478</v>
      </c>
      <c r="K625" s="496">
        <v>256934</v>
      </c>
      <c r="L625" s="528">
        <v>37080</v>
      </c>
      <c r="M625" s="496">
        <v>31748</v>
      </c>
      <c r="N625" s="528">
        <v>287589</v>
      </c>
      <c r="O625" s="496">
        <v>273263</v>
      </c>
      <c r="P625" s="640">
        <f t="shared" si="180"/>
        <v>596147</v>
      </c>
      <c r="Q625" s="640">
        <f t="shared" si="181"/>
        <v>19871.566666666666</v>
      </c>
      <c r="R625" s="641">
        <f t="shared" si="182"/>
        <v>561945</v>
      </c>
      <c r="S625" s="641">
        <f t="shared" si="183"/>
        <v>18731.5</v>
      </c>
      <c r="T625" s="528">
        <v>6214</v>
      </c>
      <c r="U625" s="496">
        <v>5820</v>
      </c>
      <c r="V625" s="640">
        <f t="shared" si="184"/>
        <v>596147</v>
      </c>
      <c r="W625" s="641">
        <f t="shared" si="185"/>
        <v>561945</v>
      </c>
      <c r="X625" s="528"/>
      <c r="Y625" s="496"/>
      <c r="Z625" s="528"/>
      <c r="AA625" s="496"/>
      <c r="AB625" s="528"/>
      <c r="AC625" s="496"/>
      <c r="AD625" s="528"/>
      <c r="AE625" s="496"/>
      <c r="AF625" s="640">
        <f t="shared" si="186"/>
        <v>0</v>
      </c>
      <c r="AG625" s="640">
        <f t="shared" si="187"/>
        <v>0</v>
      </c>
      <c r="AH625" s="641">
        <f t="shared" si="188"/>
        <v>0</v>
      </c>
      <c r="AI625" s="641">
        <f t="shared" si="189"/>
        <v>0</v>
      </c>
      <c r="AJ625" s="528"/>
      <c r="AK625" s="496"/>
      <c r="AL625" s="640">
        <f t="shared" si="190"/>
        <v>0</v>
      </c>
      <c r="AM625" s="641">
        <f t="shared" si="191"/>
        <v>0</v>
      </c>
      <c r="AN625" s="528"/>
      <c r="AO625" s="496"/>
      <c r="AP625" s="528">
        <v>38737</v>
      </c>
      <c r="AQ625" s="496">
        <v>39269</v>
      </c>
      <c r="AR625" s="528">
        <v>11941</v>
      </c>
      <c r="AS625" s="496">
        <v>12459</v>
      </c>
      <c r="AT625" s="528">
        <v>40479</v>
      </c>
      <c r="AU625" s="496">
        <v>40737</v>
      </c>
      <c r="AV625" s="640">
        <f t="shared" si="192"/>
        <v>91157</v>
      </c>
      <c r="AW625" s="640">
        <f t="shared" si="193"/>
        <v>3798.2083333333335</v>
      </c>
      <c r="AX625" s="641">
        <f t="shared" si="194"/>
        <v>92465</v>
      </c>
      <c r="AY625" s="641">
        <f t="shared" si="195"/>
        <v>3852.7083333333335</v>
      </c>
      <c r="AZ625" s="640">
        <f t="shared" si="196"/>
        <v>23669.774999999998</v>
      </c>
      <c r="BA625" s="641">
        <f t="shared" si="197"/>
        <v>22584.208333333332</v>
      </c>
    </row>
    <row r="626" spans="1:53" s="365" customFormat="1" ht="15" customHeight="1">
      <c r="A626" s="436" t="s">
        <v>410</v>
      </c>
      <c r="B626" s="454" t="s">
        <v>412</v>
      </c>
      <c r="C626" s="455"/>
      <c r="D626" s="629">
        <v>237525</v>
      </c>
      <c r="E626" s="538">
        <v>3</v>
      </c>
      <c r="F626" s="495" t="s">
        <v>74</v>
      </c>
      <c r="G626" s="496" t="s">
        <v>74</v>
      </c>
      <c r="H626" s="528"/>
      <c r="I626" s="496"/>
      <c r="J626" s="528">
        <v>108351</v>
      </c>
      <c r="K626" s="496">
        <v>101682</v>
      </c>
      <c r="L626" s="528">
        <v>11380</v>
      </c>
      <c r="M626" s="496">
        <v>10564</v>
      </c>
      <c r="N626" s="528">
        <v>116225</v>
      </c>
      <c r="O626" s="496">
        <v>107138</v>
      </c>
      <c r="P626" s="640">
        <f t="shared" si="180"/>
        <v>235956</v>
      </c>
      <c r="Q626" s="640">
        <f t="shared" si="181"/>
        <v>7865.2</v>
      </c>
      <c r="R626" s="641">
        <f t="shared" si="182"/>
        <v>219384</v>
      </c>
      <c r="S626" s="641">
        <f t="shared" si="183"/>
        <v>7312.8</v>
      </c>
      <c r="T626" s="528">
        <v>12750</v>
      </c>
      <c r="U626" s="496">
        <v>8077</v>
      </c>
      <c r="V626" s="640">
        <f t="shared" si="184"/>
        <v>235956</v>
      </c>
      <c r="W626" s="641">
        <f t="shared" si="185"/>
        <v>219384</v>
      </c>
      <c r="X626" s="528"/>
      <c r="Y626" s="496"/>
      <c r="Z626" s="528"/>
      <c r="AA626" s="496"/>
      <c r="AB626" s="528"/>
      <c r="AC626" s="496"/>
      <c r="AD626" s="528"/>
      <c r="AE626" s="496"/>
      <c r="AF626" s="640">
        <f t="shared" si="186"/>
        <v>0</v>
      </c>
      <c r="AG626" s="640">
        <f t="shared" si="187"/>
        <v>0</v>
      </c>
      <c r="AH626" s="641">
        <f t="shared" si="188"/>
        <v>0</v>
      </c>
      <c r="AI626" s="641">
        <f t="shared" si="189"/>
        <v>0</v>
      </c>
      <c r="AJ626" s="528"/>
      <c r="AK626" s="496"/>
      <c r="AL626" s="640">
        <f t="shared" si="190"/>
        <v>0</v>
      </c>
      <c r="AM626" s="641">
        <f t="shared" si="191"/>
        <v>0</v>
      </c>
      <c r="AN626" s="528"/>
      <c r="AO626" s="496"/>
      <c r="AP626" s="528">
        <v>26812</v>
      </c>
      <c r="AQ626" s="496">
        <v>26074</v>
      </c>
      <c r="AR626" s="528">
        <v>11737</v>
      </c>
      <c r="AS626" s="496">
        <v>12620</v>
      </c>
      <c r="AT626" s="528">
        <v>25073</v>
      </c>
      <c r="AU626" s="496">
        <v>24214</v>
      </c>
      <c r="AV626" s="640">
        <f t="shared" si="192"/>
        <v>63622</v>
      </c>
      <c r="AW626" s="640">
        <f t="shared" si="193"/>
        <v>2650.9166666666665</v>
      </c>
      <c r="AX626" s="641">
        <f t="shared" si="194"/>
        <v>62908</v>
      </c>
      <c r="AY626" s="641">
        <f t="shared" si="195"/>
        <v>2621.1666666666665</v>
      </c>
      <c r="AZ626" s="640">
        <f t="shared" si="196"/>
        <v>10516.116666666667</v>
      </c>
      <c r="BA626" s="641">
        <f t="shared" si="197"/>
        <v>9933.9666666666672</v>
      </c>
    </row>
    <row r="627" spans="1:53" s="365" customFormat="1" ht="15.6" customHeight="1">
      <c r="A627" s="436" t="s">
        <v>410</v>
      </c>
      <c r="B627" s="454" t="s">
        <v>415</v>
      </c>
      <c r="C627" s="612"/>
      <c r="D627" s="629">
        <v>237330</v>
      </c>
      <c r="E627" s="538">
        <v>5</v>
      </c>
      <c r="F627" s="495" t="s">
        <v>74</v>
      </c>
      <c r="G627" s="496" t="s">
        <v>74</v>
      </c>
      <c r="H627" s="528"/>
      <c r="I627" s="496"/>
      <c r="J627" s="528">
        <v>19692</v>
      </c>
      <c r="K627" s="496">
        <v>18749</v>
      </c>
      <c r="L627" s="528">
        <v>2052</v>
      </c>
      <c r="M627" s="496">
        <v>2059</v>
      </c>
      <c r="N627" s="528">
        <v>21668</v>
      </c>
      <c r="O627" s="496">
        <v>20286</v>
      </c>
      <c r="P627" s="640">
        <f t="shared" si="180"/>
        <v>43412</v>
      </c>
      <c r="Q627" s="640">
        <f t="shared" si="181"/>
        <v>1447.0666666666666</v>
      </c>
      <c r="R627" s="641">
        <f t="shared" si="182"/>
        <v>41094</v>
      </c>
      <c r="S627" s="641">
        <f t="shared" si="183"/>
        <v>1369.8</v>
      </c>
      <c r="T627" s="528">
        <v>244</v>
      </c>
      <c r="U627" s="496">
        <v>240</v>
      </c>
      <c r="V627" s="640">
        <f t="shared" si="184"/>
        <v>43412</v>
      </c>
      <c r="W627" s="641">
        <f t="shared" si="185"/>
        <v>41094</v>
      </c>
      <c r="X627" s="528"/>
      <c r="Y627" s="496"/>
      <c r="Z627" s="528"/>
      <c r="AA627" s="496"/>
      <c r="AB627" s="528"/>
      <c r="AC627" s="496"/>
      <c r="AD627" s="528"/>
      <c r="AE627" s="496"/>
      <c r="AF627" s="640">
        <f t="shared" si="186"/>
        <v>0</v>
      </c>
      <c r="AG627" s="640">
        <f t="shared" si="187"/>
        <v>0</v>
      </c>
      <c r="AH627" s="641">
        <f t="shared" si="188"/>
        <v>0</v>
      </c>
      <c r="AI627" s="641">
        <f t="shared" si="189"/>
        <v>0</v>
      </c>
      <c r="AJ627" s="528"/>
      <c r="AK627" s="496"/>
      <c r="AL627" s="640">
        <f t="shared" si="190"/>
        <v>0</v>
      </c>
      <c r="AM627" s="641">
        <f t="shared" si="191"/>
        <v>0</v>
      </c>
      <c r="AN627" s="528"/>
      <c r="AO627" s="496"/>
      <c r="AP627" s="528">
        <v>2183</v>
      </c>
      <c r="AQ627" s="496">
        <v>2443</v>
      </c>
      <c r="AR627" s="528">
        <v>2181</v>
      </c>
      <c r="AS627" s="496">
        <v>2652</v>
      </c>
      <c r="AT627" s="528">
        <v>2203</v>
      </c>
      <c r="AU627" s="496">
        <v>2445</v>
      </c>
      <c r="AV627" s="640">
        <f t="shared" si="192"/>
        <v>6567</v>
      </c>
      <c r="AW627" s="640">
        <f t="shared" si="193"/>
        <v>273.625</v>
      </c>
      <c r="AX627" s="641">
        <f t="shared" si="194"/>
        <v>7540</v>
      </c>
      <c r="AY627" s="641">
        <f t="shared" si="195"/>
        <v>314.16666666666669</v>
      </c>
      <c r="AZ627" s="640">
        <f t="shared" si="196"/>
        <v>1720.6916666666666</v>
      </c>
      <c r="BA627" s="641">
        <f t="shared" si="197"/>
        <v>1683.9666666666667</v>
      </c>
    </row>
    <row r="628" spans="1:53" s="365" customFormat="1" ht="15" customHeight="1">
      <c r="A628" s="436" t="s">
        <v>410</v>
      </c>
      <c r="B628" s="454" t="s">
        <v>413</v>
      </c>
      <c r="C628" s="437" t="s">
        <v>898</v>
      </c>
      <c r="D628" s="629">
        <v>237367</v>
      </c>
      <c r="E628" s="538">
        <v>5</v>
      </c>
      <c r="F628" s="495" t="s">
        <v>74</v>
      </c>
      <c r="G628" s="496" t="s">
        <v>74</v>
      </c>
      <c r="H628" s="528"/>
      <c r="I628" s="496"/>
      <c r="J628" s="528">
        <v>42507</v>
      </c>
      <c r="K628" s="496">
        <v>40432</v>
      </c>
      <c r="L628" s="528">
        <v>3997</v>
      </c>
      <c r="M628" s="496">
        <v>3695</v>
      </c>
      <c r="N628" s="528">
        <v>48023</v>
      </c>
      <c r="O628" s="496">
        <v>42058</v>
      </c>
      <c r="P628" s="640">
        <f t="shared" si="180"/>
        <v>94527</v>
      </c>
      <c r="Q628" s="640">
        <f t="shared" si="181"/>
        <v>3150.9</v>
      </c>
      <c r="R628" s="641">
        <f t="shared" si="182"/>
        <v>86185</v>
      </c>
      <c r="S628" s="641">
        <f t="shared" si="183"/>
        <v>2872.8333333333335</v>
      </c>
      <c r="T628" s="528">
        <v>1632</v>
      </c>
      <c r="U628" s="496">
        <v>2127</v>
      </c>
      <c r="V628" s="640">
        <f t="shared" si="184"/>
        <v>94527</v>
      </c>
      <c r="W628" s="641">
        <f t="shared" si="185"/>
        <v>86185</v>
      </c>
      <c r="X628" s="528"/>
      <c r="Y628" s="496"/>
      <c r="Z628" s="528"/>
      <c r="AA628" s="496"/>
      <c r="AB628" s="528"/>
      <c r="AC628" s="496"/>
      <c r="AD628" s="528"/>
      <c r="AE628" s="496"/>
      <c r="AF628" s="640">
        <f t="shared" si="186"/>
        <v>0</v>
      </c>
      <c r="AG628" s="640">
        <f t="shared" si="187"/>
        <v>0</v>
      </c>
      <c r="AH628" s="641">
        <f t="shared" si="188"/>
        <v>0</v>
      </c>
      <c r="AI628" s="641">
        <f t="shared" si="189"/>
        <v>0</v>
      </c>
      <c r="AJ628" s="528"/>
      <c r="AK628" s="496"/>
      <c r="AL628" s="640">
        <f t="shared" si="190"/>
        <v>0</v>
      </c>
      <c r="AM628" s="641">
        <f t="shared" si="191"/>
        <v>0</v>
      </c>
      <c r="AN628" s="528"/>
      <c r="AO628" s="496"/>
      <c r="AP628" s="528">
        <v>1568</v>
      </c>
      <c r="AQ628" s="496">
        <v>1716</v>
      </c>
      <c r="AR628" s="528">
        <v>686</v>
      </c>
      <c r="AS628" s="496">
        <v>906</v>
      </c>
      <c r="AT628" s="528">
        <v>1894</v>
      </c>
      <c r="AU628" s="496">
        <v>2017</v>
      </c>
      <c r="AV628" s="640">
        <f t="shared" si="192"/>
        <v>4148</v>
      </c>
      <c r="AW628" s="640">
        <f t="shared" si="193"/>
        <v>172.83333333333334</v>
      </c>
      <c r="AX628" s="641">
        <f t="shared" si="194"/>
        <v>4639</v>
      </c>
      <c r="AY628" s="641">
        <f t="shared" si="195"/>
        <v>193.29166666666666</v>
      </c>
      <c r="AZ628" s="640">
        <f t="shared" si="196"/>
        <v>3323.7333333333336</v>
      </c>
      <c r="BA628" s="641">
        <f t="shared" si="197"/>
        <v>3066.125</v>
      </c>
    </row>
    <row r="629" spans="1:53" s="1" customFormat="1">
      <c r="A629" s="436" t="s">
        <v>410</v>
      </c>
      <c r="B629" s="454" t="s">
        <v>414</v>
      </c>
      <c r="C629" s="455"/>
      <c r="D629" s="629">
        <v>237792</v>
      </c>
      <c r="E629" s="538">
        <v>5</v>
      </c>
      <c r="F629" s="495" t="s">
        <v>74</v>
      </c>
      <c r="G629" s="496" t="s">
        <v>74</v>
      </c>
      <c r="H629" s="528"/>
      <c r="I629" s="496"/>
      <c r="J629" s="528">
        <v>35331.5</v>
      </c>
      <c r="K629" s="496">
        <v>32420.5</v>
      </c>
      <c r="L629" s="528">
        <v>3458</v>
      </c>
      <c r="M629" s="496">
        <v>3340</v>
      </c>
      <c r="N629" s="528">
        <v>36641.5</v>
      </c>
      <c r="O629" s="496">
        <v>32813</v>
      </c>
      <c r="P629" s="640">
        <f t="shared" si="180"/>
        <v>75431</v>
      </c>
      <c r="Q629" s="640">
        <f t="shared" si="181"/>
        <v>2514.3666666666668</v>
      </c>
      <c r="R629" s="641">
        <f t="shared" si="182"/>
        <v>68573.5</v>
      </c>
      <c r="S629" s="641">
        <f t="shared" si="183"/>
        <v>2285.7833333333333</v>
      </c>
      <c r="T629" s="528">
        <v>1998</v>
      </c>
      <c r="U629" s="496">
        <v>1662</v>
      </c>
      <c r="V629" s="640">
        <f t="shared" si="184"/>
        <v>75431</v>
      </c>
      <c r="W629" s="641">
        <f t="shared" si="185"/>
        <v>68573.5</v>
      </c>
      <c r="X629" s="528"/>
      <c r="Y629" s="496"/>
      <c r="Z629" s="528"/>
      <c r="AA629" s="496"/>
      <c r="AB629" s="528"/>
      <c r="AC629" s="496"/>
      <c r="AD629" s="528"/>
      <c r="AE629" s="496"/>
      <c r="AF629" s="640">
        <f t="shared" si="186"/>
        <v>0</v>
      </c>
      <c r="AG629" s="640">
        <f t="shared" si="187"/>
        <v>0</v>
      </c>
      <c r="AH629" s="641">
        <f t="shared" si="188"/>
        <v>0</v>
      </c>
      <c r="AI629" s="641">
        <f t="shared" si="189"/>
        <v>0</v>
      </c>
      <c r="AJ629" s="528"/>
      <c r="AK629" s="496"/>
      <c r="AL629" s="640">
        <f t="shared" si="190"/>
        <v>0</v>
      </c>
      <c r="AM629" s="641">
        <f t="shared" si="191"/>
        <v>0</v>
      </c>
      <c r="AN629" s="528"/>
      <c r="AO629" s="496"/>
      <c r="AP629" s="528">
        <v>3316</v>
      </c>
      <c r="AQ629" s="496">
        <v>5443</v>
      </c>
      <c r="AR629" s="528">
        <v>4609</v>
      </c>
      <c r="AS629" s="496">
        <v>6868</v>
      </c>
      <c r="AT629" s="528">
        <v>3403</v>
      </c>
      <c r="AU629" s="496">
        <v>4585</v>
      </c>
      <c r="AV629" s="640">
        <f t="shared" si="192"/>
        <v>11328</v>
      </c>
      <c r="AW629" s="640">
        <f t="shared" si="193"/>
        <v>472</v>
      </c>
      <c r="AX629" s="641">
        <f t="shared" si="194"/>
        <v>16896</v>
      </c>
      <c r="AY629" s="641">
        <f t="shared" si="195"/>
        <v>704</v>
      </c>
      <c r="AZ629" s="640">
        <f t="shared" si="196"/>
        <v>2986.3666666666668</v>
      </c>
      <c r="BA629" s="641">
        <f t="shared" si="197"/>
        <v>2989.7833333333333</v>
      </c>
    </row>
    <row r="630" spans="1:53" s="365" customFormat="1" ht="15" customHeight="1">
      <c r="A630" s="576" t="s">
        <v>410</v>
      </c>
      <c r="B630" s="582" t="s">
        <v>416</v>
      </c>
      <c r="C630" s="576" t="s">
        <v>899</v>
      </c>
      <c r="D630" s="630">
        <v>237932</v>
      </c>
      <c r="E630" s="581">
        <v>4</v>
      </c>
      <c r="F630" s="495" t="s">
        <v>74</v>
      </c>
      <c r="G630" s="496" t="s">
        <v>74</v>
      </c>
      <c r="H630" s="528"/>
      <c r="I630" s="496"/>
      <c r="J630" s="528">
        <v>27859</v>
      </c>
      <c r="K630" s="496">
        <v>25776</v>
      </c>
      <c r="L630" s="528">
        <v>1976</v>
      </c>
      <c r="M630" s="496">
        <v>1594</v>
      </c>
      <c r="N630" s="528">
        <v>30114</v>
      </c>
      <c r="O630" s="496">
        <v>27263</v>
      </c>
      <c r="P630" s="640">
        <f t="shared" si="180"/>
        <v>59949</v>
      </c>
      <c r="Q630" s="640">
        <f t="shared" si="181"/>
        <v>1998.3</v>
      </c>
      <c r="R630" s="641">
        <f t="shared" si="182"/>
        <v>54633</v>
      </c>
      <c r="S630" s="641">
        <f t="shared" si="183"/>
        <v>1821.1</v>
      </c>
      <c r="T630" s="528">
        <v>1822</v>
      </c>
      <c r="U630" s="496">
        <v>1659</v>
      </c>
      <c r="V630" s="640">
        <f t="shared" si="184"/>
        <v>59949</v>
      </c>
      <c r="W630" s="641">
        <f t="shared" si="185"/>
        <v>54633</v>
      </c>
      <c r="X630" s="528"/>
      <c r="Y630" s="496"/>
      <c r="Z630" s="528"/>
      <c r="AA630" s="496"/>
      <c r="AB630" s="528"/>
      <c r="AC630" s="496"/>
      <c r="AD630" s="528"/>
      <c r="AE630" s="496"/>
      <c r="AF630" s="640">
        <f t="shared" si="186"/>
        <v>0</v>
      </c>
      <c r="AG630" s="640">
        <f t="shared" si="187"/>
        <v>0</v>
      </c>
      <c r="AH630" s="641">
        <f t="shared" si="188"/>
        <v>0</v>
      </c>
      <c r="AI630" s="641">
        <f t="shared" si="189"/>
        <v>0</v>
      </c>
      <c r="AJ630" s="528"/>
      <c r="AK630" s="496"/>
      <c r="AL630" s="640">
        <f t="shared" si="190"/>
        <v>0</v>
      </c>
      <c r="AM630" s="641">
        <f t="shared" si="191"/>
        <v>0</v>
      </c>
      <c r="AN630" s="528"/>
      <c r="AO630" s="496"/>
      <c r="AP630" s="528">
        <v>2750</v>
      </c>
      <c r="AQ630" s="496">
        <v>3285</v>
      </c>
      <c r="AR630" s="528">
        <v>1784</v>
      </c>
      <c r="AS630" s="496">
        <v>1794</v>
      </c>
      <c r="AT630" s="528">
        <v>2820</v>
      </c>
      <c r="AU630" s="496">
        <v>2950</v>
      </c>
      <c r="AV630" s="640">
        <f t="shared" si="192"/>
        <v>7354</v>
      </c>
      <c r="AW630" s="640">
        <f t="shared" si="193"/>
        <v>306.41666666666669</v>
      </c>
      <c r="AX630" s="641">
        <f t="shared" si="194"/>
        <v>8029</v>
      </c>
      <c r="AY630" s="641">
        <f t="shared" si="195"/>
        <v>334.54166666666669</v>
      </c>
      <c r="AZ630" s="640">
        <f t="shared" si="196"/>
        <v>2304.7166666666667</v>
      </c>
      <c r="BA630" s="641">
        <f t="shared" si="197"/>
        <v>2155.6416666666664</v>
      </c>
    </row>
    <row r="631" spans="1:53" s="365" customFormat="1" ht="15" customHeight="1">
      <c r="A631" s="436" t="s">
        <v>410</v>
      </c>
      <c r="B631" s="454" t="s">
        <v>917</v>
      </c>
      <c r="C631" s="437"/>
      <c r="D631" s="629">
        <v>237215</v>
      </c>
      <c r="E631" s="538">
        <v>6</v>
      </c>
      <c r="F631" s="495" t="s">
        <v>74</v>
      </c>
      <c r="G631" s="496" t="s">
        <v>74</v>
      </c>
      <c r="H631" s="528"/>
      <c r="I631" s="496"/>
      <c r="J631" s="528">
        <v>14666</v>
      </c>
      <c r="K631" s="496">
        <v>13536</v>
      </c>
      <c r="L631" s="528">
        <v>1250</v>
      </c>
      <c r="M631" s="496">
        <v>863</v>
      </c>
      <c r="N631" s="528">
        <v>15617</v>
      </c>
      <c r="O631" s="496">
        <v>16441</v>
      </c>
      <c r="P631" s="640">
        <f t="shared" si="180"/>
        <v>31533</v>
      </c>
      <c r="Q631" s="640">
        <f t="shared" si="181"/>
        <v>1051.0999999999999</v>
      </c>
      <c r="R631" s="641">
        <f t="shared" si="182"/>
        <v>30840</v>
      </c>
      <c r="S631" s="641">
        <f t="shared" si="183"/>
        <v>1028</v>
      </c>
      <c r="T631" s="528">
        <v>643</v>
      </c>
      <c r="U631" s="496">
        <v>820</v>
      </c>
      <c r="V631" s="640">
        <f t="shared" si="184"/>
        <v>31533</v>
      </c>
      <c r="W631" s="641">
        <f t="shared" si="185"/>
        <v>30840</v>
      </c>
      <c r="X631" s="528"/>
      <c r="Y631" s="496"/>
      <c r="Z631" s="528"/>
      <c r="AA631" s="496"/>
      <c r="AB631" s="528"/>
      <c r="AC631" s="496"/>
      <c r="AD631" s="528"/>
      <c r="AE631" s="496"/>
      <c r="AF631" s="640">
        <f t="shared" si="186"/>
        <v>0</v>
      </c>
      <c r="AG631" s="640">
        <f t="shared" si="187"/>
        <v>0</v>
      </c>
      <c r="AH631" s="641">
        <f t="shared" si="188"/>
        <v>0</v>
      </c>
      <c r="AI631" s="641">
        <f t="shared" si="189"/>
        <v>0</v>
      </c>
      <c r="AJ631" s="528"/>
      <c r="AK631" s="496"/>
      <c r="AL631" s="640">
        <f t="shared" si="190"/>
        <v>0</v>
      </c>
      <c r="AM631" s="641">
        <f t="shared" si="191"/>
        <v>0</v>
      </c>
      <c r="AN631" s="528"/>
      <c r="AO631" s="496"/>
      <c r="AP631" s="528"/>
      <c r="AQ631" s="496"/>
      <c r="AR631" s="528"/>
      <c r="AS631" s="496"/>
      <c r="AT631" s="528"/>
      <c r="AU631" s="496"/>
      <c r="AV631" s="640">
        <f t="shared" si="192"/>
        <v>0</v>
      </c>
      <c r="AW631" s="640">
        <f t="shared" si="193"/>
        <v>0</v>
      </c>
      <c r="AX631" s="641">
        <f t="shared" si="194"/>
        <v>0</v>
      </c>
      <c r="AY631" s="641">
        <f t="shared" si="195"/>
        <v>0</v>
      </c>
      <c r="AZ631" s="640">
        <f t="shared" si="196"/>
        <v>1051.0999999999999</v>
      </c>
      <c r="BA631" s="641">
        <f t="shared" si="197"/>
        <v>1028</v>
      </c>
    </row>
    <row r="632" spans="1:53" s="365" customFormat="1" ht="15.6" customHeight="1">
      <c r="A632" s="436" t="s">
        <v>410</v>
      </c>
      <c r="B632" s="454" t="s">
        <v>918</v>
      </c>
      <c r="C632" s="568"/>
      <c r="D632" s="629">
        <v>237385</v>
      </c>
      <c r="E632" s="538">
        <v>6</v>
      </c>
      <c r="F632" s="495" t="s">
        <v>74</v>
      </c>
      <c r="G632" s="496" t="s">
        <v>74</v>
      </c>
      <c r="H632" s="528"/>
      <c r="I632" s="496"/>
      <c r="J632" s="528">
        <v>16171</v>
      </c>
      <c r="K632" s="496">
        <v>15726</v>
      </c>
      <c r="L632" s="528">
        <v>1475</v>
      </c>
      <c r="M632" s="496">
        <v>1920</v>
      </c>
      <c r="N632" s="528">
        <v>19242</v>
      </c>
      <c r="O632" s="496">
        <v>17909</v>
      </c>
      <c r="P632" s="640">
        <f t="shared" si="180"/>
        <v>36888</v>
      </c>
      <c r="Q632" s="640">
        <f t="shared" si="181"/>
        <v>1229.5999999999999</v>
      </c>
      <c r="R632" s="641">
        <f t="shared" si="182"/>
        <v>35555</v>
      </c>
      <c r="S632" s="641">
        <f t="shared" si="183"/>
        <v>1185.1666666666667</v>
      </c>
      <c r="T632" s="528">
        <v>4372</v>
      </c>
      <c r="U632" s="496">
        <v>4283</v>
      </c>
      <c r="V632" s="640">
        <f t="shared" si="184"/>
        <v>36888</v>
      </c>
      <c r="W632" s="641">
        <f t="shared" si="185"/>
        <v>35555</v>
      </c>
      <c r="X632" s="528"/>
      <c r="Y632" s="496"/>
      <c r="Z632" s="528"/>
      <c r="AA632" s="496"/>
      <c r="AB632" s="528"/>
      <c r="AC632" s="496"/>
      <c r="AD632" s="528"/>
      <c r="AE632" s="496"/>
      <c r="AF632" s="640">
        <f t="shared" si="186"/>
        <v>0</v>
      </c>
      <c r="AG632" s="640">
        <f t="shared" si="187"/>
        <v>0</v>
      </c>
      <c r="AH632" s="641">
        <f t="shared" si="188"/>
        <v>0</v>
      </c>
      <c r="AI632" s="641">
        <f t="shared" si="189"/>
        <v>0</v>
      </c>
      <c r="AJ632" s="528"/>
      <c r="AK632" s="496"/>
      <c r="AL632" s="640">
        <f t="shared" si="190"/>
        <v>0</v>
      </c>
      <c r="AM632" s="641">
        <f t="shared" si="191"/>
        <v>0</v>
      </c>
      <c r="AN632" s="528"/>
      <c r="AO632" s="496"/>
      <c r="AP632" s="528"/>
      <c r="AQ632" s="496"/>
      <c r="AR632" s="528"/>
      <c r="AS632" s="496"/>
      <c r="AT632" s="528"/>
      <c r="AU632" s="496"/>
      <c r="AV632" s="640">
        <f t="shared" si="192"/>
        <v>0</v>
      </c>
      <c r="AW632" s="640">
        <f t="shared" si="193"/>
        <v>0</v>
      </c>
      <c r="AX632" s="641">
        <f t="shared" si="194"/>
        <v>0</v>
      </c>
      <c r="AY632" s="641">
        <f t="shared" si="195"/>
        <v>0</v>
      </c>
      <c r="AZ632" s="640">
        <f t="shared" si="196"/>
        <v>1229.5999999999999</v>
      </c>
      <c r="BA632" s="641">
        <f t="shared" si="197"/>
        <v>1185.1666666666667</v>
      </c>
    </row>
    <row r="633" spans="1:53" s="1" customFormat="1">
      <c r="A633" s="576" t="s">
        <v>410</v>
      </c>
      <c r="B633" s="582" t="s">
        <v>417</v>
      </c>
      <c r="C633" s="576" t="s">
        <v>899</v>
      </c>
      <c r="D633" s="630">
        <v>237899</v>
      </c>
      <c r="E633" s="581">
        <v>4</v>
      </c>
      <c r="F633" s="495" t="s">
        <v>74</v>
      </c>
      <c r="G633" s="496" t="s">
        <v>74</v>
      </c>
      <c r="H633" s="528"/>
      <c r="I633" s="496"/>
      <c r="J633" s="528">
        <v>30502</v>
      </c>
      <c r="K633" s="496">
        <v>25787</v>
      </c>
      <c r="L633" s="528">
        <v>1690</v>
      </c>
      <c r="M633" s="496">
        <v>1239</v>
      </c>
      <c r="N633" s="528">
        <v>32825</v>
      </c>
      <c r="O633" s="496">
        <v>30110</v>
      </c>
      <c r="P633" s="640">
        <f t="shared" si="180"/>
        <v>65017</v>
      </c>
      <c r="Q633" s="640">
        <f t="shared" si="181"/>
        <v>2167.2333333333331</v>
      </c>
      <c r="R633" s="641">
        <f t="shared" si="182"/>
        <v>57136</v>
      </c>
      <c r="S633" s="641">
        <f t="shared" si="183"/>
        <v>1904.5333333333333</v>
      </c>
      <c r="T633" s="528">
        <v>16722</v>
      </c>
      <c r="U633" s="496">
        <v>17678</v>
      </c>
      <c r="V633" s="640">
        <f t="shared" si="184"/>
        <v>65017</v>
      </c>
      <c r="W633" s="641">
        <f t="shared" si="185"/>
        <v>57136</v>
      </c>
      <c r="X633" s="528"/>
      <c r="Y633" s="496"/>
      <c r="Z633" s="528"/>
      <c r="AA633" s="496"/>
      <c r="AB633" s="528"/>
      <c r="AC633" s="496"/>
      <c r="AD633" s="528"/>
      <c r="AE633" s="496"/>
      <c r="AF633" s="640">
        <f t="shared" si="186"/>
        <v>0</v>
      </c>
      <c r="AG633" s="640">
        <f t="shared" si="187"/>
        <v>0</v>
      </c>
      <c r="AH633" s="641">
        <f t="shared" si="188"/>
        <v>0</v>
      </c>
      <c r="AI633" s="641">
        <f t="shared" si="189"/>
        <v>0</v>
      </c>
      <c r="AJ633" s="528"/>
      <c r="AK633" s="496"/>
      <c r="AL633" s="640">
        <f t="shared" si="190"/>
        <v>0</v>
      </c>
      <c r="AM633" s="641">
        <f t="shared" si="191"/>
        <v>0</v>
      </c>
      <c r="AN633" s="528"/>
      <c r="AO633" s="496"/>
      <c r="AP633" s="528">
        <v>888</v>
      </c>
      <c r="AQ633" s="496">
        <v>1159</v>
      </c>
      <c r="AR633" s="528">
        <v>483</v>
      </c>
      <c r="AS633" s="496">
        <v>704</v>
      </c>
      <c r="AT633" s="528">
        <v>1004</v>
      </c>
      <c r="AU633" s="496">
        <v>1157</v>
      </c>
      <c r="AV633" s="640">
        <f t="shared" si="192"/>
        <v>2375</v>
      </c>
      <c r="AW633" s="640">
        <f t="shared" si="193"/>
        <v>98.958333333333329</v>
      </c>
      <c r="AX633" s="641">
        <f t="shared" si="194"/>
        <v>3020</v>
      </c>
      <c r="AY633" s="641">
        <f t="shared" si="195"/>
        <v>125.83333333333333</v>
      </c>
      <c r="AZ633" s="640">
        <f t="shared" si="196"/>
        <v>2266.1916666666666</v>
      </c>
      <c r="BA633" s="641">
        <f t="shared" si="197"/>
        <v>2030.3666666666666</v>
      </c>
    </row>
    <row r="634" spans="1:53" s="365" customFormat="1" ht="15" customHeight="1">
      <c r="A634" s="436" t="s">
        <v>410</v>
      </c>
      <c r="B634" s="454" t="s">
        <v>419</v>
      </c>
      <c r="C634" s="437"/>
      <c r="D634" s="629">
        <v>237950</v>
      </c>
      <c r="E634" s="538">
        <v>6</v>
      </c>
      <c r="F634" s="495" t="s">
        <v>74</v>
      </c>
      <c r="G634" s="496" t="s">
        <v>74</v>
      </c>
      <c r="H634" s="528"/>
      <c r="I634" s="496"/>
      <c r="J634" s="528">
        <v>18971</v>
      </c>
      <c r="K634" s="496">
        <v>17341</v>
      </c>
      <c r="L634" s="528">
        <v>1199</v>
      </c>
      <c r="M634" s="496">
        <v>1103</v>
      </c>
      <c r="N634" s="528">
        <v>19292</v>
      </c>
      <c r="O634" s="496">
        <v>18736</v>
      </c>
      <c r="P634" s="640">
        <f t="shared" si="180"/>
        <v>39462</v>
      </c>
      <c r="Q634" s="640">
        <f t="shared" si="181"/>
        <v>1315.4</v>
      </c>
      <c r="R634" s="641">
        <f t="shared" si="182"/>
        <v>37180</v>
      </c>
      <c r="S634" s="641">
        <f t="shared" si="183"/>
        <v>1239.3333333333333</v>
      </c>
      <c r="T634" s="528">
        <v>4003</v>
      </c>
      <c r="U634" s="496">
        <v>4015</v>
      </c>
      <c r="V634" s="640">
        <f t="shared" si="184"/>
        <v>39462</v>
      </c>
      <c r="W634" s="641">
        <f t="shared" si="185"/>
        <v>37180</v>
      </c>
      <c r="X634" s="528"/>
      <c r="Y634" s="496"/>
      <c r="Z634" s="528"/>
      <c r="AA634" s="496"/>
      <c r="AB634" s="528"/>
      <c r="AC634" s="496"/>
      <c r="AD634" s="528"/>
      <c r="AE634" s="496"/>
      <c r="AF634" s="640">
        <f t="shared" si="186"/>
        <v>0</v>
      </c>
      <c r="AG634" s="640">
        <f t="shared" si="187"/>
        <v>0</v>
      </c>
      <c r="AH634" s="641">
        <f t="shared" si="188"/>
        <v>0</v>
      </c>
      <c r="AI634" s="641">
        <f t="shared" si="189"/>
        <v>0</v>
      </c>
      <c r="AJ634" s="528"/>
      <c r="AK634" s="496"/>
      <c r="AL634" s="640">
        <f t="shared" si="190"/>
        <v>0</v>
      </c>
      <c r="AM634" s="641">
        <f t="shared" si="191"/>
        <v>0</v>
      </c>
      <c r="AN634" s="528"/>
      <c r="AO634" s="496"/>
      <c r="AP634" s="528"/>
      <c r="AQ634" s="496"/>
      <c r="AR634" s="528"/>
      <c r="AS634" s="496"/>
      <c r="AT634" s="528"/>
      <c r="AU634" s="496"/>
      <c r="AV634" s="640">
        <f t="shared" si="192"/>
        <v>0</v>
      </c>
      <c r="AW634" s="640">
        <f t="shared" si="193"/>
        <v>0</v>
      </c>
      <c r="AX634" s="641">
        <f t="shared" si="194"/>
        <v>0</v>
      </c>
      <c r="AY634" s="641">
        <f t="shared" si="195"/>
        <v>0</v>
      </c>
      <c r="AZ634" s="640">
        <f t="shared" si="196"/>
        <v>1315.4</v>
      </c>
      <c r="BA634" s="641">
        <f t="shared" si="197"/>
        <v>1239.3333333333333</v>
      </c>
    </row>
    <row r="635" spans="1:53" s="365" customFormat="1" ht="15" customHeight="1">
      <c r="A635" s="436" t="s">
        <v>410</v>
      </c>
      <c r="B635" s="454" t="s">
        <v>420</v>
      </c>
      <c r="C635" s="437"/>
      <c r="D635" s="629">
        <v>237701</v>
      </c>
      <c r="E635" s="538">
        <v>7</v>
      </c>
      <c r="F635" s="495" t="s">
        <v>74</v>
      </c>
      <c r="G635" s="496" t="s">
        <v>74</v>
      </c>
      <c r="H635" s="528"/>
      <c r="I635" s="496"/>
      <c r="J635" s="528">
        <v>14896</v>
      </c>
      <c r="K635" s="496">
        <v>14241</v>
      </c>
      <c r="L635" s="528">
        <v>1311</v>
      </c>
      <c r="M635" s="496">
        <v>1256</v>
      </c>
      <c r="N635" s="528">
        <v>15481</v>
      </c>
      <c r="O635" s="496">
        <v>15048</v>
      </c>
      <c r="P635" s="640">
        <f t="shared" si="180"/>
        <v>31688</v>
      </c>
      <c r="Q635" s="640">
        <f t="shared" si="181"/>
        <v>1056.2666666666667</v>
      </c>
      <c r="R635" s="641">
        <f t="shared" si="182"/>
        <v>30545</v>
      </c>
      <c r="S635" s="641">
        <f t="shared" si="183"/>
        <v>1018.1666666666666</v>
      </c>
      <c r="T635" s="528">
        <v>2252</v>
      </c>
      <c r="U635" s="496">
        <v>1938</v>
      </c>
      <c r="V635" s="640">
        <f t="shared" si="184"/>
        <v>31688</v>
      </c>
      <c r="W635" s="641">
        <f t="shared" si="185"/>
        <v>30545</v>
      </c>
      <c r="X635" s="528"/>
      <c r="Y635" s="496"/>
      <c r="Z635" s="528"/>
      <c r="AA635" s="496"/>
      <c r="AB635" s="528"/>
      <c r="AC635" s="496"/>
      <c r="AD635" s="528"/>
      <c r="AE635" s="496"/>
      <c r="AF635" s="640">
        <f t="shared" si="186"/>
        <v>0</v>
      </c>
      <c r="AG635" s="640">
        <f t="shared" si="187"/>
        <v>0</v>
      </c>
      <c r="AH635" s="641">
        <f t="shared" si="188"/>
        <v>0</v>
      </c>
      <c r="AI635" s="641">
        <f t="shared" si="189"/>
        <v>0</v>
      </c>
      <c r="AJ635" s="528"/>
      <c r="AK635" s="496"/>
      <c r="AL635" s="640">
        <f t="shared" si="190"/>
        <v>0</v>
      </c>
      <c r="AM635" s="641">
        <f t="shared" si="191"/>
        <v>0</v>
      </c>
      <c r="AN635" s="528"/>
      <c r="AO635" s="496"/>
      <c r="AP635" s="528"/>
      <c r="AQ635" s="496"/>
      <c r="AR635" s="528"/>
      <c r="AS635" s="496"/>
      <c r="AT635" s="528"/>
      <c r="AU635" s="496"/>
      <c r="AV635" s="640">
        <f t="shared" si="192"/>
        <v>0</v>
      </c>
      <c r="AW635" s="640">
        <f t="shared" si="193"/>
        <v>0</v>
      </c>
      <c r="AX635" s="641">
        <f t="shared" si="194"/>
        <v>0</v>
      </c>
      <c r="AY635" s="641">
        <f t="shared" si="195"/>
        <v>0</v>
      </c>
      <c r="AZ635" s="640">
        <f t="shared" si="196"/>
        <v>1056.2666666666667</v>
      </c>
      <c r="BA635" s="641">
        <f t="shared" si="197"/>
        <v>1018.1666666666666</v>
      </c>
    </row>
    <row r="636" spans="1:53" s="1" customFormat="1">
      <c r="A636" s="436" t="s">
        <v>410</v>
      </c>
      <c r="B636" s="454" t="s">
        <v>418</v>
      </c>
      <c r="C636" s="437"/>
      <c r="D636" s="629">
        <v>237686</v>
      </c>
      <c r="E636" s="538">
        <v>7</v>
      </c>
      <c r="F636" s="495" t="s">
        <v>74</v>
      </c>
      <c r="G636" s="496" t="s">
        <v>74</v>
      </c>
      <c r="H636" s="528"/>
      <c r="I636" s="496"/>
      <c r="J636" s="528">
        <v>24231</v>
      </c>
      <c r="K636" s="496">
        <v>22328</v>
      </c>
      <c r="L636" s="528">
        <v>4213</v>
      </c>
      <c r="M636" s="496">
        <v>3385</v>
      </c>
      <c r="N636" s="528">
        <v>25609</v>
      </c>
      <c r="O636" s="496">
        <v>23091</v>
      </c>
      <c r="P636" s="640">
        <f t="shared" si="180"/>
        <v>54053</v>
      </c>
      <c r="Q636" s="640">
        <f t="shared" si="181"/>
        <v>1801.7666666666667</v>
      </c>
      <c r="R636" s="641">
        <f t="shared" si="182"/>
        <v>48804</v>
      </c>
      <c r="S636" s="641">
        <f t="shared" si="183"/>
        <v>1626.8</v>
      </c>
      <c r="T636" s="528">
        <v>9737</v>
      </c>
      <c r="U636" s="496">
        <v>8874</v>
      </c>
      <c r="V636" s="640">
        <f t="shared" si="184"/>
        <v>54053</v>
      </c>
      <c r="W636" s="641">
        <f t="shared" si="185"/>
        <v>48804</v>
      </c>
      <c r="X636" s="528"/>
      <c r="Y636" s="496"/>
      <c r="Z636" s="528"/>
      <c r="AA636" s="496"/>
      <c r="AB636" s="528"/>
      <c r="AC636" s="496"/>
      <c r="AD636" s="528"/>
      <c r="AE636" s="496"/>
      <c r="AF636" s="640">
        <f t="shared" si="186"/>
        <v>0</v>
      </c>
      <c r="AG636" s="640">
        <f t="shared" si="187"/>
        <v>0</v>
      </c>
      <c r="AH636" s="641">
        <f t="shared" si="188"/>
        <v>0</v>
      </c>
      <c r="AI636" s="641">
        <f t="shared" si="189"/>
        <v>0</v>
      </c>
      <c r="AJ636" s="528"/>
      <c r="AK636" s="496"/>
      <c r="AL636" s="640">
        <f t="shared" si="190"/>
        <v>0</v>
      </c>
      <c r="AM636" s="641">
        <f t="shared" si="191"/>
        <v>0</v>
      </c>
      <c r="AN636" s="528"/>
      <c r="AO636" s="496"/>
      <c r="AP636" s="528"/>
      <c r="AQ636" s="496"/>
      <c r="AR636" s="528"/>
      <c r="AS636" s="496"/>
      <c r="AT636" s="528"/>
      <c r="AU636" s="496"/>
      <c r="AV636" s="640">
        <f t="shared" si="192"/>
        <v>0</v>
      </c>
      <c r="AW636" s="640">
        <f t="shared" si="193"/>
        <v>0</v>
      </c>
      <c r="AX636" s="641">
        <f t="shared" si="194"/>
        <v>0</v>
      </c>
      <c r="AY636" s="641">
        <f t="shared" si="195"/>
        <v>0</v>
      </c>
      <c r="AZ636" s="640">
        <f t="shared" si="196"/>
        <v>1801.7666666666667</v>
      </c>
      <c r="BA636" s="641">
        <f t="shared" si="197"/>
        <v>1626.8</v>
      </c>
    </row>
    <row r="637" spans="1:53" s="365" customFormat="1" ht="15" customHeight="1">
      <c r="A637" s="436" t="s">
        <v>410</v>
      </c>
      <c r="B637" s="454" t="s">
        <v>423</v>
      </c>
      <c r="C637" s="437" t="s">
        <v>900</v>
      </c>
      <c r="D637" s="629">
        <v>446774</v>
      </c>
      <c r="E637" s="569">
        <v>9</v>
      </c>
      <c r="F637" s="495" t="s">
        <v>74</v>
      </c>
      <c r="G637" s="496" t="s">
        <v>74</v>
      </c>
      <c r="H637" s="528"/>
      <c r="I637" s="496"/>
      <c r="J637" s="528">
        <v>27181.1</v>
      </c>
      <c r="K637" s="496">
        <v>18121</v>
      </c>
      <c r="L637" s="528">
        <v>3226</v>
      </c>
      <c r="M637" s="496">
        <v>2972</v>
      </c>
      <c r="N637" s="528">
        <v>20445.3</v>
      </c>
      <c r="O637" s="496">
        <v>18717</v>
      </c>
      <c r="P637" s="640">
        <f t="shared" si="180"/>
        <v>50852.399999999994</v>
      </c>
      <c r="Q637" s="640">
        <f t="shared" si="181"/>
        <v>1695.0799999999997</v>
      </c>
      <c r="R637" s="641">
        <f t="shared" si="182"/>
        <v>39810</v>
      </c>
      <c r="S637" s="641">
        <f t="shared" si="183"/>
        <v>1327</v>
      </c>
      <c r="T637" s="528">
        <v>7811.1</v>
      </c>
      <c r="U637" s="496">
        <v>7077</v>
      </c>
      <c r="V637" s="640">
        <f t="shared" si="184"/>
        <v>50852.399999999994</v>
      </c>
      <c r="W637" s="641">
        <f t="shared" si="185"/>
        <v>39810</v>
      </c>
      <c r="X637" s="528"/>
      <c r="Y637" s="496"/>
      <c r="Z637" s="528"/>
      <c r="AA637" s="496"/>
      <c r="AB637" s="528"/>
      <c r="AC637" s="496"/>
      <c r="AD637" s="528"/>
      <c r="AE637" s="496"/>
      <c r="AF637" s="640">
        <f t="shared" si="186"/>
        <v>0</v>
      </c>
      <c r="AG637" s="640">
        <f t="shared" si="187"/>
        <v>0</v>
      </c>
      <c r="AH637" s="641">
        <f t="shared" si="188"/>
        <v>0</v>
      </c>
      <c r="AI637" s="641">
        <f t="shared" si="189"/>
        <v>0</v>
      </c>
      <c r="AJ637" s="528"/>
      <c r="AK637" s="496"/>
      <c r="AL637" s="640">
        <f t="shared" si="190"/>
        <v>0</v>
      </c>
      <c r="AM637" s="641">
        <f t="shared" si="191"/>
        <v>0</v>
      </c>
      <c r="AN637" s="528"/>
      <c r="AO637" s="496"/>
      <c r="AP637" s="528"/>
      <c r="AQ637" s="496"/>
      <c r="AR637" s="528"/>
      <c r="AS637" s="496"/>
      <c r="AT637" s="528"/>
      <c r="AU637" s="496"/>
      <c r="AV637" s="640">
        <f t="shared" si="192"/>
        <v>0</v>
      </c>
      <c r="AW637" s="640">
        <f t="shared" si="193"/>
        <v>0</v>
      </c>
      <c r="AX637" s="641">
        <f t="shared" si="194"/>
        <v>0</v>
      </c>
      <c r="AY637" s="641">
        <f t="shared" si="195"/>
        <v>0</v>
      </c>
      <c r="AZ637" s="640">
        <f t="shared" si="196"/>
        <v>1695.0799999999997</v>
      </c>
      <c r="BA637" s="641">
        <f t="shared" si="197"/>
        <v>1327</v>
      </c>
    </row>
    <row r="638" spans="1:53" s="365" customFormat="1" ht="15" customHeight="1">
      <c r="A638" s="436" t="s">
        <v>410</v>
      </c>
      <c r="B638" s="458" t="s">
        <v>424</v>
      </c>
      <c r="C638" s="455"/>
      <c r="D638" s="636">
        <v>484932</v>
      </c>
      <c r="E638" s="538">
        <v>10</v>
      </c>
      <c r="F638" s="495" t="s">
        <v>74</v>
      </c>
      <c r="G638" s="496" t="s">
        <v>74</v>
      </c>
      <c r="H638" s="528"/>
      <c r="I638" s="496"/>
      <c r="J638" s="528">
        <v>16917</v>
      </c>
      <c r="K638" s="496">
        <v>16331</v>
      </c>
      <c r="L638" s="528">
        <v>1199</v>
      </c>
      <c r="M638" s="496">
        <v>1388</v>
      </c>
      <c r="N638" s="528">
        <v>18667</v>
      </c>
      <c r="O638" s="496">
        <v>17422</v>
      </c>
      <c r="P638" s="640">
        <f t="shared" si="180"/>
        <v>36783</v>
      </c>
      <c r="Q638" s="640">
        <f t="shared" si="181"/>
        <v>1226.0999999999999</v>
      </c>
      <c r="R638" s="641">
        <f t="shared" si="182"/>
        <v>35141</v>
      </c>
      <c r="S638" s="641">
        <f t="shared" si="183"/>
        <v>1171.3666666666666</v>
      </c>
      <c r="T638" s="528">
        <v>39</v>
      </c>
      <c r="U638" s="496">
        <v>92</v>
      </c>
      <c r="V638" s="640">
        <f t="shared" si="184"/>
        <v>36783</v>
      </c>
      <c r="W638" s="641">
        <f t="shared" si="185"/>
        <v>35141</v>
      </c>
      <c r="X638" s="528"/>
      <c r="Y638" s="496"/>
      <c r="Z638" s="528"/>
      <c r="AA638" s="496"/>
      <c r="AB638" s="528"/>
      <c r="AC638" s="496"/>
      <c r="AD638" s="528"/>
      <c r="AE638" s="496"/>
      <c r="AF638" s="640">
        <f t="shared" si="186"/>
        <v>0</v>
      </c>
      <c r="AG638" s="640">
        <f t="shared" si="187"/>
        <v>0</v>
      </c>
      <c r="AH638" s="641">
        <f t="shared" si="188"/>
        <v>0</v>
      </c>
      <c r="AI638" s="641">
        <f t="shared" si="189"/>
        <v>0</v>
      </c>
      <c r="AJ638" s="528"/>
      <c r="AK638" s="496"/>
      <c r="AL638" s="640">
        <f t="shared" si="190"/>
        <v>0</v>
      </c>
      <c r="AM638" s="641">
        <f t="shared" si="191"/>
        <v>0</v>
      </c>
      <c r="AN638" s="528"/>
      <c r="AO638" s="496"/>
      <c r="AP638" s="528"/>
      <c r="AQ638" s="496"/>
      <c r="AR638" s="528"/>
      <c r="AS638" s="496"/>
      <c r="AT638" s="528"/>
      <c r="AU638" s="496"/>
      <c r="AV638" s="640">
        <f t="shared" si="192"/>
        <v>0</v>
      </c>
      <c r="AW638" s="640">
        <f t="shared" si="193"/>
        <v>0</v>
      </c>
      <c r="AX638" s="641">
        <f t="shared" si="194"/>
        <v>0</v>
      </c>
      <c r="AY638" s="641">
        <f t="shared" si="195"/>
        <v>0</v>
      </c>
      <c r="AZ638" s="640">
        <f t="shared" si="196"/>
        <v>1226.0999999999999</v>
      </c>
      <c r="BA638" s="641">
        <f t="shared" si="197"/>
        <v>1171.3666666666666</v>
      </c>
    </row>
    <row r="639" spans="1:53" s="365" customFormat="1" ht="15" customHeight="1">
      <c r="A639" s="436" t="s">
        <v>410</v>
      </c>
      <c r="B639" s="454" t="s">
        <v>425</v>
      </c>
      <c r="C639" s="455"/>
      <c r="D639" s="629">
        <v>438708</v>
      </c>
      <c r="E639" s="538">
        <v>10</v>
      </c>
      <c r="F639" s="495" t="s">
        <v>74</v>
      </c>
      <c r="G639" s="496" t="s">
        <v>74</v>
      </c>
      <c r="H639" s="528"/>
      <c r="I639" s="496"/>
      <c r="J639" s="528">
        <v>3204</v>
      </c>
      <c r="K639" s="496">
        <v>2637</v>
      </c>
      <c r="L639" s="528">
        <v>380</v>
      </c>
      <c r="M639" s="496">
        <v>261</v>
      </c>
      <c r="N639" s="528">
        <v>3012</v>
      </c>
      <c r="O639" s="496">
        <v>2852</v>
      </c>
      <c r="P639" s="640">
        <f t="shared" si="180"/>
        <v>6596</v>
      </c>
      <c r="Q639" s="640">
        <f t="shared" si="181"/>
        <v>219.86666666666667</v>
      </c>
      <c r="R639" s="641">
        <f t="shared" si="182"/>
        <v>5750</v>
      </c>
      <c r="S639" s="641">
        <f t="shared" si="183"/>
        <v>191.66666666666666</v>
      </c>
      <c r="T639" s="528">
        <v>1586</v>
      </c>
      <c r="U639" s="496">
        <v>1364</v>
      </c>
      <c r="V639" s="640">
        <f t="shared" si="184"/>
        <v>6596</v>
      </c>
      <c r="W639" s="641">
        <f t="shared" si="185"/>
        <v>5750</v>
      </c>
      <c r="X639" s="528"/>
      <c r="Y639" s="496"/>
      <c r="Z639" s="528"/>
      <c r="AA639" s="496"/>
      <c r="AB639" s="528"/>
      <c r="AC639" s="496"/>
      <c r="AD639" s="528"/>
      <c r="AE639" s="496"/>
      <c r="AF639" s="640">
        <f t="shared" si="186"/>
        <v>0</v>
      </c>
      <c r="AG639" s="640">
        <f t="shared" si="187"/>
        <v>0</v>
      </c>
      <c r="AH639" s="641">
        <f t="shared" si="188"/>
        <v>0</v>
      </c>
      <c r="AI639" s="641">
        <f t="shared" si="189"/>
        <v>0</v>
      </c>
      <c r="AJ639" s="528"/>
      <c r="AK639" s="496"/>
      <c r="AL639" s="640">
        <f t="shared" si="190"/>
        <v>0</v>
      </c>
      <c r="AM639" s="641">
        <f t="shared" si="191"/>
        <v>0</v>
      </c>
      <c r="AN639" s="528"/>
      <c r="AO639" s="496"/>
      <c r="AP639" s="528"/>
      <c r="AQ639" s="496"/>
      <c r="AR639" s="528"/>
      <c r="AS639" s="496"/>
      <c r="AT639" s="528"/>
      <c r="AU639" s="496"/>
      <c r="AV639" s="640">
        <f t="shared" si="192"/>
        <v>0</v>
      </c>
      <c r="AW639" s="640">
        <f t="shared" si="193"/>
        <v>0</v>
      </c>
      <c r="AX639" s="641">
        <f t="shared" si="194"/>
        <v>0</v>
      </c>
      <c r="AY639" s="641">
        <f t="shared" si="195"/>
        <v>0</v>
      </c>
      <c r="AZ639" s="640">
        <f t="shared" si="196"/>
        <v>219.86666666666667</v>
      </c>
      <c r="BA639" s="641">
        <f t="shared" si="197"/>
        <v>191.66666666666666</v>
      </c>
    </row>
    <row r="640" spans="1:53" s="365" customFormat="1" ht="15" customHeight="1">
      <c r="A640" s="436" t="s">
        <v>410</v>
      </c>
      <c r="B640" s="454" t="s">
        <v>426</v>
      </c>
      <c r="C640" s="455"/>
      <c r="D640" s="629">
        <v>444954</v>
      </c>
      <c r="E640" s="538">
        <v>10</v>
      </c>
      <c r="F640" s="495" t="s">
        <v>74</v>
      </c>
      <c r="G640" s="496" t="s">
        <v>74</v>
      </c>
      <c r="H640" s="528"/>
      <c r="I640" s="496"/>
      <c r="J640" s="528">
        <v>16851</v>
      </c>
      <c r="K640" s="496">
        <v>12476</v>
      </c>
      <c r="L640" s="528">
        <v>2201</v>
      </c>
      <c r="M640" s="496">
        <v>1839</v>
      </c>
      <c r="N640" s="528">
        <v>14657</v>
      </c>
      <c r="O640" s="496">
        <v>13405</v>
      </c>
      <c r="P640" s="640">
        <f t="shared" si="180"/>
        <v>33709</v>
      </c>
      <c r="Q640" s="640">
        <f t="shared" si="181"/>
        <v>1123.6333333333334</v>
      </c>
      <c r="R640" s="641">
        <f t="shared" si="182"/>
        <v>27720</v>
      </c>
      <c r="S640" s="641">
        <f t="shared" si="183"/>
        <v>924</v>
      </c>
      <c r="T640" s="528">
        <v>2330</v>
      </c>
      <c r="U640" s="496">
        <v>1129</v>
      </c>
      <c r="V640" s="640">
        <f t="shared" si="184"/>
        <v>33709</v>
      </c>
      <c r="W640" s="641">
        <f t="shared" si="185"/>
        <v>27720</v>
      </c>
      <c r="X640" s="528"/>
      <c r="Y640" s="496"/>
      <c r="Z640" s="528"/>
      <c r="AA640" s="496"/>
      <c r="AB640" s="528"/>
      <c r="AC640" s="496"/>
      <c r="AD640" s="528"/>
      <c r="AE640" s="496"/>
      <c r="AF640" s="640">
        <f t="shared" si="186"/>
        <v>0</v>
      </c>
      <c r="AG640" s="640">
        <f t="shared" si="187"/>
        <v>0</v>
      </c>
      <c r="AH640" s="641">
        <f t="shared" si="188"/>
        <v>0</v>
      </c>
      <c r="AI640" s="641">
        <f t="shared" si="189"/>
        <v>0</v>
      </c>
      <c r="AJ640" s="528"/>
      <c r="AK640" s="496"/>
      <c r="AL640" s="640">
        <f t="shared" si="190"/>
        <v>0</v>
      </c>
      <c r="AM640" s="641">
        <f t="shared" si="191"/>
        <v>0</v>
      </c>
      <c r="AN640" s="528"/>
      <c r="AO640" s="496"/>
      <c r="AP640" s="528"/>
      <c r="AQ640" s="496"/>
      <c r="AR640" s="528"/>
      <c r="AS640" s="496"/>
      <c r="AT640" s="528"/>
      <c r="AU640" s="496"/>
      <c r="AV640" s="640">
        <f t="shared" si="192"/>
        <v>0</v>
      </c>
      <c r="AW640" s="640">
        <f t="shared" si="193"/>
        <v>0</v>
      </c>
      <c r="AX640" s="641">
        <f t="shared" si="194"/>
        <v>0</v>
      </c>
      <c r="AY640" s="641">
        <f t="shared" si="195"/>
        <v>0</v>
      </c>
      <c r="AZ640" s="640">
        <f t="shared" si="196"/>
        <v>1123.6333333333334</v>
      </c>
      <c r="BA640" s="641">
        <f t="shared" si="197"/>
        <v>924</v>
      </c>
    </row>
    <row r="641" spans="1:53" s="365" customFormat="1" ht="15.6" customHeight="1">
      <c r="A641" s="436" t="s">
        <v>410</v>
      </c>
      <c r="B641" s="454" t="s">
        <v>421</v>
      </c>
      <c r="C641" s="456"/>
      <c r="D641" s="629">
        <v>447582</v>
      </c>
      <c r="E641" s="538">
        <v>10</v>
      </c>
      <c r="F641" s="495" t="s">
        <v>74</v>
      </c>
      <c r="G641" s="496" t="s">
        <v>74</v>
      </c>
      <c r="H641" s="528"/>
      <c r="I641" s="496"/>
      <c r="J641" s="528">
        <v>11625</v>
      </c>
      <c r="K641" s="496">
        <v>10186</v>
      </c>
      <c r="L641" s="528">
        <v>2523</v>
      </c>
      <c r="M641" s="496">
        <v>2170</v>
      </c>
      <c r="N641" s="528">
        <v>11263</v>
      </c>
      <c r="O641" s="496">
        <v>11253</v>
      </c>
      <c r="P641" s="640">
        <f t="shared" si="180"/>
        <v>25411</v>
      </c>
      <c r="Q641" s="640">
        <f t="shared" si="181"/>
        <v>847.0333333333333</v>
      </c>
      <c r="R641" s="641">
        <f t="shared" si="182"/>
        <v>23609</v>
      </c>
      <c r="S641" s="641">
        <f t="shared" si="183"/>
        <v>786.9666666666667</v>
      </c>
      <c r="T641" s="528">
        <v>2141</v>
      </c>
      <c r="U641" s="496">
        <v>2111</v>
      </c>
      <c r="V641" s="640">
        <f t="shared" si="184"/>
        <v>25411</v>
      </c>
      <c r="W641" s="641">
        <f t="shared" si="185"/>
        <v>23609</v>
      </c>
      <c r="X641" s="528"/>
      <c r="Y641" s="496"/>
      <c r="Z641" s="528"/>
      <c r="AA641" s="496"/>
      <c r="AB641" s="528"/>
      <c r="AC641" s="496"/>
      <c r="AD641" s="528"/>
      <c r="AE641" s="496"/>
      <c r="AF641" s="640">
        <f t="shared" si="186"/>
        <v>0</v>
      </c>
      <c r="AG641" s="640">
        <f t="shared" si="187"/>
        <v>0</v>
      </c>
      <c r="AH641" s="641">
        <f t="shared" si="188"/>
        <v>0</v>
      </c>
      <c r="AI641" s="641">
        <f t="shared" si="189"/>
        <v>0</v>
      </c>
      <c r="AJ641" s="528"/>
      <c r="AK641" s="496"/>
      <c r="AL641" s="640">
        <f t="shared" si="190"/>
        <v>0</v>
      </c>
      <c r="AM641" s="641">
        <f t="shared" si="191"/>
        <v>0</v>
      </c>
      <c r="AN641" s="528"/>
      <c r="AO641" s="496"/>
      <c r="AP641" s="528"/>
      <c r="AQ641" s="496"/>
      <c r="AR641" s="528"/>
      <c r="AS641" s="496"/>
      <c r="AT641" s="528"/>
      <c r="AU641" s="496"/>
      <c r="AV641" s="640">
        <f t="shared" si="192"/>
        <v>0</v>
      </c>
      <c r="AW641" s="640">
        <f t="shared" si="193"/>
        <v>0</v>
      </c>
      <c r="AX641" s="641">
        <f t="shared" si="194"/>
        <v>0</v>
      </c>
      <c r="AY641" s="641">
        <f t="shared" si="195"/>
        <v>0</v>
      </c>
      <c r="AZ641" s="640">
        <f t="shared" si="196"/>
        <v>847.0333333333333</v>
      </c>
      <c r="BA641" s="641">
        <f t="shared" si="197"/>
        <v>786.9666666666667</v>
      </c>
    </row>
    <row r="642" spans="1:53" s="365" customFormat="1" ht="15.6" customHeight="1">
      <c r="A642" s="436" t="s">
        <v>410</v>
      </c>
      <c r="B642" s="454" t="s">
        <v>422</v>
      </c>
      <c r="C642" s="456"/>
      <c r="D642" s="629">
        <v>443492</v>
      </c>
      <c r="E642" s="538">
        <v>10</v>
      </c>
      <c r="F642" s="495" t="s">
        <v>74</v>
      </c>
      <c r="G642" s="496" t="s">
        <v>74</v>
      </c>
      <c r="H642" s="528"/>
      <c r="I642" s="496"/>
      <c r="J642" s="528">
        <v>16020</v>
      </c>
      <c r="K642" s="496">
        <v>14418</v>
      </c>
      <c r="L642" s="528">
        <v>1583</v>
      </c>
      <c r="M642" s="496">
        <v>1718</v>
      </c>
      <c r="N642" s="528">
        <v>17976</v>
      </c>
      <c r="O642" s="496">
        <v>16266</v>
      </c>
      <c r="P642" s="640">
        <f t="shared" si="180"/>
        <v>35579</v>
      </c>
      <c r="Q642" s="640">
        <f t="shared" si="181"/>
        <v>1185.9666666666667</v>
      </c>
      <c r="R642" s="641">
        <f t="shared" si="182"/>
        <v>32402</v>
      </c>
      <c r="S642" s="641">
        <f t="shared" si="183"/>
        <v>1080.0666666666666</v>
      </c>
      <c r="T642" s="528">
        <v>4116</v>
      </c>
      <c r="U642" s="496">
        <v>4184</v>
      </c>
      <c r="V642" s="640">
        <f t="shared" si="184"/>
        <v>35579</v>
      </c>
      <c r="W642" s="641">
        <f t="shared" si="185"/>
        <v>32402</v>
      </c>
      <c r="X642" s="528"/>
      <c r="Y642" s="496"/>
      <c r="Z642" s="528"/>
      <c r="AA642" s="496"/>
      <c r="AB642" s="528"/>
      <c r="AC642" s="496"/>
      <c r="AD642" s="528"/>
      <c r="AE642" s="496"/>
      <c r="AF642" s="640">
        <f t="shared" si="186"/>
        <v>0</v>
      </c>
      <c r="AG642" s="640">
        <f t="shared" si="187"/>
        <v>0</v>
      </c>
      <c r="AH642" s="641">
        <f t="shared" si="188"/>
        <v>0</v>
      </c>
      <c r="AI642" s="641">
        <f t="shared" si="189"/>
        <v>0</v>
      </c>
      <c r="AJ642" s="528"/>
      <c r="AK642" s="496"/>
      <c r="AL642" s="640">
        <f t="shared" si="190"/>
        <v>0</v>
      </c>
      <c r="AM642" s="641">
        <f t="shared" si="191"/>
        <v>0</v>
      </c>
      <c r="AN642" s="528"/>
      <c r="AO642" s="496"/>
      <c r="AP642" s="528"/>
      <c r="AQ642" s="496"/>
      <c r="AR642" s="528"/>
      <c r="AS642" s="496"/>
      <c r="AT642" s="528"/>
      <c r="AU642" s="496"/>
      <c r="AV642" s="640">
        <f t="shared" si="192"/>
        <v>0</v>
      </c>
      <c r="AW642" s="640">
        <f t="shared" si="193"/>
        <v>0</v>
      </c>
      <c r="AX642" s="641">
        <f t="shared" si="194"/>
        <v>0</v>
      </c>
      <c r="AY642" s="641">
        <f t="shared" si="195"/>
        <v>0</v>
      </c>
      <c r="AZ642" s="640">
        <f t="shared" si="196"/>
        <v>1185.9666666666667</v>
      </c>
      <c r="BA642" s="641">
        <f t="shared" si="197"/>
        <v>1080.0666666666666</v>
      </c>
    </row>
    <row r="643" spans="1:53" s="365" customFormat="1" ht="15" customHeight="1">
      <c r="A643" s="436" t="s">
        <v>410</v>
      </c>
      <c r="B643" s="454" t="s">
        <v>427</v>
      </c>
      <c r="C643" s="455"/>
      <c r="D643" s="629">
        <v>237817</v>
      </c>
      <c r="E643" s="538">
        <v>10</v>
      </c>
      <c r="F643" s="495" t="s">
        <v>74</v>
      </c>
      <c r="G643" s="496" t="s">
        <v>74</v>
      </c>
      <c r="H643" s="528"/>
      <c r="I643" s="496"/>
      <c r="J643" s="528">
        <v>14980</v>
      </c>
      <c r="K643" s="496">
        <v>14219</v>
      </c>
      <c r="L643" s="528">
        <v>801</v>
      </c>
      <c r="M643" s="496">
        <v>634</v>
      </c>
      <c r="N643" s="528">
        <v>17626</v>
      </c>
      <c r="O643" s="496">
        <v>16173</v>
      </c>
      <c r="P643" s="640">
        <f t="shared" si="180"/>
        <v>33407</v>
      </c>
      <c r="Q643" s="640">
        <f t="shared" si="181"/>
        <v>1113.5666666666666</v>
      </c>
      <c r="R643" s="641">
        <f t="shared" si="182"/>
        <v>31026</v>
      </c>
      <c r="S643" s="641">
        <f t="shared" si="183"/>
        <v>1034.2</v>
      </c>
      <c r="T643" s="528">
        <v>1419</v>
      </c>
      <c r="U643" s="496">
        <v>2015</v>
      </c>
      <c r="V643" s="640">
        <f t="shared" si="184"/>
        <v>33407</v>
      </c>
      <c r="W643" s="641">
        <f t="shared" si="185"/>
        <v>31026</v>
      </c>
      <c r="X643" s="528"/>
      <c r="Y643" s="496"/>
      <c r="Z643" s="528"/>
      <c r="AA643" s="496"/>
      <c r="AB643" s="528"/>
      <c r="AC643" s="496"/>
      <c r="AD643" s="528"/>
      <c r="AE643" s="496"/>
      <c r="AF643" s="640">
        <f t="shared" si="186"/>
        <v>0</v>
      </c>
      <c r="AG643" s="640">
        <f t="shared" si="187"/>
        <v>0</v>
      </c>
      <c r="AH643" s="641">
        <f t="shared" si="188"/>
        <v>0</v>
      </c>
      <c r="AI643" s="641">
        <f t="shared" si="189"/>
        <v>0</v>
      </c>
      <c r="AJ643" s="528"/>
      <c r="AK643" s="496"/>
      <c r="AL643" s="640">
        <f t="shared" si="190"/>
        <v>0</v>
      </c>
      <c r="AM643" s="641">
        <f t="shared" si="191"/>
        <v>0</v>
      </c>
      <c r="AN643" s="528"/>
      <c r="AO643" s="496"/>
      <c r="AP643" s="528"/>
      <c r="AQ643" s="496"/>
      <c r="AR643" s="528"/>
      <c r="AS643" s="496"/>
      <c r="AT643" s="528"/>
      <c r="AU643" s="496"/>
      <c r="AV643" s="640">
        <f t="shared" si="192"/>
        <v>0</v>
      </c>
      <c r="AW643" s="640">
        <f t="shared" si="193"/>
        <v>0</v>
      </c>
      <c r="AX643" s="641">
        <f t="shared" si="194"/>
        <v>0</v>
      </c>
      <c r="AY643" s="641">
        <f t="shared" si="195"/>
        <v>0</v>
      </c>
      <c r="AZ643" s="640">
        <f t="shared" si="196"/>
        <v>1113.5666666666666</v>
      </c>
      <c r="BA643" s="641">
        <f t="shared" si="197"/>
        <v>1034.2</v>
      </c>
    </row>
    <row r="644" spans="1:53" s="1" customFormat="1">
      <c r="A644" s="436" t="s">
        <v>410</v>
      </c>
      <c r="B644" s="454" t="s">
        <v>428</v>
      </c>
      <c r="C644" s="457"/>
      <c r="D644" s="629">
        <v>238014</v>
      </c>
      <c r="E644" s="538">
        <v>10</v>
      </c>
      <c r="F644" s="495" t="s">
        <v>74</v>
      </c>
      <c r="G644" s="496" t="s">
        <v>74</v>
      </c>
      <c r="H644" s="528"/>
      <c r="I644" s="496"/>
      <c r="J644" s="528">
        <v>12589</v>
      </c>
      <c r="K644" s="496">
        <v>11345</v>
      </c>
      <c r="L644" s="528">
        <v>2349</v>
      </c>
      <c r="M644" s="496">
        <v>2295</v>
      </c>
      <c r="N644" s="528">
        <v>12927</v>
      </c>
      <c r="O644" s="496">
        <v>11360</v>
      </c>
      <c r="P644" s="640">
        <f t="shared" si="180"/>
        <v>27865</v>
      </c>
      <c r="Q644" s="640">
        <f t="shared" si="181"/>
        <v>928.83333333333337</v>
      </c>
      <c r="R644" s="641">
        <f t="shared" si="182"/>
        <v>25000</v>
      </c>
      <c r="S644" s="641">
        <f t="shared" si="183"/>
        <v>833.33333333333337</v>
      </c>
      <c r="T644" s="528">
        <v>3684</v>
      </c>
      <c r="U644" s="496">
        <v>3202</v>
      </c>
      <c r="V644" s="640">
        <f t="shared" si="184"/>
        <v>27865</v>
      </c>
      <c r="W644" s="641">
        <f t="shared" si="185"/>
        <v>25000</v>
      </c>
      <c r="X644" s="528"/>
      <c r="Y644" s="496"/>
      <c r="Z644" s="528"/>
      <c r="AA644" s="496"/>
      <c r="AB644" s="528"/>
      <c r="AC644" s="496"/>
      <c r="AD644" s="528"/>
      <c r="AE644" s="496"/>
      <c r="AF644" s="640">
        <f t="shared" si="186"/>
        <v>0</v>
      </c>
      <c r="AG644" s="640">
        <f t="shared" si="187"/>
        <v>0</v>
      </c>
      <c r="AH644" s="641">
        <f t="shared" si="188"/>
        <v>0</v>
      </c>
      <c r="AI644" s="641">
        <f t="shared" si="189"/>
        <v>0</v>
      </c>
      <c r="AJ644" s="528"/>
      <c r="AK644" s="496"/>
      <c r="AL644" s="640">
        <f t="shared" si="190"/>
        <v>0</v>
      </c>
      <c r="AM644" s="641">
        <f t="shared" si="191"/>
        <v>0</v>
      </c>
      <c r="AN644" s="528"/>
      <c r="AO644" s="496"/>
      <c r="AP644" s="528"/>
      <c r="AQ644" s="496"/>
      <c r="AR644" s="528"/>
      <c r="AS644" s="496"/>
      <c r="AT644" s="528"/>
      <c r="AU644" s="496"/>
      <c r="AV644" s="640">
        <f t="shared" si="192"/>
        <v>0</v>
      </c>
      <c r="AW644" s="640">
        <f t="shared" si="193"/>
        <v>0</v>
      </c>
      <c r="AX644" s="641">
        <f t="shared" si="194"/>
        <v>0</v>
      </c>
      <c r="AY644" s="641">
        <f t="shared" si="195"/>
        <v>0</v>
      </c>
      <c r="AZ644" s="640">
        <f t="shared" si="196"/>
        <v>928.83333333333337</v>
      </c>
      <c r="BA644" s="641">
        <f t="shared" si="197"/>
        <v>833.33333333333337</v>
      </c>
    </row>
  </sheetData>
  <sortState xmlns:xlrd2="http://schemas.microsoft.com/office/spreadsheetml/2017/richdata2" ref="A7:BA45">
    <sortCondition ref="A7:A45"/>
    <sortCondition ref="E7:E45"/>
    <sortCondition ref="B7:B45"/>
  </sortState>
  <mergeCells count="1">
    <mergeCell ref="AZ3:BA3"/>
  </mergeCells>
  <phoneticPr fontId="0" type="noConversion"/>
  <conditionalFormatting sqref="I1 K1 M1 O1 U1 Y1 AA1 AC1 AE1 AK1 AO1 AQ1 AS1 AU1">
    <cfRule type="cellIs" dxfId="408" priority="1950" stopIfTrue="1" operator="lessThan">
      <formula>H1-(H1*0.1)</formula>
    </cfRule>
  </conditionalFormatting>
  <conditionalFormatting sqref="I1 K1 M1 O1 Y1 AA1 AC1 AE1 AO1 AQ1 AS1 AU1">
    <cfRule type="expression" dxfId="407" priority="1952" stopIfTrue="1">
      <formula>I1&gt;(H1+(H1*0.1))</formula>
    </cfRule>
    <cfRule type="expression" dxfId="406" priority="1951" stopIfTrue="1">
      <formula>I1&lt;(H1-(H1*0.1))</formula>
    </cfRule>
  </conditionalFormatting>
  <conditionalFormatting sqref="I244:I258 K244:K258 I333 K333 M333 O333 U333 Y333 AA333 AC333 AE333 AK333 AO333 AQ333 AS333 AU333">
    <cfRule type="expression" dxfId="405" priority="105">
      <formula>AND(H244=0,(I244&gt;0))</formula>
    </cfRule>
    <cfRule type="expression" dxfId="404" priority="106">
      <formula>((I244-H244)/H244)&gt;0.05</formula>
    </cfRule>
  </conditionalFormatting>
  <conditionalFormatting sqref="I581">
    <cfRule type="expression" dxfId="403" priority="234">
      <formula>((I581-H581)/H581)&gt;0.05</formula>
    </cfRule>
    <cfRule type="expression" dxfId="402" priority="233">
      <formula>AND(H581=0,(I581&gt;0))</formula>
    </cfRule>
  </conditionalFormatting>
  <conditionalFormatting sqref="I582:I612">
    <cfRule type="expression" dxfId="401" priority="61">
      <formula>AND(H582=0,(I582&gt;0))</formula>
    </cfRule>
    <cfRule type="expression" dxfId="400" priority="62">
      <formula>((I582-H582)/H582)&gt;0.05</formula>
    </cfRule>
  </conditionalFormatting>
  <conditionalFormatting sqref="I613">
    <cfRule type="expression" dxfId="399" priority="79">
      <formula>AND(H612=0,(I613&gt;0))</formula>
    </cfRule>
    <cfRule type="expression" dxfId="398" priority="80">
      <formula>((I613-H612)/H612)&gt;0.05</formula>
    </cfRule>
  </conditionalFormatting>
  <conditionalFormatting sqref="I614:I624">
    <cfRule type="expression" dxfId="397" priority="41">
      <formula>AND(H614=0,(I614&gt;0))</formula>
    </cfRule>
    <cfRule type="expression" dxfId="396" priority="42">
      <formula>((I614-H614)/H614)&gt;0.05</formula>
    </cfRule>
  </conditionalFormatting>
  <conditionalFormatting sqref="K581">
    <cfRule type="expression" dxfId="395" priority="137">
      <formula>AND(J581=0,(K581&gt;0))</formula>
    </cfRule>
    <cfRule type="expression" dxfId="394" priority="138">
      <formula>((K581-J581)/J581)&gt;0.05</formula>
    </cfRule>
  </conditionalFormatting>
  <conditionalFormatting sqref="K582:K613">
    <cfRule type="expression" dxfId="393" priority="59">
      <formula>AND(J582=0,(K582&gt;0))</formula>
    </cfRule>
    <cfRule type="expression" dxfId="392" priority="60">
      <formula>((K582-J582)/J582)&gt;0.05</formula>
    </cfRule>
  </conditionalFormatting>
  <conditionalFormatting sqref="K614:K624">
    <cfRule type="expression" dxfId="391" priority="37">
      <formula>AND(H614=0,(I614&gt;0))</formula>
    </cfRule>
    <cfRule type="expression" dxfId="390" priority="38">
      <formula>((I614-H614)/H614)&gt;0.05</formula>
    </cfRule>
  </conditionalFormatting>
  <conditionalFormatting sqref="M581">
    <cfRule type="expression" dxfId="389" priority="124">
      <formula>((M581-L581)/L581)&gt;0.05</formula>
    </cfRule>
    <cfRule type="expression" dxfId="388" priority="123">
      <formula>AND(L581=0,(M581&gt;0))</formula>
    </cfRule>
  </conditionalFormatting>
  <conditionalFormatting sqref="M582:M614">
    <cfRule type="expression" dxfId="387" priority="67">
      <formula>AND(L582=0,(M582&gt;0))</formula>
    </cfRule>
    <cfRule type="expression" dxfId="386" priority="68">
      <formula>((M582-L582)/L582)&gt;0.05</formula>
    </cfRule>
  </conditionalFormatting>
  <conditionalFormatting sqref="M615:M624">
    <cfRule type="expression" dxfId="385" priority="31">
      <formula>AND(H615=0,(I615&gt;0))</formula>
    </cfRule>
    <cfRule type="expression" dxfId="384" priority="32">
      <formula>((I615-H615)/H615)&gt;0.05</formula>
    </cfRule>
  </conditionalFormatting>
  <conditionalFormatting sqref="O1">
    <cfRule type="expression" dxfId="383" priority="1939">
      <formula>O1&gt;(N1+(N1*0.1))</formula>
    </cfRule>
    <cfRule type="expression" dxfId="382" priority="1940">
      <formula>O1&lt;(N1-(N1*0.1))</formula>
    </cfRule>
  </conditionalFormatting>
  <conditionalFormatting sqref="O581">
    <cfRule type="expression" dxfId="381" priority="116">
      <formula>((O581-N581)/N581)&gt;0.05</formula>
    </cfRule>
    <cfRule type="expression" dxfId="380" priority="115">
      <formula>AND(N581=0,(O581&gt;0))</formula>
    </cfRule>
  </conditionalFormatting>
  <conditionalFormatting sqref="O582:O614">
    <cfRule type="expression" dxfId="379" priority="57">
      <formula>AND(N582=0,(O582&gt;0))</formula>
    </cfRule>
    <cfRule type="expression" dxfId="378" priority="58">
      <formula>((O582-N582)/N582)&gt;0.05</formula>
    </cfRule>
  </conditionalFormatting>
  <conditionalFormatting sqref="O615:O624">
    <cfRule type="expression" dxfId="377" priority="29">
      <formula>AND(H615=0,(I615&gt;0))</formula>
    </cfRule>
    <cfRule type="expression" dxfId="376" priority="30">
      <formula>((I615-H615)/H615)&gt;0.05</formula>
    </cfRule>
  </conditionalFormatting>
  <conditionalFormatting sqref="U1">
    <cfRule type="expression" dxfId="375" priority="1942">
      <formula>U1&lt;(T1-(T1*0.1))</formula>
    </cfRule>
    <cfRule type="expression" dxfId="374" priority="1941">
      <formula>U1&gt;(T1+(T1*0.1))</formula>
    </cfRule>
  </conditionalFormatting>
  <conditionalFormatting sqref="U581">
    <cfRule type="expression" dxfId="373" priority="107">
      <formula>AND(T581=0,(U581&gt;0))</formula>
    </cfRule>
    <cfRule type="expression" dxfId="372" priority="108">
      <formula>((U581-T581)/T581)&gt;0.05</formula>
    </cfRule>
  </conditionalFormatting>
  <conditionalFormatting sqref="U582:U614">
    <cfRule type="expression" dxfId="371" priority="65">
      <formula>AND(T582=0,(U582&gt;0))</formula>
    </cfRule>
    <cfRule type="expression" dxfId="370" priority="66">
      <formula>((U582-T582)/T582)&gt;0.05</formula>
    </cfRule>
  </conditionalFormatting>
  <conditionalFormatting sqref="U615:U624">
    <cfRule type="expression" dxfId="369" priority="33">
      <formula>AND(H615=0,(I615&gt;0))</formula>
    </cfRule>
    <cfRule type="expression" dxfId="368" priority="34">
      <formula>((I615-H615)/H615)&gt;0.05</formula>
    </cfRule>
  </conditionalFormatting>
  <conditionalFormatting sqref="Y581">
    <cfRule type="expression" dxfId="367" priority="220">
      <formula>((Y581-X581)/X581)&gt;0.05</formula>
    </cfRule>
    <cfRule type="expression" dxfId="366" priority="219">
      <formula>AND(X581=0,(Y581&gt;0))</formula>
    </cfRule>
  </conditionalFormatting>
  <conditionalFormatting sqref="Y582:Y612">
    <cfRule type="expression" dxfId="365" priority="64">
      <formula>((Y582-X582)/X582)&gt;0.05</formula>
    </cfRule>
    <cfRule type="expression" dxfId="364" priority="63">
      <formula>AND(X582=0,(Y582&gt;0))</formula>
    </cfRule>
  </conditionalFormatting>
  <conditionalFormatting sqref="Y613">
    <cfRule type="expression" dxfId="363" priority="81">
      <formula>AND(X612=0,(Y613&gt;0))</formula>
    </cfRule>
    <cfRule type="expression" dxfId="362" priority="82">
      <formula>((Y613-X612)/X612)&gt;0.05</formula>
    </cfRule>
  </conditionalFormatting>
  <conditionalFormatting sqref="Y614:Y624">
    <cfRule type="expression" dxfId="361" priority="35">
      <formula>AND(H614=0,(I614&gt;0))</formula>
    </cfRule>
    <cfRule type="expression" dxfId="360" priority="36">
      <formula>((I614-H614)/H614)&gt;0.05</formula>
    </cfRule>
  </conditionalFormatting>
  <conditionalFormatting sqref="AA581">
    <cfRule type="expression" dxfId="359" priority="209">
      <formula>AND(Z581=0,(AA581&gt;0))</formula>
    </cfRule>
    <cfRule type="expression" dxfId="358" priority="210">
      <formula>((AA581-Z581)/Z581)&gt;0.05</formula>
    </cfRule>
  </conditionalFormatting>
  <conditionalFormatting sqref="AA582:AA612">
    <cfRule type="expression" dxfId="357" priority="69">
      <formula>AND(Z582=0,(AA582&gt;0))</formula>
    </cfRule>
    <cfRule type="expression" dxfId="356" priority="70">
      <formula>((AA582-Z582)/Z582)&gt;0.05</formula>
    </cfRule>
  </conditionalFormatting>
  <conditionalFormatting sqref="AA613">
    <cfRule type="expression" dxfId="355" priority="84">
      <formula>((AA613-Z612)/Z612)&gt;0.05</formula>
    </cfRule>
    <cfRule type="expression" dxfId="354" priority="83">
      <formula>AND(Z612=0,(AA613&gt;0))</formula>
    </cfRule>
  </conditionalFormatting>
  <conditionalFormatting sqref="AA614:AA624">
    <cfRule type="expression" dxfId="353" priority="43">
      <formula>AND(H614=0,(I614&gt;0))</formula>
    </cfRule>
    <cfRule type="expression" dxfId="352" priority="44">
      <formula>((I614-H614)/H614)&gt;0.05</formula>
    </cfRule>
  </conditionalFormatting>
  <conditionalFormatting sqref="AC581">
    <cfRule type="expression" dxfId="351" priority="199">
      <formula>AND(AB581=0,(AC581&gt;0))</formula>
    </cfRule>
    <cfRule type="expression" dxfId="350" priority="200">
      <formula>((AC581-AB581)/AB581)&gt;0.05</formula>
    </cfRule>
  </conditionalFormatting>
  <conditionalFormatting sqref="AC582:AC612">
    <cfRule type="expression" dxfId="349" priority="71">
      <formula>AND(AB582=0,(AC582&gt;0))</formula>
    </cfRule>
    <cfRule type="expression" dxfId="348" priority="72">
      <formula>((AC582-AB582)/AB582)&gt;0.05</formula>
    </cfRule>
  </conditionalFormatting>
  <conditionalFormatting sqref="AC613">
    <cfRule type="expression" dxfId="347" priority="86">
      <formula>((AC613-AB612)/AB612)&gt;0.05</formula>
    </cfRule>
    <cfRule type="expression" dxfId="346" priority="85">
      <formula>AND(AB612=0,(AC613&gt;0))</formula>
    </cfRule>
  </conditionalFormatting>
  <conditionalFormatting sqref="AC614:AC624">
    <cfRule type="expression" dxfId="345" priority="39">
      <formula>AND(H614=0,(I614&gt;0))</formula>
    </cfRule>
    <cfRule type="expression" dxfId="344" priority="40">
      <formula>((I614-H614)/H614)&gt;0.05</formula>
    </cfRule>
  </conditionalFormatting>
  <conditionalFormatting sqref="AE581">
    <cfRule type="expression" dxfId="343" priority="190">
      <formula>((AE581-AD581)/AD581)&gt;0.05</formula>
    </cfRule>
    <cfRule type="expression" dxfId="342" priority="189">
      <formula>AND(AD581=0,(AE581&gt;0))</formula>
    </cfRule>
  </conditionalFormatting>
  <conditionalFormatting sqref="AE582:AE612">
    <cfRule type="expression" dxfId="341" priority="73">
      <formula>AND(AD582=0,(AE582&gt;0))</formula>
    </cfRule>
    <cfRule type="expression" dxfId="340" priority="74">
      <formula>((AE582-AD582)/AD582)&gt;0.05</formula>
    </cfRule>
  </conditionalFormatting>
  <conditionalFormatting sqref="AE613">
    <cfRule type="expression" dxfId="339" priority="87">
      <formula>AND(AD612=0,(AE613&gt;0))</formula>
    </cfRule>
    <cfRule type="expression" dxfId="338" priority="88">
      <formula>((AE613-AD612)/AD612)&gt;0.05</formula>
    </cfRule>
  </conditionalFormatting>
  <conditionalFormatting sqref="AE614:AE624">
    <cfRule type="expression" dxfId="337" priority="45">
      <formula>AND(H614=0,(I614&gt;0))</formula>
    </cfRule>
    <cfRule type="expression" dxfId="336" priority="46">
      <formula>((I614-H614)/H614)&gt;0.05</formula>
    </cfRule>
  </conditionalFormatting>
  <conditionalFormatting sqref="AJ1">
    <cfRule type="expression" dxfId="335" priority="1953" stopIfTrue="1">
      <formula>AJ1&lt;(AF1-(AF1*0.1))</formula>
    </cfRule>
    <cfRule type="expression" dxfId="334" priority="1954" stopIfTrue="1">
      <formula>AJ1&gt;(AF1+(AF1*0.1))</formula>
    </cfRule>
  </conditionalFormatting>
  <conditionalFormatting sqref="AK1">
    <cfRule type="expression" dxfId="333" priority="1956" stopIfTrue="1">
      <formula>AK1&gt;(AH1+(AH1*0.1))</formula>
    </cfRule>
    <cfRule type="expression" dxfId="332" priority="1955" stopIfTrue="1">
      <formula>AK1&lt;(AH1-(AH1*0.1))</formula>
    </cfRule>
  </conditionalFormatting>
  <conditionalFormatting sqref="AK581">
    <cfRule type="expression" dxfId="331" priority="179">
      <formula>AND(AJ581=0,(AK581&gt;0))</formula>
    </cfRule>
    <cfRule type="expression" dxfId="330" priority="180">
      <formula>((AK581-AJ581)/AJ581)&gt;0.05</formula>
    </cfRule>
  </conditionalFormatting>
  <conditionalFormatting sqref="AK582:AK612">
    <cfRule type="expression" dxfId="329" priority="76">
      <formula>((AK582-AJ582)/AJ582)&gt;0.05</formula>
    </cfRule>
    <cfRule type="expression" dxfId="328" priority="75">
      <formula>AND(AJ582=0,(AK582&gt;0))</formula>
    </cfRule>
  </conditionalFormatting>
  <conditionalFormatting sqref="AK613">
    <cfRule type="expression" dxfId="327" priority="90">
      <formula>((AK613-AJ612)/AJ612)&gt;0.05</formula>
    </cfRule>
    <cfRule type="expression" dxfId="326" priority="89">
      <formula>AND(AJ612=0,(AK613&gt;0))</formula>
    </cfRule>
  </conditionalFormatting>
  <conditionalFormatting sqref="AK614:AK624">
    <cfRule type="expression" dxfId="325" priority="48">
      <formula>((I614-H614)/H614)&gt;0.05</formula>
    </cfRule>
    <cfRule type="expression" dxfId="324" priority="47">
      <formula>AND(H614=0,(I614&gt;0))</formula>
    </cfRule>
  </conditionalFormatting>
  <conditionalFormatting sqref="AN1:AU1">
    <cfRule type="expression" dxfId="323" priority="1936" stopIfTrue="1">
      <formula>AN1&gt;(AJ1+(AJ1*0.1))</formula>
    </cfRule>
    <cfRule type="expression" dxfId="322" priority="1935" stopIfTrue="1">
      <formula>AN1&lt;(AJ1-(AJ1*0.1))</formula>
    </cfRule>
  </conditionalFormatting>
  <conditionalFormatting sqref="AO1 I1 K1 M1 Y1 AA1 AC1 AE1 AK1">
    <cfRule type="expression" dxfId="321" priority="1943">
      <formula>I1&gt;(H1+(H1*0.1))</formula>
    </cfRule>
    <cfRule type="expression" dxfId="320" priority="1944">
      <formula>I1&lt;(H1-(H1*0.1))</formula>
    </cfRule>
  </conditionalFormatting>
  <conditionalFormatting sqref="AO581">
    <cfRule type="expression" dxfId="319" priority="169">
      <formula>AND(AN581=0,(AO581&gt;0))</formula>
    </cfRule>
    <cfRule type="expression" dxfId="318" priority="170">
      <formula>((AO581-AN581)/AN581)&gt;0.05</formula>
    </cfRule>
  </conditionalFormatting>
  <conditionalFormatting sqref="AO582:AO612">
    <cfRule type="expression" dxfId="317" priority="77">
      <formula>AND(AN582=0,(AO582&gt;0))</formula>
    </cfRule>
    <cfRule type="expression" dxfId="316" priority="78">
      <formula>((AO582-AN582)/AN582)&gt;0.05</formula>
    </cfRule>
  </conditionalFormatting>
  <conditionalFormatting sqref="AO613">
    <cfRule type="expression" dxfId="315" priority="94">
      <formula>((AO613-AN612)/AN612)&gt;0.05</formula>
    </cfRule>
    <cfRule type="expression" dxfId="314" priority="93">
      <formula>AND(AN612=0,(AO613&gt;0))</formula>
    </cfRule>
  </conditionalFormatting>
  <conditionalFormatting sqref="AO614:AO624">
    <cfRule type="expression" dxfId="313" priority="50">
      <formula>((I614-H614)/H614)&gt;0.05</formula>
    </cfRule>
    <cfRule type="expression" dxfId="312" priority="49">
      <formula>AND(H614=0,(I614&gt;0))</formula>
    </cfRule>
  </conditionalFormatting>
  <conditionalFormatting sqref="AO1:AP1">
    <cfRule type="expression" dxfId="311" priority="1925" stopIfTrue="1">
      <formula>AO1&lt;(AL1-(AL1*0.1))</formula>
    </cfRule>
    <cfRule type="expression" dxfId="310" priority="1926" stopIfTrue="1">
      <formula>AO1&gt;(AL1+(AL1*0.1))</formula>
    </cfRule>
  </conditionalFormatting>
  <conditionalFormatting sqref="AP1">
    <cfRule type="expression" dxfId="309" priority="1927">
      <formula>AP1&gt;(AO1+(AO1*0.1))</formula>
    </cfRule>
    <cfRule type="expression" dxfId="308" priority="1928">
      <formula>AP1&lt;(AO1-(AO1*0.1))</formula>
    </cfRule>
    <cfRule type="cellIs" dxfId="307" priority="1929" stopIfTrue="1" operator="greaterThan">
      <formula>AO1+(AO1*0.1)</formula>
    </cfRule>
    <cfRule type="cellIs" dxfId="306" priority="1930" stopIfTrue="1" operator="lessThan">
      <formula>AO1-(AO1*0.1)</formula>
    </cfRule>
    <cfRule type="expression" dxfId="305" priority="1931" stopIfTrue="1">
      <formula>AP1&lt;(AO1-(AO1*0.1))</formula>
    </cfRule>
    <cfRule type="expression" dxfId="304" priority="1932" stopIfTrue="1">
      <formula>AP1&gt;(AO1+(AO1*0.1))</formula>
    </cfRule>
  </conditionalFormatting>
  <conditionalFormatting sqref="AQ1 AS1 AU1">
    <cfRule type="expression" dxfId="303" priority="1938">
      <formula>AQ1&lt;(AP1-(AP1*0.1))</formula>
    </cfRule>
    <cfRule type="expression" dxfId="302" priority="1937">
      <formula>AQ1&gt;(AP1+(AP1*0.1))</formula>
    </cfRule>
  </conditionalFormatting>
  <conditionalFormatting sqref="AQ581">
    <cfRule type="expression" dxfId="301" priority="159">
      <formula>AND(AP581=0,(AQ581&gt;0))</formula>
    </cfRule>
    <cfRule type="expression" dxfId="300" priority="160">
      <formula>((AQ581-AP581)/AP581)&gt;0.05</formula>
    </cfRule>
  </conditionalFormatting>
  <conditionalFormatting sqref="AQ582:AQ612">
    <cfRule type="expression" dxfId="299" priority="91">
      <formula>AND(AP582=0,(AQ582&gt;0))</formula>
    </cfRule>
    <cfRule type="expression" dxfId="298" priority="92">
      <formula>((AQ582-AP582)/AP582)&gt;0.05</formula>
    </cfRule>
  </conditionalFormatting>
  <conditionalFormatting sqref="AQ613">
    <cfRule type="expression" dxfId="297" priority="98">
      <formula>((AQ613-AP612)/AP612)&gt;0.05</formula>
    </cfRule>
    <cfRule type="expression" dxfId="296" priority="97">
      <formula>AND(AP612=0,(AQ613&gt;0))</formula>
    </cfRule>
  </conditionalFormatting>
  <conditionalFormatting sqref="AQ614:AQ624">
    <cfRule type="expression" dxfId="295" priority="51">
      <formula>AND(H614=0,(I614&gt;0))</formula>
    </cfRule>
    <cfRule type="expression" dxfId="294" priority="52">
      <formula>((I614-H614)/H614)&gt;0.05</formula>
    </cfRule>
  </conditionalFormatting>
  <conditionalFormatting sqref="AS1 AU1 I1 K1 M1 Y1 AA1 AC1 AE1 AK1 AO1 U1 O1 AQ1">
    <cfRule type="cellIs" dxfId="293" priority="1949" stopIfTrue="1" operator="greaterThan">
      <formula>H1+(H1*0.1)</formula>
    </cfRule>
  </conditionalFormatting>
  <conditionalFormatting sqref="AS1">
    <cfRule type="cellIs" dxfId="292" priority="1947" stopIfTrue="1" operator="greaterThan">
      <formula>AR1+(AR1*0.1)</formula>
    </cfRule>
    <cfRule type="cellIs" dxfId="291" priority="1948" stopIfTrue="1" operator="lessThan">
      <formula>AR1-(AR1*0.1)</formula>
    </cfRule>
  </conditionalFormatting>
  <conditionalFormatting sqref="AS581">
    <cfRule type="expression" dxfId="290" priority="150">
      <formula>((AS581-AR581)/AR581)&gt;0.05</formula>
    </cfRule>
    <cfRule type="expression" dxfId="289" priority="149">
      <formula>AND(AR581=0,(AS581&gt;0))</formula>
    </cfRule>
  </conditionalFormatting>
  <conditionalFormatting sqref="AS582:AS612">
    <cfRule type="expression" dxfId="288" priority="95">
      <formula>AND(AR582=0,(AS582&gt;0))</formula>
    </cfRule>
    <cfRule type="expression" dxfId="287" priority="96">
      <formula>((AS582-AR582)/AR582)&gt;0.05</formula>
    </cfRule>
  </conditionalFormatting>
  <conditionalFormatting sqref="AS613">
    <cfRule type="expression" dxfId="286" priority="100">
      <formula>((AS613-AR612)/AR612)&gt;0.05</formula>
    </cfRule>
    <cfRule type="expression" dxfId="285" priority="99">
      <formula>AND(AR612=0,(AS613&gt;0))</formula>
    </cfRule>
  </conditionalFormatting>
  <conditionalFormatting sqref="AS614:AS624">
    <cfRule type="expression" dxfId="284" priority="54">
      <formula>((I614-H614)/H614)&gt;0.05</formula>
    </cfRule>
    <cfRule type="expression" dxfId="283" priority="53">
      <formula>AND(H614=0,(I614&gt;0))</formula>
    </cfRule>
  </conditionalFormatting>
  <conditionalFormatting sqref="AU1">
    <cfRule type="cellIs" dxfId="282" priority="1945" stopIfTrue="1" operator="greaterThan">
      <formula>AT1+(AT1*0.1)</formula>
    </cfRule>
    <cfRule type="cellIs" dxfId="281" priority="1946" stopIfTrue="1" operator="lessThan">
      <formula>AT1-(AT1*0.1)</formula>
    </cfRule>
  </conditionalFormatting>
  <conditionalFormatting sqref="AU581">
    <cfRule type="expression" dxfId="280" priority="140">
      <formula>((AU581-AT581)/AT581)&gt;0.05</formula>
    </cfRule>
    <cfRule type="expression" dxfId="279" priority="139">
      <formula>AND(AT581=0,(AU581&gt;0))</formula>
    </cfRule>
  </conditionalFormatting>
  <conditionalFormatting sqref="AU582:AU612">
    <cfRule type="expression" dxfId="278" priority="101">
      <formula>AND(AT582=0,(AU582&gt;0))</formula>
    </cfRule>
    <cfRule type="expression" dxfId="277" priority="102">
      <formula>((AU582-AT582)/AT582)&gt;0.05</formula>
    </cfRule>
  </conditionalFormatting>
  <conditionalFormatting sqref="AU613">
    <cfRule type="expression" dxfId="276" priority="103">
      <formula>AND(AT612=0,(AU613&gt;0))</formula>
    </cfRule>
    <cfRule type="expression" dxfId="275" priority="104">
      <formula>((AU613-AT612)/AT612)&gt;0.05</formula>
    </cfRule>
  </conditionalFormatting>
  <conditionalFormatting sqref="AU614:AU624">
    <cfRule type="expression" dxfId="274" priority="56">
      <formula>((I614-H614)/H614)&gt;0.05</formula>
    </cfRule>
    <cfRule type="expression" dxfId="273" priority="55">
      <formula>AND(H614=0,(I614&gt;0))</formula>
    </cfRule>
  </conditionalFormatting>
  <pageMargins left="0.75" right="0.75" top="1" bottom="1" header="0.5" footer="0.5"/>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B2A22-A536-42BA-9198-07BD1A07DDDD}">
  <dimension ref="A1:J644"/>
  <sheetViews>
    <sheetView workbookViewId="0">
      <selection activeCell="K19" sqref="K19"/>
    </sheetView>
  </sheetViews>
  <sheetFormatPr defaultRowHeight="11.25"/>
  <sheetData>
    <row r="1" spans="1:10">
      <c r="A1">
        <v>0</v>
      </c>
      <c r="B1">
        <v>0</v>
      </c>
    </row>
    <row r="2" spans="1:10">
      <c r="A2" s="365"/>
      <c r="B2" s="365"/>
    </row>
    <row r="3" spans="1:10">
      <c r="A3" s="597" t="s">
        <v>5</v>
      </c>
      <c r="B3" s="597"/>
    </row>
    <row r="4" spans="1:10">
      <c r="A4" s="365" t="s">
        <v>16</v>
      </c>
      <c r="B4" s="365"/>
    </row>
    <row r="5" spans="1:10">
      <c r="A5" s="365">
        <v>2020</v>
      </c>
      <c r="B5" s="365">
        <v>2021</v>
      </c>
    </row>
    <row r="6" spans="1:10">
      <c r="A6" s="598" t="s">
        <v>70</v>
      </c>
      <c r="B6" s="598" t="s">
        <v>71</v>
      </c>
    </row>
    <row r="7" spans="1:10" ht="12.75">
      <c r="A7" s="401" t="s">
        <v>72</v>
      </c>
      <c r="B7" s="599">
        <v>29363.516666666666</v>
      </c>
      <c r="C7" s="599">
        <v>30153.166666666664</v>
      </c>
      <c r="D7">
        <v>29363.516666666666</v>
      </c>
      <c r="E7">
        <v>30153.166666666664</v>
      </c>
      <c r="G7">
        <f>D7-B7</f>
        <v>0</v>
      </c>
      <c r="H7">
        <f>E7-C7</f>
        <v>0</v>
      </c>
      <c r="I7" s="604">
        <f>SUM(G7:G644)</f>
        <v>0</v>
      </c>
      <c r="J7" s="604">
        <f>SUM(H7:H644)</f>
        <v>0</v>
      </c>
    </row>
    <row r="8" spans="1:10" ht="12.75">
      <c r="A8" s="401" t="s">
        <v>72</v>
      </c>
      <c r="B8" s="599">
        <v>33973.791666666664</v>
      </c>
      <c r="C8" s="599">
        <v>33183.4</v>
      </c>
      <c r="D8">
        <v>33973.791666666664</v>
      </c>
      <c r="E8">
        <v>33183.4</v>
      </c>
      <c r="G8">
        <f t="shared" ref="G8:G44" si="0">D8-B8</f>
        <v>0</v>
      </c>
      <c r="H8">
        <f t="shared" ref="H8:H44" si="1">E8-C8</f>
        <v>0</v>
      </c>
    </row>
    <row r="9" spans="1:10" ht="12.75">
      <c r="A9" s="401" t="s">
        <v>72</v>
      </c>
      <c r="B9" s="599">
        <v>13073.755555555555</v>
      </c>
      <c r="C9" s="599">
        <v>13008.997222222222</v>
      </c>
      <c r="D9">
        <v>13073.755555555555</v>
      </c>
      <c r="E9">
        <v>13008.997222222222</v>
      </c>
      <c r="G9">
        <f t="shared" si="0"/>
        <v>0</v>
      </c>
      <c r="H9">
        <f t="shared" si="1"/>
        <v>0</v>
      </c>
    </row>
    <row r="10" spans="1:10" ht="12.75">
      <c r="A10" s="401" t="s">
        <v>72</v>
      </c>
      <c r="B10" s="599">
        <v>8608.2999999999993</v>
      </c>
      <c r="C10" s="599">
        <v>8392.2083333333339</v>
      </c>
      <c r="D10">
        <v>8608.2999999999993</v>
      </c>
      <c r="E10">
        <v>8392.2083333333339</v>
      </c>
      <c r="G10">
        <f t="shared" si="0"/>
        <v>0</v>
      </c>
      <c r="H10">
        <f t="shared" si="1"/>
        <v>0</v>
      </c>
    </row>
    <row r="11" spans="1:10" ht="12.75">
      <c r="A11" s="401" t="s">
        <v>72</v>
      </c>
      <c r="B11" s="599">
        <v>8537.8666666666668</v>
      </c>
      <c r="C11" s="599">
        <v>8103.8583333333336</v>
      </c>
      <c r="D11">
        <v>8537.8666666666668</v>
      </c>
      <c r="E11">
        <v>8103.8583333333336</v>
      </c>
      <c r="G11">
        <f t="shared" si="0"/>
        <v>0</v>
      </c>
      <c r="H11">
        <f t="shared" si="1"/>
        <v>0</v>
      </c>
    </row>
    <row r="12" spans="1:10" ht="12.75">
      <c r="A12" s="401" t="s">
        <v>72</v>
      </c>
      <c r="B12" s="599">
        <v>5752.3166666666666</v>
      </c>
      <c r="C12" s="599">
        <v>5127.1583333333338</v>
      </c>
      <c r="D12">
        <v>5752.3166666666666</v>
      </c>
      <c r="E12">
        <v>5127.1583333333338</v>
      </c>
      <c r="G12">
        <f t="shared" si="0"/>
        <v>0</v>
      </c>
      <c r="H12">
        <f t="shared" si="1"/>
        <v>0</v>
      </c>
    </row>
    <row r="13" spans="1:10" ht="12.75">
      <c r="A13" s="401" t="s">
        <v>72</v>
      </c>
      <c r="B13" s="599">
        <v>7878.7749999999996</v>
      </c>
      <c r="C13" s="599">
        <v>7936.5</v>
      </c>
      <c r="D13">
        <v>7878.7749999999996</v>
      </c>
      <c r="E13">
        <v>7936.5</v>
      </c>
      <c r="G13">
        <f t="shared" si="0"/>
        <v>0</v>
      </c>
      <c r="H13">
        <f t="shared" si="1"/>
        <v>0</v>
      </c>
    </row>
    <row r="14" spans="1:10" ht="12.75">
      <c r="A14" s="401" t="s">
        <v>72</v>
      </c>
      <c r="B14" s="599">
        <v>12691.775000000001</v>
      </c>
      <c r="C14" s="599">
        <v>11723.400000000001</v>
      </c>
      <c r="D14">
        <v>12691.775000000001</v>
      </c>
      <c r="E14">
        <v>11723.400000000001</v>
      </c>
      <c r="G14">
        <f t="shared" si="0"/>
        <v>0</v>
      </c>
      <c r="H14">
        <f t="shared" si="1"/>
        <v>0</v>
      </c>
    </row>
    <row r="15" spans="1:10" ht="12.75">
      <c r="A15" s="401" t="s">
        <v>72</v>
      </c>
      <c r="B15" s="599">
        <v>6624.4666666666662</v>
      </c>
      <c r="C15" s="599">
        <v>6790.0250000000005</v>
      </c>
      <c r="D15">
        <v>6624.4666666666662</v>
      </c>
      <c r="E15">
        <v>6790.0250000000005</v>
      </c>
      <c r="G15">
        <f t="shared" si="0"/>
        <v>0</v>
      </c>
      <c r="H15">
        <f t="shared" si="1"/>
        <v>0</v>
      </c>
    </row>
    <row r="16" spans="1:10" ht="12.75">
      <c r="A16" s="401" t="s">
        <v>72</v>
      </c>
      <c r="B16" s="599">
        <v>4153.0333333333328</v>
      </c>
      <c r="C16" s="599">
        <v>3634.4416666666666</v>
      </c>
      <c r="D16">
        <v>4153.0333333333328</v>
      </c>
      <c r="E16">
        <v>3634.4416666666666</v>
      </c>
      <c r="G16">
        <f t="shared" si="0"/>
        <v>0</v>
      </c>
      <c r="H16">
        <f t="shared" si="1"/>
        <v>0</v>
      </c>
    </row>
    <row r="17" spans="1:8" ht="12.75">
      <c r="A17" s="401" t="s">
        <v>72</v>
      </c>
      <c r="B17" s="599">
        <v>4397</v>
      </c>
      <c r="C17" s="599">
        <v>4111.8500000000004</v>
      </c>
      <c r="D17">
        <v>4397</v>
      </c>
      <c r="E17">
        <v>4111.8500000000004</v>
      </c>
      <c r="G17">
        <f t="shared" si="0"/>
        <v>0</v>
      </c>
      <c r="H17">
        <f t="shared" si="1"/>
        <v>0</v>
      </c>
    </row>
    <row r="18" spans="1:8" ht="12.75">
      <c r="A18" s="401" t="s">
        <v>72</v>
      </c>
      <c r="B18" s="599">
        <v>2352.7250000000004</v>
      </c>
      <c r="C18" s="599">
        <v>2357.9583333333335</v>
      </c>
      <c r="D18">
        <v>2352.7250000000004</v>
      </c>
      <c r="E18">
        <v>2357.9583333333335</v>
      </c>
      <c r="G18">
        <f t="shared" si="0"/>
        <v>0</v>
      </c>
      <c r="H18">
        <f t="shared" si="1"/>
        <v>0</v>
      </c>
    </row>
    <row r="19" spans="1:8" ht="12.75">
      <c r="A19" s="401" t="s">
        <v>72</v>
      </c>
      <c r="B19" s="599">
        <v>4970.8416666666672</v>
      </c>
      <c r="C19" s="599">
        <v>4921.166666666667</v>
      </c>
      <c r="D19">
        <v>4970.8416666666672</v>
      </c>
      <c r="E19">
        <v>4921.166666666667</v>
      </c>
      <c r="G19">
        <f t="shared" si="0"/>
        <v>0</v>
      </c>
      <c r="H19">
        <f t="shared" si="1"/>
        <v>0</v>
      </c>
    </row>
    <row r="20" spans="1:8" ht="12.75">
      <c r="A20" s="401" t="s">
        <v>72</v>
      </c>
      <c r="B20" s="599">
        <v>2292.5500000000002</v>
      </c>
      <c r="C20" s="599">
        <v>2209.2416666666668</v>
      </c>
      <c r="D20">
        <v>2292.5500000000002</v>
      </c>
      <c r="E20">
        <v>2209.2416666666668</v>
      </c>
      <c r="G20">
        <f t="shared" si="0"/>
        <v>0</v>
      </c>
      <c r="H20">
        <f t="shared" si="1"/>
        <v>0</v>
      </c>
    </row>
    <row r="21" spans="1:8" ht="12.75">
      <c r="A21" s="401" t="s">
        <v>72</v>
      </c>
      <c r="B21" s="599">
        <v>5376.5</v>
      </c>
      <c r="C21" s="599">
        <v>5287.5</v>
      </c>
      <c r="D21">
        <v>5376.5</v>
      </c>
      <c r="E21">
        <v>5287.5</v>
      </c>
      <c r="G21">
        <f t="shared" si="0"/>
        <v>0</v>
      </c>
      <c r="H21">
        <f t="shared" si="1"/>
        <v>0</v>
      </c>
    </row>
    <row r="22" spans="1:8" ht="12.75">
      <c r="A22" s="401" t="s">
        <v>72</v>
      </c>
      <c r="B22" s="599">
        <v>5897.8</v>
      </c>
      <c r="C22" s="599">
        <v>5606.7333333333336</v>
      </c>
      <c r="D22">
        <v>5897.8</v>
      </c>
      <c r="E22">
        <v>5606.7333333333336</v>
      </c>
      <c r="G22">
        <f t="shared" si="0"/>
        <v>0</v>
      </c>
      <c r="H22">
        <f t="shared" si="1"/>
        <v>0</v>
      </c>
    </row>
    <row r="23" spans="1:8" ht="12.75">
      <c r="A23" s="401" t="s">
        <v>72</v>
      </c>
      <c r="B23" s="599">
        <v>2358.2333333333331</v>
      </c>
      <c r="C23" s="599">
        <v>2189.7666666666669</v>
      </c>
      <c r="D23">
        <v>2358.2333333333331</v>
      </c>
      <c r="E23">
        <v>2189.7666666666669</v>
      </c>
      <c r="G23">
        <f t="shared" si="0"/>
        <v>0</v>
      </c>
      <c r="H23">
        <f t="shared" si="1"/>
        <v>0</v>
      </c>
    </row>
    <row r="24" spans="1:8" ht="12.75">
      <c r="A24" s="401" t="s">
        <v>72</v>
      </c>
      <c r="B24" s="599">
        <v>1832.0666666666666</v>
      </c>
      <c r="C24" s="599">
        <v>1653.2666666666667</v>
      </c>
      <c r="D24">
        <v>1832.0666666666666</v>
      </c>
      <c r="E24">
        <v>1653.2666666666667</v>
      </c>
      <c r="G24">
        <f t="shared" si="0"/>
        <v>0</v>
      </c>
      <c r="H24">
        <f t="shared" si="1"/>
        <v>0</v>
      </c>
    </row>
    <row r="25" spans="1:8" ht="12.75">
      <c r="A25" s="401" t="s">
        <v>72</v>
      </c>
      <c r="B25" s="599">
        <v>5190.2333333333336</v>
      </c>
      <c r="C25" s="599">
        <v>4935.1000000000004</v>
      </c>
      <c r="D25">
        <v>5190.2333333333336</v>
      </c>
      <c r="E25">
        <v>4935.1000000000004</v>
      </c>
      <c r="G25">
        <f t="shared" si="0"/>
        <v>0</v>
      </c>
      <c r="H25">
        <f t="shared" si="1"/>
        <v>0</v>
      </c>
    </row>
    <row r="26" spans="1:8" ht="12.75">
      <c r="A26" s="401" t="s">
        <v>72</v>
      </c>
      <c r="B26" s="599">
        <v>3237.8333333333335</v>
      </c>
      <c r="C26" s="599">
        <v>3191.6666666666665</v>
      </c>
      <c r="D26">
        <v>3237.8333333333335</v>
      </c>
      <c r="E26">
        <v>3191.6666666666665</v>
      </c>
      <c r="G26">
        <f t="shared" si="0"/>
        <v>0</v>
      </c>
      <c r="H26">
        <f t="shared" si="1"/>
        <v>0</v>
      </c>
    </row>
    <row r="27" spans="1:8" ht="12.75">
      <c r="A27" s="401" t="s">
        <v>72</v>
      </c>
      <c r="B27" s="599">
        <v>2871.3</v>
      </c>
      <c r="C27" s="599">
        <v>2646.3</v>
      </c>
      <c r="D27">
        <v>2871.3</v>
      </c>
      <c r="E27">
        <v>2646.3</v>
      </c>
      <c r="G27">
        <f t="shared" si="0"/>
        <v>0</v>
      </c>
      <c r="H27">
        <f t="shared" si="1"/>
        <v>0</v>
      </c>
    </row>
    <row r="28" spans="1:8" ht="12.75">
      <c r="A28" s="401" t="s">
        <v>72</v>
      </c>
      <c r="B28" s="599">
        <v>3974.4666666666667</v>
      </c>
      <c r="C28" s="599">
        <v>3766.7</v>
      </c>
      <c r="D28">
        <v>3974.4666666666667</v>
      </c>
      <c r="E28">
        <v>3766.7</v>
      </c>
      <c r="G28">
        <f t="shared" si="0"/>
        <v>0</v>
      </c>
      <c r="H28">
        <f t="shared" si="1"/>
        <v>0</v>
      </c>
    </row>
    <row r="29" spans="1:8" ht="12.75">
      <c r="A29" s="401" t="s">
        <v>72</v>
      </c>
      <c r="B29" s="599">
        <v>2283.9</v>
      </c>
      <c r="C29" s="599">
        <v>2202.8666666666668</v>
      </c>
      <c r="D29">
        <v>2283.9</v>
      </c>
      <c r="E29">
        <v>2202.8666666666668</v>
      </c>
      <c r="G29">
        <f t="shared" si="0"/>
        <v>0</v>
      </c>
      <c r="H29">
        <f t="shared" si="1"/>
        <v>0</v>
      </c>
    </row>
    <row r="30" spans="1:8" ht="12.75">
      <c r="A30" s="401" t="s">
        <v>72</v>
      </c>
      <c r="B30" s="599">
        <v>2077.5666666666666</v>
      </c>
      <c r="C30" s="599">
        <v>1966.6</v>
      </c>
      <c r="D30">
        <v>2077.5666666666666</v>
      </c>
      <c r="E30">
        <v>1966.6</v>
      </c>
      <c r="G30">
        <f t="shared" si="0"/>
        <v>0</v>
      </c>
      <c r="H30">
        <f t="shared" si="1"/>
        <v>0</v>
      </c>
    </row>
    <row r="31" spans="1:8" ht="12.75">
      <c r="A31" s="401" t="s">
        <v>72</v>
      </c>
      <c r="B31" s="599">
        <v>3063.4</v>
      </c>
      <c r="C31" s="599">
        <v>2961.3666666666668</v>
      </c>
      <c r="D31">
        <v>3063.4</v>
      </c>
      <c r="E31">
        <v>2961.3666666666668</v>
      </c>
      <c r="G31">
        <f t="shared" si="0"/>
        <v>0</v>
      </c>
      <c r="H31">
        <f t="shared" si="1"/>
        <v>0</v>
      </c>
    </row>
    <row r="32" spans="1:8" ht="12.75">
      <c r="A32" s="401" t="s">
        <v>72</v>
      </c>
      <c r="B32" s="599">
        <v>3468.8333333333335</v>
      </c>
      <c r="C32" s="599">
        <v>3203.7666666666669</v>
      </c>
      <c r="D32">
        <v>3468.8333333333335</v>
      </c>
      <c r="E32">
        <v>3203.7666666666669</v>
      </c>
      <c r="G32">
        <f t="shared" si="0"/>
        <v>0</v>
      </c>
      <c r="H32">
        <f t="shared" si="1"/>
        <v>0</v>
      </c>
    </row>
    <row r="33" spans="1:8" ht="12.75">
      <c r="A33" s="401" t="s">
        <v>72</v>
      </c>
      <c r="B33" s="599">
        <v>1067.2</v>
      </c>
      <c r="C33" s="599">
        <v>973.23333333333335</v>
      </c>
      <c r="D33">
        <v>1067.2</v>
      </c>
      <c r="E33">
        <v>973.23333333333335</v>
      </c>
      <c r="G33">
        <f t="shared" si="0"/>
        <v>0</v>
      </c>
      <c r="H33">
        <f t="shared" si="1"/>
        <v>0</v>
      </c>
    </row>
    <row r="34" spans="1:8" ht="12.75">
      <c r="A34" s="401" t="s">
        <v>72</v>
      </c>
      <c r="B34" s="599">
        <v>1155.2333333333333</v>
      </c>
      <c r="C34" s="599">
        <v>982.43333333333328</v>
      </c>
      <c r="D34">
        <v>1155.2333333333333</v>
      </c>
      <c r="E34">
        <v>982.43333333333328</v>
      </c>
      <c r="G34">
        <f t="shared" si="0"/>
        <v>0</v>
      </c>
      <c r="H34">
        <f t="shared" si="1"/>
        <v>0</v>
      </c>
    </row>
    <row r="35" spans="1:8" ht="12.75">
      <c r="A35" s="401" t="s">
        <v>72</v>
      </c>
      <c r="B35" s="599">
        <v>1367.8333333333333</v>
      </c>
      <c r="C35" s="599">
        <v>1431.6333333333334</v>
      </c>
      <c r="D35">
        <v>1367.8333333333333</v>
      </c>
      <c r="E35">
        <v>1431.6333333333334</v>
      </c>
      <c r="G35">
        <f t="shared" si="0"/>
        <v>0</v>
      </c>
      <c r="H35">
        <f t="shared" si="1"/>
        <v>0</v>
      </c>
    </row>
    <row r="36" spans="1:8" ht="12.75">
      <c r="A36" s="401" t="s">
        <v>72</v>
      </c>
      <c r="B36" s="599">
        <v>1050.3</v>
      </c>
      <c r="C36" s="599">
        <v>1031.9666666666667</v>
      </c>
      <c r="D36">
        <v>1050.3</v>
      </c>
      <c r="E36">
        <v>1031.9666666666667</v>
      </c>
      <c r="G36">
        <f t="shared" si="0"/>
        <v>0</v>
      </c>
      <c r="H36">
        <f t="shared" si="1"/>
        <v>0</v>
      </c>
    </row>
    <row r="37" spans="1:8" ht="12.75">
      <c r="A37" s="401" t="s">
        <v>72</v>
      </c>
      <c r="B37" s="599">
        <v>1261.7666666666667</v>
      </c>
      <c r="C37" s="599">
        <v>1287</v>
      </c>
      <c r="D37">
        <v>1261.7666666666667</v>
      </c>
      <c r="E37">
        <v>1287</v>
      </c>
      <c r="G37">
        <f t="shared" si="0"/>
        <v>0</v>
      </c>
      <c r="H37">
        <f t="shared" si="1"/>
        <v>0</v>
      </c>
    </row>
    <row r="38" spans="1:8" ht="12.75">
      <c r="A38" s="401" t="s">
        <v>72</v>
      </c>
      <c r="B38" s="599">
        <v>1883.0333333333333</v>
      </c>
      <c r="C38" s="599">
        <v>1637.9</v>
      </c>
      <c r="D38">
        <v>1883.0333333333333</v>
      </c>
      <c r="E38">
        <v>1637.9</v>
      </c>
      <c r="G38">
        <f t="shared" si="0"/>
        <v>0</v>
      </c>
      <c r="H38">
        <f t="shared" si="1"/>
        <v>0</v>
      </c>
    </row>
    <row r="39" spans="1:8" ht="12.75">
      <c r="A39" s="401" t="s">
        <v>72</v>
      </c>
      <c r="B39" s="599">
        <v>1886.0666666666666</v>
      </c>
      <c r="C39" s="599">
        <v>1801.9666666666667</v>
      </c>
      <c r="D39">
        <v>1886.0666666666666</v>
      </c>
      <c r="E39">
        <v>1801.9666666666667</v>
      </c>
      <c r="G39">
        <f t="shared" si="0"/>
        <v>0</v>
      </c>
      <c r="H39">
        <f t="shared" si="1"/>
        <v>0</v>
      </c>
    </row>
    <row r="40" spans="1:8" ht="12.75">
      <c r="A40" s="401" t="s">
        <v>72</v>
      </c>
      <c r="B40" s="599">
        <v>1357.8666666666666</v>
      </c>
      <c r="C40" s="599">
        <v>1323.2666666666667</v>
      </c>
      <c r="D40">
        <v>1357.8666666666666</v>
      </c>
      <c r="E40">
        <v>1323.2666666666667</v>
      </c>
      <c r="G40">
        <f t="shared" si="0"/>
        <v>0</v>
      </c>
      <c r="H40">
        <f t="shared" si="1"/>
        <v>0</v>
      </c>
    </row>
    <row r="41" spans="1:8" ht="12.75">
      <c r="A41" s="401" t="s">
        <v>72</v>
      </c>
      <c r="B41" s="599">
        <v>549.43333333333328</v>
      </c>
      <c r="C41" s="599">
        <v>561.26666666666665</v>
      </c>
      <c r="D41">
        <v>549.43333333333328</v>
      </c>
      <c r="E41">
        <v>561.26666666666665</v>
      </c>
      <c r="G41">
        <f t="shared" si="0"/>
        <v>0</v>
      </c>
      <c r="H41">
        <f t="shared" si="1"/>
        <v>0</v>
      </c>
    </row>
    <row r="42" spans="1:8" ht="12.75">
      <c r="A42" s="401" t="s">
        <v>72</v>
      </c>
      <c r="B42" s="599">
        <v>376.6</v>
      </c>
      <c r="C42" s="599">
        <v>425.1</v>
      </c>
      <c r="D42">
        <v>376.6</v>
      </c>
      <c r="E42">
        <v>425.1</v>
      </c>
      <c r="G42">
        <f t="shared" si="0"/>
        <v>0</v>
      </c>
      <c r="H42">
        <f t="shared" si="1"/>
        <v>0</v>
      </c>
    </row>
    <row r="43" spans="1:8" ht="12.75">
      <c r="A43" s="401" t="s">
        <v>72</v>
      </c>
      <c r="B43" s="599">
        <v>313.23333333333335</v>
      </c>
      <c r="C43" s="599">
        <v>286.89999999999998</v>
      </c>
      <c r="D43">
        <v>313.23333333333335</v>
      </c>
      <c r="E43">
        <v>286.89999999999998</v>
      </c>
      <c r="G43">
        <f t="shared" si="0"/>
        <v>0</v>
      </c>
      <c r="H43">
        <f t="shared" si="1"/>
        <v>0</v>
      </c>
    </row>
    <row r="44" spans="1:8" ht="12.75">
      <c r="A44" s="401" t="s">
        <v>72</v>
      </c>
      <c r="B44" s="599">
        <v>423.6</v>
      </c>
      <c r="C44" s="599">
        <v>365.16666666666669</v>
      </c>
      <c r="D44">
        <v>423.6</v>
      </c>
      <c r="E44">
        <v>365.16666666666669</v>
      </c>
      <c r="G44">
        <f t="shared" si="0"/>
        <v>0</v>
      </c>
      <c r="H44">
        <f t="shared" si="1"/>
        <v>0</v>
      </c>
    </row>
    <row r="45" spans="1:8" ht="12.75">
      <c r="A45" s="406" t="s">
        <v>102</v>
      </c>
      <c r="B45" s="599">
        <v>12499.075000000001</v>
      </c>
      <c r="C45" s="599">
        <v>12041.525</v>
      </c>
      <c r="D45">
        <v>12499.075000000001</v>
      </c>
      <c r="E45">
        <v>12041.525</v>
      </c>
      <c r="G45">
        <f t="shared" ref="G45:G108" si="2">D45-B45</f>
        <v>0</v>
      </c>
      <c r="H45">
        <f t="shared" ref="H45:H108" si="3">E45-C45</f>
        <v>0</v>
      </c>
    </row>
    <row r="46" spans="1:8" ht="12.75">
      <c r="A46" s="406" t="s">
        <v>102</v>
      </c>
      <c r="B46" s="599">
        <v>8254.2583333333332</v>
      </c>
      <c r="C46" s="599">
        <v>7371.4333333333334</v>
      </c>
      <c r="D46">
        <v>8254.2583333333332</v>
      </c>
      <c r="E46">
        <v>7371.4333333333334</v>
      </c>
      <c r="G46">
        <f t="shared" si="2"/>
        <v>0</v>
      </c>
      <c r="H46">
        <f t="shared" si="3"/>
        <v>0</v>
      </c>
    </row>
    <row r="47" spans="1:8" ht="12.75">
      <c r="A47" s="406" t="s">
        <v>102</v>
      </c>
      <c r="B47" s="599">
        <v>3151.7</v>
      </c>
      <c r="C47" s="599">
        <v>2742.9500000000003</v>
      </c>
      <c r="D47">
        <v>3151.7</v>
      </c>
      <c r="E47">
        <v>2742.9500000000003</v>
      </c>
      <c r="G47">
        <f t="shared" si="2"/>
        <v>0</v>
      </c>
      <c r="H47">
        <f t="shared" si="3"/>
        <v>0</v>
      </c>
    </row>
    <row r="48" spans="1:8" ht="12.75">
      <c r="A48" s="406" t="s">
        <v>102</v>
      </c>
      <c r="B48" s="599">
        <v>3931.0083333333332</v>
      </c>
      <c r="C48" s="599">
        <v>3786.791666666667</v>
      </c>
      <c r="D48">
        <v>3931.0083333333332</v>
      </c>
      <c r="E48">
        <v>3786.791666666667</v>
      </c>
      <c r="G48">
        <f t="shared" si="2"/>
        <v>0</v>
      </c>
      <c r="H48">
        <f t="shared" si="3"/>
        <v>0</v>
      </c>
    </row>
    <row r="49" spans="1:8" ht="12.75">
      <c r="A49" s="406" t="s">
        <v>102</v>
      </c>
      <c r="B49" s="599">
        <v>25228.3</v>
      </c>
      <c r="C49" s="599">
        <v>25800.841666666667</v>
      </c>
      <c r="D49">
        <v>25228.3</v>
      </c>
      <c r="E49">
        <v>25800.841666666667</v>
      </c>
      <c r="G49">
        <f t="shared" si="2"/>
        <v>0</v>
      </c>
      <c r="H49">
        <f t="shared" si="3"/>
        <v>0</v>
      </c>
    </row>
    <row r="50" spans="1:8" ht="12.75">
      <c r="A50" s="406" t="s">
        <v>102</v>
      </c>
      <c r="B50" s="599">
        <v>4830.9916666666668</v>
      </c>
      <c r="C50" s="599">
        <v>4359.2250000000004</v>
      </c>
      <c r="D50">
        <v>4830.9916666666668</v>
      </c>
      <c r="E50">
        <v>4359.2250000000004</v>
      </c>
      <c r="G50">
        <f t="shared" si="2"/>
        <v>0</v>
      </c>
      <c r="H50">
        <f t="shared" si="3"/>
        <v>0</v>
      </c>
    </row>
    <row r="51" spans="1:8" ht="12.75">
      <c r="A51" s="406" t="s">
        <v>102</v>
      </c>
      <c r="B51" s="599">
        <v>7033.7166666666672</v>
      </c>
      <c r="C51" s="599">
        <v>6464.7833333333338</v>
      </c>
      <c r="D51">
        <v>7033.7166666666672</v>
      </c>
      <c r="E51">
        <v>6464.7833333333338</v>
      </c>
      <c r="G51">
        <f t="shared" si="2"/>
        <v>0</v>
      </c>
      <c r="H51">
        <f t="shared" si="3"/>
        <v>0</v>
      </c>
    </row>
    <row r="52" spans="1:8" ht="12.75">
      <c r="A52" s="406" t="s">
        <v>102</v>
      </c>
      <c r="B52" s="599">
        <v>2396.2916666666665</v>
      </c>
      <c r="C52" s="599">
        <v>2315.1583333333333</v>
      </c>
      <c r="D52">
        <v>2396.2916666666665</v>
      </c>
      <c r="E52">
        <v>2315.1583333333333</v>
      </c>
      <c r="G52">
        <f t="shared" si="2"/>
        <v>0</v>
      </c>
      <c r="H52">
        <f t="shared" si="3"/>
        <v>0</v>
      </c>
    </row>
    <row r="53" spans="1:8" ht="12.75">
      <c r="A53" s="406" t="s">
        <v>102</v>
      </c>
      <c r="B53" s="599">
        <v>2330.7999999999997</v>
      </c>
      <c r="C53" s="599">
        <v>2320.3583333333331</v>
      </c>
      <c r="D53">
        <v>2330.7999999999997</v>
      </c>
      <c r="E53">
        <v>2320.3583333333331</v>
      </c>
      <c r="G53">
        <f t="shared" si="2"/>
        <v>0</v>
      </c>
      <c r="H53">
        <f t="shared" si="3"/>
        <v>0</v>
      </c>
    </row>
    <row r="54" spans="1:8" ht="12.75">
      <c r="A54" s="406" t="s">
        <v>102</v>
      </c>
      <c r="B54" s="599">
        <v>9783.5083333333332</v>
      </c>
      <c r="C54" s="599">
        <v>9257.3916666666664</v>
      </c>
      <c r="D54">
        <v>9783.5083333333332</v>
      </c>
      <c r="E54">
        <v>9257.3916666666664</v>
      </c>
      <c r="G54">
        <f t="shared" si="2"/>
        <v>0</v>
      </c>
      <c r="H54">
        <f t="shared" si="3"/>
        <v>0</v>
      </c>
    </row>
    <row r="55" spans="1:8" ht="12.75">
      <c r="A55" s="406" t="s">
        <v>102</v>
      </c>
      <c r="B55" s="599">
        <v>862.36666666666667</v>
      </c>
      <c r="C55" s="599">
        <v>818.33333333333337</v>
      </c>
      <c r="D55">
        <v>862.36666666666667</v>
      </c>
      <c r="E55">
        <v>818.33333333333337</v>
      </c>
      <c r="G55">
        <f t="shared" si="2"/>
        <v>0</v>
      </c>
      <c r="H55">
        <f t="shared" si="3"/>
        <v>0</v>
      </c>
    </row>
    <row r="56" spans="1:8" ht="12.75">
      <c r="A56" s="406" t="s">
        <v>102</v>
      </c>
      <c r="B56" s="599">
        <v>2303.0666666666666</v>
      </c>
      <c r="C56" s="599">
        <v>2019.5</v>
      </c>
      <c r="D56">
        <v>2303.0666666666666</v>
      </c>
      <c r="E56">
        <v>2019.5</v>
      </c>
      <c r="G56">
        <f t="shared" si="2"/>
        <v>0</v>
      </c>
      <c r="H56">
        <f t="shared" si="3"/>
        <v>0</v>
      </c>
    </row>
    <row r="57" spans="1:8" ht="12.75">
      <c r="A57" s="406" t="s">
        <v>102</v>
      </c>
      <c r="B57" s="599">
        <v>880.26666666666665</v>
      </c>
      <c r="C57" s="599">
        <v>826.2</v>
      </c>
      <c r="D57">
        <v>880.26666666666665</v>
      </c>
      <c r="E57">
        <v>826.2</v>
      </c>
      <c r="G57">
        <f t="shared" si="2"/>
        <v>0</v>
      </c>
      <c r="H57">
        <f t="shared" si="3"/>
        <v>0</v>
      </c>
    </row>
    <row r="58" spans="1:8" ht="12.75">
      <c r="A58" s="406" t="s">
        <v>102</v>
      </c>
      <c r="B58" s="599">
        <v>725.4</v>
      </c>
      <c r="C58" s="599">
        <v>674.8</v>
      </c>
      <c r="D58">
        <v>725.4</v>
      </c>
      <c r="E58">
        <v>674.8</v>
      </c>
      <c r="G58">
        <f t="shared" si="2"/>
        <v>0</v>
      </c>
      <c r="H58">
        <f t="shared" si="3"/>
        <v>0</v>
      </c>
    </row>
    <row r="59" spans="1:8" ht="12.75">
      <c r="A59" s="406" t="s">
        <v>102</v>
      </c>
      <c r="B59" s="599">
        <v>1723.5333333333333</v>
      </c>
      <c r="C59" s="599">
        <v>1626.3333333333333</v>
      </c>
      <c r="D59">
        <v>1723.5333333333333</v>
      </c>
      <c r="E59">
        <v>1626.3333333333333</v>
      </c>
      <c r="G59">
        <f t="shared" si="2"/>
        <v>0</v>
      </c>
      <c r="H59">
        <f t="shared" si="3"/>
        <v>0</v>
      </c>
    </row>
    <row r="60" spans="1:8" ht="12.75">
      <c r="A60" s="406" t="s">
        <v>102</v>
      </c>
      <c r="B60" s="599">
        <v>660.86666666666667</v>
      </c>
      <c r="C60" s="599">
        <v>726.5333333333333</v>
      </c>
      <c r="D60">
        <v>660.86666666666667</v>
      </c>
      <c r="E60">
        <v>726.5333333333333</v>
      </c>
      <c r="G60">
        <f t="shared" si="2"/>
        <v>0</v>
      </c>
      <c r="H60">
        <f t="shared" si="3"/>
        <v>0</v>
      </c>
    </row>
    <row r="61" spans="1:8" ht="12.75">
      <c r="A61" s="406" t="s">
        <v>102</v>
      </c>
      <c r="B61" s="599">
        <v>1097.2666666666667</v>
      </c>
      <c r="C61" s="599">
        <v>1088.7666666666667</v>
      </c>
      <c r="D61">
        <v>1097.2666666666667</v>
      </c>
      <c r="E61">
        <v>1088.7666666666667</v>
      </c>
      <c r="G61">
        <f t="shared" si="2"/>
        <v>0</v>
      </c>
      <c r="H61">
        <f t="shared" si="3"/>
        <v>0</v>
      </c>
    </row>
    <row r="62" spans="1:8" ht="12.75">
      <c r="A62" s="406" t="s">
        <v>102</v>
      </c>
      <c r="B62" s="599">
        <v>919.9666666666667</v>
      </c>
      <c r="C62" s="599">
        <v>864.26666666666665</v>
      </c>
      <c r="D62">
        <v>919.9666666666667</v>
      </c>
      <c r="E62">
        <v>864.26666666666665</v>
      </c>
      <c r="G62">
        <f t="shared" si="2"/>
        <v>0</v>
      </c>
      <c r="H62">
        <f t="shared" si="3"/>
        <v>0</v>
      </c>
    </row>
    <row r="63" spans="1:8" ht="12.75">
      <c r="A63" s="409" t="s">
        <v>102</v>
      </c>
      <c r="B63" s="599">
        <v>788.06666666666672</v>
      </c>
      <c r="C63" s="599">
        <v>689.93333333333328</v>
      </c>
      <c r="D63">
        <v>788.06666666666672</v>
      </c>
      <c r="E63">
        <v>689.93333333333328</v>
      </c>
      <c r="G63">
        <f t="shared" si="2"/>
        <v>0</v>
      </c>
      <c r="H63">
        <f t="shared" si="3"/>
        <v>0</v>
      </c>
    </row>
    <row r="64" spans="1:8" ht="12.75">
      <c r="A64" s="406" t="s">
        <v>102</v>
      </c>
      <c r="B64" s="599">
        <v>1199.4666666666667</v>
      </c>
      <c r="C64" s="599">
        <v>1179.9000000000001</v>
      </c>
      <c r="D64">
        <v>1199.4666666666667</v>
      </c>
      <c r="E64">
        <v>1179.9000000000001</v>
      </c>
      <c r="G64">
        <f t="shared" si="2"/>
        <v>0</v>
      </c>
      <c r="H64">
        <f t="shared" si="3"/>
        <v>0</v>
      </c>
    </row>
    <row r="65" spans="1:8" ht="12.75">
      <c r="A65" s="409" t="s">
        <v>102</v>
      </c>
      <c r="B65" s="599">
        <v>1759.4333333333334</v>
      </c>
      <c r="C65" s="599">
        <v>1621.3</v>
      </c>
      <c r="D65">
        <v>1759.4333333333334</v>
      </c>
      <c r="E65">
        <v>1621.3</v>
      </c>
      <c r="G65">
        <f t="shared" si="2"/>
        <v>0</v>
      </c>
      <c r="H65">
        <f t="shared" si="3"/>
        <v>0</v>
      </c>
    </row>
    <row r="66" spans="1:8" ht="12.75">
      <c r="A66" s="406" t="s">
        <v>102</v>
      </c>
      <c r="B66" s="599">
        <v>4698.7</v>
      </c>
      <c r="C66" s="599">
        <v>4241.1333333333332</v>
      </c>
      <c r="D66">
        <v>4698.7</v>
      </c>
      <c r="E66">
        <v>4241.1333333333332</v>
      </c>
      <c r="G66">
        <f t="shared" si="2"/>
        <v>0</v>
      </c>
      <c r="H66">
        <f t="shared" si="3"/>
        <v>0</v>
      </c>
    </row>
    <row r="67" spans="1:8" ht="12.75">
      <c r="A67" s="406" t="s">
        <v>102</v>
      </c>
      <c r="B67" s="599">
        <v>764.66666666666663</v>
      </c>
      <c r="C67" s="599">
        <v>707.4666666666667</v>
      </c>
      <c r="D67">
        <v>764.66666666666663</v>
      </c>
      <c r="E67">
        <v>707.4666666666667</v>
      </c>
      <c r="G67">
        <f t="shared" si="2"/>
        <v>0</v>
      </c>
      <c r="H67">
        <f t="shared" si="3"/>
        <v>0</v>
      </c>
    </row>
    <row r="68" spans="1:8" ht="12.75">
      <c r="A68" s="406" t="s">
        <v>102</v>
      </c>
      <c r="B68" s="599">
        <v>790.9666666666667</v>
      </c>
      <c r="C68" s="599">
        <v>752.0333333333333</v>
      </c>
      <c r="D68">
        <v>790.9666666666667</v>
      </c>
      <c r="E68">
        <v>752.0333333333333</v>
      </c>
      <c r="G68">
        <f t="shared" si="2"/>
        <v>0</v>
      </c>
      <c r="H68">
        <f t="shared" si="3"/>
        <v>0</v>
      </c>
    </row>
    <row r="69" spans="1:8" ht="12.75">
      <c r="A69" s="406" t="s">
        <v>102</v>
      </c>
      <c r="B69" s="599">
        <v>957.86666666666667</v>
      </c>
      <c r="C69" s="599">
        <v>867.93333333333328</v>
      </c>
      <c r="D69">
        <v>957.86666666666667</v>
      </c>
      <c r="E69">
        <v>867.93333333333328</v>
      </c>
      <c r="G69">
        <f t="shared" si="2"/>
        <v>0</v>
      </c>
      <c r="H69">
        <f t="shared" si="3"/>
        <v>0</v>
      </c>
    </row>
    <row r="70" spans="1:8" ht="12.75">
      <c r="A70" s="409" t="s">
        <v>102</v>
      </c>
      <c r="B70" s="599">
        <v>824.4666666666667</v>
      </c>
      <c r="C70" s="599">
        <v>805.16666666666663</v>
      </c>
      <c r="D70">
        <v>824.4666666666667</v>
      </c>
      <c r="E70">
        <v>805.16666666666663</v>
      </c>
      <c r="G70">
        <f t="shared" si="2"/>
        <v>0</v>
      </c>
      <c r="H70">
        <f t="shared" si="3"/>
        <v>0</v>
      </c>
    </row>
    <row r="71" spans="1:8" ht="12.75">
      <c r="A71" s="406" t="s">
        <v>102</v>
      </c>
      <c r="B71" s="599">
        <v>819.9</v>
      </c>
      <c r="C71" s="599">
        <v>731</v>
      </c>
      <c r="D71">
        <v>819.9</v>
      </c>
      <c r="E71">
        <v>731</v>
      </c>
      <c r="G71">
        <f t="shared" si="2"/>
        <v>0</v>
      </c>
      <c r="H71">
        <f t="shared" si="3"/>
        <v>0</v>
      </c>
    </row>
    <row r="72" spans="1:8" ht="12.75">
      <c r="A72" s="409" t="s">
        <v>102</v>
      </c>
      <c r="B72" s="599">
        <v>917.1</v>
      </c>
      <c r="C72" s="599">
        <v>756.33333333333337</v>
      </c>
      <c r="D72">
        <v>917.1</v>
      </c>
      <c r="E72">
        <v>756.33333333333337</v>
      </c>
      <c r="G72">
        <f t="shared" si="2"/>
        <v>0</v>
      </c>
      <c r="H72">
        <f t="shared" si="3"/>
        <v>0</v>
      </c>
    </row>
    <row r="73" spans="1:8" ht="12.75">
      <c r="A73" s="406" t="s">
        <v>102</v>
      </c>
      <c r="B73" s="599">
        <v>871.16666666666663</v>
      </c>
      <c r="C73" s="599">
        <v>786.83333333333337</v>
      </c>
      <c r="D73">
        <v>871.16666666666663</v>
      </c>
      <c r="E73">
        <v>786.83333333333337</v>
      </c>
      <c r="G73">
        <f t="shared" si="2"/>
        <v>0</v>
      </c>
      <c r="H73">
        <f t="shared" si="3"/>
        <v>0</v>
      </c>
    </row>
    <row r="74" spans="1:8" ht="12.75">
      <c r="A74" s="409" t="s">
        <v>102</v>
      </c>
      <c r="B74" s="599">
        <v>1353.3</v>
      </c>
      <c r="C74" s="599">
        <v>1359.5666666666666</v>
      </c>
      <c r="D74">
        <v>1353.3</v>
      </c>
      <c r="E74">
        <v>1359.5666666666666</v>
      </c>
      <c r="G74">
        <f t="shared" si="2"/>
        <v>0</v>
      </c>
      <c r="H74">
        <f t="shared" si="3"/>
        <v>0</v>
      </c>
    </row>
    <row r="75" spans="1:8" ht="12.75">
      <c r="A75" s="406" t="s">
        <v>102</v>
      </c>
      <c r="B75" s="599">
        <v>574.0333333333333</v>
      </c>
      <c r="C75" s="599">
        <v>550.9</v>
      </c>
      <c r="D75">
        <v>574.0333333333333</v>
      </c>
      <c r="E75">
        <v>550.9</v>
      </c>
      <c r="G75">
        <f t="shared" si="2"/>
        <v>0</v>
      </c>
      <c r="H75">
        <f t="shared" si="3"/>
        <v>0</v>
      </c>
    </row>
    <row r="76" spans="1:8" ht="12.75">
      <c r="A76" s="409" t="s">
        <v>102</v>
      </c>
      <c r="B76" s="599">
        <v>3757.4666666666667</v>
      </c>
      <c r="C76" s="599">
        <v>3417.2333333333331</v>
      </c>
      <c r="D76">
        <v>3757.4666666666667</v>
      </c>
      <c r="E76">
        <v>3417.2333333333331</v>
      </c>
      <c r="G76">
        <f t="shared" si="2"/>
        <v>0</v>
      </c>
      <c r="H76">
        <f t="shared" si="3"/>
        <v>0</v>
      </c>
    </row>
    <row r="77" spans="1:8" ht="12.75">
      <c r="A77" s="412" t="s">
        <v>429</v>
      </c>
      <c r="B77" s="599">
        <v>23129.066666666669</v>
      </c>
      <c r="C77" s="599">
        <v>22609.666666666668</v>
      </c>
      <c r="D77">
        <v>23129.066666666669</v>
      </c>
      <c r="E77">
        <v>22609.666666666668</v>
      </c>
      <c r="G77">
        <f t="shared" si="2"/>
        <v>0</v>
      </c>
      <c r="H77">
        <f t="shared" si="3"/>
        <v>0</v>
      </c>
    </row>
    <row r="78" spans="1:8" ht="12.75">
      <c r="A78" s="412" t="s">
        <v>429</v>
      </c>
      <c r="B78" s="599">
        <v>4779.95</v>
      </c>
      <c r="C78" s="599">
        <v>4911.9500000000007</v>
      </c>
      <c r="D78">
        <v>4779.95</v>
      </c>
      <c r="E78">
        <v>4911.9500000000007</v>
      </c>
      <c r="G78">
        <f t="shared" si="2"/>
        <v>0</v>
      </c>
      <c r="H78">
        <f t="shared" si="3"/>
        <v>0</v>
      </c>
    </row>
    <row r="79" spans="1:8" ht="12.75">
      <c r="A79" s="588" t="s">
        <v>429</v>
      </c>
      <c r="B79" s="599">
        <v>8302.7000000000007</v>
      </c>
      <c r="C79" s="599">
        <v>7603.5</v>
      </c>
      <c r="D79">
        <v>8302.7000000000007</v>
      </c>
      <c r="E79">
        <v>7603.5</v>
      </c>
      <c r="G79">
        <f t="shared" si="2"/>
        <v>0</v>
      </c>
      <c r="H79">
        <f t="shared" si="3"/>
        <v>0</v>
      </c>
    </row>
    <row r="80" spans="1:8" ht="12.75">
      <c r="A80" s="416" t="s">
        <v>131</v>
      </c>
      <c r="B80" s="599">
        <v>10481.780000000001</v>
      </c>
      <c r="C80" s="599">
        <v>9286.9555555555562</v>
      </c>
      <c r="D80" s="600">
        <v>10481.780000000001</v>
      </c>
      <c r="E80" s="601">
        <v>9286.9555555555562</v>
      </c>
      <c r="G80">
        <f t="shared" si="2"/>
        <v>0</v>
      </c>
      <c r="H80">
        <f t="shared" si="3"/>
        <v>0</v>
      </c>
    </row>
    <row r="81" spans="1:8" ht="12.75">
      <c r="A81" s="416" t="s">
        <v>131</v>
      </c>
      <c r="B81" s="599">
        <v>25572.742222222223</v>
      </c>
      <c r="C81" s="599">
        <v>22898.566666666666</v>
      </c>
      <c r="D81" s="600">
        <v>25572.742222222223</v>
      </c>
      <c r="E81" s="601">
        <v>22898.566666666666</v>
      </c>
      <c r="G81">
        <f t="shared" si="2"/>
        <v>0</v>
      </c>
      <c r="H81">
        <f t="shared" si="3"/>
        <v>0</v>
      </c>
    </row>
    <row r="82" spans="1:8" ht="12.75">
      <c r="A82" s="416" t="s">
        <v>131</v>
      </c>
      <c r="B82" s="599">
        <v>4795.7488888888893</v>
      </c>
      <c r="C82" s="599">
        <v>4176.597777777778</v>
      </c>
      <c r="D82" s="600">
        <v>4795.7488888888893</v>
      </c>
      <c r="E82" s="601">
        <v>4176.597777777778</v>
      </c>
      <c r="G82">
        <f t="shared" si="2"/>
        <v>0</v>
      </c>
      <c r="H82">
        <f t="shared" si="3"/>
        <v>0</v>
      </c>
    </row>
    <row r="83" spans="1:8" ht="12.75">
      <c r="A83" s="416" t="s">
        <v>131</v>
      </c>
      <c r="B83" s="599">
        <v>1395.0677777777778</v>
      </c>
      <c r="C83" s="599">
        <v>1291.7055555555555</v>
      </c>
      <c r="D83" s="600">
        <v>1395.0677777777778</v>
      </c>
      <c r="E83" s="601">
        <v>1291.7055555555555</v>
      </c>
      <c r="G83">
        <f t="shared" si="2"/>
        <v>0</v>
      </c>
      <c r="H83">
        <f t="shared" si="3"/>
        <v>0</v>
      </c>
    </row>
    <row r="84" spans="1:8" ht="12.75">
      <c r="A84" s="416" t="s">
        <v>131</v>
      </c>
      <c r="B84" s="599">
        <v>10692.517777777777</v>
      </c>
      <c r="C84" s="599">
        <v>9759.6855555555558</v>
      </c>
      <c r="D84" s="600">
        <v>10692.517777777777</v>
      </c>
      <c r="E84" s="601">
        <v>9759.6855555555558</v>
      </c>
      <c r="G84">
        <f t="shared" si="2"/>
        <v>0</v>
      </c>
      <c r="H84">
        <f t="shared" si="3"/>
        <v>0</v>
      </c>
    </row>
    <row r="85" spans="1:8" ht="12.75">
      <c r="A85" s="416" t="s">
        <v>131</v>
      </c>
      <c r="B85" s="599">
        <v>10381.133333333333</v>
      </c>
      <c r="C85" s="599">
        <v>9702.4666666666672</v>
      </c>
      <c r="D85" s="600">
        <v>10381.133333333333</v>
      </c>
      <c r="E85" s="601">
        <v>9702.4666666666672</v>
      </c>
      <c r="G85">
        <f t="shared" si="2"/>
        <v>0</v>
      </c>
      <c r="H85">
        <f t="shared" si="3"/>
        <v>0</v>
      </c>
    </row>
    <row r="86" spans="1:8" ht="12.75">
      <c r="A86" s="416" t="s">
        <v>131</v>
      </c>
      <c r="B86" s="599">
        <v>16358.152222222221</v>
      </c>
      <c r="C86" s="599">
        <v>14659.182222222224</v>
      </c>
      <c r="D86" s="600">
        <v>16358.152222222221</v>
      </c>
      <c r="E86" s="601">
        <v>14659.182222222224</v>
      </c>
      <c r="G86">
        <f t="shared" si="2"/>
        <v>0</v>
      </c>
      <c r="H86">
        <f t="shared" si="3"/>
        <v>0</v>
      </c>
    </row>
    <row r="87" spans="1:8" ht="12.75">
      <c r="A87" s="416" t="s">
        <v>131</v>
      </c>
      <c r="B87" s="599">
        <v>784.93666666666661</v>
      </c>
      <c r="C87" s="599">
        <v>824.38000000000011</v>
      </c>
      <c r="D87" s="600">
        <v>784.93666666666661</v>
      </c>
      <c r="E87" s="601">
        <v>824.38000000000011</v>
      </c>
      <c r="G87">
        <f t="shared" si="2"/>
        <v>0</v>
      </c>
      <c r="H87">
        <f t="shared" si="3"/>
        <v>0</v>
      </c>
    </row>
    <row r="88" spans="1:8" ht="12.75">
      <c r="A88" s="416" t="s">
        <v>131</v>
      </c>
      <c r="B88" s="599">
        <v>3142.9833333333331</v>
      </c>
      <c r="C88" s="599">
        <v>2991.0022222222224</v>
      </c>
      <c r="D88" s="600">
        <v>3142.9833333333331</v>
      </c>
      <c r="E88" s="601">
        <v>2991.0022222222224</v>
      </c>
      <c r="G88">
        <f t="shared" si="2"/>
        <v>0</v>
      </c>
      <c r="H88">
        <f t="shared" si="3"/>
        <v>0</v>
      </c>
    </row>
    <row r="89" spans="1:8" ht="12.75">
      <c r="A89" s="416" t="s">
        <v>131</v>
      </c>
      <c r="B89" s="599">
        <v>20870.058888888889</v>
      </c>
      <c r="C89" s="599">
        <v>19250.962222222224</v>
      </c>
      <c r="D89" s="600">
        <v>20870.058888888889</v>
      </c>
      <c r="E89" s="601">
        <v>19250.962222222224</v>
      </c>
      <c r="G89">
        <f t="shared" si="2"/>
        <v>0</v>
      </c>
      <c r="H89">
        <f t="shared" si="3"/>
        <v>0</v>
      </c>
    </row>
    <row r="90" spans="1:8" ht="12.75">
      <c r="A90" s="416" t="s">
        <v>131</v>
      </c>
      <c r="B90" s="599">
        <v>11463.107777777777</v>
      </c>
      <c r="C90" s="599">
        <v>10428.288888888888</v>
      </c>
      <c r="D90" s="600">
        <v>11463.107777777777</v>
      </c>
      <c r="E90" s="601">
        <v>10428.288888888888</v>
      </c>
      <c r="G90">
        <f t="shared" si="2"/>
        <v>0</v>
      </c>
      <c r="H90">
        <f t="shared" si="3"/>
        <v>0</v>
      </c>
    </row>
    <row r="91" spans="1:8" ht="12.75">
      <c r="A91" s="416" t="s">
        <v>131</v>
      </c>
      <c r="B91" s="599">
        <v>2277.0066666666667</v>
      </c>
      <c r="C91" s="599">
        <v>2077.8222222222221</v>
      </c>
      <c r="D91" s="600">
        <v>2277.0066666666667</v>
      </c>
      <c r="E91" s="601">
        <v>2077.8222222222221</v>
      </c>
      <c r="G91">
        <f t="shared" si="2"/>
        <v>0</v>
      </c>
      <c r="H91">
        <f t="shared" si="3"/>
        <v>0</v>
      </c>
    </row>
    <row r="92" spans="1:8" ht="12.75">
      <c r="A92" s="416" t="s">
        <v>131</v>
      </c>
      <c r="B92" s="599">
        <v>3257.4288888888891</v>
      </c>
      <c r="C92" s="599">
        <v>2957.7488888888888</v>
      </c>
      <c r="D92" s="600">
        <v>3257.4288888888891</v>
      </c>
      <c r="E92" s="601">
        <v>2957.7488888888888</v>
      </c>
      <c r="G92">
        <f t="shared" si="2"/>
        <v>0</v>
      </c>
      <c r="H92">
        <f t="shared" si="3"/>
        <v>0</v>
      </c>
    </row>
    <row r="93" spans="1:8" ht="12.75">
      <c r="A93" s="416" t="s">
        <v>131</v>
      </c>
      <c r="B93" s="599">
        <v>6580.6</v>
      </c>
      <c r="C93" s="599">
        <v>6037.2</v>
      </c>
      <c r="D93" s="600">
        <v>6580.6</v>
      </c>
      <c r="E93" s="601">
        <v>6037.2</v>
      </c>
      <c r="G93">
        <f t="shared" si="2"/>
        <v>0</v>
      </c>
      <c r="H93">
        <f t="shared" si="3"/>
        <v>0</v>
      </c>
    </row>
    <row r="94" spans="1:8" ht="12.75">
      <c r="A94" s="416" t="s">
        <v>131</v>
      </c>
      <c r="B94" s="599">
        <v>42907.717777777776</v>
      </c>
      <c r="C94" s="599">
        <v>41522.124444444446</v>
      </c>
      <c r="D94" s="600">
        <v>42907.717777777776</v>
      </c>
      <c r="E94" s="601">
        <v>41522.124444444446</v>
      </c>
      <c r="G94">
        <f t="shared" si="2"/>
        <v>0</v>
      </c>
      <c r="H94">
        <f t="shared" si="3"/>
        <v>0</v>
      </c>
    </row>
    <row r="95" spans="1:8" ht="12.75">
      <c r="A95" s="416" t="s">
        <v>131</v>
      </c>
      <c r="B95" s="599">
        <v>797.95444444444445</v>
      </c>
      <c r="C95" s="599">
        <v>814.25</v>
      </c>
      <c r="D95" s="600">
        <v>797.95444444444445</v>
      </c>
      <c r="E95" s="601">
        <v>814.25</v>
      </c>
      <c r="G95">
        <f t="shared" si="2"/>
        <v>0</v>
      </c>
      <c r="H95">
        <f t="shared" si="3"/>
        <v>0</v>
      </c>
    </row>
    <row r="96" spans="1:8" ht="12.75">
      <c r="A96" s="416" t="s">
        <v>131</v>
      </c>
      <c r="B96" s="599">
        <v>3734.7555555555555</v>
      </c>
      <c r="C96" s="599">
        <v>3253.6644444444446</v>
      </c>
      <c r="D96" s="600">
        <v>3734.7555555555555</v>
      </c>
      <c r="E96" s="601">
        <v>3253.6644444444446</v>
      </c>
      <c r="G96">
        <f t="shared" si="2"/>
        <v>0</v>
      </c>
      <c r="H96">
        <f t="shared" si="3"/>
        <v>0</v>
      </c>
    </row>
    <row r="97" spans="1:8" ht="12.75">
      <c r="A97" s="416" t="s">
        <v>131</v>
      </c>
      <c r="B97" s="599">
        <v>20033.234444444446</v>
      </c>
      <c r="C97" s="599">
        <v>17211.04</v>
      </c>
      <c r="D97" s="600">
        <v>20033.234444444446</v>
      </c>
      <c r="E97" s="601">
        <v>17211.04</v>
      </c>
      <c r="G97">
        <f t="shared" si="2"/>
        <v>0</v>
      </c>
      <c r="H97">
        <f t="shared" si="3"/>
        <v>0</v>
      </c>
    </row>
    <row r="98" spans="1:8" ht="12.75">
      <c r="A98" s="416" t="s">
        <v>131</v>
      </c>
      <c r="B98" s="599">
        <v>7287.85</v>
      </c>
      <c r="C98" s="599">
        <v>6502.036666666666</v>
      </c>
      <c r="D98" s="600">
        <v>7287.85</v>
      </c>
      <c r="E98" s="601">
        <v>6502.036666666666</v>
      </c>
      <c r="G98">
        <f t="shared" si="2"/>
        <v>0</v>
      </c>
      <c r="H98">
        <f t="shared" si="3"/>
        <v>0</v>
      </c>
    </row>
    <row r="99" spans="1:8" ht="12.75">
      <c r="A99" s="416" t="s">
        <v>131</v>
      </c>
      <c r="B99" s="599">
        <v>6642.9411111111103</v>
      </c>
      <c r="C99" s="599">
        <v>6081.2922222222223</v>
      </c>
      <c r="D99">
        <v>6642.9411111111103</v>
      </c>
      <c r="E99">
        <v>6081.2922222222223</v>
      </c>
      <c r="G99">
        <f t="shared" si="2"/>
        <v>0</v>
      </c>
      <c r="H99">
        <f t="shared" si="3"/>
        <v>0</v>
      </c>
    </row>
    <row r="100" spans="1:8" ht="12.75">
      <c r="A100" s="416" t="s">
        <v>131</v>
      </c>
      <c r="B100" s="599">
        <v>6432.6055555555558</v>
      </c>
      <c r="C100" s="599">
        <v>5635.01</v>
      </c>
      <c r="D100">
        <v>6432.6055555555558</v>
      </c>
      <c r="E100">
        <v>5635.01</v>
      </c>
      <c r="G100">
        <f t="shared" si="2"/>
        <v>0</v>
      </c>
      <c r="H100">
        <f t="shared" si="3"/>
        <v>0</v>
      </c>
    </row>
    <row r="101" spans="1:8" ht="12.75">
      <c r="A101" s="416" t="s">
        <v>131</v>
      </c>
      <c r="B101" s="599">
        <v>4550.7455555555553</v>
      </c>
      <c r="C101" s="599">
        <v>4140.8311111111107</v>
      </c>
      <c r="D101">
        <v>4550.7455555555553</v>
      </c>
      <c r="E101">
        <v>4140.8311111111107</v>
      </c>
      <c r="G101">
        <f t="shared" si="2"/>
        <v>0</v>
      </c>
      <c r="H101">
        <f t="shared" si="3"/>
        <v>0</v>
      </c>
    </row>
    <row r="102" spans="1:8" ht="12.75">
      <c r="A102" s="416" t="s">
        <v>131</v>
      </c>
      <c r="B102" s="599">
        <v>17636.275555555556</v>
      </c>
      <c r="C102" s="599">
        <v>15936.713333333333</v>
      </c>
      <c r="D102">
        <v>17636.275555555556</v>
      </c>
      <c r="E102">
        <v>15936.713333333333</v>
      </c>
      <c r="G102">
        <f t="shared" si="2"/>
        <v>0</v>
      </c>
      <c r="H102">
        <f t="shared" si="3"/>
        <v>0</v>
      </c>
    </row>
    <row r="103" spans="1:8" ht="12.75">
      <c r="A103" s="416" t="s">
        <v>131</v>
      </c>
      <c r="B103" s="599">
        <v>10414.182222222224</v>
      </c>
      <c r="C103" s="599">
        <v>9616.9577777777777</v>
      </c>
      <c r="D103">
        <v>10414.182222222224</v>
      </c>
      <c r="E103">
        <v>9616.9577777777777</v>
      </c>
      <c r="G103">
        <f t="shared" si="2"/>
        <v>0</v>
      </c>
      <c r="H103">
        <f t="shared" si="3"/>
        <v>0</v>
      </c>
    </row>
    <row r="104" spans="1:8" ht="12.75">
      <c r="A104" s="416" t="s">
        <v>131</v>
      </c>
      <c r="B104" s="599">
        <v>12723.233333333334</v>
      </c>
      <c r="C104" s="599">
        <v>11349.508888888889</v>
      </c>
      <c r="D104">
        <v>12723.233333333334</v>
      </c>
      <c r="E104">
        <v>11349.508888888889</v>
      </c>
      <c r="G104">
        <f t="shared" si="2"/>
        <v>0</v>
      </c>
      <c r="H104">
        <f t="shared" si="3"/>
        <v>0</v>
      </c>
    </row>
    <row r="105" spans="1:8" ht="12.75">
      <c r="A105" s="416" t="s">
        <v>131</v>
      </c>
      <c r="B105" s="599">
        <v>2340.807777777778</v>
      </c>
      <c r="C105" s="599">
        <v>2315.5044444444443</v>
      </c>
      <c r="D105">
        <v>2340.807777777778</v>
      </c>
      <c r="E105">
        <v>2315.5044444444443</v>
      </c>
      <c r="G105">
        <f t="shared" si="2"/>
        <v>0</v>
      </c>
      <c r="H105">
        <f t="shared" si="3"/>
        <v>0</v>
      </c>
    </row>
    <row r="106" spans="1:8" ht="12.75">
      <c r="A106" s="416" t="s">
        <v>131</v>
      </c>
      <c r="B106" s="599">
        <v>8722.8088888888888</v>
      </c>
      <c r="C106" s="599">
        <v>8995.0022222222233</v>
      </c>
      <c r="D106">
        <v>8722.8088888888888</v>
      </c>
      <c r="E106">
        <v>8995.0022222222233</v>
      </c>
      <c r="G106">
        <f t="shared" si="2"/>
        <v>0</v>
      </c>
      <c r="H106">
        <f t="shared" si="3"/>
        <v>0</v>
      </c>
    </row>
    <row r="107" spans="1:8" ht="12.75">
      <c r="A107" s="416" t="s">
        <v>131</v>
      </c>
      <c r="B107" s="599">
        <v>34518.878888888888</v>
      </c>
      <c r="C107" s="599">
        <v>31803.054444444446</v>
      </c>
      <c r="D107">
        <v>34518.878888888888</v>
      </c>
      <c r="E107">
        <v>31803.054444444446</v>
      </c>
      <c r="G107">
        <f t="shared" si="2"/>
        <v>0</v>
      </c>
      <c r="H107">
        <f t="shared" si="3"/>
        <v>0</v>
      </c>
    </row>
    <row r="108" spans="1:8" ht="12.75">
      <c r="A108" s="418" t="s">
        <v>158</v>
      </c>
      <c r="B108" s="599">
        <v>48111.708333333336</v>
      </c>
      <c r="C108" s="599">
        <v>44909.066666666666</v>
      </c>
      <c r="D108">
        <v>48111.708333333336</v>
      </c>
      <c r="E108">
        <v>44909.066666666666</v>
      </c>
      <c r="G108">
        <f t="shared" si="2"/>
        <v>0</v>
      </c>
      <c r="H108">
        <f t="shared" si="3"/>
        <v>0</v>
      </c>
    </row>
    <row r="109" spans="1:8" ht="12.75">
      <c r="A109" s="418" t="s">
        <v>158</v>
      </c>
      <c r="B109" s="599">
        <v>41034.595833333333</v>
      </c>
      <c r="C109" s="599">
        <v>41422.879583333328</v>
      </c>
      <c r="D109">
        <v>41034.595833333333</v>
      </c>
      <c r="E109">
        <v>41422.879583333328</v>
      </c>
      <c r="G109">
        <f t="shared" ref="G109:G172" si="4">D109-B109</f>
        <v>0</v>
      </c>
      <c r="H109">
        <f t="shared" ref="H109:H172" si="5">E109-C109</f>
        <v>0</v>
      </c>
    </row>
    <row r="110" spans="1:8" ht="12.75">
      <c r="A110" s="418" t="s">
        <v>158</v>
      </c>
      <c r="B110" s="599">
        <v>32846.436499999996</v>
      </c>
      <c r="C110" s="599">
        <v>34381.525000000001</v>
      </c>
      <c r="D110">
        <v>32846.436499999996</v>
      </c>
      <c r="E110">
        <v>34381.525000000001</v>
      </c>
      <c r="G110">
        <f t="shared" si="4"/>
        <v>0</v>
      </c>
      <c r="H110">
        <f t="shared" si="5"/>
        <v>0</v>
      </c>
    </row>
    <row r="111" spans="1:8" ht="12.75">
      <c r="A111" s="418" t="s">
        <v>158</v>
      </c>
      <c r="B111" s="599">
        <v>24322.908333333333</v>
      </c>
      <c r="C111" s="599">
        <v>24402.841666666667</v>
      </c>
      <c r="D111">
        <v>24322.908333333333</v>
      </c>
      <c r="E111">
        <v>24402.841666666667</v>
      </c>
      <c r="G111">
        <f t="shared" si="4"/>
        <v>0</v>
      </c>
      <c r="H111">
        <f t="shared" si="5"/>
        <v>0</v>
      </c>
    </row>
    <row r="112" spans="1:8" ht="12.75">
      <c r="A112" s="418" t="s">
        <v>158</v>
      </c>
      <c r="B112" s="599">
        <v>34827.891666666663</v>
      </c>
      <c r="C112" s="599">
        <v>36311.15</v>
      </c>
      <c r="D112">
        <v>34827.891666666663</v>
      </c>
      <c r="E112">
        <v>36311.15</v>
      </c>
      <c r="G112">
        <f t="shared" si="4"/>
        <v>0</v>
      </c>
      <c r="H112">
        <f t="shared" si="5"/>
        <v>0</v>
      </c>
    </row>
    <row r="113" spans="1:8" ht="12.75">
      <c r="A113" s="418" t="s">
        <v>158</v>
      </c>
      <c r="B113" s="599">
        <v>11534.308333333334</v>
      </c>
      <c r="C113" s="599">
        <v>10900.591666666665</v>
      </c>
      <c r="D113">
        <v>11534.308333333334</v>
      </c>
      <c r="E113">
        <v>10900.591666666665</v>
      </c>
      <c r="G113">
        <f t="shared" si="4"/>
        <v>0</v>
      </c>
      <c r="H113">
        <f t="shared" si="5"/>
        <v>0</v>
      </c>
    </row>
    <row r="114" spans="1:8" ht="12.75">
      <c r="A114" s="418" t="s">
        <v>158</v>
      </c>
      <c r="B114" s="599">
        <v>10083.041666666666</v>
      </c>
      <c r="C114" s="599">
        <v>10078.158333333333</v>
      </c>
      <c r="D114">
        <v>10083.041666666666</v>
      </c>
      <c r="E114">
        <v>10078.158333333333</v>
      </c>
      <c r="G114">
        <f t="shared" si="4"/>
        <v>0</v>
      </c>
      <c r="H114">
        <f t="shared" si="5"/>
        <v>0</v>
      </c>
    </row>
    <row r="115" spans="1:8" ht="12.75">
      <c r="A115" s="418" t="s">
        <v>158</v>
      </c>
      <c r="B115" s="599">
        <v>5458.2750000000005</v>
      </c>
      <c r="C115" s="599">
        <v>5238.6749999999993</v>
      </c>
      <c r="D115">
        <v>5458.2750000000005</v>
      </c>
      <c r="E115">
        <v>5238.6749999999993</v>
      </c>
      <c r="G115">
        <f t="shared" si="4"/>
        <v>0</v>
      </c>
      <c r="H115">
        <f t="shared" si="5"/>
        <v>0</v>
      </c>
    </row>
    <row r="116" spans="1:8" ht="12.75">
      <c r="A116" s="418" t="s">
        <v>158</v>
      </c>
      <c r="B116" s="599">
        <v>7327.3416666666662</v>
      </c>
      <c r="C116" s="599">
        <v>7298.1750000000002</v>
      </c>
      <c r="D116">
        <v>7327.3416666666662</v>
      </c>
      <c r="E116">
        <v>7298.1750000000002</v>
      </c>
      <c r="G116">
        <f t="shared" si="4"/>
        <v>0</v>
      </c>
      <c r="H116">
        <f t="shared" si="5"/>
        <v>0</v>
      </c>
    </row>
    <row r="117" spans="1:8" ht="12.75">
      <c r="A117" s="418" t="s">
        <v>158</v>
      </c>
      <c r="B117" s="599">
        <v>5682.7666666666664</v>
      </c>
      <c r="C117" s="599">
        <v>5397.041666666667</v>
      </c>
      <c r="D117">
        <v>5682.7666666666664</v>
      </c>
      <c r="E117">
        <v>5397.041666666667</v>
      </c>
      <c r="G117">
        <f t="shared" si="4"/>
        <v>0</v>
      </c>
      <c r="H117">
        <f t="shared" si="5"/>
        <v>0</v>
      </c>
    </row>
    <row r="118" spans="1:8" ht="12.75">
      <c r="A118" s="418" t="s">
        <v>158</v>
      </c>
      <c r="B118" s="599">
        <v>6836.15</v>
      </c>
      <c r="C118" s="599">
        <v>6593.0166666666664</v>
      </c>
      <c r="D118">
        <v>6836.15</v>
      </c>
      <c r="E118">
        <v>6593.0166666666664</v>
      </c>
      <c r="G118">
        <f t="shared" si="4"/>
        <v>0</v>
      </c>
      <c r="H118">
        <f t="shared" si="5"/>
        <v>0</v>
      </c>
    </row>
    <row r="119" spans="1:8" ht="12.75">
      <c r="A119" s="418" t="s">
        <v>158</v>
      </c>
      <c r="B119" s="599">
        <v>2543.8916666666669</v>
      </c>
      <c r="C119" s="599">
        <v>2532.3666666666663</v>
      </c>
      <c r="D119">
        <v>2543.8916666666669</v>
      </c>
      <c r="E119">
        <v>2532.3666666666663</v>
      </c>
      <c r="G119">
        <f t="shared" si="4"/>
        <v>0</v>
      </c>
      <c r="H119">
        <f t="shared" si="5"/>
        <v>0</v>
      </c>
    </row>
    <row r="120" spans="1:8" ht="12.75">
      <c r="A120" s="418" t="s">
        <v>158</v>
      </c>
      <c r="B120" s="599">
        <v>6709.8583333333336</v>
      </c>
      <c r="C120" s="599">
        <v>6448.0833333333339</v>
      </c>
      <c r="D120">
        <v>6709.8583333333336</v>
      </c>
      <c r="E120">
        <v>6448.0833333333339</v>
      </c>
      <c r="G120">
        <f t="shared" si="4"/>
        <v>0</v>
      </c>
      <c r="H120">
        <f t="shared" si="5"/>
        <v>0</v>
      </c>
    </row>
    <row r="121" spans="1:8" ht="12.75">
      <c r="A121" s="418" t="s">
        <v>158</v>
      </c>
      <c r="B121" s="599">
        <v>2590.3083333333334</v>
      </c>
      <c r="C121" s="599">
        <v>2635.5333333333333</v>
      </c>
      <c r="D121">
        <v>2590.3083333333334</v>
      </c>
      <c r="E121">
        <v>2635.5333333333333</v>
      </c>
      <c r="G121">
        <f t="shared" si="4"/>
        <v>0</v>
      </c>
      <c r="H121">
        <f t="shared" si="5"/>
        <v>0</v>
      </c>
    </row>
    <row r="122" spans="1:8" ht="12.75">
      <c r="A122" s="418" t="s">
        <v>158</v>
      </c>
      <c r="B122" s="599">
        <v>16228.283333333333</v>
      </c>
      <c r="C122" s="599">
        <v>15367.575000000001</v>
      </c>
      <c r="D122">
        <v>16228.283333333333</v>
      </c>
      <c r="E122">
        <v>15367.575000000001</v>
      </c>
      <c r="G122">
        <f t="shared" si="4"/>
        <v>0</v>
      </c>
      <c r="H122">
        <f t="shared" si="5"/>
        <v>0</v>
      </c>
    </row>
    <row r="123" spans="1:8" ht="12.75">
      <c r="A123" s="418" t="s">
        <v>158</v>
      </c>
      <c r="B123" s="599">
        <v>3296.7333333333331</v>
      </c>
      <c r="C123" s="599">
        <v>2983.5250000000001</v>
      </c>
      <c r="D123">
        <v>3296.7333333333331</v>
      </c>
      <c r="E123">
        <v>2983.5250000000001</v>
      </c>
      <c r="G123">
        <f t="shared" si="4"/>
        <v>0</v>
      </c>
      <c r="H123">
        <f t="shared" si="5"/>
        <v>0</v>
      </c>
    </row>
    <row r="124" spans="1:8" ht="12.75">
      <c r="A124" s="418" t="s">
        <v>158</v>
      </c>
      <c r="B124" s="599">
        <v>3109</v>
      </c>
      <c r="C124" s="599">
        <v>3067.3</v>
      </c>
      <c r="D124">
        <v>3109</v>
      </c>
      <c r="E124">
        <v>3067.3</v>
      </c>
      <c r="G124">
        <f t="shared" si="4"/>
        <v>0</v>
      </c>
      <c r="H124">
        <f t="shared" si="5"/>
        <v>0</v>
      </c>
    </row>
    <row r="125" spans="1:8" ht="12.75">
      <c r="A125" s="418" t="s">
        <v>158</v>
      </c>
      <c r="B125" s="599">
        <v>2718.8</v>
      </c>
      <c r="C125" s="599">
        <v>2491.4666666666667</v>
      </c>
      <c r="D125">
        <v>2718.8</v>
      </c>
      <c r="E125">
        <v>2491.4666666666667</v>
      </c>
      <c r="G125">
        <f t="shared" si="4"/>
        <v>0</v>
      </c>
      <c r="H125">
        <f t="shared" si="5"/>
        <v>0</v>
      </c>
    </row>
    <row r="126" spans="1:8" ht="12.75">
      <c r="A126" s="418" t="s">
        <v>158</v>
      </c>
      <c r="B126" s="599">
        <v>3820.4333333333334</v>
      </c>
      <c r="C126" s="599">
        <v>3579.6</v>
      </c>
      <c r="D126">
        <v>3820.4333333333334</v>
      </c>
      <c r="E126">
        <v>3579.6</v>
      </c>
      <c r="G126">
        <f t="shared" si="4"/>
        <v>0</v>
      </c>
      <c r="H126">
        <f t="shared" si="5"/>
        <v>0</v>
      </c>
    </row>
    <row r="127" spans="1:8" ht="12.75">
      <c r="A127" s="418" t="s">
        <v>158</v>
      </c>
      <c r="B127" s="599">
        <v>10161.733333333334</v>
      </c>
      <c r="C127" s="599">
        <v>9207.3666666666668</v>
      </c>
      <c r="D127">
        <v>10161.733333333334</v>
      </c>
      <c r="E127">
        <v>9207.3666666666668</v>
      </c>
      <c r="G127">
        <f t="shared" si="4"/>
        <v>0</v>
      </c>
      <c r="H127">
        <f t="shared" si="5"/>
        <v>0</v>
      </c>
    </row>
    <row r="128" spans="1:8" ht="12.75">
      <c r="A128" s="418" t="s">
        <v>158</v>
      </c>
      <c r="B128" s="599">
        <v>2587.8333333333335</v>
      </c>
      <c r="C128" s="599">
        <v>2318.1333333333332</v>
      </c>
      <c r="D128">
        <v>2587.8333333333335</v>
      </c>
      <c r="E128">
        <v>2318.1333333333332</v>
      </c>
      <c r="G128">
        <f t="shared" si="4"/>
        <v>0</v>
      </c>
      <c r="H128">
        <f t="shared" si="5"/>
        <v>0</v>
      </c>
    </row>
    <row r="129" spans="1:8" ht="12.75">
      <c r="A129" s="418" t="s">
        <v>158</v>
      </c>
      <c r="B129" s="599">
        <v>6772.7666666666664</v>
      </c>
      <c r="C129" s="599">
        <v>6484.4750000000004</v>
      </c>
      <c r="D129">
        <v>6772.7666666666664</v>
      </c>
      <c r="E129">
        <v>6484.4750000000004</v>
      </c>
      <c r="G129">
        <f t="shared" si="4"/>
        <v>0</v>
      </c>
      <c r="H129">
        <f t="shared" si="5"/>
        <v>0</v>
      </c>
    </row>
    <row r="130" spans="1:8" ht="12.75">
      <c r="A130" s="418" t="s">
        <v>158</v>
      </c>
      <c r="B130" s="599">
        <v>1273.7666666666667</v>
      </c>
      <c r="C130" s="599">
        <v>1204.7666666666667</v>
      </c>
      <c r="D130">
        <v>1273.7666666666667</v>
      </c>
      <c r="E130">
        <v>1204.7666666666667</v>
      </c>
      <c r="G130">
        <f t="shared" si="4"/>
        <v>0</v>
      </c>
      <c r="H130">
        <f t="shared" si="5"/>
        <v>0</v>
      </c>
    </row>
    <row r="131" spans="1:8" ht="12.75">
      <c r="A131" s="418" t="s">
        <v>158</v>
      </c>
      <c r="B131" s="599">
        <v>1923.4</v>
      </c>
      <c r="C131" s="599">
        <v>1535.2666666666667</v>
      </c>
      <c r="D131">
        <v>1923.4</v>
      </c>
      <c r="E131">
        <v>1535.2666666666667</v>
      </c>
      <c r="G131">
        <f t="shared" si="4"/>
        <v>0</v>
      </c>
      <c r="H131">
        <f t="shared" si="5"/>
        <v>0</v>
      </c>
    </row>
    <row r="132" spans="1:8" ht="12.75">
      <c r="A132" s="418" t="s">
        <v>158</v>
      </c>
      <c r="B132" s="599">
        <v>4229.666666666667</v>
      </c>
      <c r="C132" s="599">
        <v>3727.3666666666668</v>
      </c>
      <c r="D132">
        <v>4229.666666666667</v>
      </c>
      <c r="E132">
        <v>3727.3666666666668</v>
      </c>
      <c r="G132">
        <f t="shared" si="4"/>
        <v>0</v>
      </c>
      <c r="H132">
        <f t="shared" si="5"/>
        <v>0</v>
      </c>
    </row>
    <row r="133" spans="1:8" ht="12.75">
      <c r="A133" s="418" t="s">
        <v>158</v>
      </c>
      <c r="B133" s="599">
        <v>1804.2666666666667</v>
      </c>
      <c r="C133" s="599">
        <v>1456.8666666666666</v>
      </c>
      <c r="D133">
        <v>1804.2666666666667</v>
      </c>
      <c r="E133">
        <v>1456.8666666666666</v>
      </c>
      <c r="G133">
        <f t="shared" si="4"/>
        <v>0</v>
      </c>
      <c r="H133">
        <f t="shared" si="5"/>
        <v>0</v>
      </c>
    </row>
    <row r="134" spans="1:8" ht="12.75">
      <c r="A134" s="399" t="s">
        <v>158</v>
      </c>
      <c r="B134" s="599">
        <v>2358.8000000000002</v>
      </c>
      <c r="C134" s="599">
        <v>2056.0666666666666</v>
      </c>
      <c r="D134">
        <v>2358.8000000000002</v>
      </c>
      <c r="E134">
        <v>2056.0666666666666</v>
      </c>
      <c r="G134">
        <f t="shared" si="4"/>
        <v>0</v>
      </c>
      <c r="H134">
        <f t="shared" si="5"/>
        <v>0</v>
      </c>
    </row>
    <row r="135" spans="1:8" ht="12.75">
      <c r="A135" s="399" t="s">
        <v>158</v>
      </c>
      <c r="B135" s="599">
        <v>2636.1</v>
      </c>
      <c r="C135" s="599">
        <v>2309.1333333333332</v>
      </c>
      <c r="D135">
        <v>2636.1</v>
      </c>
      <c r="E135">
        <v>2309.1333333333332</v>
      </c>
      <c r="G135">
        <f t="shared" si="4"/>
        <v>0</v>
      </c>
      <c r="H135">
        <f t="shared" si="5"/>
        <v>0</v>
      </c>
    </row>
    <row r="136" spans="1:8" ht="12.75">
      <c r="A136" s="399" t="s">
        <v>158</v>
      </c>
      <c r="B136" s="599">
        <v>2663.4333333333334</v>
      </c>
      <c r="C136" s="599">
        <v>2517.6666666666665</v>
      </c>
      <c r="D136">
        <v>2663.4333333333334</v>
      </c>
      <c r="E136">
        <v>2517.6666666666665</v>
      </c>
      <c r="G136">
        <f t="shared" si="4"/>
        <v>0</v>
      </c>
      <c r="H136">
        <f t="shared" si="5"/>
        <v>0</v>
      </c>
    </row>
    <row r="137" spans="1:8" ht="12.75">
      <c r="A137" s="399" t="s">
        <v>158</v>
      </c>
      <c r="B137" s="599">
        <v>2943.5333333333333</v>
      </c>
      <c r="C137" s="599">
        <v>2595.3333333333335</v>
      </c>
      <c r="D137">
        <v>2943.5333333333333</v>
      </c>
      <c r="E137">
        <v>2595.3333333333335</v>
      </c>
      <c r="G137">
        <f t="shared" si="4"/>
        <v>0</v>
      </c>
      <c r="H137">
        <f t="shared" si="5"/>
        <v>0</v>
      </c>
    </row>
    <row r="138" spans="1:8" ht="12.75">
      <c r="A138" s="399" t="s">
        <v>158</v>
      </c>
      <c r="B138" s="599">
        <v>5134.6333333333332</v>
      </c>
      <c r="C138" s="599">
        <v>5180.833333333333</v>
      </c>
      <c r="D138">
        <v>5134.6333333333332</v>
      </c>
      <c r="E138">
        <v>5180.833333333333</v>
      </c>
      <c r="G138">
        <f t="shared" si="4"/>
        <v>0</v>
      </c>
      <c r="H138">
        <f t="shared" si="5"/>
        <v>0</v>
      </c>
    </row>
    <row r="139" spans="1:8" ht="12.75">
      <c r="A139" s="399" t="s">
        <v>158</v>
      </c>
      <c r="B139" s="599">
        <v>6365.8</v>
      </c>
      <c r="C139" s="599">
        <v>5773</v>
      </c>
      <c r="D139">
        <v>6365.8</v>
      </c>
      <c r="E139">
        <v>5773</v>
      </c>
      <c r="G139">
        <f t="shared" si="4"/>
        <v>0</v>
      </c>
      <c r="H139">
        <f t="shared" si="5"/>
        <v>0</v>
      </c>
    </row>
    <row r="140" spans="1:8" ht="12.75">
      <c r="A140" s="401" t="s">
        <v>158</v>
      </c>
      <c r="B140" s="599">
        <v>2289.4</v>
      </c>
      <c r="C140" s="599">
        <v>2265.9333333333334</v>
      </c>
      <c r="D140">
        <v>2289.4</v>
      </c>
      <c r="E140">
        <v>2265.9333333333334</v>
      </c>
      <c r="G140">
        <f t="shared" si="4"/>
        <v>0</v>
      </c>
      <c r="H140">
        <f t="shared" si="5"/>
        <v>0</v>
      </c>
    </row>
    <row r="141" spans="1:8" ht="12.75">
      <c r="A141" s="399" t="s">
        <v>158</v>
      </c>
      <c r="B141" s="599">
        <v>2283.1</v>
      </c>
      <c r="C141" s="599">
        <v>2102.5333333333333</v>
      </c>
      <c r="D141">
        <v>2283.1</v>
      </c>
      <c r="E141">
        <v>2102.5333333333333</v>
      </c>
      <c r="G141">
        <f t="shared" si="4"/>
        <v>0</v>
      </c>
      <c r="H141">
        <f t="shared" si="5"/>
        <v>0</v>
      </c>
    </row>
    <row r="142" spans="1:8" ht="12.75">
      <c r="A142" s="399" t="s">
        <v>158</v>
      </c>
      <c r="B142" s="599">
        <v>4244.666666666667</v>
      </c>
      <c r="C142" s="599">
        <v>4003</v>
      </c>
      <c r="D142">
        <v>4244.666666666667</v>
      </c>
      <c r="E142">
        <v>4003</v>
      </c>
      <c r="G142">
        <f t="shared" si="4"/>
        <v>0</v>
      </c>
      <c r="H142">
        <f t="shared" si="5"/>
        <v>0</v>
      </c>
    </row>
    <row r="143" spans="1:8" ht="12.75">
      <c r="A143" s="399" t="s">
        <v>158</v>
      </c>
      <c r="B143" s="599">
        <v>2030.5833333333333</v>
      </c>
      <c r="C143" s="599">
        <v>1656.2166666666667</v>
      </c>
      <c r="D143">
        <v>2030.5833333333333</v>
      </c>
      <c r="E143">
        <v>1656.2166666666667</v>
      </c>
      <c r="G143">
        <f t="shared" si="4"/>
        <v>0</v>
      </c>
      <c r="H143">
        <f t="shared" si="5"/>
        <v>0</v>
      </c>
    </row>
    <row r="144" spans="1:8" ht="12.75">
      <c r="A144" s="399" t="s">
        <v>158</v>
      </c>
      <c r="B144" s="599">
        <v>5554.9666666666662</v>
      </c>
      <c r="C144" s="599">
        <v>5026.2666666666664</v>
      </c>
      <c r="D144">
        <v>5554.9666666666662</v>
      </c>
      <c r="E144">
        <v>5026.2666666666664</v>
      </c>
      <c r="G144">
        <f t="shared" si="4"/>
        <v>0</v>
      </c>
      <c r="H144">
        <f t="shared" si="5"/>
        <v>0</v>
      </c>
    </row>
    <row r="145" spans="1:8" ht="12.75">
      <c r="A145" s="399" t="s">
        <v>158</v>
      </c>
      <c r="B145" s="599">
        <v>3105.4</v>
      </c>
      <c r="C145" s="599">
        <v>3107.7666666666669</v>
      </c>
      <c r="D145">
        <v>3105.4</v>
      </c>
      <c r="E145">
        <v>3107.7666666666669</v>
      </c>
      <c r="G145">
        <f t="shared" si="4"/>
        <v>0</v>
      </c>
      <c r="H145">
        <f t="shared" si="5"/>
        <v>0</v>
      </c>
    </row>
    <row r="146" spans="1:8" ht="12.75">
      <c r="A146" s="399" t="s">
        <v>158</v>
      </c>
      <c r="B146" s="599">
        <v>1832.7</v>
      </c>
      <c r="C146" s="599">
        <v>1714.7666666666667</v>
      </c>
      <c r="D146">
        <v>1832.7</v>
      </c>
      <c r="E146">
        <v>1714.7666666666667</v>
      </c>
      <c r="G146">
        <f t="shared" si="4"/>
        <v>0</v>
      </c>
      <c r="H146">
        <f t="shared" si="5"/>
        <v>0</v>
      </c>
    </row>
    <row r="147" spans="1:8" ht="12.75">
      <c r="A147" s="401" t="s">
        <v>158</v>
      </c>
      <c r="B147" s="599">
        <v>1195.3333333333333</v>
      </c>
      <c r="C147" s="599">
        <v>1077.8666666666666</v>
      </c>
      <c r="D147">
        <v>1195.3333333333333</v>
      </c>
      <c r="E147">
        <v>1077.8666666666666</v>
      </c>
      <c r="G147">
        <f t="shared" si="4"/>
        <v>0</v>
      </c>
      <c r="H147">
        <f t="shared" si="5"/>
        <v>0</v>
      </c>
    </row>
    <row r="148" spans="1:8" ht="12.75">
      <c r="A148" s="401" t="s">
        <v>158</v>
      </c>
      <c r="B148" s="599">
        <v>1649.3</v>
      </c>
      <c r="C148" s="599">
        <v>1629.2666666666667</v>
      </c>
      <c r="D148">
        <v>1649.3</v>
      </c>
      <c r="E148">
        <v>1629.2666666666667</v>
      </c>
      <c r="G148">
        <f t="shared" si="4"/>
        <v>0</v>
      </c>
      <c r="H148">
        <f t="shared" si="5"/>
        <v>0</v>
      </c>
    </row>
    <row r="149" spans="1:8" ht="12.75">
      <c r="A149" s="401" t="s">
        <v>158</v>
      </c>
      <c r="B149" s="599">
        <v>2830.9</v>
      </c>
      <c r="C149" s="599">
        <v>2638.8</v>
      </c>
      <c r="D149">
        <v>2830.9</v>
      </c>
      <c r="E149">
        <v>2638.8</v>
      </c>
      <c r="G149">
        <f t="shared" si="4"/>
        <v>0</v>
      </c>
      <c r="H149">
        <f t="shared" si="5"/>
        <v>0</v>
      </c>
    </row>
    <row r="150" spans="1:8" ht="12.75">
      <c r="A150" s="401" t="s">
        <v>158</v>
      </c>
      <c r="B150" s="599">
        <v>1531.4666666666667</v>
      </c>
      <c r="C150" s="599">
        <v>1323.7666666666667</v>
      </c>
      <c r="D150">
        <v>1531.4666666666667</v>
      </c>
      <c r="E150">
        <v>1323.7666666666667</v>
      </c>
      <c r="G150">
        <f t="shared" si="4"/>
        <v>0</v>
      </c>
      <c r="H150">
        <f t="shared" si="5"/>
        <v>0</v>
      </c>
    </row>
    <row r="151" spans="1:8" ht="12.75">
      <c r="A151" s="401" t="s">
        <v>158</v>
      </c>
      <c r="B151" s="599">
        <v>1079.1666666666667</v>
      </c>
      <c r="C151" s="599">
        <v>990.7</v>
      </c>
      <c r="D151">
        <v>1079.1666666666667</v>
      </c>
      <c r="E151">
        <v>990.7</v>
      </c>
      <c r="G151">
        <f t="shared" si="4"/>
        <v>0</v>
      </c>
      <c r="H151">
        <f t="shared" si="5"/>
        <v>0</v>
      </c>
    </row>
    <row r="152" spans="1:8" ht="12.75">
      <c r="A152" s="401" t="s">
        <v>158</v>
      </c>
      <c r="B152" s="599">
        <v>3590.5666666666666</v>
      </c>
      <c r="C152" s="599">
        <v>3411.1666666666665</v>
      </c>
      <c r="D152">
        <v>3590.5666666666666</v>
      </c>
      <c r="E152">
        <v>3411.1666666666665</v>
      </c>
      <c r="G152">
        <f t="shared" si="4"/>
        <v>0</v>
      </c>
      <c r="H152">
        <f t="shared" si="5"/>
        <v>0</v>
      </c>
    </row>
    <row r="153" spans="1:8" ht="12.75">
      <c r="A153" s="401" t="s">
        <v>158</v>
      </c>
      <c r="B153" s="599">
        <v>3142.8</v>
      </c>
      <c r="C153" s="599">
        <v>2869.7333333333331</v>
      </c>
      <c r="D153">
        <v>3142.8</v>
      </c>
      <c r="E153">
        <v>2869.7333333333331</v>
      </c>
      <c r="G153">
        <f t="shared" si="4"/>
        <v>0</v>
      </c>
      <c r="H153">
        <f t="shared" si="5"/>
        <v>0</v>
      </c>
    </row>
    <row r="154" spans="1:8" ht="12.75">
      <c r="A154" s="401" t="s">
        <v>158</v>
      </c>
      <c r="B154" s="599">
        <v>4263.3</v>
      </c>
      <c r="C154" s="599">
        <v>3908.5333333333333</v>
      </c>
      <c r="D154">
        <v>4263.3</v>
      </c>
      <c r="E154">
        <v>3908.5333333333333</v>
      </c>
      <c r="G154">
        <f t="shared" si="4"/>
        <v>0</v>
      </c>
      <c r="H154">
        <f t="shared" si="5"/>
        <v>0</v>
      </c>
    </row>
    <row r="155" spans="1:8" ht="12.75">
      <c r="A155" s="401" t="s">
        <v>158</v>
      </c>
      <c r="B155" s="599">
        <v>2486.4</v>
      </c>
      <c r="C155" s="599">
        <v>2226.7666666666669</v>
      </c>
      <c r="D155">
        <v>2486.4</v>
      </c>
      <c r="E155">
        <v>2226.7666666666669</v>
      </c>
      <c r="G155">
        <f t="shared" si="4"/>
        <v>0</v>
      </c>
      <c r="H155">
        <f t="shared" si="5"/>
        <v>0</v>
      </c>
    </row>
    <row r="156" spans="1:8" ht="12.75">
      <c r="A156" s="409" t="s">
        <v>205</v>
      </c>
      <c r="B156" s="599">
        <v>23813.433333333334</v>
      </c>
      <c r="C156" s="599">
        <v>24079.083333333332</v>
      </c>
      <c r="D156">
        <v>23813.433333333334</v>
      </c>
      <c r="E156">
        <v>24079.083333333332</v>
      </c>
      <c r="G156">
        <f t="shared" si="4"/>
        <v>0</v>
      </c>
      <c r="H156">
        <f t="shared" si="5"/>
        <v>0</v>
      </c>
    </row>
    <row r="157" spans="1:8" ht="12.75">
      <c r="A157" s="409" t="s">
        <v>205</v>
      </c>
      <c r="B157" s="599">
        <v>16453.558333333334</v>
      </c>
      <c r="C157" s="599">
        <v>16506.291666666668</v>
      </c>
      <c r="D157">
        <v>16453.558333333334</v>
      </c>
      <c r="E157">
        <v>16506.291666666668</v>
      </c>
      <c r="G157">
        <f t="shared" si="4"/>
        <v>0</v>
      </c>
      <c r="H157">
        <f t="shared" si="5"/>
        <v>0</v>
      </c>
    </row>
    <row r="158" spans="1:8" ht="12.75">
      <c r="A158" s="409" t="s">
        <v>205</v>
      </c>
      <c r="B158" s="599">
        <v>12028.983333333334</v>
      </c>
      <c r="C158" s="599">
        <v>11666.033333333333</v>
      </c>
      <c r="D158">
        <v>12028.983333333334</v>
      </c>
      <c r="E158">
        <v>11666.033333333333</v>
      </c>
      <c r="G158">
        <f t="shared" si="4"/>
        <v>0</v>
      </c>
      <c r="H158">
        <f t="shared" si="5"/>
        <v>0</v>
      </c>
    </row>
    <row r="159" spans="1:8" ht="12.75">
      <c r="A159" s="409" t="s">
        <v>205</v>
      </c>
      <c r="B159" s="599">
        <v>6684.7833333333328</v>
      </c>
      <c r="C159" s="599">
        <v>6284.9416666666666</v>
      </c>
      <c r="D159">
        <v>6684.7833333333328</v>
      </c>
      <c r="E159">
        <v>6284.9416666666666</v>
      </c>
      <c r="G159">
        <f t="shared" si="4"/>
        <v>0</v>
      </c>
      <c r="H159">
        <f t="shared" si="5"/>
        <v>0</v>
      </c>
    </row>
    <row r="160" spans="1:8" ht="12.75">
      <c r="A160" s="409" t="s">
        <v>205</v>
      </c>
      <c r="B160" s="599">
        <v>7623.8666666666668</v>
      </c>
      <c r="C160" s="599">
        <v>7515.6083333333327</v>
      </c>
      <c r="D160">
        <v>7623.8666666666668</v>
      </c>
      <c r="E160">
        <v>7515.6083333333327</v>
      </c>
      <c r="G160">
        <f t="shared" si="4"/>
        <v>0</v>
      </c>
      <c r="H160">
        <f t="shared" si="5"/>
        <v>0</v>
      </c>
    </row>
    <row r="161" spans="1:8" ht="12.75">
      <c r="A161" s="409" t="s">
        <v>205</v>
      </c>
      <c r="B161" s="599">
        <v>12470.225</v>
      </c>
      <c r="C161" s="599">
        <v>12230.466666666667</v>
      </c>
      <c r="D161">
        <v>12470.225</v>
      </c>
      <c r="E161">
        <v>12230.466666666667</v>
      </c>
      <c r="G161">
        <f t="shared" si="4"/>
        <v>0</v>
      </c>
      <c r="H161">
        <f t="shared" si="5"/>
        <v>0</v>
      </c>
    </row>
    <row r="162" spans="1:8" ht="12.75">
      <c r="A162" s="409" t="s">
        <v>205</v>
      </c>
      <c r="B162" s="599">
        <v>14146.308333333332</v>
      </c>
      <c r="C162" s="599">
        <v>13848.433333333332</v>
      </c>
      <c r="D162">
        <v>14146.308333333332</v>
      </c>
      <c r="E162">
        <v>13848.433333333332</v>
      </c>
      <c r="G162">
        <f t="shared" si="4"/>
        <v>0</v>
      </c>
      <c r="H162">
        <f t="shared" si="5"/>
        <v>0</v>
      </c>
    </row>
    <row r="163" spans="1:8" ht="12.75">
      <c r="A163" s="409" t="s">
        <v>205</v>
      </c>
      <c r="B163" s="599">
        <v>1733.5166666666667</v>
      </c>
      <c r="C163" s="599">
        <v>1762.0166666666667</v>
      </c>
      <c r="D163">
        <v>1733.5166666666667</v>
      </c>
      <c r="E163">
        <v>1762.0166666666667</v>
      </c>
      <c r="G163">
        <f t="shared" si="4"/>
        <v>0</v>
      </c>
      <c r="H163">
        <f t="shared" si="5"/>
        <v>0</v>
      </c>
    </row>
    <row r="164" spans="1:8" ht="12.75">
      <c r="A164" s="409" t="s">
        <v>205</v>
      </c>
      <c r="B164" s="599">
        <v>6733.2333333333336</v>
      </c>
      <c r="C164" s="599">
        <v>6201.0666666666666</v>
      </c>
      <c r="D164">
        <v>6733.2333333333336</v>
      </c>
      <c r="E164">
        <v>6201.0666666666666</v>
      </c>
      <c r="G164">
        <f t="shared" si="4"/>
        <v>0</v>
      </c>
      <c r="H164">
        <f t="shared" si="5"/>
        <v>0</v>
      </c>
    </row>
    <row r="165" spans="1:8" ht="12.75">
      <c r="A165" s="409" t="s">
        <v>205</v>
      </c>
      <c r="B165" s="599">
        <v>6292.9</v>
      </c>
      <c r="C165" s="599">
        <v>5771.3</v>
      </c>
      <c r="D165">
        <v>6292.9</v>
      </c>
      <c r="E165">
        <v>5771.3</v>
      </c>
      <c r="G165">
        <f t="shared" si="4"/>
        <v>0</v>
      </c>
      <c r="H165">
        <f t="shared" si="5"/>
        <v>0</v>
      </c>
    </row>
    <row r="166" spans="1:8" ht="12.75">
      <c r="A166" s="409" t="s">
        <v>205</v>
      </c>
      <c r="B166" s="599">
        <v>1782.4</v>
      </c>
      <c r="C166" s="599">
        <v>1581.7333333333333</v>
      </c>
      <c r="D166">
        <v>1782.4</v>
      </c>
      <c r="E166">
        <v>1581.7333333333333</v>
      </c>
      <c r="G166">
        <f t="shared" si="4"/>
        <v>0</v>
      </c>
      <c r="H166">
        <f t="shared" si="5"/>
        <v>0</v>
      </c>
    </row>
    <row r="167" spans="1:8" ht="12.75">
      <c r="A167" s="409" t="s">
        <v>205</v>
      </c>
      <c r="B167" s="599">
        <v>3381.2</v>
      </c>
      <c r="C167" s="599">
        <v>3206.1333333333332</v>
      </c>
      <c r="D167">
        <v>3381.2</v>
      </c>
      <c r="E167">
        <v>3206.1333333333332</v>
      </c>
      <c r="G167">
        <f t="shared" si="4"/>
        <v>0</v>
      </c>
      <c r="H167">
        <f t="shared" si="5"/>
        <v>0</v>
      </c>
    </row>
    <row r="168" spans="1:8" ht="12.75">
      <c r="A168" s="409" t="s">
        <v>205</v>
      </c>
      <c r="B168" s="599">
        <v>2066.3333333333335</v>
      </c>
      <c r="C168" s="599">
        <v>1833.4333333333334</v>
      </c>
      <c r="D168">
        <v>2066.3333333333335</v>
      </c>
      <c r="E168">
        <v>1833.4333333333334</v>
      </c>
      <c r="G168">
        <f t="shared" si="4"/>
        <v>0</v>
      </c>
      <c r="H168">
        <f t="shared" si="5"/>
        <v>0</v>
      </c>
    </row>
    <row r="169" spans="1:8" ht="12.75">
      <c r="A169" s="409" t="s">
        <v>205</v>
      </c>
      <c r="B169" s="599">
        <v>2326.7333333333331</v>
      </c>
      <c r="C169" s="599">
        <v>2213.1666666666665</v>
      </c>
      <c r="D169">
        <v>2326.7333333333331</v>
      </c>
      <c r="E169">
        <v>2213.1666666666665</v>
      </c>
      <c r="G169">
        <f t="shared" si="4"/>
        <v>0</v>
      </c>
      <c r="H169">
        <f t="shared" si="5"/>
        <v>0</v>
      </c>
    </row>
    <row r="170" spans="1:8" ht="12.75">
      <c r="A170" s="409" t="s">
        <v>205</v>
      </c>
      <c r="B170" s="599">
        <v>3111.5666666666666</v>
      </c>
      <c r="C170" s="599">
        <v>2949.9333333333334</v>
      </c>
      <c r="D170">
        <v>3111.5666666666666</v>
      </c>
      <c r="E170">
        <v>2949.9333333333334</v>
      </c>
      <c r="G170">
        <f t="shared" si="4"/>
        <v>0</v>
      </c>
      <c r="H170">
        <f t="shared" si="5"/>
        <v>0</v>
      </c>
    </row>
    <row r="171" spans="1:8" ht="12.75">
      <c r="A171" s="409" t="s">
        <v>205</v>
      </c>
      <c r="B171" s="599">
        <v>2860.6666666666665</v>
      </c>
      <c r="C171" s="599">
        <v>2503.6666666666665</v>
      </c>
      <c r="D171">
        <v>2860.6666666666665</v>
      </c>
      <c r="E171">
        <v>2503.6666666666665</v>
      </c>
      <c r="G171">
        <f t="shared" si="4"/>
        <v>0</v>
      </c>
      <c r="H171">
        <f t="shared" si="5"/>
        <v>0</v>
      </c>
    </row>
    <row r="172" spans="1:8" ht="12.75">
      <c r="A172" s="409" t="s">
        <v>205</v>
      </c>
      <c r="B172" s="599">
        <v>1772.5666666666666</v>
      </c>
      <c r="C172" s="599">
        <v>1664.3333333333333</v>
      </c>
      <c r="D172">
        <v>1772.5666666666666</v>
      </c>
      <c r="E172">
        <v>1664.3333333333333</v>
      </c>
      <c r="G172">
        <f t="shared" si="4"/>
        <v>0</v>
      </c>
      <c r="H172">
        <f t="shared" si="5"/>
        <v>0</v>
      </c>
    </row>
    <row r="173" spans="1:8" ht="12.75">
      <c r="A173" s="409" t="s">
        <v>205</v>
      </c>
      <c r="B173" s="599">
        <v>1715.6333333333334</v>
      </c>
      <c r="C173" s="599">
        <v>1600.2</v>
      </c>
      <c r="D173">
        <v>1715.6333333333334</v>
      </c>
      <c r="E173">
        <v>1600.2</v>
      </c>
      <c r="G173">
        <f t="shared" ref="G173:G236" si="6">D173-B173</f>
        <v>0</v>
      </c>
      <c r="H173">
        <f t="shared" ref="H173:H236" si="7">E173-C173</f>
        <v>0</v>
      </c>
    </row>
    <row r="174" spans="1:8" ht="12.75">
      <c r="A174" s="409" t="s">
        <v>205</v>
      </c>
      <c r="B174" s="599">
        <v>775.93333333333328</v>
      </c>
      <c r="C174" s="599">
        <v>705.16666666666663</v>
      </c>
      <c r="D174">
        <v>775.93333333333328</v>
      </c>
      <c r="E174">
        <v>705.16666666666663</v>
      </c>
      <c r="G174">
        <f t="shared" si="6"/>
        <v>0</v>
      </c>
      <c r="H174">
        <f t="shared" si="7"/>
        <v>0</v>
      </c>
    </row>
    <row r="175" spans="1:8" ht="12.75">
      <c r="A175" s="409" t="s">
        <v>205</v>
      </c>
      <c r="B175" s="599">
        <v>1370.3</v>
      </c>
      <c r="C175" s="599">
        <v>1171.2666666666667</v>
      </c>
      <c r="D175">
        <v>1370.3</v>
      </c>
      <c r="E175">
        <v>1171.2666666666667</v>
      </c>
      <c r="G175">
        <f t="shared" si="6"/>
        <v>0</v>
      </c>
      <c r="H175">
        <f t="shared" si="7"/>
        <v>0</v>
      </c>
    </row>
    <row r="176" spans="1:8" ht="12.75">
      <c r="A176" s="409" t="s">
        <v>205</v>
      </c>
      <c r="B176" s="599">
        <v>1758</v>
      </c>
      <c r="C176" s="599">
        <v>1675.3666666666666</v>
      </c>
      <c r="D176">
        <v>1758</v>
      </c>
      <c r="E176">
        <v>1675.3666666666666</v>
      </c>
      <c r="G176">
        <f t="shared" si="6"/>
        <v>0</v>
      </c>
      <c r="H176">
        <f t="shared" si="7"/>
        <v>0</v>
      </c>
    </row>
    <row r="177" spans="1:8" ht="12.75">
      <c r="A177" s="409" t="s">
        <v>205</v>
      </c>
      <c r="B177" s="599">
        <v>1596.8666666666666</v>
      </c>
      <c r="C177" s="599">
        <v>1478.2333333333333</v>
      </c>
      <c r="D177">
        <v>1596.8666666666666</v>
      </c>
      <c r="E177">
        <v>1478.2333333333333</v>
      </c>
      <c r="G177">
        <f t="shared" si="6"/>
        <v>0</v>
      </c>
      <c r="H177">
        <f t="shared" si="7"/>
        <v>0</v>
      </c>
    </row>
    <row r="178" spans="1:8" ht="12.75">
      <c r="A178" s="406" t="s">
        <v>205</v>
      </c>
      <c r="B178" s="599">
        <v>2477.0666666666666</v>
      </c>
      <c r="C178" s="599">
        <v>2381.5333333333333</v>
      </c>
      <c r="D178">
        <v>2477.0666666666666</v>
      </c>
      <c r="E178">
        <v>2381.5333333333333</v>
      </c>
      <c r="G178">
        <f t="shared" si="6"/>
        <v>0</v>
      </c>
      <c r="H178">
        <f t="shared" si="7"/>
        <v>0</v>
      </c>
    </row>
    <row r="179" spans="1:8" ht="12.75">
      <c r="A179" s="406" t="s">
        <v>205</v>
      </c>
      <c r="B179" s="599">
        <v>2563.6333333333332</v>
      </c>
      <c r="C179" s="599">
        <v>2547.1</v>
      </c>
      <c r="D179">
        <v>2563.6333333333332</v>
      </c>
      <c r="E179">
        <v>2547.1</v>
      </c>
      <c r="G179">
        <f t="shared" si="6"/>
        <v>0</v>
      </c>
      <c r="H179">
        <f t="shared" si="7"/>
        <v>0</v>
      </c>
    </row>
    <row r="180" spans="1:8" ht="12.75">
      <c r="A180" s="423" t="s">
        <v>433</v>
      </c>
      <c r="B180" s="599">
        <v>31105.308333333334</v>
      </c>
      <c r="C180" s="599">
        <v>33090.054166666669</v>
      </c>
      <c r="D180">
        <v>31105.308333333334</v>
      </c>
      <c r="E180">
        <v>33090.054166666669</v>
      </c>
      <c r="G180">
        <f t="shared" si="6"/>
        <v>0</v>
      </c>
      <c r="H180">
        <f t="shared" si="7"/>
        <v>0</v>
      </c>
    </row>
    <row r="181" spans="1:8" ht="12.75">
      <c r="A181" s="423" t="s">
        <v>433</v>
      </c>
      <c r="B181" s="599">
        <v>9674.9000000000015</v>
      </c>
      <c r="C181" s="599">
        <v>9403.5916666666653</v>
      </c>
      <c r="D181">
        <v>9674.9000000000015</v>
      </c>
      <c r="E181">
        <v>9403.5916666666653</v>
      </c>
      <c r="G181">
        <f t="shared" si="6"/>
        <v>0</v>
      </c>
      <c r="H181">
        <f t="shared" si="7"/>
        <v>0</v>
      </c>
    </row>
    <row r="182" spans="1:8" ht="12.75">
      <c r="A182" s="423" t="s">
        <v>433</v>
      </c>
      <c r="B182" s="599">
        <v>13985.325000000001</v>
      </c>
      <c r="C182" s="599">
        <v>13417.975</v>
      </c>
      <c r="D182">
        <v>13985.325000000001</v>
      </c>
      <c r="E182">
        <v>13417.975</v>
      </c>
      <c r="G182">
        <f t="shared" si="6"/>
        <v>0</v>
      </c>
      <c r="H182">
        <f t="shared" si="7"/>
        <v>0</v>
      </c>
    </row>
    <row r="183" spans="1:8" ht="12.75">
      <c r="A183" s="423" t="s">
        <v>433</v>
      </c>
      <c r="B183" s="599">
        <v>6443.8</v>
      </c>
      <c r="C183" s="599">
        <v>6123.2333333333336</v>
      </c>
      <c r="D183">
        <v>6443.8</v>
      </c>
      <c r="E183">
        <v>6123.2333333333336</v>
      </c>
      <c r="G183">
        <f t="shared" si="6"/>
        <v>0</v>
      </c>
      <c r="H183">
        <f t="shared" si="7"/>
        <v>0</v>
      </c>
    </row>
    <row r="184" spans="1:8" ht="12.75">
      <c r="A184" s="423" t="s">
        <v>433</v>
      </c>
      <c r="B184" s="599">
        <v>6400.0166666666664</v>
      </c>
      <c r="C184" s="599">
        <v>5792.3583333333336</v>
      </c>
      <c r="D184">
        <v>6400.0166666666664</v>
      </c>
      <c r="E184">
        <v>5792.3583333333336</v>
      </c>
      <c r="G184">
        <f t="shared" si="6"/>
        <v>0</v>
      </c>
      <c r="H184">
        <f t="shared" si="7"/>
        <v>0</v>
      </c>
    </row>
    <row r="185" spans="1:8" ht="12.75">
      <c r="A185" s="423" t="s">
        <v>433</v>
      </c>
      <c r="B185" s="599">
        <v>11633.45</v>
      </c>
      <c r="C185" s="599">
        <v>10914.766666666666</v>
      </c>
      <c r="D185">
        <v>11633.45</v>
      </c>
      <c r="E185">
        <v>10914.766666666666</v>
      </c>
      <c r="G185">
        <f t="shared" si="6"/>
        <v>0</v>
      </c>
      <c r="H185">
        <f t="shared" si="7"/>
        <v>0</v>
      </c>
    </row>
    <row r="186" spans="1:8" ht="12.75">
      <c r="A186" s="423" t="s">
        <v>433</v>
      </c>
      <c r="B186" s="599">
        <v>5849.2250000000004</v>
      </c>
      <c r="C186" s="599">
        <v>6550.9250000000002</v>
      </c>
      <c r="D186">
        <v>5849.2250000000004</v>
      </c>
      <c r="E186">
        <v>6550.9250000000002</v>
      </c>
      <c r="G186">
        <f t="shared" si="6"/>
        <v>0</v>
      </c>
      <c r="H186">
        <f t="shared" si="7"/>
        <v>0</v>
      </c>
    </row>
    <row r="187" spans="1:8" ht="12.75">
      <c r="A187" s="423" t="s">
        <v>433</v>
      </c>
      <c r="B187" s="599">
        <v>7629.9250000000002</v>
      </c>
      <c r="C187" s="599">
        <v>7407.8583333333336</v>
      </c>
      <c r="D187">
        <v>7629.9250000000002</v>
      </c>
      <c r="E187">
        <v>7407.8583333333336</v>
      </c>
      <c r="G187">
        <f t="shared" si="6"/>
        <v>0</v>
      </c>
      <c r="H187">
        <f t="shared" si="7"/>
        <v>0</v>
      </c>
    </row>
    <row r="188" spans="1:8" ht="12.75">
      <c r="A188" s="423" t="s">
        <v>433</v>
      </c>
      <c r="B188" s="599">
        <v>4891.1499999999996</v>
      </c>
      <c r="C188" s="599">
        <v>4947.4333333333334</v>
      </c>
      <c r="D188">
        <v>4891.1499999999996</v>
      </c>
      <c r="E188">
        <v>4947.4333333333334</v>
      </c>
      <c r="G188">
        <f t="shared" si="6"/>
        <v>0</v>
      </c>
      <c r="H188">
        <f t="shared" si="7"/>
        <v>0</v>
      </c>
    </row>
    <row r="189" spans="1:8" ht="12.75">
      <c r="A189" s="423" t="s">
        <v>433</v>
      </c>
      <c r="B189" s="599">
        <v>7209.7833333333328</v>
      </c>
      <c r="C189" s="599">
        <v>7159.0750000000007</v>
      </c>
      <c r="D189">
        <v>7209.7833333333328</v>
      </c>
      <c r="E189">
        <v>7159.0750000000007</v>
      </c>
      <c r="G189">
        <f t="shared" si="6"/>
        <v>0</v>
      </c>
      <c r="H189">
        <f t="shared" si="7"/>
        <v>0</v>
      </c>
    </row>
    <row r="190" spans="1:8" ht="12.75">
      <c r="A190" s="423" t="s">
        <v>433</v>
      </c>
      <c r="B190" s="599">
        <v>5852.8083333333334</v>
      </c>
      <c r="C190" s="599">
        <v>5576.0166666666673</v>
      </c>
      <c r="D190">
        <v>5852.8083333333334</v>
      </c>
      <c r="E190">
        <v>5576.0166666666673</v>
      </c>
      <c r="G190">
        <f t="shared" si="6"/>
        <v>0</v>
      </c>
      <c r="H190">
        <f t="shared" si="7"/>
        <v>0</v>
      </c>
    </row>
    <row r="191" spans="1:8" ht="12.75">
      <c r="A191" s="423" t="s">
        <v>433</v>
      </c>
      <c r="B191" s="599">
        <v>8610.0916666666672</v>
      </c>
      <c r="C191" s="599">
        <v>8210.4166666666679</v>
      </c>
      <c r="D191">
        <v>8610.0916666666672</v>
      </c>
      <c r="E191">
        <v>8210.4166666666679</v>
      </c>
      <c r="G191">
        <f t="shared" si="6"/>
        <v>0</v>
      </c>
      <c r="H191">
        <f t="shared" si="7"/>
        <v>0</v>
      </c>
    </row>
    <row r="192" spans="1:8" ht="12.75">
      <c r="A192" s="426" t="s">
        <v>433</v>
      </c>
      <c r="B192" s="599">
        <v>1679.825</v>
      </c>
      <c r="C192" s="599">
        <v>1456.7916666666667</v>
      </c>
      <c r="D192">
        <v>1679.825</v>
      </c>
      <c r="E192">
        <v>1456.7916666666667</v>
      </c>
      <c r="G192">
        <f t="shared" si="6"/>
        <v>0</v>
      </c>
      <c r="H192">
        <f t="shared" si="7"/>
        <v>0</v>
      </c>
    </row>
    <row r="193" spans="1:8" ht="12.75">
      <c r="A193" s="423" t="s">
        <v>433</v>
      </c>
      <c r="B193" s="599">
        <v>2683.3333333333335</v>
      </c>
      <c r="C193" s="599">
        <v>2948.9</v>
      </c>
      <c r="D193">
        <v>2683.3333333333335</v>
      </c>
      <c r="E193">
        <v>2948.9</v>
      </c>
      <c r="G193">
        <f t="shared" si="6"/>
        <v>0</v>
      </c>
      <c r="H193">
        <f t="shared" si="7"/>
        <v>0</v>
      </c>
    </row>
    <row r="194" spans="1:8" ht="12.75">
      <c r="A194" s="423" t="s">
        <v>433</v>
      </c>
      <c r="B194" s="599">
        <v>5163.2333333333336</v>
      </c>
      <c r="C194" s="599">
        <v>5176.3</v>
      </c>
      <c r="D194">
        <v>5163.2333333333336</v>
      </c>
      <c r="E194">
        <v>5176.3</v>
      </c>
      <c r="G194">
        <f t="shared" si="6"/>
        <v>0</v>
      </c>
      <c r="H194">
        <f t="shared" si="7"/>
        <v>0</v>
      </c>
    </row>
    <row r="195" spans="1:8" ht="12.75">
      <c r="A195" s="423" t="s">
        <v>433</v>
      </c>
      <c r="B195" s="599">
        <v>9187.2666666666664</v>
      </c>
      <c r="C195" s="599">
        <v>8299.1333333333332</v>
      </c>
      <c r="D195">
        <v>9187.2666666666664</v>
      </c>
      <c r="E195">
        <v>8299.1333333333332</v>
      </c>
      <c r="G195">
        <f t="shared" si="6"/>
        <v>0</v>
      </c>
      <c r="H195">
        <f t="shared" si="7"/>
        <v>0</v>
      </c>
    </row>
    <row r="196" spans="1:8" ht="12.75">
      <c r="A196" s="423" t="s">
        <v>433</v>
      </c>
      <c r="B196" s="599">
        <v>4335</v>
      </c>
      <c r="C196" s="599">
        <v>3846.2166666666667</v>
      </c>
      <c r="D196">
        <v>4335</v>
      </c>
      <c r="E196">
        <v>3846.2166666666667</v>
      </c>
      <c r="G196">
        <f t="shared" si="6"/>
        <v>0</v>
      </c>
      <c r="H196">
        <f t="shared" si="7"/>
        <v>0</v>
      </c>
    </row>
    <row r="197" spans="1:8" ht="12.75">
      <c r="A197" s="423" t="s">
        <v>433</v>
      </c>
      <c r="B197" s="599">
        <v>2815.4</v>
      </c>
      <c r="C197" s="599">
        <v>2672.9833333333331</v>
      </c>
      <c r="D197">
        <v>2815.4</v>
      </c>
      <c r="E197">
        <v>2672.9833333333331</v>
      </c>
      <c r="G197">
        <f t="shared" si="6"/>
        <v>0</v>
      </c>
      <c r="H197">
        <f t="shared" si="7"/>
        <v>0</v>
      </c>
    </row>
    <row r="198" spans="1:8" ht="12.75">
      <c r="A198" s="423" t="s">
        <v>433</v>
      </c>
      <c r="B198" s="599">
        <v>4648.833333333333</v>
      </c>
      <c r="C198" s="599">
        <v>4287.6000000000004</v>
      </c>
      <c r="D198">
        <v>4648.833333333333</v>
      </c>
      <c r="E198">
        <v>4287.6000000000004</v>
      </c>
      <c r="G198">
        <f t="shared" si="6"/>
        <v>0</v>
      </c>
      <c r="H198">
        <f t="shared" si="7"/>
        <v>0</v>
      </c>
    </row>
    <row r="199" spans="1:8" ht="12.75">
      <c r="A199" s="423" t="s">
        <v>433</v>
      </c>
      <c r="B199" s="599">
        <v>1941.7666666666667</v>
      </c>
      <c r="C199" s="599">
        <v>1804.8666666666666</v>
      </c>
      <c r="D199">
        <v>1941.7666666666667</v>
      </c>
      <c r="E199">
        <v>1804.8666666666666</v>
      </c>
      <c r="G199">
        <f t="shared" si="6"/>
        <v>0</v>
      </c>
      <c r="H199">
        <f t="shared" si="7"/>
        <v>0</v>
      </c>
    </row>
    <row r="200" spans="1:8" ht="12.75">
      <c r="A200" s="423" t="s">
        <v>433</v>
      </c>
      <c r="B200" s="599">
        <v>2026.8333333333333</v>
      </c>
      <c r="C200" s="599">
        <v>2037.3666666666666</v>
      </c>
      <c r="D200">
        <v>2026.8333333333333</v>
      </c>
      <c r="E200">
        <v>2037.3666666666666</v>
      </c>
      <c r="G200">
        <f t="shared" si="6"/>
        <v>0</v>
      </c>
      <c r="H200">
        <f t="shared" si="7"/>
        <v>0</v>
      </c>
    </row>
    <row r="201" spans="1:8" ht="12.75">
      <c r="A201" s="423" t="s">
        <v>433</v>
      </c>
      <c r="B201" s="599">
        <v>1486.7666666666667</v>
      </c>
      <c r="C201" s="599">
        <v>1366.5</v>
      </c>
      <c r="D201">
        <v>1486.7666666666667</v>
      </c>
      <c r="E201">
        <v>1366.5</v>
      </c>
      <c r="G201">
        <f t="shared" si="6"/>
        <v>0</v>
      </c>
      <c r="H201">
        <f t="shared" si="7"/>
        <v>0</v>
      </c>
    </row>
    <row r="202" spans="1:8" ht="12.75">
      <c r="A202" s="426" t="s">
        <v>433</v>
      </c>
      <c r="B202" s="599">
        <v>1952.2666666666667</v>
      </c>
      <c r="C202" s="599">
        <v>1609.5666666666666</v>
      </c>
      <c r="D202">
        <v>1952.2666666666667</v>
      </c>
      <c r="E202">
        <v>1609.5666666666666</v>
      </c>
      <c r="G202">
        <f t="shared" si="6"/>
        <v>0</v>
      </c>
      <c r="H202">
        <f t="shared" si="7"/>
        <v>0</v>
      </c>
    </row>
    <row r="203" spans="1:8" ht="12.75">
      <c r="A203" s="426" t="s">
        <v>433</v>
      </c>
      <c r="B203" s="599">
        <v>1434.7</v>
      </c>
      <c r="C203" s="599">
        <v>1296.4666666666667</v>
      </c>
      <c r="D203">
        <v>1434.7</v>
      </c>
      <c r="E203">
        <v>1296.4666666666667</v>
      </c>
      <c r="G203">
        <f t="shared" si="6"/>
        <v>0</v>
      </c>
      <c r="H203">
        <f t="shared" si="7"/>
        <v>0</v>
      </c>
    </row>
    <row r="204" spans="1:8" ht="12.75">
      <c r="A204" s="426" t="s">
        <v>433</v>
      </c>
      <c r="B204" s="599">
        <v>1562.0666666666666</v>
      </c>
      <c r="C204" s="599">
        <v>1314.7</v>
      </c>
      <c r="D204">
        <v>1562.0666666666666</v>
      </c>
      <c r="E204">
        <v>1314.7</v>
      </c>
      <c r="G204">
        <f t="shared" si="6"/>
        <v>0</v>
      </c>
      <c r="H204">
        <f t="shared" si="7"/>
        <v>0</v>
      </c>
    </row>
    <row r="205" spans="1:8" ht="12.75">
      <c r="A205" s="426" t="s">
        <v>433</v>
      </c>
      <c r="B205" s="599">
        <v>2126.0666666666666</v>
      </c>
      <c r="C205" s="599">
        <v>2092.4166666666665</v>
      </c>
      <c r="D205">
        <v>2126.0666666666666</v>
      </c>
      <c r="E205">
        <v>2092.4166666666665</v>
      </c>
      <c r="G205">
        <f t="shared" si="6"/>
        <v>0</v>
      </c>
      <c r="H205">
        <f t="shared" si="7"/>
        <v>0</v>
      </c>
    </row>
    <row r="206" spans="1:8" ht="12.75">
      <c r="A206" s="426" t="s">
        <v>433</v>
      </c>
      <c r="B206" s="599">
        <v>2295.3333333333335</v>
      </c>
      <c r="C206" s="599">
        <v>2125.6833333333334</v>
      </c>
      <c r="D206">
        <v>2295.3333333333335</v>
      </c>
      <c r="E206">
        <v>2125.6833333333334</v>
      </c>
      <c r="G206">
        <f t="shared" si="6"/>
        <v>0</v>
      </c>
      <c r="H206">
        <f t="shared" si="7"/>
        <v>0</v>
      </c>
    </row>
    <row r="207" spans="1:8" ht="12.75">
      <c r="A207" s="426" t="s">
        <v>433</v>
      </c>
      <c r="B207" s="599">
        <v>760.76666666666665</v>
      </c>
      <c r="C207" s="599">
        <v>684.5333333333333</v>
      </c>
      <c r="D207">
        <v>760.76666666666665</v>
      </c>
      <c r="E207">
        <v>684.5333333333333</v>
      </c>
      <c r="G207">
        <f t="shared" si="6"/>
        <v>0</v>
      </c>
      <c r="H207">
        <f t="shared" si="7"/>
        <v>0</v>
      </c>
    </row>
    <row r="208" spans="1:8" ht="12.75">
      <c r="A208" s="426" t="s">
        <v>433</v>
      </c>
      <c r="B208" s="599">
        <v>884.16666666666663</v>
      </c>
      <c r="C208" s="599">
        <v>528.75</v>
      </c>
      <c r="D208">
        <v>884.16666666666663</v>
      </c>
      <c r="E208">
        <v>528.75</v>
      </c>
      <c r="G208">
        <f t="shared" si="6"/>
        <v>0</v>
      </c>
      <c r="H208">
        <f t="shared" si="7"/>
        <v>0</v>
      </c>
    </row>
    <row r="209" spans="1:8" ht="12.75">
      <c r="A209" s="429" t="s">
        <v>461</v>
      </c>
      <c r="B209" s="599">
        <v>1564.5666666666666</v>
      </c>
      <c r="C209" s="599">
        <v>1427.6333333333334</v>
      </c>
      <c r="D209">
        <v>1564.5666666666666</v>
      </c>
      <c r="E209">
        <v>1427.6333333333334</v>
      </c>
      <c r="G209">
        <f t="shared" si="6"/>
        <v>0</v>
      </c>
      <c r="H209">
        <f t="shared" si="7"/>
        <v>0</v>
      </c>
    </row>
    <row r="210" spans="1:8" ht="12.75">
      <c r="A210" s="429" t="s">
        <v>461</v>
      </c>
      <c r="B210" s="599">
        <v>7405.6</v>
      </c>
      <c r="C210" s="599">
        <v>6506.166666666667</v>
      </c>
      <c r="D210">
        <v>7405.6</v>
      </c>
      <c r="E210">
        <v>6506.166666666667</v>
      </c>
      <c r="G210">
        <f t="shared" si="6"/>
        <v>0</v>
      </c>
      <c r="H210">
        <f t="shared" si="7"/>
        <v>0</v>
      </c>
    </row>
    <row r="211" spans="1:8" ht="12.75">
      <c r="A211" s="429" t="s">
        <v>461</v>
      </c>
      <c r="B211" s="599">
        <v>2733.4</v>
      </c>
      <c r="C211" s="599">
        <v>2310.3000000000002</v>
      </c>
      <c r="D211">
        <v>2733.4</v>
      </c>
      <c r="E211">
        <v>2310.3000000000002</v>
      </c>
      <c r="G211">
        <f t="shared" si="6"/>
        <v>0</v>
      </c>
      <c r="H211">
        <f t="shared" si="7"/>
        <v>0</v>
      </c>
    </row>
    <row r="212" spans="1:8" ht="12.75">
      <c r="A212" s="429" t="s">
        <v>461</v>
      </c>
      <c r="B212" s="599">
        <v>1773.1</v>
      </c>
      <c r="C212" s="599">
        <v>1586.2</v>
      </c>
      <c r="D212">
        <v>1773.1</v>
      </c>
      <c r="E212">
        <v>1586.2</v>
      </c>
      <c r="G212">
        <f t="shared" si="6"/>
        <v>0</v>
      </c>
      <c r="H212">
        <f t="shared" si="7"/>
        <v>0</v>
      </c>
    </row>
    <row r="213" spans="1:8" ht="12.75">
      <c r="A213" s="429" t="s">
        <v>461</v>
      </c>
      <c r="B213" s="599">
        <v>1257.8666666666666</v>
      </c>
      <c r="C213" s="599">
        <v>1006.5333333333333</v>
      </c>
      <c r="D213">
        <v>1257.8666666666666</v>
      </c>
      <c r="E213">
        <v>1006.5333333333333</v>
      </c>
      <c r="G213">
        <f t="shared" si="6"/>
        <v>0</v>
      </c>
      <c r="H213">
        <f t="shared" si="7"/>
        <v>0</v>
      </c>
    </row>
    <row r="214" spans="1:8" ht="12.75">
      <c r="A214" s="429" t="s">
        <v>461</v>
      </c>
      <c r="B214" s="599">
        <v>1110.5</v>
      </c>
      <c r="C214" s="599">
        <v>985.93333333333328</v>
      </c>
      <c r="D214">
        <v>1110.5</v>
      </c>
      <c r="E214">
        <v>985.93333333333328</v>
      </c>
      <c r="G214">
        <f t="shared" si="6"/>
        <v>0</v>
      </c>
      <c r="H214">
        <f t="shared" si="7"/>
        <v>0</v>
      </c>
    </row>
    <row r="215" spans="1:8" ht="12.75">
      <c r="A215" s="429" t="s">
        <v>461</v>
      </c>
      <c r="B215" s="599">
        <v>4161.5</v>
      </c>
      <c r="C215" s="599">
        <v>4805.666666666667</v>
      </c>
      <c r="D215">
        <v>4161.5</v>
      </c>
      <c r="E215">
        <v>4805.666666666667</v>
      </c>
      <c r="G215">
        <f t="shared" si="6"/>
        <v>0</v>
      </c>
      <c r="H215">
        <f t="shared" si="7"/>
        <v>0</v>
      </c>
    </row>
    <row r="216" spans="1:8" ht="12.75">
      <c r="A216" s="429" t="s">
        <v>461</v>
      </c>
      <c r="B216" s="599">
        <v>10444.816666666668</v>
      </c>
      <c r="C216" s="599">
        <v>9757.7000000000007</v>
      </c>
      <c r="D216">
        <v>10444.816666666668</v>
      </c>
      <c r="E216">
        <v>9757.7000000000007</v>
      </c>
      <c r="G216">
        <f t="shared" si="6"/>
        <v>0</v>
      </c>
      <c r="H216">
        <f t="shared" si="7"/>
        <v>0</v>
      </c>
    </row>
    <row r="217" spans="1:8" ht="12.75">
      <c r="A217" s="429" t="s">
        <v>461</v>
      </c>
      <c r="B217" s="599">
        <v>3425.8</v>
      </c>
      <c r="C217" s="599">
        <v>3128.8666666666668</v>
      </c>
      <c r="D217">
        <v>3425.8</v>
      </c>
      <c r="E217">
        <v>3128.8666666666668</v>
      </c>
      <c r="G217">
        <f t="shared" si="6"/>
        <v>0</v>
      </c>
      <c r="H217">
        <f t="shared" si="7"/>
        <v>0</v>
      </c>
    </row>
    <row r="218" spans="1:8" ht="12.75">
      <c r="A218" s="429" t="s">
        <v>461</v>
      </c>
      <c r="B218" s="599">
        <v>450.14166666666665</v>
      </c>
      <c r="C218" s="599">
        <v>384.13333333333333</v>
      </c>
      <c r="D218">
        <v>450.14166666666665</v>
      </c>
      <c r="E218">
        <v>384.13333333333333</v>
      </c>
      <c r="G218">
        <f t="shared" si="6"/>
        <v>0</v>
      </c>
      <c r="H218">
        <f t="shared" si="7"/>
        <v>0</v>
      </c>
    </row>
    <row r="219" spans="1:8" ht="12.75">
      <c r="A219" s="429" t="s">
        <v>461</v>
      </c>
      <c r="B219" s="599">
        <v>2752.3333333333335</v>
      </c>
      <c r="C219" s="599">
        <v>2226</v>
      </c>
      <c r="D219">
        <v>2752.3333333333335</v>
      </c>
      <c r="E219">
        <v>2226</v>
      </c>
      <c r="G219">
        <f t="shared" si="6"/>
        <v>0</v>
      </c>
      <c r="H219">
        <f t="shared" si="7"/>
        <v>0</v>
      </c>
    </row>
    <row r="220" spans="1:8" ht="12.75">
      <c r="A220" s="429" t="s">
        <v>461</v>
      </c>
      <c r="B220" s="599">
        <v>3317.25</v>
      </c>
      <c r="C220" s="599">
        <v>2851.5</v>
      </c>
      <c r="D220">
        <v>3317.25</v>
      </c>
      <c r="E220">
        <v>2851.5</v>
      </c>
      <c r="G220">
        <f t="shared" si="6"/>
        <v>0</v>
      </c>
      <c r="H220">
        <f t="shared" si="7"/>
        <v>0</v>
      </c>
    </row>
    <row r="221" spans="1:8" ht="12.75">
      <c r="A221" s="429" t="s">
        <v>461</v>
      </c>
      <c r="B221" s="599">
        <v>5861.8666666666668</v>
      </c>
      <c r="C221" s="599">
        <v>6365.7666666666664</v>
      </c>
      <c r="D221">
        <v>5861.8666666666668</v>
      </c>
      <c r="E221">
        <v>6365.7666666666664</v>
      </c>
      <c r="G221">
        <f t="shared" si="6"/>
        <v>0</v>
      </c>
      <c r="H221">
        <f t="shared" si="7"/>
        <v>0</v>
      </c>
    </row>
    <row r="222" spans="1:8" ht="12.75">
      <c r="A222" s="429" t="s">
        <v>461</v>
      </c>
      <c r="B222" s="599">
        <v>21387.333333333332</v>
      </c>
      <c r="C222" s="599">
        <v>20268.966666666667</v>
      </c>
      <c r="D222">
        <v>21387.333333333332</v>
      </c>
      <c r="E222">
        <v>20268.966666666667</v>
      </c>
      <c r="G222">
        <f t="shared" si="6"/>
        <v>0</v>
      </c>
      <c r="H222">
        <f t="shared" si="7"/>
        <v>0</v>
      </c>
    </row>
    <row r="223" spans="1:8" ht="12.75">
      <c r="A223" s="429" t="s">
        <v>461</v>
      </c>
      <c r="B223" s="599">
        <v>13475.7</v>
      </c>
      <c r="C223" s="599">
        <v>9839.2333333333336</v>
      </c>
      <c r="D223">
        <v>13475.7</v>
      </c>
      <c r="E223">
        <v>9839.2333333333336</v>
      </c>
      <c r="G223">
        <f t="shared" si="6"/>
        <v>0</v>
      </c>
      <c r="H223">
        <f t="shared" si="7"/>
        <v>0</v>
      </c>
    </row>
    <row r="224" spans="1:8" ht="12.75">
      <c r="A224" s="429" t="s">
        <v>461</v>
      </c>
      <c r="B224" s="599">
        <v>1577.5666666666666</v>
      </c>
      <c r="C224" s="599">
        <v>1428.6333333333334</v>
      </c>
      <c r="D224">
        <v>1577.5666666666666</v>
      </c>
      <c r="E224">
        <v>1428.6333333333334</v>
      </c>
      <c r="G224">
        <f t="shared" si="6"/>
        <v>0</v>
      </c>
      <c r="H224">
        <f t="shared" si="7"/>
        <v>0</v>
      </c>
    </row>
    <row r="225" spans="1:8" ht="12.75">
      <c r="A225" s="429" t="s">
        <v>461</v>
      </c>
      <c r="B225" s="599">
        <v>5497.333333333333</v>
      </c>
      <c r="C225" s="599">
        <v>5380.9083333333338</v>
      </c>
      <c r="D225">
        <v>5497.333333333333</v>
      </c>
      <c r="E225">
        <v>5380.9083333333338</v>
      </c>
      <c r="G225">
        <f t="shared" si="6"/>
        <v>0</v>
      </c>
      <c r="H225">
        <f t="shared" si="7"/>
        <v>0</v>
      </c>
    </row>
    <row r="226" spans="1:8" ht="12.75">
      <c r="A226" s="429" t="s">
        <v>461</v>
      </c>
      <c r="B226" s="599">
        <v>2030.0333333333333</v>
      </c>
      <c r="C226" s="599">
        <v>1682.5666666666668</v>
      </c>
      <c r="D226">
        <v>2030.0333333333333</v>
      </c>
      <c r="E226">
        <v>1682.5666666666668</v>
      </c>
      <c r="G226">
        <f t="shared" si="6"/>
        <v>0</v>
      </c>
      <c r="H226">
        <f t="shared" si="7"/>
        <v>0</v>
      </c>
    </row>
    <row r="227" spans="1:8" ht="12.75">
      <c r="A227" s="429" t="s">
        <v>461</v>
      </c>
      <c r="B227" s="599">
        <v>4297.0833333333339</v>
      </c>
      <c r="C227" s="599">
        <v>3976.7750000000001</v>
      </c>
      <c r="D227">
        <v>4297.0833333333339</v>
      </c>
      <c r="E227">
        <v>3976.7750000000001</v>
      </c>
      <c r="G227">
        <f t="shared" si="6"/>
        <v>0</v>
      </c>
      <c r="H227">
        <f t="shared" si="7"/>
        <v>0</v>
      </c>
    </row>
    <row r="228" spans="1:8" ht="12.75">
      <c r="A228" s="429" t="s">
        <v>461</v>
      </c>
      <c r="B228" s="599">
        <v>7996.2416666666668</v>
      </c>
      <c r="C228" s="599">
        <v>7389.7916666666661</v>
      </c>
      <c r="D228">
        <v>7996.2416666666668</v>
      </c>
      <c r="E228">
        <v>7389.7916666666661</v>
      </c>
      <c r="G228">
        <f t="shared" si="6"/>
        <v>0</v>
      </c>
      <c r="H228">
        <f t="shared" si="7"/>
        <v>0</v>
      </c>
    </row>
    <row r="229" spans="1:8" ht="12.75">
      <c r="A229" s="429" t="s">
        <v>461</v>
      </c>
      <c r="B229" s="599">
        <v>19849.75</v>
      </c>
      <c r="C229" s="599">
        <v>18721.416666666668</v>
      </c>
      <c r="D229">
        <v>19849.75</v>
      </c>
      <c r="E229">
        <v>18721.416666666668</v>
      </c>
      <c r="G229">
        <f t="shared" si="6"/>
        <v>0</v>
      </c>
      <c r="H229">
        <f t="shared" si="7"/>
        <v>0</v>
      </c>
    </row>
    <row r="230" spans="1:8" ht="12.75">
      <c r="A230" s="429" t="s">
        <v>461</v>
      </c>
      <c r="B230" s="599">
        <v>3015.1458333333335</v>
      </c>
      <c r="C230" s="599">
        <v>2755.7749999999996</v>
      </c>
      <c r="D230">
        <v>3015.1458333333335</v>
      </c>
      <c r="E230">
        <v>2755.7749999999996</v>
      </c>
      <c r="G230">
        <f t="shared" si="6"/>
        <v>0</v>
      </c>
      <c r="H230">
        <f t="shared" si="7"/>
        <v>0</v>
      </c>
    </row>
    <row r="231" spans="1:8" ht="12.75">
      <c r="A231" s="429" t="s">
        <v>461</v>
      </c>
      <c r="B231" s="599">
        <v>12012.775</v>
      </c>
      <c r="C231" s="599">
        <v>11723.883333333333</v>
      </c>
      <c r="D231">
        <v>12012.775</v>
      </c>
      <c r="E231">
        <v>11723.883333333333</v>
      </c>
      <c r="G231">
        <f t="shared" si="6"/>
        <v>0</v>
      </c>
      <c r="H231">
        <f t="shared" si="7"/>
        <v>0</v>
      </c>
    </row>
    <row r="232" spans="1:8" ht="12.75">
      <c r="A232" s="429" t="s">
        <v>461</v>
      </c>
      <c r="B232" s="599">
        <v>35685.324999999997</v>
      </c>
      <c r="C232" s="599">
        <v>35927.375</v>
      </c>
      <c r="D232">
        <v>35685.324999999997</v>
      </c>
      <c r="E232">
        <v>35927.375</v>
      </c>
      <c r="G232">
        <f t="shared" si="6"/>
        <v>0</v>
      </c>
      <c r="H232">
        <f t="shared" si="7"/>
        <v>0</v>
      </c>
    </row>
    <row r="233" spans="1:8" ht="12.75">
      <c r="A233" s="429" t="s">
        <v>461</v>
      </c>
      <c r="B233" s="599">
        <v>2702.5958333333333</v>
      </c>
      <c r="C233" s="599">
        <v>2469.3833333333332</v>
      </c>
      <c r="D233">
        <v>2702.5958333333333</v>
      </c>
      <c r="E233">
        <v>2469.3833333333332</v>
      </c>
      <c r="G233">
        <f t="shared" si="6"/>
        <v>0</v>
      </c>
      <c r="H233">
        <f t="shared" si="7"/>
        <v>0</v>
      </c>
    </row>
    <row r="234" spans="1:8" ht="12.75">
      <c r="A234" s="429" t="s">
        <v>461</v>
      </c>
      <c r="B234" s="599">
        <v>7121.7583333333332</v>
      </c>
      <c r="C234" s="599">
        <v>7200.916666666667</v>
      </c>
      <c r="D234">
        <v>7121.7583333333332</v>
      </c>
      <c r="E234">
        <v>7200.916666666667</v>
      </c>
      <c r="G234">
        <f t="shared" si="6"/>
        <v>0</v>
      </c>
      <c r="H234">
        <f t="shared" si="7"/>
        <v>0</v>
      </c>
    </row>
    <row r="235" spans="1:8" ht="12.75">
      <c r="A235" s="429" t="s">
        <v>461</v>
      </c>
      <c r="B235" s="599">
        <v>1584.0916666666667</v>
      </c>
      <c r="C235" s="599">
        <v>1633.875</v>
      </c>
      <c r="D235">
        <v>1584.0916666666667</v>
      </c>
      <c r="E235">
        <v>1633.875</v>
      </c>
      <c r="G235">
        <f t="shared" si="6"/>
        <v>0</v>
      </c>
      <c r="H235">
        <f t="shared" si="7"/>
        <v>0</v>
      </c>
    </row>
    <row r="236" spans="1:8" ht="12.75">
      <c r="A236" s="430" t="s">
        <v>230</v>
      </c>
      <c r="B236" s="599">
        <v>20877.516666666666</v>
      </c>
      <c r="C236" s="599">
        <v>20737.691666666669</v>
      </c>
      <c r="D236">
        <v>20877.516666666666</v>
      </c>
      <c r="E236">
        <v>20737.691666666669</v>
      </c>
      <c r="G236">
        <f t="shared" si="6"/>
        <v>0</v>
      </c>
      <c r="H236">
        <f t="shared" si="7"/>
        <v>0</v>
      </c>
    </row>
    <row r="237" spans="1:8" ht="12.75">
      <c r="A237" s="430" t="s">
        <v>230</v>
      </c>
      <c r="B237" s="599">
        <v>19754.091666666667</v>
      </c>
      <c r="C237" s="599">
        <v>19275.291666666664</v>
      </c>
      <c r="D237">
        <v>19754.091666666667</v>
      </c>
      <c r="E237">
        <v>19275.291666666664</v>
      </c>
      <c r="G237">
        <f t="shared" ref="G237:G300" si="8">D237-B237</f>
        <v>0</v>
      </c>
      <c r="H237">
        <f t="shared" ref="H237:H300" si="9">E237-C237</f>
        <v>0</v>
      </c>
    </row>
    <row r="238" spans="1:8" ht="12.75">
      <c r="A238" s="430" t="s">
        <v>230</v>
      </c>
      <c r="B238" s="599">
        <v>13268.458333333334</v>
      </c>
      <c r="C238" s="599">
        <v>13109.933333333332</v>
      </c>
      <c r="D238">
        <v>13268.458333333334</v>
      </c>
      <c r="E238">
        <v>13109.933333333332</v>
      </c>
      <c r="G238">
        <f t="shared" si="8"/>
        <v>0</v>
      </c>
      <c r="H238">
        <f t="shared" si="9"/>
        <v>0</v>
      </c>
    </row>
    <row r="239" spans="1:8" ht="12.75">
      <c r="A239" s="430" t="s">
        <v>230</v>
      </c>
      <c r="B239" s="599">
        <v>5845.0749999999998</v>
      </c>
      <c r="C239" s="599">
        <v>6153.8083333333334</v>
      </c>
      <c r="D239">
        <v>5845.0749999999998</v>
      </c>
      <c r="E239">
        <v>6153.8083333333334</v>
      </c>
      <c r="G239">
        <f t="shared" si="8"/>
        <v>0</v>
      </c>
      <c r="H239">
        <f t="shared" si="9"/>
        <v>0</v>
      </c>
    </row>
    <row r="240" spans="1:8" ht="12.75">
      <c r="A240" s="430" t="s">
        <v>230</v>
      </c>
      <c r="B240" s="599">
        <v>3088.85</v>
      </c>
      <c r="C240" s="599">
        <v>2893.1583333333333</v>
      </c>
      <c r="D240">
        <v>3088.85</v>
      </c>
      <c r="E240">
        <v>2893.1583333333333</v>
      </c>
      <c r="G240">
        <f t="shared" si="8"/>
        <v>0</v>
      </c>
      <c r="H240">
        <f t="shared" si="9"/>
        <v>0</v>
      </c>
    </row>
    <row r="241" spans="1:8" ht="12.75">
      <c r="A241" s="430" t="s">
        <v>230</v>
      </c>
      <c r="B241" s="599">
        <v>2836.5083333333337</v>
      </c>
      <c r="C241" s="599">
        <v>2437.8583333333336</v>
      </c>
      <c r="D241">
        <v>2836.5083333333337</v>
      </c>
      <c r="E241">
        <v>2437.8583333333336</v>
      </c>
      <c r="G241">
        <f t="shared" si="8"/>
        <v>0</v>
      </c>
      <c r="H241">
        <f t="shared" si="9"/>
        <v>0</v>
      </c>
    </row>
    <row r="242" spans="1:8" ht="12.75">
      <c r="A242" s="430" t="s">
        <v>230</v>
      </c>
      <c r="B242" s="599">
        <v>2626.9583333333335</v>
      </c>
      <c r="C242" s="599">
        <v>2429.7666666666664</v>
      </c>
      <c r="D242">
        <v>2626.9583333333335</v>
      </c>
      <c r="E242">
        <v>2429.7666666666664</v>
      </c>
      <c r="G242">
        <f t="shared" si="8"/>
        <v>0</v>
      </c>
      <c r="H242">
        <f t="shared" si="9"/>
        <v>0</v>
      </c>
    </row>
    <row r="243" spans="1:8" ht="12.75">
      <c r="A243" s="430" t="s">
        <v>230</v>
      </c>
      <c r="B243" s="599">
        <v>1682.5916666666667</v>
      </c>
      <c r="C243" s="599">
        <v>1564.35</v>
      </c>
      <c r="D243">
        <v>1682.5916666666667</v>
      </c>
      <c r="E243">
        <v>1564.35</v>
      </c>
      <c r="G243">
        <f t="shared" si="8"/>
        <v>0</v>
      </c>
      <c r="H243">
        <f t="shared" si="9"/>
        <v>0</v>
      </c>
    </row>
    <row r="244" spans="1:8" ht="12.75">
      <c r="A244" s="531" t="s">
        <v>230</v>
      </c>
      <c r="B244" s="599">
        <v>8711.8666666666668</v>
      </c>
      <c r="C244" s="599">
        <v>8567.4333333333325</v>
      </c>
      <c r="D244">
        <v>8711.8666666666668</v>
      </c>
      <c r="E244">
        <v>8567.4333333333325</v>
      </c>
      <c r="G244">
        <f t="shared" si="8"/>
        <v>0</v>
      </c>
      <c r="H244">
        <f t="shared" si="9"/>
        <v>0</v>
      </c>
    </row>
    <row r="245" spans="1:8" ht="12.75">
      <c r="A245" s="531" t="s">
        <v>230</v>
      </c>
      <c r="B245" s="599">
        <v>5148.6333333333332</v>
      </c>
      <c r="C245" s="599">
        <v>4603.666666666667</v>
      </c>
      <c r="D245">
        <v>5148.6333333333332</v>
      </c>
      <c r="E245">
        <v>4603.666666666667</v>
      </c>
      <c r="G245">
        <f t="shared" si="8"/>
        <v>0</v>
      </c>
      <c r="H245">
        <f t="shared" si="9"/>
        <v>0</v>
      </c>
    </row>
    <row r="246" spans="1:8" ht="12.75">
      <c r="A246" s="531" t="s">
        <v>230</v>
      </c>
      <c r="B246" s="599">
        <v>4344.2666666666664</v>
      </c>
      <c r="C246" s="599">
        <v>3947.4666666666667</v>
      </c>
      <c r="D246">
        <v>4344.2666666666664</v>
      </c>
      <c r="E246">
        <v>3947.4666666666667</v>
      </c>
      <c r="G246">
        <f t="shared" si="8"/>
        <v>0</v>
      </c>
      <c r="H246">
        <f t="shared" si="9"/>
        <v>0</v>
      </c>
    </row>
    <row r="247" spans="1:8" ht="12.75">
      <c r="A247" s="531" t="s">
        <v>230</v>
      </c>
      <c r="B247" s="599">
        <v>7546.4</v>
      </c>
      <c r="C247" s="599">
        <v>6839</v>
      </c>
      <c r="D247">
        <v>7546.4</v>
      </c>
      <c r="E247">
        <v>6839</v>
      </c>
      <c r="G247">
        <f t="shared" si="8"/>
        <v>0</v>
      </c>
      <c r="H247">
        <f t="shared" si="9"/>
        <v>0</v>
      </c>
    </row>
    <row r="248" spans="1:8" ht="12.75">
      <c r="A248" s="531" t="s">
        <v>230</v>
      </c>
      <c r="B248" s="599">
        <v>5851.7666666666664</v>
      </c>
      <c r="C248" s="599">
        <v>5346.3666666666668</v>
      </c>
      <c r="D248">
        <v>5851.7666666666664</v>
      </c>
      <c r="E248">
        <v>5346.3666666666668</v>
      </c>
      <c r="G248">
        <f t="shared" si="8"/>
        <v>0</v>
      </c>
      <c r="H248">
        <f t="shared" si="9"/>
        <v>0</v>
      </c>
    </row>
    <row r="249" spans="1:8" ht="12.75">
      <c r="A249" s="531" t="s">
        <v>230</v>
      </c>
      <c r="B249" s="599">
        <v>2540.7333333333331</v>
      </c>
      <c r="C249" s="599">
        <v>2430.2666666666669</v>
      </c>
      <c r="D249">
        <v>2540.7333333333331</v>
      </c>
      <c r="E249">
        <v>2430.2666666666669</v>
      </c>
      <c r="G249">
        <f t="shared" si="8"/>
        <v>0</v>
      </c>
      <c r="H249">
        <f t="shared" si="9"/>
        <v>0</v>
      </c>
    </row>
    <row r="250" spans="1:8" ht="12.75">
      <c r="A250" s="531" t="s">
        <v>230</v>
      </c>
      <c r="B250" s="599">
        <v>2155.5333333333333</v>
      </c>
      <c r="C250" s="599">
        <v>1965.7333333333333</v>
      </c>
      <c r="D250">
        <v>2155.5333333333333</v>
      </c>
      <c r="E250">
        <v>1965.7333333333333</v>
      </c>
      <c r="G250">
        <f t="shared" si="8"/>
        <v>0</v>
      </c>
      <c r="H250">
        <f t="shared" si="9"/>
        <v>0</v>
      </c>
    </row>
    <row r="251" spans="1:8" ht="12.75">
      <c r="A251" s="531" t="s">
        <v>230</v>
      </c>
      <c r="B251" s="599">
        <v>2916</v>
      </c>
      <c r="C251" s="599">
        <v>3103.2333333333331</v>
      </c>
      <c r="D251">
        <v>2916</v>
      </c>
      <c r="E251">
        <v>3103.2333333333331</v>
      </c>
      <c r="G251">
        <f t="shared" si="8"/>
        <v>0</v>
      </c>
      <c r="H251">
        <f t="shared" si="9"/>
        <v>0</v>
      </c>
    </row>
    <row r="252" spans="1:8" ht="12.75">
      <c r="A252" s="531" t="s">
        <v>230</v>
      </c>
      <c r="B252" s="599">
        <v>3977.4666666666667</v>
      </c>
      <c r="C252" s="599">
        <v>3563.7333333333331</v>
      </c>
      <c r="D252">
        <v>3977.4666666666667</v>
      </c>
      <c r="E252">
        <v>3563.7333333333331</v>
      </c>
      <c r="G252">
        <f t="shared" si="8"/>
        <v>0</v>
      </c>
      <c r="H252">
        <f t="shared" si="9"/>
        <v>0</v>
      </c>
    </row>
    <row r="253" spans="1:8" ht="12.75">
      <c r="A253" s="531" t="s">
        <v>230</v>
      </c>
      <c r="B253" s="599">
        <v>2654.85</v>
      </c>
      <c r="C253" s="599">
        <v>2396.4333333333334</v>
      </c>
      <c r="D253">
        <v>2654.85</v>
      </c>
      <c r="E253">
        <v>2396.4333333333334</v>
      </c>
      <c r="G253">
        <f t="shared" si="8"/>
        <v>0</v>
      </c>
      <c r="H253">
        <f t="shared" si="9"/>
        <v>0</v>
      </c>
    </row>
    <row r="254" spans="1:8" ht="12.75">
      <c r="A254" s="531" t="s">
        <v>230</v>
      </c>
      <c r="B254" s="599">
        <v>1949.0333333333333</v>
      </c>
      <c r="C254" s="599">
        <v>1684.9333333333334</v>
      </c>
      <c r="D254">
        <v>1949.0333333333333</v>
      </c>
      <c r="E254">
        <v>1684.9333333333334</v>
      </c>
      <c r="G254">
        <f t="shared" si="8"/>
        <v>0</v>
      </c>
      <c r="H254">
        <f t="shared" si="9"/>
        <v>0</v>
      </c>
    </row>
    <row r="255" spans="1:8" ht="12.75">
      <c r="A255" s="531" t="s">
        <v>230</v>
      </c>
      <c r="B255" s="599">
        <v>2899.0666666666666</v>
      </c>
      <c r="C255" s="599">
        <v>3385.4333333333334</v>
      </c>
      <c r="D255">
        <v>2899.0666666666666</v>
      </c>
      <c r="E255">
        <v>3385.4333333333334</v>
      </c>
      <c r="G255">
        <f t="shared" si="8"/>
        <v>0</v>
      </c>
      <c r="H255">
        <f t="shared" si="9"/>
        <v>0</v>
      </c>
    </row>
    <row r="256" spans="1:8" ht="12.75">
      <c r="A256" s="531" t="s">
        <v>230</v>
      </c>
      <c r="B256" s="599">
        <v>4699.3</v>
      </c>
      <c r="C256" s="599">
        <v>4627.8666666666668</v>
      </c>
      <c r="D256">
        <v>4699.3</v>
      </c>
      <c r="E256">
        <v>4627.8666666666668</v>
      </c>
      <c r="G256">
        <f t="shared" si="8"/>
        <v>0</v>
      </c>
      <c r="H256">
        <f t="shared" si="9"/>
        <v>0</v>
      </c>
    </row>
    <row r="257" spans="1:8" ht="12.75">
      <c r="A257" s="531" t="s">
        <v>230</v>
      </c>
      <c r="B257" s="599">
        <v>1552.1666666666667</v>
      </c>
      <c r="C257" s="599">
        <v>1537.0666666666666</v>
      </c>
      <c r="D257">
        <v>1552.1666666666667</v>
      </c>
      <c r="E257">
        <v>1537.0666666666666</v>
      </c>
      <c r="G257">
        <f t="shared" si="8"/>
        <v>0</v>
      </c>
      <c r="H257">
        <f t="shared" si="9"/>
        <v>0</v>
      </c>
    </row>
    <row r="258" spans="1:8" ht="12.75">
      <c r="A258" s="531" t="s">
        <v>230</v>
      </c>
      <c r="B258" s="599">
        <v>1909.9</v>
      </c>
      <c r="C258" s="599">
        <v>1669.0333333333333</v>
      </c>
      <c r="D258">
        <v>1909.9</v>
      </c>
      <c r="E258">
        <v>1669.0333333333333</v>
      </c>
      <c r="G258">
        <f t="shared" si="8"/>
        <v>0</v>
      </c>
      <c r="H258">
        <f t="shared" si="9"/>
        <v>0</v>
      </c>
    </row>
    <row r="259" spans="1:8" ht="12.75">
      <c r="A259" s="435" t="s">
        <v>239</v>
      </c>
      <c r="B259" s="599">
        <v>32000.85</v>
      </c>
      <c r="C259" s="599">
        <v>31769.662500000002</v>
      </c>
      <c r="D259">
        <v>32000.85</v>
      </c>
      <c r="E259">
        <v>31769.662500000002</v>
      </c>
      <c r="G259">
        <f t="shared" si="8"/>
        <v>0</v>
      </c>
      <c r="H259">
        <f t="shared" si="9"/>
        <v>0</v>
      </c>
    </row>
    <row r="260" spans="1:8" ht="12.75">
      <c r="A260" s="435" t="s">
        <v>239</v>
      </c>
      <c r="B260" s="599">
        <v>26665.952083333334</v>
      </c>
      <c r="C260" s="599">
        <v>27511.458333333336</v>
      </c>
      <c r="D260">
        <v>26665.952083333334</v>
      </c>
      <c r="E260">
        <v>27511.458333333336</v>
      </c>
      <c r="G260">
        <f t="shared" si="8"/>
        <v>0</v>
      </c>
      <c r="H260">
        <f t="shared" si="9"/>
        <v>0</v>
      </c>
    </row>
    <row r="261" spans="1:8" ht="12.75">
      <c r="A261" s="435" t="s">
        <v>239</v>
      </c>
      <c r="B261" s="599">
        <v>26933.216666666667</v>
      </c>
      <c r="C261" s="599">
        <v>26799.574999999997</v>
      </c>
      <c r="D261">
        <v>26933.216666666667</v>
      </c>
      <c r="E261">
        <v>26799.574999999997</v>
      </c>
      <c r="G261">
        <f t="shared" si="8"/>
        <v>0</v>
      </c>
      <c r="H261">
        <f t="shared" si="9"/>
        <v>0</v>
      </c>
    </row>
    <row r="262" spans="1:8" ht="12.75">
      <c r="A262" s="435" t="s">
        <v>239</v>
      </c>
      <c r="B262" s="599">
        <v>17597.845833333333</v>
      </c>
      <c r="C262" s="599">
        <v>16834.691666666666</v>
      </c>
      <c r="D262">
        <v>17597.845833333333</v>
      </c>
      <c r="E262">
        <v>16834.691666666666</v>
      </c>
      <c r="G262">
        <f t="shared" si="8"/>
        <v>0</v>
      </c>
      <c r="H262">
        <f t="shared" si="9"/>
        <v>0</v>
      </c>
    </row>
    <row r="263" spans="1:8" ht="12.75">
      <c r="A263" s="435" t="s">
        <v>239</v>
      </c>
      <c r="B263" s="599">
        <v>24834.025000000001</v>
      </c>
      <c r="C263" s="599">
        <v>24208.583333333336</v>
      </c>
      <c r="D263">
        <v>24834.025000000001</v>
      </c>
      <c r="E263">
        <v>24208.583333333336</v>
      </c>
      <c r="G263">
        <f t="shared" si="8"/>
        <v>0</v>
      </c>
      <c r="H263">
        <f t="shared" si="9"/>
        <v>0</v>
      </c>
    </row>
    <row r="264" spans="1:8" ht="12.75">
      <c r="A264" s="435" t="s">
        <v>239</v>
      </c>
      <c r="B264" s="599">
        <v>19444.191666666666</v>
      </c>
      <c r="C264" s="599">
        <v>19772.766666666666</v>
      </c>
      <c r="D264">
        <v>19444.191666666666</v>
      </c>
      <c r="E264">
        <v>19772.766666666666</v>
      </c>
      <c r="G264">
        <f t="shared" si="8"/>
        <v>0</v>
      </c>
      <c r="H264">
        <f t="shared" si="9"/>
        <v>0</v>
      </c>
    </row>
    <row r="265" spans="1:8" ht="12.75">
      <c r="A265" s="435" t="s">
        <v>239</v>
      </c>
      <c r="B265" s="599">
        <v>11713.283333333335</v>
      </c>
      <c r="C265" s="599">
        <v>12195.074999999999</v>
      </c>
      <c r="D265">
        <v>11713.283333333335</v>
      </c>
      <c r="E265">
        <v>12195.074999999999</v>
      </c>
      <c r="G265">
        <f t="shared" si="8"/>
        <v>0</v>
      </c>
      <c r="H265">
        <f t="shared" si="9"/>
        <v>0</v>
      </c>
    </row>
    <row r="266" spans="1:8" ht="12.75">
      <c r="A266" s="435" t="s">
        <v>239</v>
      </c>
      <c r="B266" s="599">
        <v>7252.6541666666672</v>
      </c>
      <c r="C266" s="599">
        <v>7146.95</v>
      </c>
      <c r="D266">
        <v>7252.6541666666672</v>
      </c>
      <c r="E266">
        <v>7146.95</v>
      </c>
      <c r="G266">
        <f t="shared" si="8"/>
        <v>0</v>
      </c>
      <c r="H266">
        <f t="shared" si="9"/>
        <v>0</v>
      </c>
    </row>
    <row r="267" spans="1:8" ht="12.75">
      <c r="A267" s="435" t="s">
        <v>239</v>
      </c>
      <c r="B267" s="599">
        <v>16217.004166666668</v>
      </c>
      <c r="C267" s="599">
        <v>15992.6875</v>
      </c>
      <c r="D267">
        <v>16217.004166666668</v>
      </c>
      <c r="E267">
        <v>15992.6875</v>
      </c>
      <c r="G267">
        <f t="shared" si="8"/>
        <v>0</v>
      </c>
      <c r="H267">
        <f t="shared" si="9"/>
        <v>0</v>
      </c>
    </row>
    <row r="268" spans="1:8" ht="12.75">
      <c r="A268" s="435" t="s">
        <v>239</v>
      </c>
      <c r="B268" s="599">
        <v>11045.091666666667</v>
      </c>
      <c r="C268" s="599">
        <v>10718.916666666666</v>
      </c>
      <c r="D268">
        <v>11045.091666666667</v>
      </c>
      <c r="E268">
        <v>10718.916666666666</v>
      </c>
      <c r="G268">
        <f t="shared" si="8"/>
        <v>0</v>
      </c>
      <c r="H268">
        <f t="shared" si="9"/>
        <v>0</v>
      </c>
    </row>
    <row r="269" spans="1:8" ht="12.75">
      <c r="A269" s="435" t="s">
        <v>239</v>
      </c>
      <c r="B269" s="599">
        <v>5735.1416666666664</v>
      </c>
      <c r="C269" s="599">
        <v>5616.5916666666662</v>
      </c>
      <c r="D269">
        <v>5735.1416666666664</v>
      </c>
      <c r="E269">
        <v>5616.5916666666662</v>
      </c>
      <c r="G269">
        <f t="shared" si="8"/>
        <v>0</v>
      </c>
      <c r="H269">
        <f t="shared" si="9"/>
        <v>0</v>
      </c>
    </row>
    <row r="270" spans="1:8" ht="12.75">
      <c r="A270" s="435" t="s">
        <v>239</v>
      </c>
      <c r="B270" s="599">
        <v>7017.166666666667</v>
      </c>
      <c r="C270" s="599">
        <v>7189.3583333333336</v>
      </c>
      <c r="D270">
        <v>7017.166666666667</v>
      </c>
      <c r="E270">
        <v>7189.3583333333336</v>
      </c>
      <c r="G270">
        <f t="shared" si="8"/>
        <v>0</v>
      </c>
      <c r="H270">
        <f t="shared" si="9"/>
        <v>0</v>
      </c>
    </row>
    <row r="271" spans="1:8" ht="12.75">
      <c r="A271" s="435" t="s">
        <v>239</v>
      </c>
      <c r="B271" s="599">
        <v>4937.3666666666668</v>
      </c>
      <c r="C271" s="599">
        <v>4996.0333333333328</v>
      </c>
      <c r="D271">
        <v>4937.3666666666668</v>
      </c>
      <c r="E271">
        <v>4996.0333333333328</v>
      </c>
      <c r="G271">
        <f t="shared" si="8"/>
        <v>0</v>
      </c>
      <c r="H271">
        <f t="shared" si="9"/>
        <v>0</v>
      </c>
    </row>
    <row r="272" spans="1:8" ht="12.75">
      <c r="A272" s="435" t="s">
        <v>239</v>
      </c>
      <c r="B272" s="599">
        <v>1754.7833333333333</v>
      </c>
      <c r="C272" s="599">
        <v>1880.5166666666667</v>
      </c>
      <c r="D272">
        <v>1754.7833333333333</v>
      </c>
      <c r="E272">
        <v>1880.5166666666667</v>
      </c>
      <c r="G272">
        <f t="shared" si="8"/>
        <v>0</v>
      </c>
      <c r="H272">
        <f t="shared" si="9"/>
        <v>0</v>
      </c>
    </row>
    <row r="273" spans="1:8" ht="12.75">
      <c r="A273" s="435" t="s">
        <v>239</v>
      </c>
      <c r="B273" s="599">
        <v>3208.0083333333332</v>
      </c>
      <c r="C273" s="599">
        <v>3032.1916666666666</v>
      </c>
      <c r="D273">
        <v>3208.0083333333332</v>
      </c>
      <c r="E273">
        <v>3032.1916666666666</v>
      </c>
      <c r="G273">
        <f t="shared" si="8"/>
        <v>0</v>
      </c>
      <c r="H273">
        <f t="shared" si="9"/>
        <v>0</v>
      </c>
    </row>
    <row r="274" spans="1:8" ht="12.75">
      <c r="A274" s="438" t="s">
        <v>239</v>
      </c>
      <c r="B274" s="599">
        <v>1043.5999999999999</v>
      </c>
      <c r="C274" s="599">
        <v>1055.7</v>
      </c>
      <c r="D274">
        <v>1043.5999999999999</v>
      </c>
      <c r="E274">
        <v>1055.7</v>
      </c>
      <c r="G274">
        <f t="shared" si="8"/>
        <v>0</v>
      </c>
      <c r="H274">
        <f t="shared" si="9"/>
        <v>0</v>
      </c>
    </row>
    <row r="275" spans="1:8" ht="12.75">
      <c r="A275" s="539" t="s">
        <v>239</v>
      </c>
      <c r="B275" s="599">
        <v>4631.6633333333339</v>
      </c>
      <c r="C275" s="599">
        <v>4417.17</v>
      </c>
      <c r="D275">
        <v>4631.6633333333339</v>
      </c>
      <c r="E275">
        <v>4417.17</v>
      </c>
      <c r="G275">
        <f t="shared" si="8"/>
        <v>0</v>
      </c>
      <c r="H275">
        <f t="shared" si="9"/>
        <v>0</v>
      </c>
    </row>
    <row r="276" spans="1:8" ht="12.75">
      <c r="A276" s="539" t="s">
        <v>239</v>
      </c>
      <c r="B276" s="599">
        <v>6920.8422222222225</v>
      </c>
      <c r="C276" s="599">
        <v>7003.0166666666664</v>
      </c>
      <c r="D276">
        <v>6920.8422222222225</v>
      </c>
      <c r="E276">
        <v>7003.0166666666664</v>
      </c>
      <c r="G276">
        <f t="shared" si="8"/>
        <v>0</v>
      </c>
      <c r="H276">
        <f t="shared" si="9"/>
        <v>0</v>
      </c>
    </row>
    <row r="277" spans="1:8" ht="12.75">
      <c r="A277" s="539" t="s">
        <v>239</v>
      </c>
      <c r="B277" s="599">
        <v>13767.343333333332</v>
      </c>
      <c r="C277" s="599">
        <v>13505.506666666668</v>
      </c>
      <c r="D277">
        <v>13767.343333333332</v>
      </c>
      <c r="E277">
        <v>13505.506666666668</v>
      </c>
      <c r="G277">
        <f t="shared" si="8"/>
        <v>0</v>
      </c>
      <c r="H277">
        <f t="shared" si="9"/>
        <v>0</v>
      </c>
    </row>
    <row r="278" spans="1:8" ht="12.75">
      <c r="A278" s="539" t="s">
        <v>239</v>
      </c>
      <c r="B278" s="599">
        <v>10134.586666666666</v>
      </c>
      <c r="C278" s="599">
        <v>9481.7555555555555</v>
      </c>
      <c r="D278">
        <v>10134.586666666666</v>
      </c>
      <c r="E278">
        <v>9481.7555555555555</v>
      </c>
      <c r="G278">
        <f t="shared" si="8"/>
        <v>0</v>
      </c>
      <c r="H278">
        <f t="shared" si="9"/>
        <v>0</v>
      </c>
    </row>
    <row r="279" spans="1:8" ht="12.75">
      <c r="A279" s="539" t="s">
        <v>239</v>
      </c>
      <c r="B279" s="599">
        <v>5921.2111111111117</v>
      </c>
      <c r="C279" s="599">
        <v>5702.1744444444448</v>
      </c>
      <c r="D279">
        <v>5921.2111111111117</v>
      </c>
      <c r="E279">
        <v>5702.1744444444448</v>
      </c>
      <c r="G279">
        <f t="shared" si="8"/>
        <v>0</v>
      </c>
      <c r="H279">
        <f t="shared" si="9"/>
        <v>0</v>
      </c>
    </row>
    <row r="280" spans="1:8" ht="12.75">
      <c r="A280" s="539" t="s">
        <v>239</v>
      </c>
      <c r="B280" s="599">
        <v>8338.23</v>
      </c>
      <c r="C280" s="599">
        <v>7855.2288888888888</v>
      </c>
      <c r="D280">
        <v>8338.23</v>
      </c>
      <c r="E280">
        <v>7855.2288888888888</v>
      </c>
      <c r="G280">
        <f t="shared" si="8"/>
        <v>0</v>
      </c>
      <c r="H280">
        <f t="shared" si="9"/>
        <v>0</v>
      </c>
    </row>
    <row r="281" spans="1:8" ht="12.75">
      <c r="A281" s="539" t="s">
        <v>239</v>
      </c>
      <c r="B281" s="599">
        <v>6178.3677777777775</v>
      </c>
      <c r="C281" s="599">
        <v>5513.2011111111115</v>
      </c>
      <c r="D281">
        <v>6178.3677777777775</v>
      </c>
      <c r="E281">
        <v>5513.2011111111115</v>
      </c>
      <c r="G281">
        <f t="shared" si="8"/>
        <v>0</v>
      </c>
      <c r="H281">
        <f t="shared" si="9"/>
        <v>0</v>
      </c>
    </row>
    <row r="282" spans="1:8" ht="12.75">
      <c r="A282" s="539" t="s">
        <v>239</v>
      </c>
      <c r="B282" s="599">
        <v>5113.0755555555561</v>
      </c>
      <c r="C282" s="599">
        <v>4960.7833333333338</v>
      </c>
      <c r="D282">
        <v>5113.0755555555561</v>
      </c>
      <c r="E282">
        <v>4960.7833333333338</v>
      </c>
      <c r="G282">
        <f t="shared" si="8"/>
        <v>0</v>
      </c>
      <c r="H282">
        <f t="shared" si="9"/>
        <v>0</v>
      </c>
    </row>
    <row r="283" spans="1:8" ht="12.75">
      <c r="A283" s="539" t="s">
        <v>239</v>
      </c>
      <c r="B283" s="599">
        <v>17086.51222222222</v>
      </c>
      <c r="C283" s="599">
        <v>16971.181111111113</v>
      </c>
      <c r="D283">
        <v>17086.51222222222</v>
      </c>
      <c r="E283">
        <v>16971.181111111113</v>
      </c>
      <c r="G283">
        <f t="shared" si="8"/>
        <v>0</v>
      </c>
      <c r="H283">
        <f t="shared" si="9"/>
        <v>0</v>
      </c>
    </row>
    <row r="284" spans="1:8" ht="12.75">
      <c r="A284" s="539" t="s">
        <v>239</v>
      </c>
      <c r="B284" s="599">
        <v>3381.847777777778</v>
      </c>
      <c r="C284" s="599">
        <v>3235.787777777778</v>
      </c>
      <c r="D284">
        <v>3381.847777777778</v>
      </c>
      <c r="E284">
        <v>3235.787777777778</v>
      </c>
      <c r="G284">
        <f t="shared" si="8"/>
        <v>0</v>
      </c>
      <c r="H284">
        <f t="shared" si="9"/>
        <v>0</v>
      </c>
    </row>
    <row r="285" spans="1:8" ht="12.75">
      <c r="A285" s="539" t="s">
        <v>239</v>
      </c>
      <c r="B285" s="599">
        <v>3040.0655555555554</v>
      </c>
      <c r="C285" s="599">
        <v>2937.6911111111112</v>
      </c>
      <c r="D285">
        <v>3040.0655555555554</v>
      </c>
      <c r="E285">
        <v>2937.6911111111112</v>
      </c>
      <c r="G285">
        <f t="shared" si="8"/>
        <v>0</v>
      </c>
      <c r="H285">
        <f t="shared" si="9"/>
        <v>0</v>
      </c>
    </row>
    <row r="286" spans="1:8" ht="12.75">
      <c r="A286" s="539" t="s">
        <v>239</v>
      </c>
      <c r="B286" s="599">
        <v>3556.8722222222223</v>
      </c>
      <c r="C286" s="599">
        <v>3478.19</v>
      </c>
      <c r="D286">
        <v>3556.8722222222223</v>
      </c>
      <c r="E286">
        <v>3478.19</v>
      </c>
      <c r="G286">
        <f t="shared" si="8"/>
        <v>0</v>
      </c>
      <c r="H286">
        <f t="shared" si="9"/>
        <v>0</v>
      </c>
    </row>
    <row r="287" spans="1:8" ht="12.75">
      <c r="A287" s="539" t="s">
        <v>239</v>
      </c>
      <c r="B287" s="599">
        <v>4116.1777777777779</v>
      </c>
      <c r="C287" s="599">
        <v>3915.396666666667</v>
      </c>
      <c r="D287">
        <v>4116.1777777777779</v>
      </c>
      <c r="E287">
        <v>3915.396666666667</v>
      </c>
      <c r="G287">
        <f t="shared" si="8"/>
        <v>0</v>
      </c>
      <c r="H287">
        <f t="shared" si="9"/>
        <v>0</v>
      </c>
    </row>
    <row r="288" spans="1:8" ht="12.75">
      <c r="A288" s="539" t="s">
        <v>239</v>
      </c>
      <c r="B288" s="599">
        <v>2206.8844444444444</v>
      </c>
      <c r="C288" s="599">
        <v>2150.7277777777776</v>
      </c>
      <c r="D288">
        <v>2206.8844444444444</v>
      </c>
      <c r="E288">
        <v>2150.7277777777776</v>
      </c>
      <c r="G288">
        <f t="shared" si="8"/>
        <v>0</v>
      </c>
      <c r="H288">
        <f t="shared" si="9"/>
        <v>0</v>
      </c>
    </row>
    <row r="289" spans="1:8" ht="12.75">
      <c r="A289" s="539" t="s">
        <v>239</v>
      </c>
      <c r="B289" s="599">
        <v>3364.6255555555554</v>
      </c>
      <c r="C289" s="599">
        <v>3262.8766666666666</v>
      </c>
      <c r="D289">
        <v>3364.6255555555554</v>
      </c>
      <c r="E289">
        <v>3262.8766666666666</v>
      </c>
      <c r="G289">
        <f t="shared" si="8"/>
        <v>0</v>
      </c>
      <c r="H289">
        <f t="shared" si="9"/>
        <v>0</v>
      </c>
    </row>
    <row r="290" spans="1:8" ht="12.75">
      <c r="A290" s="539" t="s">
        <v>239</v>
      </c>
      <c r="B290" s="599">
        <v>2329.2955555555554</v>
      </c>
      <c r="C290" s="599">
        <v>2168.2322222222224</v>
      </c>
      <c r="D290">
        <v>2329.2955555555554</v>
      </c>
      <c r="E290">
        <v>2168.2322222222224</v>
      </c>
      <c r="G290">
        <f t="shared" si="8"/>
        <v>0</v>
      </c>
      <c r="H290">
        <f t="shared" si="9"/>
        <v>0</v>
      </c>
    </row>
    <row r="291" spans="1:8" ht="12.75">
      <c r="A291" s="539" t="s">
        <v>239</v>
      </c>
      <c r="B291" s="599">
        <v>2909.6044444444447</v>
      </c>
      <c r="C291" s="599">
        <v>5873.4288888888887</v>
      </c>
      <c r="D291">
        <v>2909.6044444444447</v>
      </c>
      <c r="E291">
        <v>5873.4288888888887</v>
      </c>
      <c r="G291">
        <f t="shared" si="8"/>
        <v>0</v>
      </c>
      <c r="H291">
        <f t="shared" si="9"/>
        <v>0</v>
      </c>
    </row>
    <row r="292" spans="1:8" ht="12.75">
      <c r="A292" s="539" t="s">
        <v>239</v>
      </c>
      <c r="B292" s="599">
        <v>3988.7855555555557</v>
      </c>
      <c r="C292" s="599">
        <v>3785.5466666666666</v>
      </c>
      <c r="D292">
        <v>3988.7855555555557</v>
      </c>
      <c r="E292">
        <v>3785.5466666666666</v>
      </c>
      <c r="G292">
        <f t="shared" si="8"/>
        <v>0</v>
      </c>
      <c r="H292">
        <f t="shared" si="9"/>
        <v>0</v>
      </c>
    </row>
    <row r="293" spans="1:8" ht="12.75">
      <c r="A293" s="539" t="s">
        <v>239</v>
      </c>
      <c r="B293" s="599">
        <v>3853.4566666666669</v>
      </c>
      <c r="C293" s="599">
        <v>3705.2866666666669</v>
      </c>
      <c r="D293">
        <v>3853.4566666666669</v>
      </c>
      <c r="E293">
        <v>3705.2866666666669</v>
      </c>
      <c r="G293">
        <f t="shared" si="8"/>
        <v>0</v>
      </c>
      <c r="H293">
        <f t="shared" si="9"/>
        <v>0</v>
      </c>
    </row>
    <row r="294" spans="1:8" ht="12.75">
      <c r="A294" s="539" t="s">
        <v>239</v>
      </c>
      <c r="B294" s="599">
        <v>3261.6455555555558</v>
      </c>
      <c r="C294" s="599">
        <v>3119.66</v>
      </c>
      <c r="D294">
        <v>3261.6455555555558</v>
      </c>
      <c r="E294">
        <v>3119.66</v>
      </c>
      <c r="G294">
        <f t="shared" si="8"/>
        <v>0</v>
      </c>
      <c r="H294">
        <f t="shared" si="9"/>
        <v>0</v>
      </c>
    </row>
    <row r="295" spans="1:8" ht="12.75">
      <c r="A295" s="539" t="s">
        <v>239</v>
      </c>
      <c r="B295" s="599">
        <v>2878.8022222222226</v>
      </c>
      <c r="C295" s="599">
        <v>2768.7033333333334</v>
      </c>
      <c r="D295">
        <v>2878.8022222222226</v>
      </c>
      <c r="E295">
        <v>2768.7033333333334</v>
      </c>
      <c r="G295">
        <f t="shared" si="8"/>
        <v>0</v>
      </c>
      <c r="H295">
        <f t="shared" si="9"/>
        <v>0</v>
      </c>
    </row>
    <row r="296" spans="1:8" ht="12.75">
      <c r="A296" s="539" t="s">
        <v>239</v>
      </c>
      <c r="B296" s="599">
        <v>2254.42</v>
      </c>
      <c r="C296" s="599">
        <v>2242.02</v>
      </c>
      <c r="D296">
        <v>2254.42</v>
      </c>
      <c r="E296">
        <v>2242.02</v>
      </c>
      <c r="G296">
        <f t="shared" si="8"/>
        <v>0</v>
      </c>
      <c r="H296">
        <f t="shared" si="9"/>
        <v>0</v>
      </c>
    </row>
    <row r="297" spans="1:8" ht="12.75">
      <c r="A297" s="539" t="s">
        <v>239</v>
      </c>
      <c r="B297" s="599">
        <v>2146.9133333333334</v>
      </c>
      <c r="C297" s="599">
        <v>2044.971111111111</v>
      </c>
      <c r="D297">
        <v>2146.9133333333334</v>
      </c>
      <c r="E297">
        <v>2044.971111111111</v>
      </c>
      <c r="G297">
        <f t="shared" si="8"/>
        <v>0</v>
      </c>
      <c r="H297">
        <f t="shared" si="9"/>
        <v>0</v>
      </c>
    </row>
    <row r="298" spans="1:8" ht="12.75">
      <c r="A298" s="539" t="s">
        <v>239</v>
      </c>
      <c r="B298" s="599">
        <v>2130.0544444444445</v>
      </c>
      <c r="C298" s="599">
        <v>1959.5477777777778</v>
      </c>
      <c r="D298">
        <v>2130.0544444444445</v>
      </c>
      <c r="E298">
        <v>1959.5477777777778</v>
      </c>
      <c r="G298">
        <f t="shared" si="8"/>
        <v>0</v>
      </c>
      <c r="H298">
        <f t="shared" si="9"/>
        <v>0</v>
      </c>
    </row>
    <row r="299" spans="1:8" ht="12.75">
      <c r="A299" s="539" t="s">
        <v>239</v>
      </c>
      <c r="B299" s="599">
        <v>2020.6955555555555</v>
      </c>
      <c r="C299" s="599">
        <v>1947.8511111111111</v>
      </c>
      <c r="D299">
        <v>2020.6955555555555</v>
      </c>
      <c r="E299">
        <v>1947.8511111111111</v>
      </c>
      <c r="G299">
        <f t="shared" si="8"/>
        <v>0</v>
      </c>
      <c r="H299">
        <f t="shared" si="9"/>
        <v>0</v>
      </c>
    </row>
    <row r="300" spans="1:8" ht="12.75">
      <c r="A300" s="539" t="s">
        <v>239</v>
      </c>
      <c r="B300" s="599">
        <v>3132.1877777777777</v>
      </c>
      <c r="C300" s="599">
        <v>2987.1222222222223</v>
      </c>
      <c r="D300">
        <v>3132.1877777777777</v>
      </c>
      <c r="E300">
        <v>2987.1222222222223</v>
      </c>
      <c r="G300">
        <f t="shared" si="8"/>
        <v>0</v>
      </c>
      <c r="H300">
        <f t="shared" si="9"/>
        <v>0</v>
      </c>
    </row>
    <row r="301" spans="1:8" ht="12.75">
      <c r="A301" s="539" t="s">
        <v>239</v>
      </c>
      <c r="B301" s="599">
        <v>2227.2933333333335</v>
      </c>
      <c r="C301" s="599">
        <v>2205.3199999999997</v>
      </c>
      <c r="D301">
        <v>2227.2933333333335</v>
      </c>
      <c r="E301">
        <v>2205.3199999999997</v>
      </c>
      <c r="G301">
        <f t="shared" ref="G301:G364" si="10">D301-B301</f>
        <v>0</v>
      </c>
      <c r="H301">
        <f t="shared" ref="H301:H364" si="11">E301-C301</f>
        <v>0</v>
      </c>
    </row>
    <row r="302" spans="1:8" ht="12.75">
      <c r="A302" s="539" t="s">
        <v>239</v>
      </c>
      <c r="B302" s="599">
        <v>2082.9822222222224</v>
      </c>
      <c r="C302" s="599">
        <v>1967.8411111111111</v>
      </c>
      <c r="D302">
        <v>2082.9822222222224</v>
      </c>
      <c r="E302">
        <v>1967.8411111111111</v>
      </c>
      <c r="G302">
        <f t="shared" si="10"/>
        <v>0</v>
      </c>
      <c r="H302">
        <f t="shared" si="11"/>
        <v>0</v>
      </c>
    </row>
    <row r="303" spans="1:8" ht="12.75">
      <c r="A303" s="539" t="s">
        <v>239</v>
      </c>
      <c r="B303" s="599">
        <v>2417.77</v>
      </c>
      <c r="C303" s="599">
        <v>2263.1855555555553</v>
      </c>
      <c r="D303">
        <v>2417.77</v>
      </c>
      <c r="E303">
        <v>2263.1855555555553</v>
      </c>
      <c r="G303">
        <f t="shared" si="10"/>
        <v>0</v>
      </c>
      <c r="H303">
        <f t="shared" si="11"/>
        <v>0</v>
      </c>
    </row>
    <row r="304" spans="1:8" ht="12.75">
      <c r="A304" s="539" t="s">
        <v>239</v>
      </c>
      <c r="B304" s="599">
        <v>2230.9044444444444</v>
      </c>
      <c r="C304" s="599">
        <v>2066.4344444444441</v>
      </c>
      <c r="D304">
        <v>2230.9044444444444</v>
      </c>
      <c r="E304">
        <v>2066.4344444444441</v>
      </c>
      <c r="G304">
        <f t="shared" si="10"/>
        <v>0</v>
      </c>
      <c r="H304">
        <f t="shared" si="11"/>
        <v>0</v>
      </c>
    </row>
    <row r="305" spans="1:8" ht="12.75">
      <c r="A305" s="539" t="s">
        <v>239</v>
      </c>
      <c r="B305" s="599">
        <v>2573.9655555555555</v>
      </c>
      <c r="C305" s="599">
        <v>2459.5311111111114</v>
      </c>
      <c r="D305">
        <v>2573.9655555555555</v>
      </c>
      <c r="E305">
        <v>2459.5311111111114</v>
      </c>
      <c r="G305">
        <f t="shared" si="10"/>
        <v>0</v>
      </c>
      <c r="H305">
        <f t="shared" si="11"/>
        <v>0</v>
      </c>
    </row>
    <row r="306" spans="1:8" ht="12.75">
      <c r="A306" s="539" t="s">
        <v>239</v>
      </c>
      <c r="B306" s="599">
        <v>2043.9633333333334</v>
      </c>
      <c r="C306" s="599">
        <v>1914.0822222222223</v>
      </c>
      <c r="D306">
        <v>2043.9633333333334</v>
      </c>
      <c r="E306">
        <v>1914.0822222222223</v>
      </c>
      <c r="G306">
        <f t="shared" si="10"/>
        <v>0</v>
      </c>
      <c r="H306">
        <f t="shared" si="11"/>
        <v>0</v>
      </c>
    </row>
    <row r="307" spans="1:8" ht="12.75">
      <c r="A307" s="539" t="s">
        <v>239</v>
      </c>
      <c r="B307" s="599">
        <v>1199.8144444444445</v>
      </c>
      <c r="C307" s="599">
        <v>1335.04</v>
      </c>
      <c r="D307">
        <v>1199.8144444444445</v>
      </c>
      <c r="E307">
        <v>1335.04</v>
      </c>
      <c r="G307">
        <f t="shared" si="10"/>
        <v>0</v>
      </c>
      <c r="H307">
        <f t="shared" si="11"/>
        <v>0</v>
      </c>
    </row>
    <row r="308" spans="1:8" ht="12.75">
      <c r="A308" s="539" t="s">
        <v>239</v>
      </c>
      <c r="B308" s="599">
        <v>972.45666666666671</v>
      </c>
      <c r="C308" s="599">
        <v>950.41000000000008</v>
      </c>
      <c r="D308">
        <v>972.45666666666671</v>
      </c>
      <c r="E308">
        <v>950.41000000000008</v>
      </c>
      <c r="G308">
        <f t="shared" si="10"/>
        <v>0</v>
      </c>
      <c r="H308">
        <f t="shared" si="11"/>
        <v>0</v>
      </c>
    </row>
    <row r="309" spans="1:8" ht="12.75">
      <c r="A309" s="539" t="s">
        <v>239</v>
      </c>
      <c r="B309" s="599">
        <v>1852.5655555555556</v>
      </c>
      <c r="C309" s="599">
        <v>1957.1200000000001</v>
      </c>
      <c r="D309">
        <v>1852.5655555555556</v>
      </c>
      <c r="E309">
        <v>1957.1200000000001</v>
      </c>
      <c r="G309">
        <f t="shared" si="10"/>
        <v>0</v>
      </c>
      <c r="H309">
        <f t="shared" si="11"/>
        <v>0</v>
      </c>
    </row>
    <row r="310" spans="1:8" ht="12.75">
      <c r="A310" s="539" t="s">
        <v>239</v>
      </c>
      <c r="B310" s="599">
        <v>1362.0866666666668</v>
      </c>
      <c r="C310" s="599">
        <v>1515.4888888888888</v>
      </c>
      <c r="D310">
        <v>1362.0866666666668</v>
      </c>
      <c r="E310">
        <v>1515.4888888888888</v>
      </c>
      <c r="G310">
        <f t="shared" si="10"/>
        <v>0</v>
      </c>
      <c r="H310">
        <f t="shared" si="11"/>
        <v>0</v>
      </c>
    </row>
    <row r="311" spans="1:8" ht="12.75">
      <c r="A311" s="539" t="s">
        <v>239</v>
      </c>
      <c r="B311" s="599">
        <v>1190.4944444444445</v>
      </c>
      <c r="C311" s="599">
        <v>1303.8877777777777</v>
      </c>
      <c r="D311">
        <v>1190.4944444444445</v>
      </c>
      <c r="E311">
        <v>1303.8877777777777</v>
      </c>
      <c r="G311">
        <f t="shared" si="10"/>
        <v>0</v>
      </c>
      <c r="H311">
        <f t="shared" si="11"/>
        <v>0</v>
      </c>
    </row>
    <row r="312" spans="1:8" ht="12.75">
      <c r="A312" s="539" t="s">
        <v>239</v>
      </c>
      <c r="B312" s="599">
        <v>1977.4922222222224</v>
      </c>
      <c r="C312" s="599">
        <v>1930.1766666666667</v>
      </c>
      <c r="D312">
        <v>1977.4922222222224</v>
      </c>
      <c r="E312">
        <v>1930.1766666666667</v>
      </c>
      <c r="G312">
        <f t="shared" si="10"/>
        <v>0</v>
      </c>
      <c r="H312">
        <f t="shared" si="11"/>
        <v>0</v>
      </c>
    </row>
    <row r="313" spans="1:8" ht="12.75">
      <c r="A313" s="539" t="s">
        <v>239</v>
      </c>
      <c r="B313" s="599">
        <v>1351.6033333333335</v>
      </c>
      <c r="C313" s="599">
        <v>1295.1966666666667</v>
      </c>
      <c r="D313">
        <v>1351.6033333333335</v>
      </c>
      <c r="E313">
        <v>1295.1966666666667</v>
      </c>
      <c r="G313">
        <f t="shared" si="10"/>
        <v>0</v>
      </c>
      <c r="H313">
        <f t="shared" si="11"/>
        <v>0</v>
      </c>
    </row>
    <row r="314" spans="1:8" ht="12.75">
      <c r="A314" s="539" t="s">
        <v>239</v>
      </c>
      <c r="B314" s="599">
        <v>785.90333333333331</v>
      </c>
      <c r="C314" s="599">
        <v>735.96888888888884</v>
      </c>
      <c r="D314">
        <v>785.90333333333331</v>
      </c>
      <c r="E314">
        <v>735.96888888888884</v>
      </c>
      <c r="G314">
        <f t="shared" si="10"/>
        <v>0</v>
      </c>
      <c r="H314">
        <f t="shared" si="11"/>
        <v>0</v>
      </c>
    </row>
    <row r="315" spans="1:8" ht="12.75">
      <c r="A315" s="539" t="s">
        <v>239</v>
      </c>
      <c r="B315" s="599">
        <v>1198.01</v>
      </c>
      <c r="C315" s="599">
        <v>1076.2755555555555</v>
      </c>
      <c r="D315">
        <v>1198.01</v>
      </c>
      <c r="E315">
        <v>1076.2755555555555</v>
      </c>
      <c r="G315">
        <f t="shared" si="10"/>
        <v>0</v>
      </c>
      <c r="H315">
        <f t="shared" si="11"/>
        <v>0</v>
      </c>
    </row>
    <row r="316" spans="1:8" ht="12.75">
      <c r="A316" s="539" t="s">
        <v>239</v>
      </c>
      <c r="B316" s="599">
        <v>1670.2755555555557</v>
      </c>
      <c r="C316" s="599">
        <v>1581.4055555555556</v>
      </c>
      <c r="D316">
        <v>1670.2755555555557</v>
      </c>
      <c r="E316">
        <v>1581.4055555555556</v>
      </c>
      <c r="G316">
        <f t="shared" si="10"/>
        <v>0</v>
      </c>
      <c r="H316">
        <f t="shared" si="11"/>
        <v>0</v>
      </c>
    </row>
    <row r="317" spans="1:8" ht="12.75">
      <c r="A317" s="539" t="s">
        <v>239</v>
      </c>
      <c r="B317" s="599">
        <v>1101.5877777777778</v>
      </c>
      <c r="C317" s="599">
        <v>1146.3211111111111</v>
      </c>
      <c r="D317">
        <v>1101.5877777777778</v>
      </c>
      <c r="E317">
        <v>1146.3211111111111</v>
      </c>
      <c r="G317">
        <f t="shared" si="10"/>
        <v>0</v>
      </c>
      <c r="H317">
        <f t="shared" si="11"/>
        <v>0</v>
      </c>
    </row>
    <row r="318" spans="1:8" ht="12.75">
      <c r="A318" s="539" t="s">
        <v>239</v>
      </c>
      <c r="B318" s="599">
        <v>681.53666666666663</v>
      </c>
      <c r="C318" s="599">
        <v>591.91222222222223</v>
      </c>
      <c r="D318">
        <v>681.53666666666663</v>
      </c>
      <c r="E318">
        <v>591.91222222222223</v>
      </c>
      <c r="G318">
        <f t="shared" si="10"/>
        <v>0</v>
      </c>
      <c r="H318">
        <f t="shared" si="11"/>
        <v>0</v>
      </c>
    </row>
    <row r="319" spans="1:8" ht="12.75">
      <c r="A319" s="539" t="s">
        <v>239</v>
      </c>
      <c r="B319" s="599">
        <v>782.58555555555552</v>
      </c>
      <c r="C319" s="599">
        <v>681.3122222222222</v>
      </c>
      <c r="D319">
        <v>782.58555555555552</v>
      </c>
      <c r="E319">
        <v>681.3122222222222</v>
      </c>
      <c r="G319">
        <f t="shared" si="10"/>
        <v>0</v>
      </c>
      <c r="H319">
        <f t="shared" si="11"/>
        <v>0</v>
      </c>
    </row>
    <row r="320" spans="1:8" ht="12.75">
      <c r="A320" s="539" t="s">
        <v>239</v>
      </c>
      <c r="B320" s="599">
        <v>790.78888888888889</v>
      </c>
      <c r="C320" s="599">
        <v>858.55555555555554</v>
      </c>
      <c r="D320">
        <v>790.78888888888889</v>
      </c>
      <c r="E320">
        <v>858.55555555555554</v>
      </c>
      <c r="G320">
        <f t="shared" si="10"/>
        <v>0</v>
      </c>
      <c r="H320">
        <f t="shared" si="11"/>
        <v>0</v>
      </c>
    </row>
    <row r="321" spans="1:8" ht="12.75">
      <c r="A321" s="539" t="s">
        <v>239</v>
      </c>
      <c r="B321" s="599">
        <v>714.98777777777775</v>
      </c>
      <c r="C321" s="599">
        <v>650.07444444444445</v>
      </c>
      <c r="D321">
        <v>714.98777777777775</v>
      </c>
      <c r="E321">
        <v>650.07444444444445</v>
      </c>
      <c r="G321">
        <f t="shared" si="10"/>
        <v>0</v>
      </c>
      <c r="H321">
        <f t="shared" si="11"/>
        <v>0</v>
      </c>
    </row>
    <row r="322" spans="1:8" ht="12.75">
      <c r="A322" s="539" t="s">
        <v>239</v>
      </c>
      <c r="B322" s="599">
        <v>456.02111111111111</v>
      </c>
      <c r="C322" s="599">
        <v>365.09777777777776</v>
      </c>
      <c r="D322">
        <v>456.02111111111111</v>
      </c>
      <c r="E322">
        <v>365.09777777777776</v>
      </c>
      <c r="G322">
        <f t="shared" si="10"/>
        <v>0</v>
      </c>
      <c r="H322">
        <f t="shared" si="11"/>
        <v>0</v>
      </c>
    </row>
    <row r="323" spans="1:8" ht="12.75">
      <c r="A323" s="539" t="s">
        <v>239</v>
      </c>
      <c r="B323" s="599">
        <v>1026.3911111111111</v>
      </c>
      <c r="C323" s="599">
        <v>972.79111111111115</v>
      </c>
      <c r="D323">
        <v>1026.3911111111111</v>
      </c>
      <c r="E323">
        <v>972.79111111111115</v>
      </c>
      <c r="G323">
        <f t="shared" si="10"/>
        <v>0</v>
      </c>
      <c r="H323">
        <f t="shared" si="11"/>
        <v>0</v>
      </c>
    </row>
    <row r="324" spans="1:8" ht="12.75">
      <c r="A324" s="539" t="s">
        <v>239</v>
      </c>
      <c r="B324" s="599">
        <v>417.82333333333332</v>
      </c>
      <c r="C324" s="599">
        <v>481.96555555555557</v>
      </c>
      <c r="D324">
        <v>417.82333333333332</v>
      </c>
      <c r="E324">
        <v>481.96555555555557</v>
      </c>
      <c r="G324">
        <f t="shared" si="10"/>
        <v>0</v>
      </c>
      <c r="H324">
        <f t="shared" si="11"/>
        <v>0</v>
      </c>
    </row>
    <row r="325" spans="1:8" ht="12.75">
      <c r="A325" s="539" t="s">
        <v>239</v>
      </c>
      <c r="B325" s="599">
        <v>2014.69</v>
      </c>
      <c r="C325" s="599">
        <v>2091.5222222222224</v>
      </c>
      <c r="D325">
        <v>2014.69</v>
      </c>
      <c r="E325">
        <v>2091.5222222222224</v>
      </c>
      <c r="G325">
        <f t="shared" si="10"/>
        <v>0</v>
      </c>
      <c r="H325">
        <f t="shared" si="11"/>
        <v>0</v>
      </c>
    </row>
    <row r="326" spans="1:8" ht="12.75">
      <c r="A326" s="539" t="s">
        <v>239</v>
      </c>
      <c r="B326" s="599">
        <v>1402.8333333333333</v>
      </c>
      <c r="C326" s="599">
        <v>1304.9866666666667</v>
      </c>
      <c r="D326">
        <v>1402.8333333333333</v>
      </c>
      <c r="E326">
        <v>1304.9866666666667</v>
      </c>
      <c r="G326">
        <f t="shared" si="10"/>
        <v>0</v>
      </c>
      <c r="H326">
        <f t="shared" si="11"/>
        <v>0</v>
      </c>
    </row>
    <row r="327" spans="1:8" ht="12.75">
      <c r="A327" s="539" t="s">
        <v>239</v>
      </c>
      <c r="B327" s="599">
        <v>1527.21</v>
      </c>
      <c r="C327" s="599">
        <v>1545.5433333333335</v>
      </c>
      <c r="D327">
        <v>1527.21</v>
      </c>
      <c r="E327">
        <v>1545.5433333333335</v>
      </c>
      <c r="G327">
        <f t="shared" si="10"/>
        <v>0</v>
      </c>
      <c r="H327">
        <f t="shared" si="11"/>
        <v>0</v>
      </c>
    </row>
    <row r="328" spans="1:8" ht="12.75">
      <c r="A328" s="539" t="s">
        <v>239</v>
      </c>
      <c r="B328" s="599">
        <v>1262.1277777777777</v>
      </c>
      <c r="C328" s="599">
        <v>1212.9711111111112</v>
      </c>
      <c r="D328">
        <v>1262.1277777777777</v>
      </c>
      <c r="E328">
        <v>1212.9711111111112</v>
      </c>
      <c r="G328">
        <f t="shared" si="10"/>
        <v>0</v>
      </c>
      <c r="H328">
        <f t="shared" si="11"/>
        <v>0</v>
      </c>
    </row>
    <row r="329" spans="1:8" ht="12.75">
      <c r="A329" s="539" t="s">
        <v>239</v>
      </c>
      <c r="B329" s="599">
        <v>1769.0611111111111</v>
      </c>
      <c r="C329" s="599">
        <v>1774.5444444444443</v>
      </c>
      <c r="D329">
        <v>1769.0611111111111</v>
      </c>
      <c r="E329">
        <v>1774.5444444444443</v>
      </c>
      <c r="G329">
        <f t="shared" si="10"/>
        <v>0</v>
      </c>
      <c r="H329">
        <f t="shared" si="11"/>
        <v>0</v>
      </c>
    </row>
    <row r="330" spans="1:8" ht="12.75">
      <c r="A330" s="539" t="s">
        <v>239</v>
      </c>
      <c r="B330" s="599">
        <v>903.00333333333333</v>
      </c>
      <c r="C330" s="599">
        <v>882.14888888888891</v>
      </c>
      <c r="D330">
        <v>903.00333333333333</v>
      </c>
      <c r="E330">
        <v>882.14888888888891</v>
      </c>
      <c r="G330">
        <f t="shared" si="10"/>
        <v>0</v>
      </c>
      <c r="H330">
        <f t="shared" si="11"/>
        <v>0</v>
      </c>
    </row>
    <row r="331" spans="1:8" ht="12.75">
      <c r="A331" s="539" t="s">
        <v>239</v>
      </c>
      <c r="B331" s="599">
        <v>1489.1977777777777</v>
      </c>
      <c r="C331" s="599">
        <v>1388.6788888888889</v>
      </c>
      <c r="D331">
        <v>1489.1977777777777</v>
      </c>
      <c r="E331">
        <v>1388.6788888888889</v>
      </c>
      <c r="G331">
        <f t="shared" si="10"/>
        <v>0</v>
      </c>
      <c r="H331">
        <f t="shared" si="11"/>
        <v>0</v>
      </c>
    </row>
    <row r="332" spans="1:8" ht="12.75">
      <c r="A332" s="539" t="s">
        <v>239</v>
      </c>
      <c r="B332" s="599">
        <v>1368.7055555555555</v>
      </c>
      <c r="C332" s="599">
        <v>1333.5022222222224</v>
      </c>
      <c r="D332">
        <v>1368.7055555555555</v>
      </c>
      <c r="E332">
        <v>1333.5022222222224</v>
      </c>
      <c r="G332">
        <f t="shared" si="10"/>
        <v>0</v>
      </c>
      <c r="H332">
        <f t="shared" si="11"/>
        <v>0</v>
      </c>
    </row>
    <row r="333" spans="1:8" ht="13.5" thickBot="1">
      <c r="A333" s="468" t="s">
        <v>867</v>
      </c>
      <c r="B333" s="599">
        <v>0</v>
      </c>
      <c r="C333" s="599">
        <v>0</v>
      </c>
      <c r="G333">
        <f t="shared" si="10"/>
        <v>0</v>
      </c>
      <c r="H333">
        <f t="shared" si="11"/>
        <v>0</v>
      </c>
    </row>
    <row r="334" spans="1:8" ht="12.75">
      <c r="A334" s="440" t="s">
        <v>311</v>
      </c>
      <c r="B334" s="599">
        <v>1078.4166666666667</v>
      </c>
      <c r="C334" s="599">
        <v>485.34</v>
      </c>
      <c r="D334">
        <v>1078.4166666666667</v>
      </c>
      <c r="E334">
        <v>485.34</v>
      </c>
      <c r="G334">
        <f t="shared" si="10"/>
        <v>0</v>
      </c>
      <c r="H334">
        <f t="shared" si="11"/>
        <v>0</v>
      </c>
    </row>
    <row r="335" spans="1:8" ht="12.75">
      <c r="A335" s="409" t="s">
        <v>311</v>
      </c>
      <c r="B335" s="599">
        <v>1682.6954444444443</v>
      </c>
      <c r="C335" s="599">
        <v>539.40222222222224</v>
      </c>
      <c r="D335">
        <v>1682.6954444444443</v>
      </c>
      <c r="E335">
        <v>539.40222222222224</v>
      </c>
      <c r="G335">
        <f t="shared" si="10"/>
        <v>0</v>
      </c>
      <c r="H335">
        <f t="shared" si="11"/>
        <v>0</v>
      </c>
    </row>
    <row r="336" spans="1:8" ht="12.75">
      <c r="A336" s="409" t="s">
        <v>311</v>
      </c>
      <c r="B336" s="599">
        <v>1455.5</v>
      </c>
      <c r="C336" s="599">
        <v>746.7544444444444</v>
      </c>
      <c r="D336">
        <v>1455.5</v>
      </c>
      <c r="E336">
        <v>746.7544444444444</v>
      </c>
      <c r="G336">
        <f t="shared" si="10"/>
        <v>0</v>
      </c>
      <c r="H336">
        <f t="shared" si="11"/>
        <v>0</v>
      </c>
    </row>
    <row r="337" spans="1:8" ht="12.75">
      <c r="A337" s="409" t="s">
        <v>311</v>
      </c>
      <c r="B337" s="599">
        <v>517.13266666666664</v>
      </c>
      <c r="C337" s="599">
        <v>248.34555555555556</v>
      </c>
      <c r="D337">
        <v>517.13266666666664</v>
      </c>
      <c r="E337">
        <v>248.34555555555556</v>
      </c>
      <c r="G337">
        <f t="shared" si="10"/>
        <v>0</v>
      </c>
      <c r="H337">
        <f t="shared" si="11"/>
        <v>0</v>
      </c>
    </row>
    <row r="338" spans="1:8" ht="12.75">
      <c r="A338" s="409" t="s">
        <v>311</v>
      </c>
      <c r="B338" s="599">
        <v>284.90899999999999</v>
      </c>
      <c r="C338" s="599">
        <v>171.98333333333332</v>
      </c>
      <c r="D338">
        <v>284.90899999999999</v>
      </c>
      <c r="E338">
        <v>171.98333333333332</v>
      </c>
      <c r="G338">
        <f t="shared" si="10"/>
        <v>0</v>
      </c>
      <c r="H338">
        <f t="shared" si="11"/>
        <v>0</v>
      </c>
    </row>
    <row r="339" spans="1:8" ht="12.75">
      <c r="A339" s="409" t="s">
        <v>311</v>
      </c>
      <c r="B339" s="599">
        <v>753.0285555555555</v>
      </c>
      <c r="C339" s="599">
        <v>504.93222222222221</v>
      </c>
      <c r="D339">
        <v>753.0285555555555</v>
      </c>
      <c r="E339">
        <v>504.93222222222221</v>
      </c>
      <c r="G339">
        <f t="shared" si="10"/>
        <v>0</v>
      </c>
      <c r="H339">
        <f t="shared" si="11"/>
        <v>0</v>
      </c>
    </row>
    <row r="340" spans="1:8" ht="12.75">
      <c r="A340" s="409" t="s">
        <v>311</v>
      </c>
      <c r="B340" s="599">
        <v>140.81166666666667</v>
      </c>
      <c r="C340" s="599">
        <v>39.033333333333331</v>
      </c>
      <c r="D340">
        <v>140.81166666666667</v>
      </c>
      <c r="E340">
        <v>39.033333333333331</v>
      </c>
      <c r="G340">
        <f t="shared" si="10"/>
        <v>0</v>
      </c>
      <c r="H340">
        <f t="shared" si="11"/>
        <v>0</v>
      </c>
    </row>
    <row r="341" spans="1:8" ht="12.75">
      <c r="A341" s="409" t="s">
        <v>311</v>
      </c>
      <c r="B341" s="599">
        <v>541.36988888888891</v>
      </c>
      <c r="C341" s="599">
        <v>229.75666666666666</v>
      </c>
      <c r="D341">
        <v>541.36988888888891</v>
      </c>
      <c r="E341">
        <v>229.75666666666666</v>
      </c>
      <c r="G341">
        <f t="shared" si="10"/>
        <v>0</v>
      </c>
      <c r="H341">
        <f t="shared" si="11"/>
        <v>0</v>
      </c>
    </row>
    <row r="342" spans="1:8" ht="12.75">
      <c r="A342" s="409" t="s">
        <v>311</v>
      </c>
      <c r="B342" s="599">
        <v>1121.5031111111111</v>
      </c>
      <c r="C342" s="599">
        <v>333.13666666666666</v>
      </c>
      <c r="D342">
        <v>1121.5031111111111</v>
      </c>
      <c r="E342">
        <v>333.13666666666666</v>
      </c>
      <c r="G342">
        <f t="shared" si="10"/>
        <v>0</v>
      </c>
      <c r="H342">
        <f t="shared" si="11"/>
        <v>0</v>
      </c>
    </row>
    <row r="343" spans="1:8" ht="12.75">
      <c r="A343" s="409" t="s">
        <v>311</v>
      </c>
      <c r="B343" s="599">
        <v>759.43</v>
      </c>
      <c r="C343" s="599">
        <v>410.27777777777777</v>
      </c>
      <c r="D343">
        <v>759.43</v>
      </c>
      <c r="E343">
        <v>410.27777777777777</v>
      </c>
      <c r="G343">
        <f t="shared" si="10"/>
        <v>0</v>
      </c>
      <c r="H343">
        <f t="shared" si="11"/>
        <v>0</v>
      </c>
    </row>
    <row r="344" spans="1:8" ht="12.75">
      <c r="A344" s="406" t="s">
        <v>311</v>
      </c>
      <c r="B344" s="599">
        <v>259.23222222222222</v>
      </c>
      <c r="C344" s="599">
        <v>109.72666666666667</v>
      </c>
      <c r="D344">
        <v>259.23222222222222</v>
      </c>
      <c r="E344">
        <v>109.72666666666667</v>
      </c>
      <c r="G344">
        <f t="shared" si="10"/>
        <v>0</v>
      </c>
      <c r="H344">
        <f t="shared" si="11"/>
        <v>0</v>
      </c>
    </row>
    <row r="345" spans="1:8" ht="12.75">
      <c r="A345" s="409" t="s">
        <v>311</v>
      </c>
      <c r="B345" s="599">
        <v>227.71877777777777</v>
      </c>
      <c r="C345" s="599">
        <v>157.06666666666666</v>
      </c>
      <c r="D345">
        <v>227.71877777777777</v>
      </c>
      <c r="E345">
        <v>157.06666666666666</v>
      </c>
      <c r="G345">
        <f t="shared" si="10"/>
        <v>0</v>
      </c>
      <c r="H345">
        <f t="shared" si="11"/>
        <v>0</v>
      </c>
    </row>
    <row r="346" spans="1:8" ht="12.75">
      <c r="A346" s="409" t="s">
        <v>311</v>
      </c>
      <c r="B346" s="599">
        <v>574.57266666666669</v>
      </c>
      <c r="C346" s="599">
        <v>352.07111111111112</v>
      </c>
      <c r="D346">
        <v>574.57266666666669</v>
      </c>
      <c r="E346">
        <v>352.07111111111112</v>
      </c>
      <c r="G346">
        <f t="shared" si="10"/>
        <v>0</v>
      </c>
      <c r="H346">
        <f t="shared" si="11"/>
        <v>0</v>
      </c>
    </row>
    <row r="347" spans="1:8" ht="12.75">
      <c r="A347" s="409" t="s">
        <v>311</v>
      </c>
      <c r="B347" s="599">
        <v>110.64077777777777</v>
      </c>
      <c r="C347" s="599">
        <v>105.27222222222223</v>
      </c>
      <c r="D347">
        <v>110.64077777777777</v>
      </c>
      <c r="E347">
        <v>105.27222222222223</v>
      </c>
      <c r="G347">
        <f t="shared" si="10"/>
        <v>0</v>
      </c>
      <c r="H347">
        <f t="shared" si="11"/>
        <v>0</v>
      </c>
    </row>
    <row r="348" spans="1:8" ht="12.75">
      <c r="A348" s="409" t="s">
        <v>311</v>
      </c>
      <c r="B348" s="599">
        <v>126.7</v>
      </c>
      <c r="C348" s="599">
        <v>70.666666666666671</v>
      </c>
      <c r="D348">
        <v>126.7</v>
      </c>
      <c r="E348">
        <v>70.666666666666671</v>
      </c>
      <c r="G348">
        <f t="shared" si="10"/>
        <v>0</v>
      </c>
      <c r="H348">
        <f t="shared" si="11"/>
        <v>0</v>
      </c>
    </row>
    <row r="349" spans="1:8" ht="12.75">
      <c r="A349" s="409" t="s">
        <v>311</v>
      </c>
      <c r="B349" s="599">
        <v>254.14800000000002</v>
      </c>
      <c r="C349" s="599">
        <v>129.59333333333333</v>
      </c>
      <c r="D349">
        <v>254.14800000000002</v>
      </c>
      <c r="E349">
        <v>129.59333333333333</v>
      </c>
      <c r="G349">
        <f t="shared" si="10"/>
        <v>0</v>
      </c>
      <c r="H349">
        <f t="shared" si="11"/>
        <v>0</v>
      </c>
    </row>
    <row r="350" spans="1:8" ht="12.75">
      <c r="A350" s="409" t="s">
        <v>311</v>
      </c>
      <c r="B350" s="599">
        <v>225.86888888888888</v>
      </c>
      <c r="C350" s="599">
        <v>59.31111111111111</v>
      </c>
      <c r="D350">
        <v>225.86888888888888</v>
      </c>
      <c r="E350">
        <v>59.31111111111111</v>
      </c>
      <c r="G350">
        <f t="shared" si="10"/>
        <v>0</v>
      </c>
      <c r="H350">
        <f t="shared" si="11"/>
        <v>0</v>
      </c>
    </row>
    <row r="351" spans="1:8" ht="12.75">
      <c r="A351" s="409" t="s">
        <v>311</v>
      </c>
      <c r="B351" s="599">
        <v>167.79944444444445</v>
      </c>
      <c r="C351" s="599">
        <v>103.18111111111111</v>
      </c>
      <c r="D351">
        <v>167.79944444444445</v>
      </c>
      <c r="E351">
        <v>103.18111111111111</v>
      </c>
      <c r="G351">
        <f t="shared" si="10"/>
        <v>0</v>
      </c>
      <c r="H351">
        <f t="shared" si="11"/>
        <v>0</v>
      </c>
    </row>
    <row r="352" spans="1:8" ht="12.75">
      <c r="A352" s="409" t="s">
        <v>311</v>
      </c>
      <c r="B352" s="599">
        <v>79.61333333333333</v>
      </c>
      <c r="C352" s="599">
        <v>64.63666666666667</v>
      </c>
      <c r="D352">
        <v>79.61333333333333</v>
      </c>
      <c r="E352">
        <v>64.63666666666667</v>
      </c>
      <c r="G352">
        <f t="shared" si="10"/>
        <v>0</v>
      </c>
      <c r="H352">
        <f t="shared" si="11"/>
        <v>0</v>
      </c>
    </row>
    <row r="353" spans="1:8" ht="12.75">
      <c r="A353" s="409" t="s">
        <v>311</v>
      </c>
      <c r="B353" s="599">
        <v>182.27444444444444</v>
      </c>
      <c r="C353" s="599">
        <v>105.16111111111111</v>
      </c>
      <c r="D353">
        <v>182.27444444444444</v>
      </c>
      <c r="E353">
        <v>105.16111111111111</v>
      </c>
      <c r="G353">
        <f t="shared" si="10"/>
        <v>0</v>
      </c>
      <c r="H353">
        <f t="shared" si="11"/>
        <v>0</v>
      </c>
    </row>
    <row r="354" spans="1:8" ht="12.75">
      <c r="A354" s="409" t="s">
        <v>311</v>
      </c>
      <c r="B354" s="599">
        <v>268.2788888888889</v>
      </c>
      <c r="C354" s="599">
        <v>178.27777777777777</v>
      </c>
      <c r="D354">
        <v>268.2788888888889</v>
      </c>
      <c r="E354">
        <v>178.27777777777777</v>
      </c>
      <c r="G354">
        <f t="shared" si="10"/>
        <v>0</v>
      </c>
      <c r="H354">
        <f t="shared" si="11"/>
        <v>0</v>
      </c>
    </row>
    <row r="355" spans="1:8" ht="12.75">
      <c r="A355" s="409" t="s">
        <v>311</v>
      </c>
      <c r="B355" s="599">
        <v>225.66</v>
      </c>
      <c r="C355" s="599">
        <v>144.79666666666665</v>
      </c>
      <c r="D355">
        <v>225.66</v>
      </c>
      <c r="E355">
        <v>144.79666666666665</v>
      </c>
      <c r="G355">
        <f t="shared" si="10"/>
        <v>0</v>
      </c>
      <c r="H355">
        <f t="shared" si="11"/>
        <v>0</v>
      </c>
    </row>
    <row r="356" spans="1:8" ht="12.75">
      <c r="A356" s="409" t="s">
        <v>311</v>
      </c>
      <c r="B356" s="599">
        <v>16.726666666666667</v>
      </c>
      <c r="C356" s="599">
        <v>5.94</v>
      </c>
      <c r="D356">
        <v>16.726666666666667</v>
      </c>
      <c r="E356">
        <v>5.94</v>
      </c>
      <c r="G356">
        <f t="shared" si="10"/>
        <v>0</v>
      </c>
      <c r="H356">
        <f t="shared" si="11"/>
        <v>0</v>
      </c>
    </row>
    <row r="357" spans="1:8" ht="12.75">
      <c r="A357" s="409" t="s">
        <v>311</v>
      </c>
      <c r="B357" s="599">
        <v>88.64</v>
      </c>
      <c r="C357" s="599">
        <v>13.54</v>
      </c>
      <c r="D357">
        <v>88.64</v>
      </c>
      <c r="E357">
        <v>13.54</v>
      </c>
      <c r="G357">
        <f t="shared" si="10"/>
        <v>0</v>
      </c>
      <c r="H357">
        <f t="shared" si="11"/>
        <v>0</v>
      </c>
    </row>
    <row r="358" spans="1:8" ht="12.75">
      <c r="A358" s="409" t="s">
        <v>311</v>
      </c>
      <c r="B358" s="599">
        <v>64.283333333333331</v>
      </c>
      <c r="C358" s="599">
        <v>31.636666666666667</v>
      </c>
      <c r="D358">
        <v>64.283333333333331</v>
      </c>
      <c r="E358">
        <v>31.636666666666667</v>
      </c>
      <c r="G358">
        <f t="shared" si="10"/>
        <v>0</v>
      </c>
      <c r="H358">
        <f t="shared" si="11"/>
        <v>0</v>
      </c>
    </row>
    <row r="359" spans="1:8" ht="12.75">
      <c r="A359" s="409" t="s">
        <v>311</v>
      </c>
      <c r="B359" s="599">
        <v>606.77088888888898</v>
      </c>
      <c r="C359" s="599">
        <v>290.45888888888891</v>
      </c>
      <c r="D359">
        <v>606.77088888888898</v>
      </c>
      <c r="E359">
        <v>290.45888888888891</v>
      </c>
      <c r="G359">
        <f t="shared" si="10"/>
        <v>0</v>
      </c>
      <c r="H359">
        <f t="shared" si="11"/>
        <v>0</v>
      </c>
    </row>
    <row r="360" spans="1:8" ht="12.75">
      <c r="A360" s="409" t="s">
        <v>311</v>
      </c>
      <c r="B360" s="599">
        <v>771.28755555555563</v>
      </c>
      <c r="C360" s="599">
        <v>228.88333333333333</v>
      </c>
      <c r="D360">
        <v>771.28755555555563</v>
      </c>
      <c r="E360">
        <v>228.88333333333333</v>
      </c>
      <c r="G360">
        <f t="shared" si="10"/>
        <v>0</v>
      </c>
      <c r="H360">
        <f t="shared" si="11"/>
        <v>0</v>
      </c>
    </row>
    <row r="361" spans="1:8" ht="12.75">
      <c r="A361" s="409" t="s">
        <v>311</v>
      </c>
      <c r="B361" s="599">
        <v>1027.42</v>
      </c>
      <c r="C361" s="599">
        <v>348.93555555555554</v>
      </c>
      <c r="D361">
        <v>1027.42</v>
      </c>
      <c r="E361">
        <v>348.93555555555554</v>
      </c>
      <c r="G361">
        <f t="shared" si="10"/>
        <v>0</v>
      </c>
      <c r="H361">
        <f t="shared" si="11"/>
        <v>0</v>
      </c>
    </row>
    <row r="362" spans="1:8" ht="12.75">
      <c r="A362" s="409" t="s">
        <v>311</v>
      </c>
      <c r="B362" s="599">
        <v>627.33333333333337</v>
      </c>
      <c r="C362" s="599">
        <v>240.07888888888888</v>
      </c>
      <c r="D362">
        <v>627.33333333333337</v>
      </c>
      <c r="E362">
        <v>240.07888888888888</v>
      </c>
      <c r="G362">
        <f t="shared" si="10"/>
        <v>0</v>
      </c>
      <c r="H362">
        <f t="shared" si="11"/>
        <v>0</v>
      </c>
    </row>
    <row r="363" spans="1:8" ht="12.75">
      <c r="A363" s="409" t="s">
        <v>311</v>
      </c>
      <c r="B363" s="599">
        <v>2189.2027777777776</v>
      </c>
      <c r="C363" s="599">
        <v>479.86555555555555</v>
      </c>
      <c r="D363">
        <v>2189.2027777777776</v>
      </c>
      <c r="E363">
        <v>479.86555555555555</v>
      </c>
      <c r="G363">
        <f t="shared" si="10"/>
        <v>0</v>
      </c>
      <c r="H363">
        <f t="shared" si="11"/>
        <v>0</v>
      </c>
    </row>
    <row r="364" spans="1:8" ht="12.75">
      <c r="A364" s="409" t="s">
        <v>311</v>
      </c>
      <c r="B364" s="599">
        <v>298.07555555555558</v>
      </c>
      <c r="C364" s="599">
        <v>192.82111111111112</v>
      </c>
      <c r="D364">
        <v>298.07555555555558</v>
      </c>
      <c r="E364">
        <v>192.82111111111112</v>
      </c>
      <c r="G364">
        <f t="shared" si="10"/>
        <v>0</v>
      </c>
      <c r="H364">
        <f t="shared" si="11"/>
        <v>0</v>
      </c>
    </row>
    <row r="365" spans="1:8" ht="12.75">
      <c r="A365" s="409" t="s">
        <v>311</v>
      </c>
      <c r="B365" s="599">
        <v>209.25333333333333</v>
      </c>
      <c r="C365" s="599">
        <v>106.35111111111111</v>
      </c>
      <c r="D365">
        <v>209.25333333333333</v>
      </c>
      <c r="E365">
        <v>106.35111111111111</v>
      </c>
      <c r="G365">
        <f t="shared" ref="G365:G428" si="12">D365-B365</f>
        <v>0</v>
      </c>
      <c r="H365">
        <f t="shared" ref="H365:H428" si="13">E365-C365</f>
        <v>0</v>
      </c>
    </row>
    <row r="366" spans="1:8" ht="12.75">
      <c r="A366" s="409" t="s">
        <v>311</v>
      </c>
      <c r="B366" s="599">
        <v>160.67555555555555</v>
      </c>
      <c r="C366" s="599">
        <v>95.48555555555555</v>
      </c>
      <c r="D366">
        <v>160.67555555555555</v>
      </c>
      <c r="E366">
        <v>95.48555555555555</v>
      </c>
      <c r="G366">
        <f t="shared" si="12"/>
        <v>0</v>
      </c>
      <c r="H366">
        <f t="shared" si="13"/>
        <v>0</v>
      </c>
    </row>
    <row r="367" spans="1:8" ht="12.75">
      <c r="A367" s="409" t="s">
        <v>311</v>
      </c>
      <c r="B367" s="599">
        <v>323.65944444444443</v>
      </c>
      <c r="C367" s="599">
        <v>176.68333333333334</v>
      </c>
      <c r="D367">
        <v>323.65944444444443</v>
      </c>
      <c r="E367">
        <v>176.68333333333334</v>
      </c>
      <c r="G367">
        <f t="shared" si="12"/>
        <v>0</v>
      </c>
      <c r="H367">
        <f t="shared" si="13"/>
        <v>0</v>
      </c>
    </row>
    <row r="368" spans="1:8" ht="12.75">
      <c r="A368" s="409" t="s">
        <v>311</v>
      </c>
      <c r="B368" s="599">
        <v>100.105</v>
      </c>
      <c r="C368" s="599">
        <v>66.916666666666671</v>
      </c>
      <c r="D368">
        <v>100.105</v>
      </c>
      <c r="E368">
        <v>66.916666666666671</v>
      </c>
      <c r="G368">
        <f t="shared" si="12"/>
        <v>0</v>
      </c>
      <c r="H368">
        <f t="shared" si="13"/>
        <v>0</v>
      </c>
    </row>
    <row r="369" spans="1:8" ht="12.75">
      <c r="A369" s="409" t="s">
        <v>311</v>
      </c>
      <c r="B369" s="599">
        <v>66.002222222222215</v>
      </c>
      <c r="C369" s="599">
        <v>42.06</v>
      </c>
      <c r="D369">
        <v>66.002222222222215</v>
      </c>
      <c r="E369">
        <v>42.06</v>
      </c>
      <c r="G369">
        <f t="shared" si="12"/>
        <v>0</v>
      </c>
      <c r="H369">
        <f t="shared" si="13"/>
        <v>0</v>
      </c>
    </row>
    <row r="370" spans="1:8" ht="12.75">
      <c r="A370" s="409" t="s">
        <v>311</v>
      </c>
      <c r="B370" s="599">
        <v>321.33111111111111</v>
      </c>
      <c r="C370" s="599">
        <v>176.72</v>
      </c>
      <c r="D370">
        <v>321.33111111111111</v>
      </c>
      <c r="E370">
        <v>176.72</v>
      </c>
      <c r="G370">
        <f t="shared" si="12"/>
        <v>0</v>
      </c>
      <c r="H370">
        <f t="shared" si="13"/>
        <v>0</v>
      </c>
    </row>
    <row r="371" spans="1:8" ht="12.75">
      <c r="A371" s="409" t="s">
        <v>311</v>
      </c>
      <c r="B371" s="599">
        <v>203.18733333333333</v>
      </c>
      <c r="C371" s="599">
        <v>137.79555555555555</v>
      </c>
      <c r="D371">
        <v>203.18733333333333</v>
      </c>
      <c r="E371">
        <v>137.79555555555555</v>
      </c>
      <c r="G371">
        <f t="shared" si="12"/>
        <v>0</v>
      </c>
      <c r="H371">
        <f t="shared" si="13"/>
        <v>0</v>
      </c>
    </row>
    <row r="372" spans="1:8" ht="12.75">
      <c r="A372" s="409" t="s">
        <v>311</v>
      </c>
      <c r="B372" s="599">
        <v>507.49788888888884</v>
      </c>
      <c r="C372" s="599">
        <v>168.50666666666666</v>
      </c>
      <c r="D372">
        <v>507.49788888888884</v>
      </c>
      <c r="E372">
        <v>168.50666666666666</v>
      </c>
      <c r="G372">
        <f t="shared" si="12"/>
        <v>0</v>
      </c>
      <c r="H372">
        <f t="shared" si="13"/>
        <v>0</v>
      </c>
    </row>
    <row r="373" spans="1:8" ht="12.75">
      <c r="A373" s="409" t="s">
        <v>311</v>
      </c>
      <c r="B373" s="599">
        <v>872.88188888888885</v>
      </c>
      <c r="C373" s="599">
        <v>272.32777777777778</v>
      </c>
      <c r="D373">
        <v>872.88188888888885</v>
      </c>
      <c r="E373">
        <v>272.32777777777778</v>
      </c>
      <c r="G373">
        <f t="shared" si="12"/>
        <v>0</v>
      </c>
      <c r="H373">
        <f t="shared" si="13"/>
        <v>0</v>
      </c>
    </row>
    <row r="374" spans="1:8" ht="12.75">
      <c r="A374" s="409" t="s">
        <v>311</v>
      </c>
      <c r="B374" s="599">
        <v>220.70388888888888</v>
      </c>
      <c r="C374" s="599">
        <v>172.34444444444443</v>
      </c>
      <c r="D374">
        <v>220.70388888888888</v>
      </c>
      <c r="E374">
        <v>172.34444444444443</v>
      </c>
      <c r="G374">
        <f t="shared" si="12"/>
        <v>0</v>
      </c>
      <c r="H374">
        <f t="shared" si="13"/>
        <v>0</v>
      </c>
    </row>
    <row r="375" spans="1:8" ht="12.75">
      <c r="A375" s="409" t="s">
        <v>311</v>
      </c>
      <c r="B375" s="599">
        <v>343.77222222222224</v>
      </c>
      <c r="C375" s="599">
        <v>227.87888888888889</v>
      </c>
      <c r="D375">
        <v>343.77222222222224</v>
      </c>
      <c r="E375">
        <v>227.87888888888889</v>
      </c>
      <c r="G375">
        <f t="shared" si="12"/>
        <v>0</v>
      </c>
      <c r="H375">
        <f t="shared" si="13"/>
        <v>0</v>
      </c>
    </row>
    <row r="376" spans="1:8" ht="12.75">
      <c r="A376" s="409" t="s">
        <v>311</v>
      </c>
      <c r="B376" s="599">
        <v>370.38</v>
      </c>
      <c r="C376" s="599">
        <v>276.49111111111114</v>
      </c>
      <c r="D376">
        <v>370.38</v>
      </c>
      <c r="E376">
        <v>276.49111111111114</v>
      </c>
      <c r="G376">
        <f t="shared" si="12"/>
        <v>0</v>
      </c>
      <c r="H376">
        <f t="shared" si="13"/>
        <v>0</v>
      </c>
    </row>
    <row r="377" spans="1:8" ht="12.75">
      <c r="A377" s="409" t="s">
        <v>311</v>
      </c>
      <c r="B377" s="599">
        <v>471.98611111111109</v>
      </c>
      <c r="C377" s="599">
        <v>354.10222222222222</v>
      </c>
      <c r="D377">
        <v>471.98611111111109</v>
      </c>
      <c r="E377">
        <v>354.10222222222222</v>
      </c>
      <c r="G377">
        <f t="shared" si="12"/>
        <v>0</v>
      </c>
      <c r="H377">
        <f t="shared" si="13"/>
        <v>0</v>
      </c>
    </row>
    <row r="378" spans="1:8" ht="12.75">
      <c r="A378" s="409" t="s">
        <v>311</v>
      </c>
      <c r="B378" s="599">
        <v>279.84222222222223</v>
      </c>
      <c r="C378" s="599">
        <v>233.71333333333334</v>
      </c>
      <c r="D378">
        <v>279.84222222222223</v>
      </c>
      <c r="E378">
        <v>233.71333333333334</v>
      </c>
      <c r="G378">
        <f t="shared" si="12"/>
        <v>0</v>
      </c>
      <c r="H378">
        <f t="shared" si="13"/>
        <v>0</v>
      </c>
    </row>
    <row r="379" spans="1:8" ht="12.75">
      <c r="A379" s="409" t="s">
        <v>311</v>
      </c>
      <c r="B379" s="599">
        <v>482.19555555555553</v>
      </c>
      <c r="C379" s="599">
        <v>319.9111111111111</v>
      </c>
      <c r="D379">
        <v>482.19555555555553</v>
      </c>
      <c r="E379">
        <v>319.9111111111111</v>
      </c>
      <c r="G379">
        <f t="shared" si="12"/>
        <v>0</v>
      </c>
      <c r="H379">
        <f t="shared" si="13"/>
        <v>0</v>
      </c>
    </row>
    <row r="380" spans="1:8" ht="12.75">
      <c r="A380" s="409" t="s">
        <v>311</v>
      </c>
      <c r="B380" s="599">
        <v>141.10333333333332</v>
      </c>
      <c r="C380" s="599">
        <v>108.09</v>
      </c>
      <c r="D380">
        <v>141.10333333333332</v>
      </c>
      <c r="E380">
        <v>108.09</v>
      </c>
      <c r="G380">
        <f t="shared" si="12"/>
        <v>0</v>
      </c>
      <c r="H380">
        <f t="shared" si="13"/>
        <v>0</v>
      </c>
    </row>
    <row r="381" spans="1:8" ht="12.75">
      <c r="A381" s="409" t="s">
        <v>311</v>
      </c>
      <c r="B381" s="599">
        <v>145.68522222222222</v>
      </c>
      <c r="C381" s="599">
        <v>74.766666666666666</v>
      </c>
      <c r="D381">
        <v>145.68522222222222</v>
      </c>
      <c r="E381">
        <v>74.766666666666666</v>
      </c>
      <c r="G381">
        <f t="shared" si="12"/>
        <v>0</v>
      </c>
      <c r="H381">
        <f t="shared" si="13"/>
        <v>0</v>
      </c>
    </row>
    <row r="382" spans="1:8" ht="12.75">
      <c r="A382" s="409" t="s">
        <v>311</v>
      </c>
      <c r="B382" s="599">
        <v>383.18422222222222</v>
      </c>
      <c r="C382" s="599">
        <v>191.22222222222223</v>
      </c>
      <c r="D382">
        <v>383.18422222222222</v>
      </c>
      <c r="E382">
        <v>191.22222222222223</v>
      </c>
      <c r="G382">
        <f t="shared" si="12"/>
        <v>0</v>
      </c>
      <c r="H382">
        <f t="shared" si="13"/>
        <v>0</v>
      </c>
    </row>
    <row r="383" spans="1:8" ht="12.75">
      <c r="A383" s="423" t="s">
        <v>489</v>
      </c>
      <c r="B383" s="599">
        <v>25270.583333333336</v>
      </c>
      <c r="C383" s="599">
        <v>25988.983333333334</v>
      </c>
      <c r="D383">
        <v>25270.583333333336</v>
      </c>
      <c r="E383">
        <v>25988.983333333334</v>
      </c>
      <c r="G383">
        <f t="shared" si="12"/>
        <v>0</v>
      </c>
      <c r="H383">
        <f t="shared" si="13"/>
        <v>0</v>
      </c>
    </row>
    <row r="384" spans="1:8" ht="12.75">
      <c r="A384" s="423" t="s">
        <v>489</v>
      </c>
      <c r="B384" s="599">
        <v>35369.974999999999</v>
      </c>
      <c r="C384" s="599">
        <v>35090.558333333334</v>
      </c>
      <c r="D384">
        <v>35369.974999999999</v>
      </c>
      <c r="E384">
        <v>35090.558333333334</v>
      </c>
      <c r="G384">
        <f t="shared" si="12"/>
        <v>0</v>
      </c>
      <c r="H384">
        <f t="shared" si="13"/>
        <v>0</v>
      </c>
    </row>
    <row r="385" spans="1:8" ht="12.75">
      <c r="A385" s="423" t="s">
        <v>489</v>
      </c>
      <c r="B385" s="599">
        <v>10022.366666666667</v>
      </c>
      <c r="C385" s="599">
        <v>10122.566666666668</v>
      </c>
      <c r="D385">
        <v>10022.366666666667</v>
      </c>
      <c r="E385">
        <v>10122.566666666668</v>
      </c>
      <c r="G385">
        <f t="shared" si="12"/>
        <v>0</v>
      </c>
      <c r="H385">
        <f t="shared" si="13"/>
        <v>0</v>
      </c>
    </row>
    <row r="386" spans="1:8" ht="12.75">
      <c r="A386" s="423" t="s">
        <v>489</v>
      </c>
      <c r="B386" s="599">
        <v>3891.8916666666664</v>
      </c>
      <c r="C386" s="599">
        <v>3878.166666666667</v>
      </c>
      <c r="D386">
        <v>3891.8916666666664</v>
      </c>
      <c r="E386">
        <v>3878.166666666667</v>
      </c>
      <c r="G386">
        <f t="shared" si="12"/>
        <v>0</v>
      </c>
      <c r="H386">
        <f t="shared" si="13"/>
        <v>0</v>
      </c>
    </row>
    <row r="387" spans="1:8" ht="12.75">
      <c r="A387" s="423" t="s">
        <v>489</v>
      </c>
      <c r="B387" s="599">
        <v>5217.0416666666661</v>
      </c>
      <c r="C387" s="599">
        <v>4868.3999999999996</v>
      </c>
      <c r="D387">
        <v>5217.0416666666661</v>
      </c>
      <c r="E387">
        <v>4868.3999999999996</v>
      </c>
      <c r="G387">
        <f t="shared" si="12"/>
        <v>0</v>
      </c>
      <c r="H387">
        <f t="shared" si="13"/>
        <v>0</v>
      </c>
    </row>
    <row r="388" spans="1:8" ht="12.75">
      <c r="A388" s="423" t="s">
        <v>489</v>
      </c>
      <c r="B388" s="599">
        <v>9974.9249999999993</v>
      </c>
      <c r="C388" s="599">
        <v>9946.4416666666675</v>
      </c>
      <c r="D388">
        <v>9974.9249999999993</v>
      </c>
      <c r="E388">
        <v>9946.4416666666675</v>
      </c>
      <c r="G388">
        <f t="shared" si="12"/>
        <v>0</v>
      </c>
      <c r="H388">
        <f t="shared" si="13"/>
        <v>0</v>
      </c>
    </row>
    <row r="389" spans="1:8" ht="12.75">
      <c r="A389" s="423" t="s">
        <v>489</v>
      </c>
      <c r="B389" s="599">
        <v>3504.7249999999999</v>
      </c>
      <c r="C389" s="599">
        <v>3271.7916666666665</v>
      </c>
      <c r="D389">
        <v>3504.7249999999999</v>
      </c>
      <c r="E389">
        <v>3271.7916666666665</v>
      </c>
      <c r="G389">
        <f t="shared" si="12"/>
        <v>0</v>
      </c>
      <c r="H389">
        <f t="shared" si="13"/>
        <v>0</v>
      </c>
    </row>
    <row r="390" spans="1:8" ht="12.75">
      <c r="A390" s="423" t="s">
        <v>489</v>
      </c>
      <c r="B390" s="599">
        <v>2195.3083333333334</v>
      </c>
      <c r="C390" s="599">
        <v>2082.7249999999999</v>
      </c>
      <c r="D390">
        <v>2195.3083333333334</v>
      </c>
      <c r="E390">
        <v>2082.7249999999999</v>
      </c>
      <c r="G390">
        <f t="shared" si="12"/>
        <v>0</v>
      </c>
      <c r="H390">
        <f t="shared" si="13"/>
        <v>0</v>
      </c>
    </row>
    <row r="391" spans="1:8" ht="12.75">
      <c r="A391" s="423" t="s">
        <v>489</v>
      </c>
      <c r="B391" s="599">
        <v>3255.1583333333333</v>
      </c>
      <c r="C391" s="599">
        <v>3465.9750000000004</v>
      </c>
      <c r="D391">
        <v>3255.1583333333333</v>
      </c>
      <c r="E391">
        <v>3465.9750000000004</v>
      </c>
      <c r="G391">
        <f t="shared" si="12"/>
        <v>0</v>
      </c>
      <c r="H391">
        <f t="shared" si="13"/>
        <v>0</v>
      </c>
    </row>
    <row r="392" spans="1:8" ht="12.75">
      <c r="A392" s="423" t="s">
        <v>489</v>
      </c>
      <c r="B392" s="599">
        <v>3183.2833333333333</v>
      </c>
      <c r="C392" s="599">
        <v>3294.2</v>
      </c>
      <c r="D392">
        <v>3183.2833333333333</v>
      </c>
      <c r="E392">
        <v>3294.2</v>
      </c>
      <c r="G392">
        <f t="shared" si="12"/>
        <v>0</v>
      </c>
      <c r="H392">
        <f t="shared" si="13"/>
        <v>0</v>
      </c>
    </row>
    <row r="393" spans="1:8" ht="12.75">
      <c r="A393" s="423" t="s">
        <v>489</v>
      </c>
      <c r="B393" s="599">
        <v>1930</v>
      </c>
      <c r="C393" s="599">
        <v>1820.4333333333334</v>
      </c>
      <c r="D393">
        <v>1930</v>
      </c>
      <c r="E393">
        <v>1820.4333333333334</v>
      </c>
      <c r="G393">
        <f t="shared" si="12"/>
        <v>0</v>
      </c>
      <c r="H393">
        <f t="shared" si="13"/>
        <v>0</v>
      </c>
    </row>
    <row r="394" spans="1:8" ht="12.75">
      <c r="A394" s="423" t="s">
        <v>489</v>
      </c>
      <c r="B394" s="599">
        <v>5275.8916666666673</v>
      </c>
      <c r="C394" s="599">
        <v>4889.8499999999995</v>
      </c>
      <c r="D394">
        <v>5275.8916666666673</v>
      </c>
      <c r="E394">
        <v>4889.8499999999995</v>
      </c>
      <c r="G394">
        <f t="shared" si="12"/>
        <v>0</v>
      </c>
      <c r="H394">
        <f t="shared" si="13"/>
        <v>0</v>
      </c>
    </row>
    <row r="395" spans="1:8" ht="12.75">
      <c r="A395" s="423" t="s">
        <v>489</v>
      </c>
      <c r="B395" s="599">
        <v>7463.833333333333</v>
      </c>
      <c r="C395" s="599">
        <v>6909.4333333333334</v>
      </c>
      <c r="D395">
        <v>7463.833333333333</v>
      </c>
      <c r="E395">
        <v>6909.4333333333334</v>
      </c>
      <c r="G395">
        <f t="shared" si="12"/>
        <v>0</v>
      </c>
      <c r="H395">
        <f t="shared" si="13"/>
        <v>0</v>
      </c>
    </row>
    <row r="396" spans="1:8" ht="12.75">
      <c r="A396" s="423" t="s">
        <v>489</v>
      </c>
      <c r="B396" s="599">
        <v>4955.1000000000004</v>
      </c>
      <c r="C396" s="599">
        <v>4786.333333333333</v>
      </c>
      <c r="D396">
        <v>4955.1000000000004</v>
      </c>
      <c r="E396">
        <v>4786.333333333333</v>
      </c>
      <c r="G396">
        <f t="shared" si="12"/>
        <v>0</v>
      </c>
      <c r="H396">
        <f t="shared" si="13"/>
        <v>0</v>
      </c>
    </row>
    <row r="397" spans="1:8" ht="12.75">
      <c r="A397" s="423" t="s">
        <v>489</v>
      </c>
      <c r="B397" s="599">
        <v>6572.2</v>
      </c>
      <c r="C397" s="599">
        <v>6267.5666666666666</v>
      </c>
      <c r="D397">
        <v>6572.2</v>
      </c>
      <c r="E397">
        <v>6267.5666666666666</v>
      </c>
      <c r="G397">
        <f t="shared" si="12"/>
        <v>0</v>
      </c>
      <c r="H397">
        <f t="shared" si="13"/>
        <v>0</v>
      </c>
    </row>
    <row r="398" spans="1:8" ht="12.75">
      <c r="A398" s="423" t="s">
        <v>489</v>
      </c>
      <c r="B398" s="599">
        <v>8219.1666666666661</v>
      </c>
      <c r="C398" s="599">
        <v>7786.1</v>
      </c>
      <c r="D398">
        <v>8219.1666666666661</v>
      </c>
      <c r="E398">
        <v>7786.1</v>
      </c>
      <c r="G398">
        <f t="shared" si="12"/>
        <v>0</v>
      </c>
      <c r="H398">
        <f t="shared" si="13"/>
        <v>0</v>
      </c>
    </row>
    <row r="399" spans="1:8" ht="12.75">
      <c r="A399" s="423" t="s">
        <v>489</v>
      </c>
      <c r="B399" s="599">
        <v>2188.6999999999998</v>
      </c>
      <c r="C399" s="599">
        <v>1921.1</v>
      </c>
      <c r="D399">
        <v>2188.6999999999998</v>
      </c>
      <c r="E399">
        <v>1921.1</v>
      </c>
      <c r="G399">
        <f t="shared" si="12"/>
        <v>0</v>
      </c>
      <c r="H399">
        <f t="shared" si="13"/>
        <v>0</v>
      </c>
    </row>
    <row r="400" spans="1:8" ht="12.75">
      <c r="A400" s="423" t="s">
        <v>489</v>
      </c>
      <c r="B400" s="599">
        <v>2369.4</v>
      </c>
      <c r="C400" s="599">
        <v>2018.2333333333333</v>
      </c>
      <c r="D400">
        <v>2369.4</v>
      </c>
      <c r="E400">
        <v>2018.2333333333333</v>
      </c>
      <c r="G400">
        <f t="shared" si="12"/>
        <v>0</v>
      </c>
      <c r="H400">
        <f t="shared" si="13"/>
        <v>0</v>
      </c>
    </row>
    <row r="401" spans="1:8" ht="12.75">
      <c r="A401" s="423" t="s">
        <v>489</v>
      </c>
      <c r="B401" s="599">
        <v>3538.3</v>
      </c>
      <c r="C401" s="599">
        <v>3293.6333333333332</v>
      </c>
      <c r="D401">
        <v>3538.3</v>
      </c>
      <c r="E401">
        <v>3293.6333333333332</v>
      </c>
      <c r="G401">
        <f t="shared" si="12"/>
        <v>0</v>
      </c>
      <c r="H401">
        <f t="shared" si="13"/>
        <v>0</v>
      </c>
    </row>
    <row r="402" spans="1:8" ht="12.75">
      <c r="A402" s="423" t="s">
        <v>489</v>
      </c>
      <c r="B402" s="599">
        <v>3097.4</v>
      </c>
      <c r="C402" s="599">
        <v>3611.2666666666669</v>
      </c>
      <c r="D402">
        <v>3097.4</v>
      </c>
      <c r="E402">
        <v>3611.2666666666669</v>
      </c>
      <c r="G402">
        <f t="shared" si="12"/>
        <v>0</v>
      </c>
      <c r="H402">
        <f t="shared" si="13"/>
        <v>0</v>
      </c>
    </row>
    <row r="403" spans="1:8" ht="12.75">
      <c r="A403" s="423" t="s">
        <v>489</v>
      </c>
      <c r="B403" s="599">
        <v>4706.8999999999996</v>
      </c>
      <c r="C403" s="599">
        <v>4615.0666666666666</v>
      </c>
      <c r="D403">
        <v>4706.8999999999996</v>
      </c>
      <c r="E403">
        <v>4615.0666666666666</v>
      </c>
      <c r="G403">
        <f t="shared" si="12"/>
        <v>0</v>
      </c>
      <c r="H403">
        <f t="shared" si="13"/>
        <v>0</v>
      </c>
    </row>
    <row r="404" spans="1:8" ht="12.75">
      <c r="A404" s="423" t="s">
        <v>489</v>
      </c>
      <c r="B404" s="599">
        <v>3231.5666666666666</v>
      </c>
      <c r="C404" s="599">
        <v>2931.6666666666665</v>
      </c>
      <c r="D404">
        <v>3231.5666666666666</v>
      </c>
      <c r="E404">
        <v>2931.6666666666665</v>
      </c>
      <c r="G404">
        <f t="shared" si="12"/>
        <v>0</v>
      </c>
      <c r="H404">
        <f t="shared" si="13"/>
        <v>0</v>
      </c>
    </row>
    <row r="405" spans="1:8" ht="12.75">
      <c r="A405" s="423" t="s">
        <v>489</v>
      </c>
      <c r="B405" s="599">
        <v>1410.5</v>
      </c>
      <c r="C405" s="599">
        <v>1342.7333333333333</v>
      </c>
      <c r="D405">
        <v>1410.5</v>
      </c>
      <c r="E405">
        <v>1342.7333333333333</v>
      </c>
      <c r="G405">
        <f t="shared" si="12"/>
        <v>0</v>
      </c>
      <c r="H405">
        <f t="shared" si="13"/>
        <v>0</v>
      </c>
    </row>
    <row r="406" spans="1:8" ht="12.75">
      <c r="A406" s="423" t="s">
        <v>489</v>
      </c>
      <c r="B406" s="599">
        <v>421.8</v>
      </c>
      <c r="C406" s="599">
        <v>440.6</v>
      </c>
      <c r="D406">
        <v>421.8</v>
      </c>
      <c r="E406">
        <v>440.6</v>
      </c>
      <c r="G406">
        <f t="shared" si="12"/>
        <v>0</v>
      </c>
      <c r="H406">
        <f t="shared" si="13"/>
        <v>0</v>
      </c>
    </row>
    <row r="407" spans="1:8" ht="12.75">
      <c r="A407" s="423" t="s">
        <v>489</v>
      </c>
      <c r="B407" s="599">
        <v>956.4</v>
      </c>
      <c r="C407" s="599">
        <v>1009.8333333333334</v>
      </c>
      <c r="D407">
        <v>956.4</v>
      </c>
      <c r="E407">
        <v>1009.8333333333334</v>
      </c>
      <c r="G407">
        <f t="shared" si="12"/>
        <v>0</v>
      </c>
      <c r="H407">
        <f t="shared" si="13"/>
        <v>0</v>
      </c>
    </row>
    <row r="408" spans="1:8" ht="12.75">
      <c r="A408" s="423" t="s">
        <v>489</v>
      </c>
      <c r="B408" s="599">
        <v>1611.9333333333334</v>
      </c>
      <c r="C408" s="599">
        <v>1565.1666666666667</v>
      </c>
      <c r="D408">
        <v>1611.9333333333334</v>
      </c>
      <c r="E408">
        <v>1565.1666666666667</v>
      </c>
      <c r="G408">
        <f t="shared" si="12"/>
        <v>0</v>
      </c>
      <c r="H408">
        <f t="shared" si="13"/>
        <v>0</v>
      </c>
    </row>
    <row r="409" spans="1:8" ht="12.75">
      <c r="A409" s="423" t="s">
        <v>489</v>
      </c>
      <c r="B409" s="599">
        <v>1426.5666666666666</v>
      </c>
      <c r="C409" s="599">
        <v>1298.5666666666666</v>
      </c>
      <c r="D409">
        <v>1426.5666666666666</v>
      </c>
      <c r="E409">
        <v>1298.5666666666666</v>
      </c>
      <c r="G409">
        <f t="shared" si="12"/>
        <v>0</v>
      </c>
      <c r="H409">
        <f t="shared" si="13"/>
        <v>0</v>
      </c>
    </row>
    <row r="410" spans="1:8" ht="12.75">
      <c r="A410" s="423" t="s">
        <v>489</v>
      </c>
      <c r="B410" s="599">
        <v>1185.2</v>
      </c>
      <c r="C410" s="599">
        <v>1196.9000000000001</v>
      </c>
      <c r="D410">
        <v>1185.2</v>
      </c>
      <c r="E410">
        <v>1196.9000000000001</v>
      </c>
      <c r="G410">
        <f t="shared" si="12"/>
        <v>0</v>
      </c>
      <c r="H410">
        <f t="shared" si="13"/>
        <v>0</v>
      </c>
    </row>
    <row r="411" spans="1:8" ht="12.75">
      <c r="A411" s="423" t="s">
        <v>489</v>
      </c>
      <c r="B411" s="599">
        <v>635.56666666666672</v>
      </c>
      <c r="C411" s="599">
        <v>578.66666666666663</v>
      </c>
      <c r="D411">
        <v>635.56666666666672</v>
      </c>
      <c r="E411">
        <v>578.66666666666663</v>
      </c>
      <c r="G411">
        <f t="shared" si="12"/>
        <v>0</v>
      </c>
      <c r="H411">
        <f t="shared" si="13"/>
        <v>0</v>
      </c>
    </row>
    <row r="412" spans="1:8" ht="12.75">
      <c r="A412" s="423" t="s">
        <v>489</v>
      </c>
      <c r="B412" s="599">
        <v>838.26666666666665</v>
      </c>
      <c r="C412" s="599">
        <v>820.5</v>
      </c>
      <c r="D412">
        <v>838.26666666666665</v>
      </c>
      <c r="E412">
        <v>820.5</v>
      </c>
      <c r="G412">
        <f t="shared" si="12"/>
        <v>0</v>
      </c>
      <c r="H412">
        <f t="shared" si="13"/>
        <v>0</v>
      </c>
    </row>
    <row r="413" spans="1:8" ht="12.75">
      <c r="A413" s="423" t="s">
        <v>489</v>
      </c>
      <c r="B413" s="599">
        <v>679.9</v>
      </c>
      <c r="C413" s="599">
        <v>706.5333333333333</v>
      </c>
      <c r="D413">
        <v>679.9</v>
      </c>
      <c r="E413">
        <v>706.5333333333333</v>
      </c>
      <c r="G413">
        <f t="shared" si="12"/>
        <v>0</v>
      </c>
      <c r="H413">
        <f t="shared" si="13"/>
        <v>0</v>
      </c>
    </row>
    <row r="414" spans="1:8" ht="12.75">
      <c r="A414" s="423" t="s">
        <v>489</v>
      </c>
      <c r="B414" s="599">
        <v>461.53333333333336</v>
      </c>
      <c r="C414" s="599">
        <v>384.43333333333334</v>
      </c>
      <c r="D414">
        <v>461.53333333333336</v>
      </c>
      <c r="E414">
        <v>384.43333333333334</v>
      </c>
      <c r="G414">
        <f t="shared" si="12"/>
        <v>0</v>
      </c>
      <c r="H414">
        <f t="shared" si="13"/>
        <v>0</v>
      </c>
    </row>
    <row r="415" spans="1:8" ht="12.75">
      <c r="A415" s="429" t="s">
        <v>359</v>
      </c>
      <c r="B415" s="599">
        <v>17356.491666666669</v>
      </c>
      <c r="C415" s="599">
        <v>17092.333333333332</v>
      </c>
      <c r="D415">
        <v>17356.491666666669</v>
      </c>
      <c r="E415">
        <v>17092.333333333332</v>
      </c>
      <c r="G415">
        <f t="shared" si="12"/>
        <v>0</v>
      </c>
      <c r="H415">
        <f t="shared" si="13"/>
        <v>0</v>
      </c>
    </row>
    <row r="416" spans="1:8" ht="12.75">
      <c r="A416" s="429" t="s">
        <v>359</v>
      </c>
      <c r="B416" s="599">
        <v>27500.616666666665</v>
      </c>
      <c r="C416" s="599">
        <v>28383.808333333334</v>
      </c>
      <c r="D416">
        <v>27500.616666666665</v>
      </c>
      <c r="E416">
        <v>28383.808333333334</v>
      </c>
      <c r="G416">
        <f t="shared" si="12"/>
        <v>0</v>
      </c>
      <c r="H416">
        <f t="shared" si="13"/>
        <v>0</v>
      </c>
    </row>
    <row r="417" spans="1:8" ht="12.75">
      <c r="A417" s="429" t="s">
        <v>359</v>
      </c>
      <c r="B417" s="599">
        <v>12358.766666666666</v>
      </c>
      <c r="C417" s="599">
        <v>11770.775</v>
      </c>
      <c r="D417">
        <v>12358.766666666666</v>
      </c>
      <c r="E417">
        <v>11770.775</v>
      </c>
      <c r="G417">
        <f t="shared" si="12"/>
        <v>0</v>
      </c>
      <c r="H417">
        <f t="shared" si="13"/>
        <v>0</v>
      </c>
    </row>
    <row r="418" spans="1:8" ht="12.75">
      <c r="A418" s="429" t="s">
        <v>359</v>
      </c>
      <c r="B418" s="599">
        <v>18587.233333333334</v>
      </c>
      <c r="C418" s="599">
        <v>18037.216666666667</v>
      </c>
      <c r="D418">
        <v>18587.233333333334</v>
      </c>
      <c r="E418">
        <v>18037.216666666667</v>
      </c>
      <c r="G418">
        <f t="shared" si="12"/>
        <v>0</v>
      </c>
      <c r="H418">
        <f t="shared" si="13"/>
        <v>0</v>
      </c>
    </row>
    <row r="419" spans="1:8" ht="12.75">
      <c r="A419" s="429" t="s">
        <v>359</v>
      </c>
      <c r="B419" s="599">
        <v>6295.0916666666662</v>
      </c>
      <c r="C419" s="599">
        <v>6398.6083333333327</v>
      </c>
      <c r="D419">
        <v>6295.0916666666662</v>
      </c>
      <c r="E419">
        <v>6398.6083333333327</v>
      </c>
      <c r="G419">
        <f t="shared" si="12"/>
        <v>0</v>
      </c>
      <c r="H419">
        <f t="shared" si="13"/>
        <v>0</v>
      </c>
    </row>
    <row r="420" spans="1:8" ht="12.75">
      <c r="A420" s="429" t="s">
        <v>359</v>
      </c>
      <c r="B420" s="599">
        <v>8793.9583333333321</v>
      </c>
      <c r="C420" s="599">
        <v>8083.2749999999996</v>
      </c>
      <c r="D420">
        <v>8793.9583333333321</v>
      </c>
      <c r="E420">
        <v>8083.2749999999996</v>
      </c>
      <c r="G420">
        <f t="shared" si="12"/>
        <v>0</v>
      </c>
      <c r="H420">
        <f t="shared" si="13"/>
        <v>0</v>
      </c>
    </row>
    <row r="421" spans="1:8" ht="12.75">
      <c r="A421" s="429" t="s">
        <v>359</v>
      </c>
      <c r="B421" s="599">
        <v>9017.7250000000004</v>
      </c>
      <c r="C421" s="599">
        <v>8770.75</v>
      </c>
      <c r="D421">
        <v>9017.7250000000004</v>
      </c>
      <c r="E421">
        <v>8770.75</v>
      </c>
      <c r="G421">
        <f t="shared" si="12"/>
        <v>0</v>
      </c>
      <c r="H421">
        <f t="shared" si="13"/>
        <v>0</v>
      </c>
    </row>
    <row r="422" spans="1:8" ht="12.75">
      <c r="A422" s="429" t="s">
        <v>359</v>
      </c>
      <c r="B422" s="599">
        <v>10809.566666666668</v>
      </c>
      <c r="C422" s="599">
        <v>10548.308333333332</v>
      </c>
      <c r="D422">
        <v>10809.566666666668</v>
      </c>
      <c r="E422">
        <v>10548.308333333332</v>
      </c>
      <c r="G422">
        <f t="shared" si="12"/>
        <v>0</v>
      </c>
      <c r="H422">
        <f t="shared" si="13"/>
        <v>0</v>
      </c>
    </row>
    <row r="423" spans="1:8" ht="12.75">
      <c r="A423" s="429" t="s">
        <v>359</v>
      </c>
      <c r="B423" s="599">
        <v>5876.0916666666672</v>
      </c>
      <c r="C423" s="599">
        <v>5553.0083333333332</v>
      </c>
      <c r="D423">
        <v>5876.0916666666672</v>
      </c>
      <c r="E423">
        <v>5553.0083333333332</v>
      </c>
      <c r="G423">
        <f t="shared" si="12"/>
        <v>0</v>
      </c>
      <c r="H423">
        <f t="shared" si="13"/>
        <v>0</v>
      </c>
    </row>
    <row r="424" spans="1:8" ht="12.75">
      <c r="A424" s="429" t="s">
        <v>359</v>
      </c>
      <c r="B424" s="599">
        <v>5229.1000000000004</v>
      </c>
      <c r="C424" s="599">
        <v>4592.5666666666666</v>
      </c>
      <c r="D424">
        <v>5229.1000000000004</v>
      </c>
      <c r="E424">
        <v>4592.5666666666666</v>
      </c>
      <c r="G424">
        <f t="shared" si="12"/>
        <v>0</v>
      </c>
      <c r="H424">
        <f t="shared" si="13"/>
        <v>0</v>
      </c>
    </row>
    <row r="425" spans="1:8" ht="12.75">
      <c r="A425" s="429" t="s">
        <v>359</v>
      </c>
      <c r="B425" s="599">
        <v>4909.8500000000004</v>
      </c>
      <c r="C425" s="599">
        <v>4536.5333333333338</v>
      </c>
      <c r="D425">
        <v>4909.8500000000004</v>
      </c>
      <c r="E425">
        <v>4536.5333333333338</v>
      </c>
      <c r="G425">
        <f t="shared" si="12"/>
        <v>0</v>
      </c>
      <c r="H425">
        <f t="shared" si="13"/>
        <v>0</v>
      </c>
    </row>
    <row r="426" spans="1:8" ht="12.75">
      <c r="A426" s="429" t="s">
        <v>359</v>
      </c>
      <c r="B426" s="599">
        <v>6615.2333333333336</v>
      </c>
      <c r="C426" s="599">
        <v>5872.0666666666666</v>
      </c>
      <c r="D426">
        <v>6615.2333333333336</v>
      </c>
      <c r="E426">
        <v>5872.0666666666666</v>
      </c>
      <c r="G426">
        <f t="shared" si="12"/>
        <v>0</v>
      </c>
      <c r="H426">
        <f t="shared" si="13"/>
        <v>0</v>
      </c>
    </row>
    <row r="427" spans="1:8" ht="12.75">
      <c r="A427" s="429" t="s">
        <v>359</v>
      </c>
      <c r="B427" s="599">
        <v>5661.0333333333338</v>
      </c>
      <c r="C427" s="599">
        <v>4612.9333333333334</v>
      </c>
      <c r="D427">
        <v>5661.0333333333338</v>
      </c>
      <c r="E427">
        <v>4612.9333333333334</v>
      </c>
      <c r="G427">
        <f t="shared" si="12"/>
        <v>0</v>
      </c>
      <c r="H427">
        <f t="shared" si="13"/>
        <v>0</v>
      </c>
    </row>
    <row r="428" spans="1:8" ht="12.75">
      <c r="A428" s="429" t="s">
        <v>359</v>
      </c>
      <c r="B428" s="599">
        <v>5994.6333333333332</v>
      </c>
      <c r="C428" s="599">
        <v>5093.9666666666662</v>
      </c>
      <c r="D428">
        <v>5994.6333333333332</v>
      </c>
      <c r="E428">
        <v>5093.9666666666662</v>
      </c>
      <c r="G428">
        <f t="shared" si="12"/>
        <v>0</v>
      </c>
      <c r="H428">
        <f t="shared" si="13"/>
        <v>0</v>
      </c>
    </row>
    <row r="429" spans="1:8" ht="12.75">
      <c r="A429" s="429" t="s">
        <v>359</v>
      </c>
      <c r="B429" s="599">
        <v>2199.5333333333333</v>
      </c>
      <c r="C429" s="599">
        <v>2011.3</v>
      </c>
      <c r="D429">
        <v>2199.5333333333333</v>
      </c>
      <c r="E429">
        <v>2011.3</v>
      </c>
      <c r="G429">
        <f t="shared" ref="G429:G492" si="14">D429-B429</f>
        <v>0</v>
      </c>
      <c r="H429">
        <f t="shared" ref="H429:H492" si="15">E429-C429</f>
        <v>0</v>
      </c>
    </row>
    <row r="430" spans="1:8" ht="12.75">
      <c r="A430" s="429" t="s">
        <v>359</v>
      </c>
      <c r="B430" s="599">
        <v>4412.3999999999996</v>
      </c>
      <c r="C430" s="599">
        <v>3988.7666666666669</v>
      </c>
      <c r="D430">
        <v>4412.3999999999996</v>
      </c>
      <c r="E430">
        <v>3988.7666666666669</v>
      </c>
      <c r="G430">
        <f t="shared" si="14"/>
        <v>0</v>
      </c>
      <c r="H430">
        <f t="shared" si="15"/>
        <v>0</v>
      </c>
    </row>
    <row r="431" spans="1:8" ht="12.75">
      <c r="A431" s="429" t="s">
        <v>359</v>
      </c>
      <c r="B431" s="599">
        <v>2924.2333333333331</v>
      </c>
      <c r="C431" s="599">
        <v>2508.3333333333335</v>
      </c>
      <c r="D431">
        <v>2924.2333333333331</v>
      </c>
      <c r="E431">
        <v>2508.3333333333335</v>
      </c>
      <c r="G431">
        <f t="shared" si="14"/>
        <v>0</v>
      </c>
      <c r="H431">
        <f t="shared" si="15"/>
        <v>0</v>
      </c>
    </row>
    <row r="432" spans="1:8" ht="12.75">
      <c r="A432" s="429" t="s">
        <v>359</v>
      </c>
      <c r="B432" s="599">
        <v>4439.2</v>
      </c>
      <c r="C432" s="599">
        <v>3860.7333333333331</v>
      </c>
      <c r="D432">
        <v>4439.2</v>
      </c>
      <c r="E432">
        <v>3860.7333333333331</v>
      </c>
      <c r="G432">
        <f t="shared" si="14"/>
        <v>0</v>
      </c>
      <c r="H432">
        <f t="shared" si="15"/>
        <v>0</v>
      </c>
    </row>
    <row r="433" spans="1:8" ht="12.75">
      <c r="A433" s="429" t="s">
        <v>359</v>
      </c>
      <c r="B433" s="599">
        <v>3879</v>
      </c>
      <c r="C433" s="599">
        <v>3539.7333333333331</v>
      </c>
      <c r="D433">
        <v>3879</v>
      </c>
      <c r="E433">
        <v>3539.7333333333331</v>
      </c>
      <c r="G433">
        <f t="shared" si="14"/>
        <v>0</v>
      </c>
      <c r="H433">
        <f t="shared" si="15"/>
        <v>0</v>
      </c>
    </row>
    <row r="434" spans="1:8" ht="12.75">
      <c r="A434" s="429" t="s">
        <v>359</v>
      </c>
      <c r="B434" s="599">
        <v>3731.8</v>
      </c>
      <c r="C434" s="599">
        <v>3293.1333333333332</v>
      </c>
      <c r="D434">
        <v>3731.8</v>
      </c>
      <c r="E434">
        <v>3293.1333333333332</v>
      </c>
      <c r="G434">
        <f t="shared" si="14"/>
        <v>0</v>
      </c>
      <c r="H434">
        <f t="shared" si="15"/>
        <v>0</v>
      </c>
    </row>
    <row r="435" spans="1:8" ht="12.75">
      <c r="A435" s="412" t="s">
        <v>359</v>
      </c>
      <c r="B435" s="599">
        <v>3900.1</v>
      </c>
      <c r="C435" s="599">
        <v>3591.7666666666669</v>
      </c>
      <c r="D435">
        <v>3900.1</v>
      </c>
      <c r="E435">
        <v>3591.7666666666669</v>
      </c>
      <c r="G435">
        <f t="shared" si="14"/>
        <v>0</v>
      </c>
      <c r="H435">
        <f t="shared" si="15"/>
        <v>0</v>
      </c>
    </row>
    <row r="436" spans="1:8" ht="12.75">
      <c r="A436" s="412" t="s">
        <v>359</v>
      </c>
      <c r="B436" s="599">
        <v>1717.9666666666667</v>
      </c>
      <c r="C436" s="599">
        <v>1727.2</v>
      </c>
      <c r="D436">
        <v>1717.9666666666667</v>
      </c>
      <c r="E436">
        <v>1727.2</v>
      </c>
      <c r="G436">
        <f t="shared" si="14"/>
        <v>0</v>
      </c>
      <c r="H436">
        <f t="shared" si="15"/>
        <v>0</v>
      </c>
    </row>
    <row r="437" spans="1:8" ht="12.75">
      <c r="A437" s="412" t="s">
        <v>359</v>
      </c>
      <c r="B437" s="599">
        <v>261.65555555555557</v>
      </c>
      <c r="C437" s="599">
        <v>260.79222222222222</v>
      </c>
      <c r="D437">
        <v>261.65555555555557</v>
      </c>
      <c r="E437">
        <v>260.79222222222222</v>
      </c>
      <c r="G437">
        <f t="shared" si="14"/>
        <v>0</v>
      </c>
      <c r="H437">
        <f t="shared" si="15"/>
        <v>0</v>
      </c>
    </row>
    <row r="438" spans="1:8" ht="12.75">
      <c r="A438" s="412" t="s">
        <v>359</v>
      </c>
      <c r="B438" s="599">
        <v>906.15111111111116</v>
      </c>
      <c r="C438" s="599">
        <v>859.2211111111111</v>
      </c>
      <c r="D438">
        <v>906.15111111111116</v>
      </c>
      <c r="E438">
        <v>859.2211111111111</v>
      </c>
      <c r="G438">
        <f t="shared" si="14"/>
        <v>0</v>
      </c>
      <c r="H438">
        <f t="shared" si="15"/>
        <v>0</v>
      </c>
    </row>
    <row r="439" spans="1:8" ht="12.75">
      <c r="A439" s="412" t="s">
        <v>359</v>
      </c>
      <c r="B439" s="599">
        <v>273.39888888888891</v>
      </c>
      <c r="C439" s="599">
        <v>273.38333333333333</v>
      </c>
      <c r="D439">
        <v>273.39888888888891</v>
      </c>
      <c r="E439">
        <v>273.38333333333333</v>
      </c>
      <c r="G439">
        <f t="shared" si="14"/>
        <v>0</v>
      </c>
      <c r="H439">
        <f t="shared" si="15"/>
        <v>0</v>
      </c>
    </row>
    <row r="440" spans="1:8" ht="12.75">
      <c r="A440" s="412" t="s">
        <v>359</v>
      </c>
      <c r="B440" s="599">
        <v>418.78777777777776</v>
      </c>
      <c r="C440" s="599">
        <v>459.65666666666669</v>
      </c>
      <c r="D440">
        <v>418.78777777777776</v>
      </c>
      <c r="E440">
        <v>459.65666666666669</v>
      </c>
      <c r="G440">
        <f t="shared" si="14"/>
        <v>0</v>
      </c>
      <c r="H440">
        <f t="shared" si="15"/>
        <v>0</v>
      </c>
    </row>
    <row r="441" spans="1:8" ht="12.75">
      <c r="A441" s="412" t="s">
        <v>359</v>
      </c>
      <c r="B441" s="599">
        <v>398.55</v>
      </c>
      <c r="C441" s="599">
        <v>466.47888888888889</v>
      </c>
      <c r="D441">
        <v>398.55</v>
      </c>
      <c r="E441">
        <v>466.47888888888889</v>
      </c>
      <c r="G441">
        <f t="shared" si="14"/>
        <v>0</v>
      </c>
      <c r="H441">
        <f t="shared" si="15"/>
        <v>0</v>
      </c>
    </row>
    <row r="442" spans="1:8" ht="12.75">
      <c r="A442" s="412" t="s">
        <v>359</v>
      </c>
      <c r="B442" s="599">
        <v>779.68555555555554</v>
      </c>
      <c r="C442" s="599">
        <v>793.3122222222222</v>
      </c>
      <c r="D442">
        <v>779.68555555555554</v>
      </c>
      <c r="E442">
        <v>793.3122222222222</v>
      </c>
      <c r="G442">
        <f t="shared" si="14"/>
        <v>0</v>
      </c>
      <c r="H442">
        <f t="shared" si="15"/>
        <v>0</v>
      </c>
    </row>
    <row r="443" spans="1:8" ht="12.75">
      <c r="A443" s="412" t="s">
        <v>359</v>
      </c>
      <c r="B443" s="599">
        <v>586.04666666666662</v>
      </c>
      <c r="C443" s="599">
        <v>551.32888888888886</v>
      </c>
      <c r="D443">
        <v>586.04666666666662</v>
      </c>
      <c r="E443">
        <v>551.32888888888886</v>
      </c>
      <c r="G443">
        <f t="shared" si="14"/>
        <v>0</v>
      </c>
      <c r="H443">
        <f t="shared" si="15"/>
        <v>0</v>
      </c>
    </row>
    <row r="444" spans="1:8" ht="12.75">
      <c r="A444" s="412" t="s">
        <v>359</v>
      </c>
      <c r="B444" s="599">
        <v>264.72333333333336</v>
      </c>
      <c r="C444" s="599">
        <v>349.15444444444444</v>
      </c>
      <c r="D444">
        <v>264.72333333333336</v>
      </c>
      <c r="E444">
        <v>349.15444444444444</v>
      </c>
      <c r="G444">
        <f t="shared" si="14"/>
        <v>0</v>
      </c>
      <c r="H444">
        <f t="shared" si="15"/>
        <v>0</v>
      </c>
    </row>
    <row r="445" spans="1:8" ht="12.75">
      <c r="A445" s="412" t="s">
        <v>359</v>
      </c>
      <c r="B445" s="599">
        <v>329.61666666666667</v>
      </c>
      <c r="C445" s="599">
        <v>343.35111111111109</v>
      </c>
      <c r="D445">
        <v>329.61666666666667</v>
      </c>
      <c r="E445">
        <v>343.35111111111109</v>
      </c>
      <c r="G445">
        <f t="shared" si="14"/>
        <v>0</v>
      </c>
      <c r="H445">
        <f t="shared" si="15"/>
        <v>0</v>
      </c>
    </row>
    <row r="446" spans="1:8" ht="12.75">
      <c r="A446" s="412" t="s">
        <v>359</v>
      </c>
      <c r="B446" s="599">
        <v>396.4711111111111</v>
      </c>
      <c r="C446" s="599">
        <v>404.07333333333332</v>
      </c>
      <c r="D446">
        <v>396.4711111111111</v>
      </c>
      <c r="E446">
        <v>404.07333333333332</v>
      </c>
      <c r="G446">
        <f t="shared" si="14"/>
        <v>0</v>
      </c>
      <c r="H446">
        <f t="shared" si="15"/>
        <v>0</v>
      </c>
    </row>
    <row r="447" spans="1:8" ht="12.75">
      <c r="A447" s="412" t="s">
        <v>359</v>
      </c>
      <c r="B447" s="599">
        <v>271.43222222222221</v>
      </c>
      <c r="C447" s="599">
        <v>248.05777777777777</v>
      </c>
      <c r="D447">
        <v>271.43222222222221</v>
      </c>
      <c r="E447">
        <v>248.05777777777777</v>
      </c>
      <c r="G447">
        <f t="shared" si="14"/>
        <v>0</v>
      </c>
      <c r="H447">
        <f t="shared" si="15"/>
        <v>0</v>
      </c>
    </row>
    <row r="448" spans="1:8" ht="12.75">
      <c r="A448" s="412" t="s">
        <v>359</v>
      </c>
      <c r="B448" s="599">
        <v>535.71222222222218</v>
      </c>
      <c r="C448" s="599">
        <v>643.36222222222227</v>
      </c>
      <c r="D448">
        <v>535.71222222222218</v>
      </c>
      <c r="E448">
        <v>643.36222222222227</v>
      </c>
      <c r="G448">
        <f t="shared" si="14"/>
        <v>0</v>
      </c>
      <c r="H448">
        <f t="shared" si="15"/>
        <v>0</v>
      </c>
    </row>
    <row r="449" spans="1:8" ht="12.75">
      <c r="A449" s="412" t="s">
        <v>359</v>
      </c>
      <c r="B449" s="599">
        <v>858.3366666666667</v>
      </c>
      <c r="C449" s="599">
        <v>927.4755555555555</v>
      </c>
      <c r="D449">
        <v>858.3366666666667</v>
      </c>
      <c r="E449">
        <v>927.4755555555555</v>
      </c>
      <c r="G449">
        <f t="shared" si="14"/>
        <v>0</v>
      </c>
      <c r="H449">
        <f t="shared" si="15"/>
        <v>0</v>
      </c>
    </row>
    <row r="450" spans="1:8" ht="12.75">
      <c r="A450" s="412" t="s">
        <v>359</v>
      </c>
      <c r="B450" s="599">
        <v>458.38666666666666</v>
      </c>
      <c r="C450" s="599">
        <v>505.14555555555557</v>
      </c>
      <c r="D450">
        <v>458.38666666666666</v>
      </c>
      <c r="E450">
        <v>505.14555555555557</v>
      </c>
      <c r="G450">
        <f t="shared" si="14"/>
        <v>0</v>
      </c>
      <c r="H450">
        <f t="shared" si="15"/>
        <v>0</v>
      </c>
    </row>
    <row r="451" spans="1:8" ht="12.75">
      <c r="A451" s="412" t="s">
        <v>359</v>
      </c>
      <c r="B451" s="599">
        <v>147.47444444444446</v>
      </c>
      <c r="C451" s="599">
        <v>114.60333333333334</v>
      </c>
      <c r="D451">
        <v>147.47444444444446</v>
      </c>
      <c r="E451">
        <v>114.60333333333334</v>
      </c>
      <c r="G451">
        <f t="shared" si="14"/>
        <v>0</v>
      </c>
      <c r="H451">
        <f t="shared" si="15"/>
        <v>0</v>
      </c>
    </row>
    <row r="452" spans="1:8" ht="12.75">
      <c r="A452" s="412" t="s">
        <v>359</v>
      </c>
      <c r="B452" s="599">
        <v>264.92</v>
      </c>
      <c r="C452" s="599">
        <v>297.94111111111113</v>
      </c>
      <c r="D452">
        <v>264.92</v>
      </c>
      <c r="E452">
        <v>297.94111111111113</v>
      </c>
      <c r="G452">
        <f t="shared" si="14"/>
        <v>0</v>
      </c>
      <c r="H452">
        <f t="shared" si="15"/>
        <v>0</v>
      </c>
    </row>
    <row r="453" spans="1:8" ht="12.75">
      <c r="A453" s="412" t="s">
        <v>359</v>
      </c>
      <c r="B453" s="599">
        <v>1085.6255555555556</v>
      </c>
      <c r="C453" s="599">
        <v>941.97</v>
      </c>
      <c r="D453">
        <v>1085.6255555555556</v>
      </c>
      <c r="E453">
        <v>941.97</v>
      </c>
      <c r="G453">
        <f t="shared" si="14"/>
        <v>0</v>
      </c>
      <c r="H453">
        <f t="shared" si="15"/>
        <v>0</v>
      </c>
    </row>
    <row r="454" spans="1:8" ht="12.75">
      <c r="A454" s="412" t="s">
        <v>359</v>
      </c>
      <c r="B454" s="599">
        <v>660.32333333333338</v>
      </c>
      <c r="C454" s="599">
        <v>684.23444444444442</v>
      </c>
      <c r="D454">
        <v>660.32333333333338</v>
      </c>
      <c r="E454">
        <v>684.23444444444442</v>
      </c>
      <c r="G454">
        <f t="shared" si="14"/>
        <v>0</v>
      </c>
      <c r="H454">
        <f t="shared" si="15"/>
        <v>0</v>
      </c>
    </row>
    <row r="455" spans="1:8" ht="12.75">
      <c r="A455" s="412" t="s">
        <v>359</v>
      </c>
      <c r="B455" s="599">
        <v>684.49333333333334</v>
      </c>
      <c r="C455" s="599">
        <v>722.30888888888887</v>
      </c>
      <c r="D455">
        <v>684.49333333333334</v>
      </c>
      <c r="E455">
        <v>722.30888888888887</v>
      </c>
      <c r="G455">
        <f t="shared" si="14"/>
        <v>0</v>
      </c>
      <c r="H455">
        <f t="shared" si="15"/>
        <v>0</v>
      </c>
    </row>
    <row r="456" spans="1:8" ht="12.75">
      <c r="A456" s="412" t="s">
        <v>359</v>
      </c>
      <c r="B456" s="599">
        <v>890.91777777777781</v>
      </c>
      <c r="C456" s="599">
        <v>877.04333333333329</v>
      </c>
      <c r="D456">
        <v>890.91777777777781</v>
      </c>
      <c r="E456">
        <v>877.04333333333329</v>
      </c>
      <c r="G456">
        <f t="shared" si="14"/>
        <v>0</v>
      </c>
      <c r="H456">
        <f t="shared" si="15"/>
        <v>0</v>
      </c>
    </row>
    <row r="457" spans="1:8" ht="12.75">
      <c r="A457" s="412" t="s">
        <v>359</v>
      </c>
      <c r="B457" s="599">
        <v>433.3077777777778</v>
      </c>
      <c r="C457" s="599">
        <v>402.6922222222222</v>
      </c>
      <c r="D457">
        <v>433.3077777777778</v>
      </c>
      <c r="E457">
        <v>402.6922222222222</v>
      </c>
      <c r="G457">
        <f t="shared" si="14"/>
        <v>0</v>
      </c>
      <c r="H457">
        <f t="shared" si="15"/>
        <v>0</v>
      </c>
    </row>
    <row r="458" spans="1:8" ht="12.75">
      <c r="A458" s="412" t="s">
        <v>359</v>
      </c>
      <c r="B458" s="599">
        <v>184.41</v>
      </c>
      <c r="C458" s="599">
        <v>210.67777777777778</v>
      </c>
      <c r="D458">
        <v>184.41</v>
      </c>
      <c r="E458">
        <v>210.67777777777778</v>
      </c>
      <c r="G458">
        <f t="shared" si="14"/>
        <v>0</v>
      </c>
      <c r="H458">
        <f t="shared" si="15"/>
        <v>0</v>
      </c>
    </row>
    <row r="459" spans="1:8" ht="12.75">
      <c r="A459" s="412" t="s">
        <v>359</v>
      </c>
      <c r="B459" s="599">
        <v>255.9111111111111</v>
      </c>
      <c r="C459" s="599">
        <v>195.75333333333333</v>
      </c>
      <c r="D459">
        <v>255.9111111111111</v>
      </c>
      <c r="E459">
        <v>195.75333333333333</v>
      </c>
      <c r="G459">
        <f t="shared" si="14"/>
        <v>0</v>
      </c>
      <c r="H459">
        <f t="shared" si="15"/>
        <v>0</v>
      </c>
    </row>
    <row r="460" spans="1:8" ht="12.75">
      <c r="A460" s="412" t="s">
        <v>359</v>
      </c>
      <c r="B460" s="599">
        <v>380.08222222222224</v>
      </c>
      <c r="C460" s="599">
        <v>389.80555555555554</v>
      </c>
      <c r="D460">
        <v>380.08222222222224</v>
      </c>
      <c r="E460">
        <v>389.80555555555554</v>
      </c>
      <c r="G460">
        <f t="shared" si="14"/>
        <v>0</v>
      </c>
      <c r="H460">
        <f t="shared" si="15"/>
        <v>0</v>
      </c>
    </row>
    <row r="461" spans="1:8" ht="12.75">
      <c r="A461" s="412" t="s">
        <v>359</v>
      </c>
      <c r="B461" s="599">
        <v>202.52222222222221</v>
      </c>
      <c r="C461" s="599">
        <v>207.48555555555555</v>
      </c>
      <c r="D461">
        <v>202.52222222222221</v>
      </c>
      <c r="E461">
        <v>207.48555555555555</v>
      </c>
      <c r="G461">
        <f t="shared" si="14"/>
        <v>0</v>
      </c>
      <c r="H461">
        <f t="shared" si="15"/>
        <v>0</v>
      </c>
    </row>
    <row r="462" spans="1:8" ht="12.75">
      <c r="A462" s="412" t="s">
        <v>359</v>
      </c>
      <c r="B462" s="599">
        <v>493.95777777777778</v>
      </c>
      <c r="C462" s="599">
        <v>507.55111111111108</v>
      </c>
      <c r="D462">
        <v>493.95777777777778</v>
      </c>
      <c r="E462">
        <v>507.55111111111108</v>
      </c>
      <c r="G462">
        <f t="shared" si="14"/>
        <v>0</v>
      </c>
      <c r="H462">
        <f t="shared" si="15"/>
        <v>0</v>
      </c>
    </row>
    <row r="463" spans="1:8" ht="12.75">
      <c r="A463" s="412" t="s">
        <v>359</v>
      </c>
      <c r="B463" s="599">
        <v>207.9688888888889</v>
      </c>
      <c r="C463" s="599">
        <v>119.37222222222222</v>
      </c>
      <c r="D463">
        <v>207.9688888888889</v>
      </c>
      <c r="E463">
        <v>119.37222222222222</v>
      </c>
      <c r="G463">
        <f t="shared" si="14"/>
        <v>0</v>
      </c>
      <c r="H463">
        <f t="shared" si="15"/>
        <v>0</v>
      </c>
    </row>
    <row r="464" spans="1:8" ht="12.75">
      <c r="A464" s="433" t="s">
        <v>521</v>
      </c>
      <c r="B464" s="599">
        <v>56670</v>
      </c>
      <c r="C464" s="599">
        <v>57195.074999999997</v>
      </c>
      <c r="D464">
        <v>56670</v>
      </c>
      <c r="E464">
        <v>57195.074999999997</v>
      </c>
      <c r="G464">
        <f t="shared" si="14"/>
        <v>0</v>
      </c>
      <c r="H464">
        <f t="shared" si="15"/>
        <v>0</v>
      </c>
    </row>
    <row r="465" spans="1:8" ht="12.75">
      <c r="A465" s="433" t="s">
        <v>521</v>
      </c>
      <c r="B465" s="599">
        <v>35024.208333333336</v>
      </c>
      <c r="C465" s="599">
        <v>35480.216666666667</v>
      </c>
      <c r="D465">
        <v>35024.208333333336</v>
      </c>
      <c r="E465">
        <v>35480.216666666667</v>
      </c>
      <c r="G465">
        <f t="shared" si="14"/>
        <v>0</v>
      </c>
      <c r="H465">
        <f t="shared" si="15"/>
        <v>0</v>
      </c>
    </row>
    <row r="466" spans="1:8" ht="12.75">
      <c r="A466" s="433" t="s">
        <v>521</v>
      </c>
      <c r="B466" s="599">
        <v>40625.083333333328</v>
      </c>
      <c r="C466" s="599">
        <v>39446.01666666667</v>
      </c>
      <c r="D466">
        <v>40625.083333333328</v>
      </c>
      <c r="E466">
        <v>39446.01666666667</v>
      </c>
      <c r="G466">
        <f t="shared" si="14"/>
        <v>0</v>
      </c>
      <c r="H466">
        <f t="shared" si="15"/>
        <v>0</v>
      </c>
    </row>
    <row r="467" spans="1:8" ht="12.75">
      <c r="A467" s="430" t="s">
        <v>521</v>
      </c>
      <c r="B467" s="599">
        <v>33924.841666666667</v>
      </c>
      <c r="C467" s="599">
        <v>34481.908333333333</v>
      </c>
      <c r="D467">
        <v>33924.841666666667</v>
      </c>
      <c r="E467">
        <v>34481.908333333333</v>
      </c>
      <c r="G467">
        <f t="shared" si="14"/>
        <v>0</v>
      </c>
      <c r="H467">
        <f t="shared" si="15"/>
        <v>0</v>
      </c>
    </row>
    <row r="468" spans="1:8" ht="12.75">
      <c r="A468" s="430" t="s">
        <v>521</v>
      </c>
      <c r="B468" s="599">
        <v>34858.516666666663</v>
      </c>
      <c r="C468" s="599">
        <v>33776.800000000003</v>
      </c>
      <c r="D468">
        <v>34858.516666666663</v>
      </c>
      <c r="E468">
        <v>33776.800000000003</v>
      </c>
      <c r="G468">
        <f t="shared" si="14"/>
        <v>0</v>
      </c>
      <c r="H468">
        <f t="shared" si="15"/>
        <v>0</v>
      </c>
    </row>
    <row r="469" spans="1:8" ht="12.75">
      <c r="A469" s="430" t="s">
        <v>521</v>
      </c>
      <c r="B469" s="599">
        <v>47064.416666666664</v>
      </c>
      <c r="C469" s="599">
        <v>46757.95</v>
      </c>
      <c r="D469">
        <v>47064.416666666664</v>
      </c>
      <c r="E469">
        <v>46757.95</v>
      </c>
      <c r="G469">
        <f t="shared" si="14"/>
        <v>0</v>
      </c>
      <c r="H469">
        <f t="shared" si="15"/>
        <v>0</v>
      </c>
    </row>
    <row r="470" spans="1:8" ht="12.75">
      <c r="A470" s="430" t="s">
        <v>521</v>
      </c>
      <c r="B470" s="599">
        <v>24747.449999999997</v>
      </c>
      <c r="C470" s="599">
        <v>24326.591666666667</v>
      </c>
      <c r="D470">
        <v>24747.449999999997</v>
      </c>
      <c r="E470">
        <v>24326.591666666667</v>
      </c>
      <c r="G470">
        <f t="shared" si="14"/>
        <v>0</v>
      </c>
      <c r="H470">
        <f t="shared" si="15"/>
        <v>0</v>
      </c>
    </row>
    <row r="471" spans="1:8" ht="12.75">
      <c r="A471" s="430" t="s">
        <v>521</v>
      </c>
      <c r="B471" s="599">
        <v>27886.916666666668</v>
      </c>
      <c r="C471" s="599">
        <v>27773.475000000002</v>
      </c>
      <c r="D471">
        <v>27886.916666666668</v>
      </c>
      <c r="E471">
        <v>27773.475000000002</v>
      </c>
      <c r="G471">
        <f t="shared" si="14"/>
        <v>0</v>
      </c>
      <c r="H471">
        <f t="shared" si="15"/>
        <v>0</v>
      </c>
    </row>
    <row r="472" spans="1:8" ht="12.75">
      <c r="A472" s="430" t="s">
        <v>521</v>
      </c>
      <c r="B472" s="599">
        <v>31710.533333333333</v>
      </c>
      <c r="C472" s="599">
        <v>31149.933333333334</v>
      </c>
      <c r="D472">
        <v>31710.533333333333</v>
      </c>
      <c r="E472">
        <v>31149.933333333334</v>
      </c>
      <c r="G472">
        <f t="shared" si="14"/>
        <v>0</v>
      </c>
      <c r="H472">
        <f t="shared" si="15"/>
        <v>0</v>
      </c>
    </row>
    <row r="473" spans="1:8" ht="12.75">
      <c r="A473" s="430" t="s">
        <v>521</v>
      </c>
      <c r="B473" s="599">
        <v>12614.583333333334</v>
      </c>
      <c r="C473" s="599">
        <v>12636.2</v>
      </c>
      <c r="D473">
        <v>12614.583333333334</v>
      </c>
      <c r="E473">
        <v>12636.2</v>
      </c>
      <c r="G473">
        <f t="shared" si="14"/>
        <v>0</v>
      </c>
      <c r="H473">
        <f t="shared" si="15"/>
        <v>0</v>
      </c>
    </row>
    <row r="474" spans="1:8" ht="12.75">
      <c r="A474" s="430" t="s">
        <v>521</v>
      </c>
      <c r="B474" s="599">
        <v>20030.441666666666</v>
      </c>
      <c r="C474" s="599">
        <v>18746.575000000001</v>
      </c>
      <c r="D474">
        <v>20030.441666666666</v>
      </c>
      <c r="E474">
        <v>18746.575000000001</v>
      </c>
      <c r="G474">
        <f t="shared" si="14"/>
        <v>0</v>
      </c>
      <c r="H474">
        <f t="shared" si="15"/>
        <v>0</v>
      </c>
    </row>
    <row r="475" spans="1:8" ht="12.75">
      <c r="A475" s="430" t="s">
        <v>521</v>
      </c>
      <c r="B475" s="599">
        <v>7578.5333333333328</v>
      </c>
      <c r="C475" s="599">
        <v>7487.5166666666664</v>
      </c>
      <c r="D475">
        <v>7578.5333333333328</v>
      </c>
      <c r="E475">
        <v>7487.5166666666664</v>
      </c>
      <c r="G475">
        <f t="shared" si="14"/>
        <v>0</v>
      </c>
      <c r="H475">
        <f t="shared" si="15"/>
        <v>0</v>
      </c>
    </row>
    <row r="476" spans="1:8" ht="12.75">
      <c r="A476" s="430" t="s">
        <v>521</v>
      </c>
      <c r="B476" s="599">
        <v>13078.741666666667</v>
      </c>
      <c r="C476" s="599">
        <v>13310.275</v>
      </c>
      <c r="D476">
        <v>13078.741666666667</v>
      </c>
      <c r="E476">
        <v>13310.275</v>
      </c>
      <c r="G476">
        <f t="shared" si="14"/>
        <v>0</v>
      </c>
      <c r="H476">
        <f t="shared" si="15"/>
        <v>0</v>
      </c>
    </row>
    <row r="477" spans="1:8" ht="12.75">
      <c r="A477" s="430" t="s">
        <v>521</v>
      </c>
      <c r="B477" s="599">
        <v>4459.3583333333336</v>
      </c>
      <c r="C477" s="599">
        <v>4239.2</v>
      </c>
      <c r="D477">
        <v>4459.3583333333336</v>
      </c>
      <c r="E477">
        <v>4239.2</v>
      </c>
      <c r="G477">
        <f t="shared" si="14"/>
        <v>0</v>
      </c>
      <c r="H477">
        <f t="shared" si="15"/>
        <v>0</v>
      </c>
    </row>
    <row r="478" spans="1:8" ht="12.75">
      <c r="A478" s="430" t="s">
        <v>521</v>
      </c>
      <c r="B478" s="599">
        <v>8069.4666666666672</v>
      </c>
      <c r="C478" s="599">
        <v>8124.4250000000002</v>
      </c>
      <c r="D478">
        <v>8069.4666666666672</v>
      </c>
      <c r="E478">
        <v>8124.4250000000002</v>
      </c>
      <c r="G478">
        <f t="shared" si="14"/>
        <v>0</v>
      </c>
      <c r="H478">
        <f t="shared" si="15"/>
        <v>0</v>
      </c>
    </row>
    <row r="479" spans="1:8" ht="12.75">
      <c r="A479" s="430" t="s">
        <v>521</v>
      </c>
      <c r="B479" s="599">
        <v>17776.016666666666</v>
      </c>
      <c r="C479" s="599">
        <v>17162.008333333331</v>
      </c>
      <c r="D479">
        <v>17776.016666666666</v>
      </c>
      <c r="E479">
        <v>17162.008333333331</v>
      </c>
      <c r="G479">
        <f t="shared" si="14"/>
        <v>0</v>
      </c>
      <c r="H479">
        <f t="shared" si="15"/>
        <v>0</v>
      </c>
    </row>
    <row r="480" spans="1:8" ht="12.75">
      <c r="A480" s="430" t="s">
        <v>521</v>
      </c>
      <c r="B480" s="599">
        <v>10299.008333333333</v>
      </c>
      <c r="C480" s="599">
        <v>10369.308333333332</v>
      </c>
      <c r="D480">
        <v>10299.008333333333</v>
      </c>
      <c r="E480">
        <v>10369.308333333332</v>
      </c>
      <c r="G480">
        <f t="shared" si="14"/>
        <v>0</v>
      </c>
      <c r="H480">
        <f t="shared" si="15"/>
        <v>0</v>
      </c>
    </row>
    <row r="481" spans="1:8" ht="12.75">
      <c r="A481" s="430" t="s">
        <v>521</v>
      </c>
      <c r="B481" s="599">
        <v>1210.8083333333334</v>
      </c>
      <c r="C481" s="599">
        <v>1121.125</v>
      </c>
      <c r="D481">
        <v>1210.8083333333334</v>
      </c>
      <c r="E481">
        <v>1121.125</v>
      </c>
      <c r="G481">
        <f t="shared" si="14"/>
        <v>0</v>
      </c>
      <c r="H481">
        <f t="shared" si="15"/>
        <v>0</v>
      </c>
    </row>
    <row r="482" spans="1:8" ht="12.75">
      <c r="A482" s="430" t="s">
        <v>521</v>
      </c>
      <c r="B482" s="599">
        <v>11224.699999999999</v>
      </c>
      <c r="C482" s="599">
        <v>11508.466666666665</v>
      </c>
      <c r="D482">
        <v>11224.699999999999</v>
      </c>
      <c r="E482">
        <v>11508.466666666665</v>
      </c>
      <c r="G482">
        <f t="shared" si="14"/>
        <v>0</v>
      </c>
      <c r="H482">
        <f t="shared" si="15"/>
        <v>0</v>
      </c>
    </row>
    <row r="483" spans="1:8" ht="12.75">
      <c r="A483" s="430" t="s">
        <v>521</v>
      </c>
      <c r="B483" s="599">
        <v>6963.0583333333334</v>
      </c>
      <c r="C483" s="599">
        <v>6811.7583333333332</v>
      </c>
      <c r="D483">
        <v>6963.0583333333334</v>
      </c>
      <c r="E483">
        <v>6811.7583333333332</v>
      </c>
      <c r="G483">
        <f t="shared" si="14"/>
        <v>0</v>
      </c>
      <c r="H483">
        <f t="shared" si="15"/>
        <v>0</v>
      </c>
    </row>
    <row r="484" spans="1:8" ht="12.75">
      <c r="A484" s="430" t="s">
        <v>521</v>
      </c>
      <c r="B484" s="599">
        <v>9409.4750000000004</v>
      </c>
      <c r="C484" s="599">
        <v>8834.7166666666672</v>
      </c>
      <c r="D484">
        <v>9409.4750000000004</v>
      </c>
      <c r="E484">
        <v>8834.7166666666672</v>
      </c>
      <c r="G484">
        <f t="shared" si="14"/>
        <v>0</v>
      </c>
      <c r="H484">
        <f t="shared" si="15"/>
        <v>0</v>
      </c>
    </row>
    <row r="485" spans="1:8" ht="12.75">
      <c r="A485" s="430" t="s">
        <v>521</v>
      </c>
      <c r="B485" s="599">
        <v>9250.3833333333332</v>
      </c>
      <c r="C485" s="599">
        <v>9186.6</v>
      </c>
      <c r="D485">
        <v>9250.3833333333332</v>
      </c>
      <c r="E485">
        <v>9186.6</v>
      </c>
      <c r="G485">
        <f t="shared" si="14"/>
        <v>0</v>
      </c>
      <c r="H485">
        <f t="shared" si="15"/>
        <v>0</v>
      </c>
    </row>
    <row r="486" spans="1:8" ht="12.75">
      <c r="A486" s="430" t="s">
        <v>521</v>
      </c>
      <c r="B486" s="599">
        <v>5763.9083333333338</v>
      </c>
      <c r="C486" s="599">
        <v>5365.666666666667</v>
      </c>
      <c r="D486">
        <v>5763.9083333333338</v>
      </c>
      <c r="E486">
        <v>5365.666666666667</v>
      </c>
      <c r="G486">
        <f t="shared" si="14"/>
        <v>0</v>
      </c>
      <c r="H486">
        <f t="shared" si="15"/>
        <v>0</v>
      </c>
    </row>
    <row r="487" spans="1:8" ht="12.75">
      <c r="A487" s="430" t="s">
        <v>521</v>
      </c>
      <c r="B487" s="599">
        <v>7002.8583333333336</v>
      </c>
      <c r="C487" s="599">
        <v>6690.5166666666664</v>
      </c>
      <c r="D487">
        <v>7002.8583333333336</v>
      </c>
      <c r="E487">
        <v>6690.5166666666664</v>
      </c>
      <c r="G487">
        <f t="shared" si="14"/>
        <v>0</v>
      </c>
      <c r="H487">
        <f t="shared" si="15"/>
        <v>0</v>
      </c>
    </row>
    <row r="488" spans="1:8" ht="12.75">
      <c r="A488" s="430" t="s">
        <v>521</v>
      </c>
      <c r="B488" s="599">
        <v>6756.25</v>
      </c>
      <c r="C488" s="599">
        <v>6760.0083333333332</v>
      </c>
      <c r="D488">
        <v>6756.25</v>
      </c>
      <c r="E488">
        <v>6760.0083333333332</v>
      </c>
      <c r="G488">
        <f t="shared" si="14"/>
        <v>0</v>
      </c>
      <c r="H488">
        <f t="shared" si="15"/>
        <v>0</v>
      </c>
    </row>
    <row r="489" spans="1:8" ht="12.75">
      <c r="A489" s="430" t="s">
        <v>521</v>
      </c>
      <c r="B489" s="599">
        <v>7612.916666666667</v>
      </c>
      <c r="C489" s="599">
        <v>7486.4583333333339</v>
      </c>
      <c r="D489">
        <v>7612.916666666667</v>
      </c>
      <c r="E489">
        <v>7486.4583333333339</v>
      </c>
      <c r="G489">
        <f t="shared" si="14"/>
        <v>0</v>
      </c>
      <c r="H489">
        <f t="shared" si="15"/>
        <v>0</v>
      </c>
    </row>
    <row r="490" spans="1:8" ht="12.75">
      <c r="A490" s="430" t="s">
        <v>521</v>
      </c>
      <c r="B490" s="599">
        <v>4090.5749999999998</v>
      </c>
      <c r="C490" s="599">
        <v>4109.2666666666664</v>
      </c>
      <c r="D490">
        <v>4090.5749999999998</v>
      </c>
      <c r="E490">
        <v>4109.2666666666664</v>
      </c>
      <c r="G490">
        <f t="shared" si="14"/>
        <v>0</v>
      </c>
      <c r="H490">
        <f t="shared" si="15"/>
        <v>0</v>
      </c>
    </row>
    <row r="491" spans="1:8" ht="12.75">
      <c r="A491" s="430" t="s">
        <v>521</v>
      </c>
      <c r="B491" s="599">
        <v>27809.474999999999</v>
      </c>
      <c r="C491" s="599">
        <v>27565.483333333334</v>
      </c>
      <c r="D491">
        <v>27809.474999999999</v>
      </c>
      <c r="E491">
        <v>27565.483333333334</v>
      </c>
      <c r="G491">
        <f t="shared" si="14"/>
        <v>0</v>
      </c>
      <c r="H491">
        <f t="shared" si="15"/>
        <v>0</v>
      </c>
    </row>
    <row r="492" spans="1:8" ht="12.75">
      <c r="A492" s="430" t="s">
        <v>521</v>
      </c>
      <c r="B492" s="599">
        <v>7843.625</v>
      </c>
      <c r="C492" s="599">
        <v>7483.125</v>
      </c>
      <c r="D492">
        <v>7843.625</v>
      </c>
      <c r="E492">
        <v>7483.125</v>
      </c>
      <c r="G492">
        <f t="shared" si="14"/>
        <v>0</v>
      </c>
      <c r="H492">
        <f t="shared" si="15"/>
        <v>0</v>
      </c>
    </row>
    <row r="493" spans="1:8" ht="12.75">
      <c r="A493" s="430" t="s">
        <v>521</v>
      </c>
      <c r="B493" s="599">
        <v>1680.7666666666667</v>
      </c>
      <c r="C493" s="599">
        <v>1596.75</v>
      </c>
      <c r="D493">
        <v>1680.7666666666667</v>
      </c>
      <c r="E493">
        <v>1596.75</v>
      </c>
      <c r="G493">
        <f t="shared" ref="G493:G556" si="16">D493-B493</f>
        <v>0</v>
      </c>
      <c r="H493">
        <f t="shared" ref="H493:H556" si="17">E493-C493</f>
        <v>0</v>
      </c>
    </row>
    <row r="494" spans="1:8" ht="12.75">
      <c r="A494" s="430" t="s">
        <v>521</v>
      </c>
      <c r="B494" s="599">
        <v>1643.4583333333335</v>
      </c>
      <c r="C494" s="599">
        <v>1563.6416666666667</v>
      </c>
      <c r="D494">
        <v>1643.4583333333335</v>
      </c>
      <c r="E494">
        <v>1563.6416666666667</v>
      </c>
      <c r="G494">
        <f t="shared" si="16"/>
        <v>0</v>
      </c>
      <c r="H494">
        <f t="shared" si="17"/>
        <v>0</v>
      </c>
    </row>
    <row r="495" spans="1:8" ht="12.75">
      <c r="A495" s="430" t="s">
        <v>521</v>
      </c>
      <c r="B495" s="599">
        <v>10923.733333333334</v>
      </c>
      <c r="C495" s="599">
        <v>10970.683333333332</v>
      </c>
      <c r="D495">
        <v>10923.733333333334</v>
      </c>
      <c r="E495">
        <v>10970.683333333332</v>
      </c>
      <c r="G495">
        <f t="shared" si="16"/>
        <v>0</v>
      </c>
      <c r="H495">
        <f t="shared" si="17"/>
        <v>0</v>
      </c>
    </row>
    <row r="496" spans="1:8" ht="12.75">
      <c r="A496" s="430" t="s">
        <v>521</v>
      </c>
      <c r="B496" s="599">
        <v>3529.5333333333333</v>
      </c>
      <c r="C496" s="599">
        <v>3256.8666666666663</v>
      </c>
      <c r="D496">
        <v>3529.5333333333333</v>
      </c>
      <c r="E496">
        <v>3256.8666666666663</v>
      </c>
      <c r="G496">
        <f t="shared" si="16"/>
        <v>0</v>
      </c>
      <c r="H496">
        <f t="shared" si="17"/>
        <v>0</v>
      </c>
    </row>
    <row r="497" spans="1:8" ht="12.75">
      <c r="A497" s="430" t="s">
        <v>521</v>
      </c>
      <c r="B497" s="599">
        <v>540.13333333333333</v>
      </c>
      <c r="C497" s="599">
        <v>514.26666666666665</v>
      </c>
      <c r="D497">
        <v>540.13333333333333</v>
      </c>
      <c r="E497">
        <v>514.26666666666665</v>
      </c>
      <c r="G497">
        <f t="shared" si="16"/>
        <v>0</v>
      </c>
      <c r="H497">
        <f t="shared" si="17"/>
        <v>0</v>
      </c>
    </row>
    <row r="498" spans="1:8" ht="12.75">
      <c r="A498" s="430" t="s">
        <v>521</v>
      </c>
      <c r="B498" s="599">
        <v>1808.9749999999999</v>
      </c>
      <c r="C498" s="599">
        <v>1792.2166666666667</v>
      </c>
      <c r="D498">
        <v>1808.9749999999999</v>
      </c>
      <c r="E498">
        <v>1792.2166666666667</v>
      </c>
      <c r="G498">
        <f t="shared" si="16"/>
        <v>0</v>
      </c>
      <c r="H498">
        <f t="shared" si="17"/>
        <v>0</v>
      </c>
    </row>
    <row r="499" spans="1:8" ht="12.75">
      <c r="A499" s="430" t="s">
        <v>521</v>
      </c>
      <c r="B499" s="599">
        <v>4945.8083333333334</v>
      </c>
      <c r="C499" s="599">
        <v>4783.6500000000005</v>
      </c>
      <c r="D499">
        <v>4945.8083333333334</v>
      </c>
      <c r="E499">
        <v>4783.6500000000005</v>
      </c>
      <c r="G499">
        <f t="shared" si="16"/>
        <v>0</v>
      </c>
      <c r="H499">
        <f t="shared" si="17"/>
        <v>0</v>
      </c>
    </row>
    <row r="500" spans="1:8" ht="12.75">
      <c r="A500" s="430" t="s">
        <v>521</v>
      </c>
      <c r="B500" s="599">
        <v>2242.0433333333335</v>
      </c>
      <c r="C500" s="599">
        <v>2236.9177777777777</v>
      </c>
      <c r="D500">
        <v>2242.0433333333335</v>
      </c>
      <c r="E500">
        <v>2236.9177777777777</v>
      </c>
      <c r="G500">
        <f t="shared" si="16"/>
        <v>0</v>
      </c>
      <c r="H500">
        <f t="shared" si="17"/>
        <v>0</v>
      </c>
    </row>
    <row r="501" spans="1:8" ht="12.75">
      <c r="A501" s="430" t="s">
        <v>521</v>
      </c>
      <c r="B501" s="599">
        <v>3030.6788888888887</v>
      </c>
      <c r="C501" s="599">
        <v>2980.7822222222226</v>
      </c>
      <c r="D501">
        <v>3030.6788888888887</v>
      </c>
      <c r="E501">
        <v>2980.7822222222226</v>
      </c>
      <c r="G501">
        <f t="shared" si="16"/>
        <v>0</v>
      </c>
      <c r="H501">
        <f t="shared" si="17"/>
        <v>0</v>
      </c>
    </row>
    <row r="502" spans="1:8" ht="12.75">
      <c r="A502" s="430" t="s">
        <v>521</v>
      </c>
      <c r="B502" s="599">
        <v>19891.861111111109</v>
      </c>
      <c r="C502" s="599">
        <v>17683.807777777776</v>
      </c>
      <c r="D502">
        <v>19891.861111111109</v>
      </c>
      <c r="E502">
        <v>17683.807777777776</v>
      </c>
      <c r="G502">
        <f t="shared" si="16"/>
        <v>0</v>
      </c>
      <c r="H502">
        <f t="shared" si="17"/>
        <v>0</v>
      </c>
    </row>
    <row r="503" spans="1:8" ht="12.75">
      <c r="A503" s="430" t="s">
        <v>521</v>
      </c>
      <c r="B503" s="599">
        <v>5773.6788888888887</v>
      </c>
      <c r="C503" s="599">
        <v>5614.3855555555556</v>
      </c>
      <c r="D503">
        <v>5773.6788888888887</v>
      </c>
      <c r="E503">
        <v>5614.3855555555556</v>
      </c>
      <c r="G503">
        <f t="shared" si="16"/>
        <v>0</v>
      </c>
      <c r="H503">
        <f t="shared" si="17"/>
        <v>0</v>
      </c>
    </row>
    <row r="504" spans="1:8" ht="12.75">
      <c r="A504" s="430" t="s">
        <v>521</v>
      </c>
      <c r="B504" s="599">
        <v>24658.994444444445</v>
      </c>
      <c r="C504" s="599">
        <v>23187.745555555557</v>
      </c>
      <c r="D504">
        <v>24658.994444444445</v>
      </c>
      <c r="E504">
        <v>23187.745555555557</v>
      </c>
      <c r="G504">
        <f t="shared" si="16"/>
        <v>0</v>
      </c>
      <c r="H504">
        <f t="shared" si="17"/>
        <v>0</v>
      </c>
    </row>
    <row r="505" spans="1:8" ht="12.75">
      <c r="A505" s="430" t="s">
        <v>521</v>
      </c>
      <c r="B505" s="599">
        <v>13672.674444444445</v>
      </c>
      <c r="C505" s="599">
        <v>12138.227777777778</v>
      </c>
      <c r="D505">
        <v>13672.674444444445</v>
      </c>
      <c r="E505">
        <v>12138.227777777778</v>
      </c>
      <c r="G505">
        <f t="shared" si="16"/>
        <v>0</v>
      </c>
      <c r="H505">
        <f t="shared" si="17"/>
        <v>0</v>
      </c>
    </row>
    <row r="506" spans="1:8" ht="12.75">
      <c r="A506" s="430" t="s">
        <v>521</v>
      </c>
      <c r="B506" s="599">
        <v>4601.221111111111</v>
      </c>
      <c r="C506" s="599">
        <v>0</v>
      </c>
      <c r="D506">
        <v>4601.221111111111</v>
      </c>
      <c r="E506">
        <v>0</v>
      </c>
      <c r="G506">
        <f t="shared" si="16"/>
        <v>0</v>
      </c>
      <c r="H506">
        <f t="shared" si="17"/>
        <v>0</v>
      </c>
    </row>
    <row r="507" spans="1:8" ht="12.75">
      <c r="A507" s="430" t="s">
        <v>521</v>
      </c>
      <c r="B507" s="599">
        <v>7017.5966666666673</v>
      </c>
      <c r="C507" s="599">
        <v>5910.8666666666668</v>
      </c>
      <c r="D507">
        <v>7017.5966666666673</v>
      </c>
      <c r="E507">
        <v>5910.8666666666668</v>
      </c>
      <c r="G507">
        <f t="shared" si="16"/>
        <v>0</v>
      </c>
      <c r="H507">
        <f t="shared" si="17"/>
        <v>0</v>
      </c>
    </row>
    <row r="508" spans="1:8" ht="12.75">
      <c r="A508" s="430" t="s">
        <v>521</v>
      </c>
      <c r="B508" s="599">
        <v>21836.37222222222</v>
      </c>
      <c r="C508" s="599">
        <v>21377.892222222225</v>
      </c>
      <c r="D508">
        <v>21836.37222222222</v>
      </c>
      <c r="E508">
        <v>21377.892222222225</v>
      </c>
      <c r="G508">
        <f t="shared" si="16"/>
        <v>0</v>
      </c>
      <c r="H508">
        <f t="shared" si="17"/>
        <v>0</v>
      </c>
    </row>
    <row r="509" spans="1:8" ht="12.75">
      <c r="A509" s="430" t="s">
        <v>521</v>
      </c>
      <c r="B509" s="599">
        <v>6983.9844444444443</v>
      </c>
      <c r="C509" s="599">
        <v>7038.0655555555559</v>
      </c>
      <c r="D509">
        <v>6983.9844444444443</v>
      </c>
      <c r="E509">
        <v>7038.0655555555559</v>
      </c>
      <c r="G509">
        <f t="shared" si="16"/>
        <v>0</v>
      </c>
      <c r="H509">
        <f t="shared" si="17"/>
        <v>0</v>
      </c>
    </row>
    <row r="510" spans="1:8" ht="12.75">
      <c r="A510" s="430" t="s">
        <v>521</v>
      </c>
      <c r="B510" s="599">
        <v>6520.87</v>
      </c>
      <c r="C510" s="599">
        <v>0</v>
      </c>
      <c r="D510">
        <v>6520.87</v>
      </c>
      <c r="E510">
        <v>0</v>
      </c>
      <c r="G510">
        <f t="shared" si="16"/>
        <v>0</v>
      </c>
      <c r="H510">
        <f t="shared" si="17"/>
        <v>0</v>
      </c>
    </row>
    <row r="511" spans="1:8" ht="12.75">
      <c r="A511" s="430" t="s">
        <v>521</v>
      </c>
      <c r="B511" s="599">
        <v>4038.7911111111111</v>
      </c>
      <c r="C511" s="599">
        <v>0</v>
      </c>
      <c r="D511">
        <v>4038.7911111111111</v>
      </c>
      <c r="E511">
        <v>0</v>
      </c>
      <c r="G511">
        <f t="shared" si="16"/>
        <v>0</v>
      </c>
      <c r="H511">
        <f t="shared" si="17"/>
        <v>0</v>
      </c>
    </row>
    <row r="512" spans="1:8" ht="12.75">
      <c r="A512" s="430" t="s">
        <v>521</v>
      </c>
      <c r="B512" s="599">
        <v>16471.013333333332</v>
      </c>
      <c r="C512" s="599">
        <v>14204.924444444445</v>
      </c>
      <c r="D512">
        <v>16471.013333333332</v>
      </c>
      <c r="E512">
        <v>14204.924444444445</v>
      </c>
      <c r="G512">
        <f t="shared" si="16"/>
        <v>0</v>
      </c>
      <c r="H512">
        <f t="shared" si="17"/>
        <v>0</v>
      </c>
    </row>
    <row r="513" spans="1:8" ht="12.75">
      <c r="A513" s="430" t="s">
        <v>521</v>
      </c>
      <c r="B513" s="599">
        <v>33412.181111111116</v>
      </c>
      <c r="C513" s="599">
        <v>30433.337777777779</v>
      </c>
      <c r="D513">
        <v>33412.181111111116</v>
      </c>
      <c r="E513">
        <v>30433.337777777779</v>
      </c>
      <c r="G513">
        <f t="shared" si="16"/>
        <v>0</v>
      </c>
      <c r="H513">
        <f t="shared" si="17"/>
        <v>0</v>
      </c>
    </row>
    <row r="514" spans="1:8" ht="12.75">
      <c r="A514" s="430" t="s">
        <v>521</v>
      </c>
      <c r="B514" s="599">
        <v>4942.0555555555557</v>
      </c>
      <c r="C514" s="599">
        <v>6234.8988888888889</v>
      </c>
      <c r="D514">
        <v>4942.0555555555557</v>
      </c>
      <c r="E514">
        <v>6234.8988888888889</v>
      </c>
      <c r="G514">
        <f t="shared" si="16"/>
        <v>0</v>
      </c>
      <c r="H514">
        <f t="shared" si="17"/>
        <v>0</v>
      </c>
    </row>
    <row r="515" spans="1:8" ht="12.75">
      <c r="A515" s="430" t="s">
        <v>521</v>
      </c>
      <c r="B515" s="599">
        <v>41461.167777777773</v>
      </c>
      <c r="C515" s="599">
        <v>42620.797777777778</v>
      </c>
      <c r="D515">
        <v>41461.167777777773</v>
      </c>
      <c r="E515">
        <v>42620.797777777778</v>
      </c>
      <c r="G515">
        <f t="shared" si="16"/>
        <v>0</v>
      </c>
      <c r="H515">
        <f t="shared" si="17"/>
        <v>0</v>
      </c>
    </row>
    <row r="516" spans="1:8" ht="12.75">
      <c r="A516" s="430" t="s">
        <v>521</v>
      </c>
      <c r="B516" s="599">
        <v>5765.1211111111115</v>
      </c>
      <c r="C516" s="599">
        <v>5182.0344444444445</v>
      </c>
      <c r="D516">
        <v>5765.1211111111115</v>
      </c>
      <c r="E516">
        <v>5182.0344444444445</v>
      </c>
      <c r="G516">
        <f t="shared" si="16"/>
        <v>0</v>
      </c>
      <c r="H516">
        <f t="shared" si="17"/>
        <v>0</v>
      </c>
    </row>
    <row r="517" spans="1:8" ht="12.75">
      <c r="A517" s="430" t="s">
        <v>521</v>
      </c>
      <c r="B517" s="599">
        <v>4055.0788888888887</v>
      </c>
      <c r="C517" s="599">
        <v>0</v>
      </c>
      <c r="D517">
        <v>4055.0788888888887</v>
      </c>
      <c r="E517">
        <v>0</v>
      </c>
      <c r="G517">
        <f t="shared" si="16"/>
        <v>0</v>
      </c>
      <c r="H517">
        <f t="shared" si="17"/>
        <v>0</v>
      </c>
    </row>
    <row r="518" spans="1:8" ht="12.75">
      <c r="A518" s="430" t="s">
        <v>521</v>
      </c>
      <c r="B518" s="599">
        <v>5229.4411111111112</v>
      </c>
      <c r="C518" s="599">
        <v>4613.8866666666663</v>
      </c>
      <c r="D518">
        <v>5229.4411111111112</v>
      </c>
      <c r="E518">
        <v>4613.8866666666663</v>
      </c>
      <c r="G518">
        <f t="shared" si="16"/>
        <v>0</v>
      </c>
      <c r="H518">
        <f t="shared" si="17"/>
        <v>0</v>
      </c>
    </row>
    <row r="519" spans="1:8" ht="12.75">
      <c r="A519" s="430" t="s">
        <v>521</v>
      </c>
      <c r="B519" s="599">
        <v>5641.6588888888891</v>
      </c>
      <c r="C519" s="599">
        <v>5035.4333333333334</v>
      </c>
      <c r="D519">
        <v>5641.6588888888891</v>
      </c>
      <c r="E519">
        <v>5035.4333333333334</v>
      </c>
      <c r="G519">
        <f t="shared" si="16"/>
        <v>0</v>
      </c>
      <c r="H519">
        <f t="shared" si="17"/>
        <v>0</v>
      </c>
    </row>
    <row r="520" spans="1:8" ht="12.75">
      <c r="A520" s="430" t="s">
        <v>521</v>
      </c>
      <c r="B520" s="599">
        <v>4322.1077777777773</v>
      </c>
      <c r="C520" s="599">
        <v>0</v>
      </c>
      <c r="D520">
        <v>4322.1077777777773</v>
      </c>
      <c r="E520">
        <v>0</v>
      </c>
      <c r="G520">
        <f t="shared" si="16"/>
        <v>0</v>
      </c>
      <c r="H520">
        <f t="shared" si="17"/>
        <v>0</v>
      </c>
    </row>
    <row r="521" spans="1:8" ht="12.75">
      <c r="A521" s="430" t="s">
        <v>521</v>
      </c>
      <c r="B521" s="599">
        <v>9600.3177777777764</v>
      </c>
      <c r="C521" s="599">
        <v>8502.6644444444446</v>
      </c>
      <c r="D521">
        <v>9600.3177777777764</v>
      </c>
      <c r="E521">
        <v>8502.6644444444446</v>
      </c>
      <c r="G521">
        <f t="shared" si="16"/>
        <v>0</v>
      </c>
      <c r="H521">
        <f t="shared" si="17"/>
        <v>0</v>
      </c>
    </row>
    <row r="522" spans="1:8" ht="12.75">
      <c r="A522" s="430" t="s">
        <v>521</v>
      </c>
      <c r="B522" s="599">
        <v>5486.2755555555559</v>
      </c>
      <c r="C522" s="599">
        <v>4899.7533333333331</v>
      </c>
      <c r="D522">
        <v>5486.2755555555559</v>
      </c>
      <c r="E522">
        <v>4899.7533333333331</v>
      </c>
      <c r="G522">
        <f t="shared" si="16"/>
        <v>0</v>
      </c>
      <c r="H522">
        <f t="shared" si="17"/>
        <v>0</v>
      </c>
    </row>
    <row r="523" spans="1:8" ht="12.75">
      <c r="A523" s="430" t="s">
        <v>521</v>
      </c>
      <c r="B523" s="599">
        <v>7535.1744444444439</v>
      </c>
      <c r="C523" s="599">
        <v>0</v>
      </c>
      <c r="D523">
        <v>7535.1744444444439</v>
      </c>
      <c r="E523">
        <v>0</v>
      </c>
      <c r="G523">
        <f t="shared" si="16"/>
        <v>0</v>
      </c>
      <c r="H523">
        <f t="shared" si="17"/>
        <v>0</v>
      </c>
    </row>
    <row r="524" spans="1:8" ht="12.75">
      <c r="A524" s="433" t="s">
        <v>521</v>
      </c>
      <c r="B524" s="599">
        <v>10143.557777777778</v>
      </c>
      <c r="C524" s="599">
        <v>8993.2055555555544</v>
      </c>
      <c r="D524">
        <v>10143.557777777778</v>
      </c>
      <c r="E524">
        <v>8993.2055555555544</v>
      </c>
      <c r="G524">
        <f t="shared" si="16"/>
        <v>0</v>
      </c>
      <c r="H524">
        <f t="shared" si="17"/>
        <v>0</v>
      </c>
    </row>
    <row r="525" spans="1:8" ht="12.75">
      <c r="A525" s="433" t="s">
        <v>521</v>
      </c>
      <c r="B525" s="599">
        <v>19764.296666666665</v>
      </c>
      <c r="C525" s="599">
        <v>19343.673333333332</v>
      </c>
      <c r="D525">
        <v>19764.296666666665</v>
      </c>
      <c r="E525">
        <v>19343.673333333332</v>
      </c>
      <c r="G525">
        <f t="shared" si="16"/>
        <v>0</v>
      </c>
      <c r="H525">
        <f t="shared" si="17"/>
        <v>0</v>
      </c>
    </row>
    <row r="526" spans="1:8" ht="12.75">
      <c r="A526" s="433" t="s">
        <v>521</v>
      </c>
      <c r="B526" s="599">
        <v>6014.9644444444439</v>
      </c>
      <c r="C526" s="599">
        <v>5872.0644444444442</v>
      </c>
      <c r="D526">
        <v>6014.9644444444439</v>
      </c>
      <c r="E526">
        <v>5872.0644444444442</v>
      </c>
      <c r="G526">
        <f t="shared" si="16"/>
        <v>0</v>
      </c>
      <c r="H526">
        <f t="shared" si="17"/>
        <v>0</v>
      </c>
    </row>
    <row r="527" spans="1:8" ht="12.75">
      <c r="A527" s="433" t="s">
        <v>521</v>
      </c>
      <c r="B527" s="599">
        <v>6190.7966666666662</v>
      </c>
      <c r="C527" s="599">
        <v>5960.7755555555559</v>
      </c>
      <c r="D527">
        <v>6190.7966666666662</v>
      </c>
      <c r="E527">
        <v>5960.7755555555559</v>
      </c>
      <c r="G527">
        <f t="shared" si="16"/>
        <v>0</v>
      </c>
      <c r="H527">
        <f t="shared" si="17"/>
        <v>0</v>
      </c>
    </row>
    <row r="528" spans="1:8" ht="12.75">
      <c r="A528" s="433" t="s">
        <v>521</v>
      </c>
      <c r="B528" s="599">
        <v>30177.788888888888</v>
      </c>
      <c r="C528" s="599">
        <v>26477.257777777777</v>
      </c>
      <c r="D528">
        <v>30177.788888888888</v>
      </c>
      <c r="E528">
        <v>26477.257777777777</v>
      </c>
      <c r="G528">
        <f t="shared" si="16"/>
        <v>0</v>
      </c>
      <c r="H528">
        <f t="shared" si="17"/>
        <v>0</v>
      </c>
    </row>
    <row r="529" spans="1:8" ht="12.75">
      <c r="A529" s="433" t="s">
        <v>521</v>
      </c>
      <c r="B529" s="599">
        <v>4362.6066666666666</v>
      </c>
      <c r="C529" s="599">
        <v>3995.9955555555557</v>
      </c>
      <c r="D529">
        <v>4362.6066666666666</v>
      </c>
      <c r="E529">
        <v>3995.9955555555557</v>
      </c>
      <c r="G529">
        <f t="shared" si="16"/>
        <v>0</v>
      </c>
      <c r="H529">
        <f t="shared" si="17"/>
        <v>0</v>
      </c>
    </row>
    <row r="530" spans="1:8" ht="12.75">
      <c r="A530" s="433" t="s">
        <v>521</v>
      </c>
      <c r="B530" s="599">
        <v>8361.6744444444448</v>
      </c>
      <c r="C530" s="599">
        <v>8086.0288888888881</v>
      </c>
      <c r="D530">
        <v>8361.6744444444448</v>
      </c>
      <c r="E530">
        <v>8086.0288888888881</v>
      </c>
      <c r="G530">
        <f t="shared" si="16"/>
        <v>0</v>
      </c>
      <c r="H530">
        <f t="shared" si="17"/>
        <v>0</v>
      </c>
    </row>
    <row r="531" spans="1:8" ht="12.75">
      <c r="A531" s="433" t="s">
        <v>521</v>
      </c>
      <c r="B531" s="599">
        <v>3432.7755555555555</v>
      </c>
      <c r="C531" s="599">
        <v>3059.0299999999997</v>
      </c>
      <c r="D531">
        <v>3432.7755555555555</v>
      </c>
      <c r="E531">
        <v>3059.0299999999997</v>
      </c>
      <c r="G531">
        <f t="shared" si="16"/>
        <v>0</v>
      </c>
      <c r="H531">
        <f t="shared" si="17"/>
        <v>0</v>
      </c>
    </row>
    <row r="532" spans="1:8" ht="12.75">
      <c r="A532" s="433" t="s">
        <v>521</v>
      </c>
      <c r="B532" s="599">
        <v>2753.9644444444448</v>
      </c>
      <c r="C532" s="599">
        <v>2604.1288888888889</v>
      </c>
      <c r="D532">
        <v>2753.9644444444448</v>
      </c>
      <c r="E532">
        <v>2604.1288888888889</v>
      </c>
      <c r="G532">
        <f t="shared" si="16"/>
        <v>0</v>
      </c>
      <c r="H532">
        <f t="shared" si="17"/>
        <v>0</v>
      </c>
    </row>
    <row r="533" spans="1:8" ht="12.75">
      <c r="A533" s="433" t="s">
        <v>521</v>
      </c>
      <c r="B533" s="599">
        <v>3440.12</v>
      </c>
      <c r="C533" s="599">
        <v>0</v>
      </c>
      <c r="D533">
        <v>3440.12</v>
      </c>
      <c r="E533">
        <v>0</v>
      </c>
      <c r="G533">
        <f t="shared" si="16"/>
        <v>0</v>
      </c>
      <c r="H533">
        <f t="shared" si="17"/>
        <v>0</v>
      </c>
    </row>
    <row r="534" spans="1:8" ht="12.75">
      <c r="A534" s="433" t="s">
        <v>521</v>
      </c>
      <c r="B534" s="599">
        <v>2218.73</v>
      </c>
      <c r="C534" s="599">
        <v>2060.586666666667</v>
      </c>
      <c r="D534">
        <v>2218.73</v>
      </c>
      <c r="E534">
        <v>2060.586666666667</v>
      </c>
      <c r="G534">
        <f t="shared" si="16"/>
        <v>0</v>
      </c>
      <c r="H534">
        <f t="shared" si="17"/>
        <v>0</v>
      </c>
    </row>
    <row r="535" spans="1:8" ht="12.75">
      <c r="A535" s="433" t="s">
        <v>521</v>
      </c>
      <c r="B535" s="599">
        <v>2610.9700000000003</v>
      </c>
      <c r="C535" s="599">
        <v>2268.7288888888888</v>
      </c>
      <c r="D535">
        <v>2610.9700000000003</v>
      </c>
      <c r="E535">
        <v>2268.7288888888888</v>
      </c>
      <c r="G535">
        <f t="shared" si="16"/>
        <v>0</v>
      </c>
      <c r="H535">
        <f t="shared" si="17"/>
        <v>0</v>
      </c>
    </row>
    <row r="536" spans="1:8" ht="12.75">
      <c r="A536" s="433" t="s">
        <v>521</v>
      </c>
      <c r="B536" s="599">
        <v>2920.7111111111112</v>
      </c>
      <c r="C536" s="599">
        <v>2622.8022222222226</v>
      </c>
      <c r="D536">
        <v>2920.7111111111112</v>
      </c>
      <c r="E536">
        <v>2622.8022222222226</v>
      </c>
      <c r="G536">
        <f t="shared" si="16"/>
        <v>0</v>
      </c>
      <c r="H536">
        <f t="shared" si="17"/>
        <v>0</v>
      </c>
    </row>
    <row r="537" spans="1:8" ht="12.75">
      <c r="A537" s="433" t="s">
        <v>521</v>
      </c>
      <c r="B537" s="599">
        <v>2617.9733333333334</v>
      </c>
      <c r="C537" s="599">
        <v>2398.0911111111113</v>
      </c>
      <c r="D537">
        <v>2617.9733333333334</v>
      </c>
      <c r="E537">
        <v>2398.0911111111113</v>
      </c>
      <c r="G537">
        <f t="shared" si="16"/>
        <v>0</v>
      </c>
      <c r="H537">
        <f t="shared" si="17"/>
        <v>0</v>
      </c>
    </row>
    <row r="538" spans="1:8" ht="12.75">
      <c r="A538" s="433" t="s">
        <v>521</v>
      </c>
      <c r="B538" s="599">
        <v>2771.1022222222223</v>
      </c>
      <c r="C538" s="599">
        <v>2543.5455555555559</v>
      </c>
      <c r="D538">
        <v>2771.1022222222223</v>
      </c>
      <c r="E538">
        <v>2543.5455555555559</v>
      </c>
      <c r="G538">
        <f t="shared" si="16"/>
        <v>0</v>
      </c>
      <c r="H538">
        <f t="shared" si="17"/>
        <v>0</v>
      </c>
    </row>
    <row r="539" spans="1:8" ht="12.75">
      <c r="A539" s="433" t="s">
        <v>521</v>
      </c>
      <c r="B539" s="599">
        <v>2213.3455555555556</v>
      </c>
      <c r="C539" s="599">
        <v>2191.2688888888888</v>
      </c>
      <c r="D539">
        <v>2213.3455555555556</v>
      </c>
      <c r="E539">
        <v>2191.2688888888888</v>
      </c>
      <c r="G539">
        <f t="shared" si="16"/>
        <v>0</v>
      </c>
      <c r="H539">
        <f t="shared" si="17"/>
        <v>0</v>
      </c>
    </row>
    <row r="540" spans="1:8" ht="12.75">
      <c r="A540" s="430" t="s">
        <v>521</v>
      </c>
      <c r="B540" s="599">
        <v>4429.3433333333332</v>
      </c>
      <c r="C540" s="599">
        <v>3770.0877777777778</v>
      </c>
      <c r="D540">
        <v>4429.3433333333332</v>
      </c>
      <c r="E540">
        <v>3770.0877777777778</v>
      </c>
      <c r="G540">
        <f t="shared" si="16"/>
        <v>0</v>
      </c>
      <c r="H540">
        <f t="shared" si="17"/>
        <v>0</v>
      </c>
    </row>
    <row r="541" spans="1:8" ht="12.75">
      <c r="A541" s="430" t="s">
        <v>521</v>
      </c>
      <c r="B541" s="599">
        <v>2762.462222222222</v>
      </c>
      <c r="C541" s="599">
        <v>2967.2200000000003</v>
      </c>
      <c r="D541">
        <v>2762.462222222222</v>
      </c>
      <c r="E541">
        <v>2967.2200000000003</v>
      </c>
      <c r="G541">
        <f t="shared" si="16"/>
        <v>0</v>
      </c>
      <c r="H541">
        <f t="shared" si="17"/>
        <v>0</v>
      </c>
    </row>
    <row r="542" spans="1:8" ht="12.75">
      <c r="A542" s="430" t="s">
        <v>521</v>
      </c>
      <c r="B542" s="599">
        <v>4373.6688888888893</v>
      </c>
      <c r="C542" s="599">
        <v>5434.13</v>
      </c>
      <c r="D542">
        <v>4373.6688888888893</v>
      </c>
      <c r="E542">
        <v>5434.13</v>
      </c>
      <c r="G542">
        <f t="shared" si="16"/>
        <v>0</v>
      </c>
      <c r="H542">
        <f t="shared" si="17"/>
        <v>0</v>
      </c>
    </row>
    <row r="543" spans="1:8" ht="12.75">
      <c r="A543" s="430" t="s">
        <v>521</v>
      </c>
      <c r="B543" s="599">
        <v>1968.548888888889</v>
      </c>
      <c r="C543" s="599">
        <v>1899.8455555555556</v>
      </c>
      <c r="D543">
        <v>1968.548888888889</v>
      </c>
      <c r="E543">
        <v>1899.8455555555556</v>
      </c>
      <c r="G543">
        <f t="shared" si="16"/>
        <v>0</v>
      </c>
      <c r="H543">
        <f t="shared" si="17"/>
        <v>0</v>
      </c>
    </row>
    <row r="544" spans="1:8" ht="12.75">
      <c r="A544" s="430" t="s">
        <v>521</v>
      </c>
      <c r="B544" s="599">
        <v>4391.4066666666668</v>
      </c>
      <c r="C544" s="599">
        <v>4735.6466666666665</v>
      </c>
      <c r="D544">
        <v>4391.4066666666668</v>
      </c>
      <c r="E544">
        <v>4735.6466666666665</v>
      </c>
      <c r="G544">
        <f t="shared" si="16"/>
        <v>0</v>
      </c>
      <c r="H544">
        <f t="shared" si="17"/>
        <v>0</v>
      </c>
    </row>
    <row r="545" spans="1:8" ht="12.75">
      <c r="A545" s="430" t="s">
        <v>521</v>
      </c>
      <c r="B545" s="599">
        <v>3001.637777777778</v>
      </c>
      <c r="C545" s="599">
        <v>2830.3911111111115</v>
      </c>
      <c r="D545">
        <v>3001.637777777778</v>
      </c>
      <c r="E545">
        <v>2830.3911111111115</v>
      </c>
      <c r="G545">
        <f t="shared" si="16"/>
        <v>0</v>
      </c>
      <c r="H545">
        <f t="shared" si="17"/>
        <v>0</v>
      </c>
    </row>
    <row r="546" spans="1:8" ht="12.75">
      <c r="A546" s="430" t="s">
        <v>521</v>
      </c>
      <c r="B546" s="599">
        <v>4096.5066666666662</v>
      </c>
      <c r="C546" s="599">
        <v>3694.4322222222222</v>
      </c>
      <c r="D546">
        <v>4096.5066666666662</v>
      </c>
      <c r="E546">
        <v>3694.4322222222222</v>
      </c>
      <c r="G546">
        <f t="shared" si="16"/>
        <v>0</v>
      </c>
      <c r="H546">
        <f t="shared" si="17"/>
        <v>0</v>
      </c>
    </row>
    <row r="547" spans="1:8" ht="12.75">
      <c r="A547" s="430" t="s">
        <v>521</v>
      </c>
      <c r="B547" s="599">
        <v>2876.1622222222222</v>
      </c>
      <c r="C547" s="599">
        <v>2921.4244444444444</v>
      </c>
      <c r="D547">
        <v>2876.1622222222222</v>
      </c>
      <c r="E547">
        <v>2921.4244444444444</v>
      </c>
      <c r="G547">
        <f t="shared" si="16"/>
        <v>0</v>
      </c>
      <c r="H547">
        <f t="shared" si="17"/>
        <v>0</v>
      </c>
    </row>
    <row r="548" spans="1:8" ht="12.75">
      <c r="A548" s="430" t="s">
        <v>521</v>
      </c>
      <c r="B548" s="599">
        <v>2516.4422222222224</v>
      </c>
      <c r="C548" s="599">
        <v>2312.3655555555551</v>
      </c>
      <c r="D548">
        <v>2516.4422222222224</v>
      </c>
      <c r="E548">
        <v>2312.3655555555551</v>
      </c>
      <c r="G548">
        <f t="shared" si="16"/>
        <v>0</v>
      </c>
      <c r="H548">
        <f t="shared" si="17"/>
        <v>0</v>
      </c>
    </row>
    <row r="549" spans="1:8" ht="12.75">
      <c r="A549" s="430" t="s">
        <v>521</v>
      </c>
      <c r="B549" s="599">
        <v>4896.4000000000005</v>
      </c>
      <c r="C549" s="599">
        <v>4563.528888888889</v>
      </c>
      <c r="D549">
        <v>4896.4000000000005</v>
      </c>
      <c r="E549">
        <v>4563.528888888889</v>
      </c>
      <c r="G549">
        <f t="shared" si="16"/>
        <v>0</v>
      </c>
      <c r="H549">
        <f t="shared" si="17"/>
        <v>0</v>
      </c>
    </row>
    <row r="550" spans="1:8" ht="12.75">
      <c r="A550" s="430" t="s">
        <v>521</v>
      </c>
      <c r="B550" s="599">
        <v>2709.5355555555557</v>
      </c>
      <c r="C550" s="599">
        <v>2492.1344444444444</v>
      </c>
      <c r="D550">
        <v>2709.5355555555557</v>
      </c>
      <c r="E550">
        <v>2492.1344444444444</v>
      </c>
      <c r="G550">
        <f t="shared" si="16"/>
        <v>0</v>
      </c>
      <c r="H550">
        <f t="shared" si="17"/>
        <v>0</v>
      </c>
    </row>
    <row r="551" spans="1:8" ht="12.75">
      <c r="A551" s="430" t="s">
        <v>521</v>
      </c>
      <c r="B551" s="599">
        <v>2963.9555555555557</v>
      </c>
      <c r="C551" s="599">
        <v>2673.9088888888887</v>
      </c>
      <c r="D551">
        <v>2963.9555555555557</v>
      </c>
      <c r="E551">
        <v>2673.9088888888887</v>
      </c>
      <c r="G551">
        <f t="shared" si="16"/>
        <v>0</v>
      </c>
      <c r="H551">
        <f t="shared" si="17"/>
        <v>0</v>
      </c>
    </row>
    <row r="552" spans="1:8" ht="12.75">
      <c r="A552" s="430" t="s">
        <v>521</v>
      </c>
      <c r="B552" s="599">
        <v>1970.3055555555554</v>
      </c>
      <c r="C552" s="599">
        <v>1721.6544444444446</v>
      </c>
      <c r="D552">
        <v>1970.3055555555554</v>
      </c>
      <c r="E552">
        <v>1721.6544444444446</v>
      </c>
      <c r="G552">
        <f t="shared" si="16"/>
        <v>0</v>
      </c>
      <c r="H552">
        <f t="shared" si="17"/>
        <v>0</v>
      </c>
    </row>
    <row r="553" spans="1:8" ht="12.75">
      <c r="A553" s="430" t="s">
        <v>521</v>
      </c>
      <c r="B553" s="599">
        <v>2001.9133333333332</v>
      </c>
      <c r="C553" s="599">
        <v>1826.642222222222</v>
      </c>
      <c r="D553">
        <v>2001.9133333333332</v>
      </c>
      <c r="E553">
        <v>1826.642222222222</v>
      </c>
      <c r="G553">
        <f t="shared" si="16"/>
        <v>0</v>
      </c>
      <c r="H553">
        <f t="shared" si="17"/>
        <v>0</v>
      </c>
    </row>
    <row r="554" spans="1:8" ht="12.75">
      <c r="A554" s="430" t="s">
        <v>521</v>
      </c>
      <c r="B554" s="599">
        <v>3581.2244444444441</v>
      </c>
      <c r="C554" s="599">
        <v>3418.1244444444446</v>
      </c>
      <c r="D554">
        <v>3581.2244444444441</v>
      </c>
      <c r="E554">
        <v>3418.1244444444446</v>
      </c>
      <c r="G554">
        <f t="shared" si="16"/>
        <v>0</v>
      </c>
      <c r="H554">
        <f t="shared" si="17"/>
        <v>0</v>
      </c>
    </row>
    <row r="555" spans="1:8" ht="12.75">
      <c r="A555" s="430" t="s">
        <v>521</v>
      </c>
      <c r="B555" s="599">
        <v>4481.6766666666663</v>
      </c>
      <c r="C555" s="599">
        <v>3918.7377777777779</v>
      </c>
      <c r="D555">
        <v>4481.6766666666663</v>
      </c>
      <c r="E555">
        <v>3918.7377777777779</v>
      </c>
      <c r="G555">
        <f t="shared" si="16"/>
        <v>0</v>
      </c>
      <c r="H555">
        <f t="shared" si="17"/>
        <v>0</v>
      </c>
    </row>
    <row r="556" spans="1:8" ht="12.75">
      <c r="A556" s="430" t="s">
        <v>521</v>
      </c>
      <c r="B556" s="599">
        <v>973.70222222222219</v>
      </c>
      <c r="C556" s="599">
        <v>947.55111111111103</v>
      </c>
      <c r="D556">
        <v>973.70222222222219</v>
      </c>
      <c r="E556">
        <v>947.55111111111103</v>
      </c>
      <c r="G556">
        <f t="shared" si="16"/>
        <v>0</v>
      </c>
      <c r="H556">
        <f t="shared" si="17"/>
        <v>0</v>
      </c>
    </row>
    <row r="557" spans="1:8" ht="12.75">
      <c r="A557" s="430" t="s">
        <v>521</v>
      </c>
      <c r="B557" s="599">
        <v>1008.2644444444444</v>
      </c>
      <c r="C557" s="599">
        <v>1090.3966666666668</v>
      </c>
      <c r="D557">
        <v>1008.2644444444444</v>
      </c>
      <c r="E557">
        <v>1090.3966666666668</v>
      </c>
      <c r="G557">
        <f t="shared" ref="G557:G620" si="18">D557-B557</f>
        <v>0</v>
      </c>
      <c r="H557">
        <f t="shared" ref="H557:H620" si="19">E557-C557</f>
        <v>0</v>
      </c>
    </row>
    <row r="558" spans="1:8" ht="12.75">
      <c r="A558" s="430" t="s">
        <v>521</v>
      </c>
      <c r="B558" s="599">
        <v>1537.6111111111111</v>
      </c>
      <c r="C558" s="599">
        <v>1455.6711111111113</v>
      </c>
      <c r="D558">
        <v>1537.6111111111111</v>
      </c>
      <c r="E558">
        <v>1455.6711111111113</v>
      </c>
      <c r="G558">
        <f t="shared" si="18"/>
        <v>0</v>
      </c>
      <c r="H558">
        <f t="shared" si="19"/>
        <v>0</v>
      </c>
    </row>
    <row r="559" spans="1:8" ht="12.75">
      <c r="A559" s="430" t="s">
        <v>521</v>
      </c>
      <c r="B559" s="599">
        <v>1632.7755555555557</v>
      </c>
      <c r="C559" s="599">
        <v>1560.7611111111112</v>
      </c>
      <c r="D559">
        <v>1632.7755555555557</v>
      </c>
      <c r="E559">
        <v>1560.7611111111112</v>
      </c>
      <c r="G559">
        <f t="shared" si="18"/>
        <v>0</v>
      </c>
      <c r="H559">
        <f t="shared" si="19"/>
        <v>0</v>
      </c>
    </row>
    <row r="560" spans="1:8" ht="12.75">
      <c r="A560" s="430" t="s">
        <v>521</v>
      </c>
      <c r="B560" s="599">
        <v>1884.3966666666668</v>
      </c>
      <c r="C560" s="599">
        <v>1601.3755555555556</v>
      </c>
      <c r="D560">
        <v>1884.3966666666668</v>
      </c>
      <c r="E560">
        <v>1601.3755555555556</v>
      </c>
      <c r="G560">
        <f t="shared" si="18"/>
        <v>0</v>
      </c>
      <c r="H560">
        <f t="shared" si="19"/>
        <v>0</v>
      </c>
    </row>
    <row r="561" spans="1:8" ht="12.75">
      <c r="A561" s="430" t="s">
        <v>521</v>
      </c>
      <c r="B561" s="599">
        <v>3429.0111111111109</v>
      </c>
      <c r="C561" s="599">
        <v>3052.962222222222</v>
      </c>
      <c r="D561">
        <v>3429.0111111111109</v>
      </c>
      <c r="E561">
        <v>3052.962222222222</v>
      </c>
      <c r="G561">
        <f t="shared" si="18"/>
        <v>0</v>
      </c>
      <c r="H561">
        <f t="shared" si="19"/>
        <v>0</v>
      </c>
    </row>
    <row r="562" spans="1:8" ht="12.75">
      <c r="A562" s="430" t="s">
        <v>521</v>
      </c>
      <c r="B562" s="599">
        <v>1671.6177777777777</v>
      </c>
      <c r="C562" s="599">
        <v>1692.2322222222222</v>
      </c>
      <c r="D562">
        <v>1671.6177777777777</v>
      </c>
      <c r="E562">
        <v>1692.2322222222222</v>
      </c>
      <c r="G562">
        <f t="shared" si="18"/>
        <v>0</v>
      </c>
      <c r="H562">
        <f t="shared" si="19"/>
        <v>0</v>
      </c>
    </row>
    <row r="563" spans="1:8" ht="12.75">
      <c r="A563" s="430" t="s">
        <v>521</v>
      </c>
      <c r="B563" s="599">
        <v>1554.9422222222222</v>
      </c>
      <c r="C563" s="599">
        <v>1487.788888888889</v>
      </c>
      <c r="D563">
        <v>1554.9422222222222</v>
      </c>
      <c r="E563">
        <v>1487.788888888889</v>
      </c>
      <c r="G563">
        <f t="shared" si="18"/>
        <v>0</v>
      </c>
      <c r="H563">
        <f t="shared" si="19"/>
        <v>0</v>
      </c>
    </row>
    <row r="564" spans="1:8" ht="12.75">
      <c r="A564" s="430" t="s">
        <v>521</v>
      </c>
      <c r="B564" s="602">
        <v>36.533333333333331</v>
      </c>
      <c r="C564" s="602">
        <v>39.522222222222219</v>
      </c>
      <c r="D564" s="603">
        <v>36.533333333333331</v>
      </c>
      <c r="E564" s="603">
        <v>39.522222222222219</v>
      </c>
      <c r="F564" s="603"/>
      <c r="G564" s="603">
        <f t="shared" si="18"/>
        <v>0</v>
      </c>
      <c r="H564" s="603">
        <f t="shared" si="19"/>
        <v>0</v>
      </c>
    </row>
    <row r="565" spans="1:8" ht="12.75">
      <c r="A565" s="430" t="s">
        <v>521</v>
      </c>
      <c r="B565" s="599">
        <v>416.57777777777778</v>
      </c>
      <c r="C565" s="599">
        <v>503.4666666666667</v>
      </c>
      <c r="D565">
        <v>416.57777777777778</v>
      </c>
      <c r="E565">
        <v>503.4666666666667</v>
      </c>
      <c r="G565">
        <f t="shared" si="18"/>
        <v>0</v>
      </c>
      <c r="H565">
        <f t="shared" si="19"/>
        <v>0</v>
      </c>
    </row>
    <row r="566" spans="1:8" ht="12.75">
      <c r="A566" s="430" t="s">
        <v>521</v>
      </c>
      <c r="B566" s="599">
        <v>437.5</v>
      </c>
      <c r="C566" s="599">
        <v>443.22222222222223</v>
      </c>
      <c r="D566">
        <v>437.5</v>
      </c>
      <c r="E566">
        <v>443.22222222222223</v>
      </c>
      <c r="G566">
        <f t="shared" si="18"/>
        <v>0</v>
      </c>
      <c r="H566">
        <f t="shared" si="19"/>
        <v>0</v>
      </c>
    </row>
    <row r="567" spans="1:8" ht="12.75">
      <c r="A567" s="430" t="s">
        <v>521</v>
      </c>
      <c r="B567" s="599">
        <v>195.2</v>
      </c>
      <c r="C567" s="599">
        <v>198.4</v>
      </c>
      <c r="D567">
        <v>195.2</v>
      </c>
      <c r="E567">
        <v>198.4</v>
      </c>
      <c r="G567">
        <f t="shared" si="18"/>
        <v>0</v>
      </c>
      <c r="H567">
        <f t="shared" si="19"/>
        <v>0</v>
      </c>
    </row>
    <row r="568" spans="1:8" ht="12.75">
      <c r="A568" s="430" t="s">
        <v>521</v>
      </c>
      <c r="B568" s="599">
        <v>1097.4333333333334</v>
      </c>
      <c r="C568" s="599">
        <v>879.93333333333328</v>
      </c>
      <c r="D568">
        <v>1097.4333333333334</v>
      </c>
      <c r="E568">
        <v>879.93333333333328</v>
      </c>
      <c r="G568">
        <f t="shared" si="18"/>
        <v>0</v>
      </c>
      <c r="H568">
        <f t="shared" si="19"/>
        <v>0</v>
      </c>
    </row>
    <row r="569" spans="1:8" ht="12.75">
      <c r="A569" s="430" t="s">
        <v>521</v>
      </c>
      <c r="B569" s="599">
        <v>1273.9477777777777</v>
      </c>
      <c r="C569" s="599">
        <v>1095.8122222222221</v>
      </c>
      <c r="D569">
        <v>1273.9477777777777</v>
      </c>
      <c r="E569">
        <v>1095.8122222222221</v>
      </c>
      <c r="G569">
        <f t="shared" si="18"/>
        <v>0</v>
      </c>
      <c r="H569">
        <f t="shared" si="19"/>
        <v>0</v>
      </c>
    </row>
    <row r="570" spans="1:8" ht="12.75">
      <c r="A570" s="430" t="s">
        <v>521</v>
      </c>
      <c r="B570" s="599">
        <v>34849.95888888889</v>
      </c>
      <c r="C570" s="599">
        <v>0</v>
      </c>
      <c r="D570">
        <v>34849.95888888889</v>
      </c>
      <c r="E570">
        <v>0</v>
      </c>
      <c r="G570">
        <f t="shared" si="18"/>
        <v>0</v>
      </c>
      <c r="H570">
        <f t="shared" si="19"/>
        <v>0</v>
      </c>
    </row>
    <row r="571" spans="1:8" ht="12.75">
      <c r="A571" s="430" t="s">
        <v>521</v>
      </c>
      <c r="B571" s="599">
        <v>34513.363333333335</v>
      </c>
      <c r="C571" s="599">
        <v>44162.825555555552</v>
      </c>
      <c r="D571">
        <v>34513.363333333335</v>
      </c>
      <c r="E571">
        <v>44162.825555555552</v>
      </c>
      <c r="G571">
        <f t="shared" si="18"/>
        <v>0</v>
      </c>
      <c r="H571">
        <f t="shared" si="19"/>
        <v>0</v>
      </c>
    </row>
    <row r="572" spans="1:8" ht="12.75">
      <c r="A572" s="430" t="s">
        <v>521</v>
      </c>
      <c r="B572" s="599">
        <v>2249.8788888888889</v>
      </c>
      <c r="C572" s="599">
        <v>0</v>
      </c>
      <c r="D572">
        <v>2249.8788888888889</v>
      </c>
      <c r="E572">
        <v>0</v>
      </c>
      <c r="G572">
        <f t="shared" si="18"/>
        <v>0</v>
      </c>
      <c r="H572">
        <f t="shared" si="19"/>
        <v>0</v>
      </c>
    </row>
    <row r="573" spans="1:8" ht="12.75">
      <c r="A573" s="430" t="s">
        <v>521</v>
      </c>
      <c r="B573" s="599">
        <v>3378.625</v>
      </c>
      <c r="C573" s="599">
        <v>3418.8583333333331</v>
      </c>
      <c r="D573">
        <v>3378.625</v>
      </c>
      <c r="E573">
        <v>3418.8583333333331</v>
      </c>
      <c r="G573">
        <f t="shared" si="18"/>
        <v>0</v>
      </c>
      <c r="H573">
        <f t="shared" si="19"/>
        <v>0</v>
      </c>
    </row>
    <row r="574" spans="1:8" ht="12.75">
      <c r="A574" s="430" t="s">
        <v>521</v>
      </c>
      <c r="B574" s="599">
        <v>31420.947777777776</v>
      </c>
      <c r="C574" s="599">
        <v>0</v>
      </c>
      <c r="D574">
        <v>31420.947777777776</v>
      </c>
      <c r="E574">
        <v>0</v>
      </c>
      <c r="G574">
        <f t="shared" si="18"/>
        <v>0</v>
      </c>
      <c r="H574">
        <f t="shared" si="19"/>
        <v>0</v>
      </c>
    </row>
    <row r="575" spans="1:8" ht="12.75">
      <c r="A575" s="430" t="s">
        <v>521</v>
      </c>
      <c r="B575" s="599">
        <v>31073.243333333332</v>
      </c>
      <c r="C575" s="599">
        <v>0</v>
      </c>
      <c r="D575">
        <v>31073.243333333332</v>
      </c>
      <c r="E575">
        <v>0</v>
      </c>
      <c r="G575">
        <f t="shared" si="18"/>
        <v>0</v>
      </c>
      <c r="H575">
        <f t="shared" si="19"/>
        <v>0</v>
      </c>
    </row>
    <row r="576" spans="1:8" ht="12.75">
      <c r="A576" s="430" t="s">
        <v>521</v>
      </c>
      <c r="B576" s="599">
        <v>3440.12</v>
      </c>
      <c r="C576" s="599">
        <v>0</v>
      </c>
      <c r="D576">
        <v>3440.12</v>
      </c>
      <c r="E576">
        <v>0</v>
      </c>
      <c r="G576">
        <f t="shared" si="18"/>
        <v>0</v>
      </c>
      <c r="H576">
        <f t="shared" si="19"/>
        <v>0</v>
      </c>
    </row>
    <row r="577" spans="1:8" ht="12.75">
      <c r="A577" s="430" t="s">
        <v>521</v>
      </c>
      <c r="B577" s="599">
        <v>2213.3455555555556</v>
      </c>
      <c r="C577" s="599">
        <v>0</v>
      </c>
      <c r="D577">
        <v>2213.3455555555556</v>
      </c>
      <c r="E577">
        <v>0</v>
      </c>
      <c r="G577">
        <f t="shared" si="18"/>
        <v>0</v>
      </c>
      <c r="H577">
        <f t="shared" si="19"/>
        <v>0</v>
      </c>
    </row>
    <row r="578" spans="1:8" ht="12.75">
      <c r="A578" s="430" t="s">
        <v>521</v>
      </c>
      <c r="B578" s="599">
        <v>3429.0111111111109</v>
      </c>
      <c r="C578" s="599">
        <v>0</v>
      </c>
      <c r="D578">
        <v>3429.0111111111109</v>
      </c>
      <c r="E578">
        <v>0</v>
      </c>
      <c r="G578">
        <f t="shared" si="18"/>
        <v>0</v>
      </c>
      <c r="H578">
        <f t="shared" si="19"/>
        <v>0</v>
      </c>
    </row>
    <row r="579" spans="1:8" ht="12.75">
      <c r="A579" s="430" t="s">
        <v>521</v>
      </c>
      <c r="B579" s="599">
        <v>36.533333333333331</v>
      </c>
      <c r="C579" s="599">
        <v>0</v>
      </c>
      <c r="D579">
        <v>36.533333333333331</v>
      </c>
      <c r="E579">
        <v>0</v>
      </c>
      <c r="G579">
        <f t="shared" si="18"/>
        <v>0</v>
      </c>
      <c r="H579">
        <f t="shared" si="19"/>
        <v>0</v>
      </c>
    </row>
    <row r="580" spans="1:8" ht="12.75">
      <c r="A580" s="433" t="s">
        <v>521</v>
      </c>
      <c r="B580" s="599">
        <v>12987.296666666667</v>
      </c>
      <c r="C580" s="599">
        <v>0</v>
      </c>
      <c r="D580">
        <v>12987.296666666667</v>
      </c>
      <c r="E580">
        <v>0</v>
      </c>
      <c r="G580">
        <f t="shared" si="18"/>
        <v>0</v>
      </c>
      <c r="H580">
        <f t="shared" si="19"/>
        <v>0</v>
      </c>
    </row>
    <row r="581" spans="1:8" ht="12.75">
      <c r="A581" s="433" t="s">
        <v>521</v>
      </c>
      <c r="B581" s="599">
        <v>0</v>
      </c>
      <c r="C581" s="599">
        <v>602.29999999999995</v>
      </c>
      <c r="D581">
        <v>0</v>
      </c>
      <c r="E581">
        <v>602.29999999999995</v>
      </c>
      <c r="G581">
        <f t="shared" si="18"/>
        <v>0</v>
      </c>
      <c r="H581">
        <f t="shared" si="19"/>
        <v>0</v>
      </c>
    </row>
    <row r="582" spans="1:8" ht="12.75">
      <c r="A582" s="473" t="s">
        <v>619</v>
      </c>
      <c r="B582" s="599">
        <v>32520.495833333334</v>
      </c>
      <c r="C582" s="599">
        <v>32931.4375</v>
      </c>
      <c r="D582">
        <v>32520.495833333334</v>
      </c>
      <c r="E582">
        <v>32931.4375</v>
      </c>
      <c r="G582">
        <f t="shared" si="18"/>
        <v>0</v>
      </c>
      <c r="H582">
        <f t="shared" si="19"/>
        <v>0</v>
      </c>
    </row>
    <row r="583" spans="1:8" ht="12.75">
      <c r="A583" s="473" t="s">
        <v>619</v>
      </c>
      <c r="B583" s="599">
        <v>19865.525000000001</v>
      </c>
      <c r="C583" s="599">
        <v>19283.408333333333</v>
      </c>
      <c r="D583">
        <v>19865.525000000001</v>
      </c>
      <c r="E583">
        <v>19283.408333333333</v>
      </c>
      <c r="G583">
        <f t="shared" si="18"/>
        <v>0</v>
      </c>
      <c r="H583">
        <f t="shared" si="19"/>
        <v>0</v>
      </c>
    </row>
    <row r="584" spans="1:8" ht="12.75">
      <c r="A584" s="473" t="s">
        <v>619</v>
      </c>
      <c r="B584" s="599">
        <v>25118.779166666667</v>
      </c>
      <c r="C584" s="599">
        <v>25928.104166666664</v>
      </c>
      <c r="D584">
        <v>25118.779166666667</v>
      </c>
      <c r="E584">
        <v>25928.104166666664</v>
      </c>
      <c r="G584">
        <f t="shared" si="18"/>
        <v>0</v>
      </c>
      <c r="H584">
        <f t="shared" si="19"/>
        <v>0</v>
      </c>
    </row>
    <row r="585" spans="1:8" ht="12.75">
      <c r="A585" s="473" t="s">
        <v>619</v>
      </c>
      <c r="B585" s="599">
        <v>26362.966666666667</v>
      </c>
      <c r="C585" s="599">
        <v>25886.745833333331</v>
      </c>
      <c r="D585">
        <v>26362.966666666667</v>
      </c>
      <c r="E585">
        <v>25886.745833333331</v>
      </c>
      <c r="G585">
        <f t="shared" si="18"/>
        <v>0</v>
      </c>
      <c r="H585">
        <f t="shared" si="19"/>
        <v>0</v>
      </c>
    </row>
    <row r="586" spans="1:8" ht="12.75">
      <c r="A586" s="473" t="s">
        <v>619</v>
      </c>
      <c r="B586" s="599">
        <v>36731.724999999999</v>
      </c>
      <c r="C586" s="599">
        <v>37171.166666666664</v>
      </c>
      <c r="D586">
        <v>36731.724999999999</v>
      </c>
      <c r="E586">
        <v>37171.166666666664</v>
      </c>
      <c r="G586">
        <f t="shared" si="18"/>
        <v>0</v>
      </c>
      <c r="H586">
        <f t="shared" si="19"/>
        <v>0</v>
      </c>
    </row>
    <row r="587" spans="1:8" ht="12.75">
      <c r="A587" s="473" t="s">
        <v>619</v>
      </c>
      <c r="B587" s="599">
        <v>8675.5725000000002</v>
      </c>
      <c r="C587" s="599">
        <v>9009.4416666666657</v>
      </c>
      <c r="D587">
        <v>8675.5725000000002</v>
      </c>
      <c r="E587">
        <v>9009.4416666666657</v>
      </c>
      <c r="G587">
        <f t="shared" si="18"/>
        <v>0</v>
      </c>
      <c r="H587">
        <f t="shared" si="19"/>
        <v>0</v>
      </c>
    </row>
    <row r="588" spans="1:8" ht="12.75">
      <c r="A588" s="473" t="s">
        <v>619</v>
      </c>
      <c r="B588" s="599">
        <v>21123.875</v>
      </c>
      <c r="C588" s="599">
        <v>21480.108333333334</v>
      </c>
      <c r="D588">
        <v>21123.875</v>
      </c>
      <c r="E588">
        <v>21480.108333333334</v>
      </c>
      <c r="G588">
        <f t="shared" si="18"/>
        <v>0</v>
      </c>
      <c r="H588">
        <f t="shared" si="19"/>
        <v>0</v>
      </c>
    </row>
    <row r="589" spans="1:8" ht="12.75">
      <c r="A589" s="473" t="s">
        <v>619</v>
      </c>
      <c r="B589" s="599">
        <v>4258.875</v>
      </c>
      <c r="C589" s="599">
        <v>4233.0666666666666</v>
      </c>
      <c r="D589">
        <v>4258.875</v>
      </c>
      <c r="E589">
        <v>4233.0666666666666</v>
      </c>
      <c r="G589">
        <f t="shared" si="18"/>
        <v>0</v>
      </c>
      <c r="H589">
        <f t="shared" si="19"/>
        <v>0</v>
      </c>
    </row>
    <row r="590" spans="1:8" ht="12.75">
      <c r="A590" s="473" t="s">
        <v>619</v>
      </c>
      <c r="B590" s="599">
        <v>4913.1083333333336</v>
      </c>
      <c r="C590" s="599">
        <v>4785.7750000000005</v>
      </c>
      <c r="D590">
        <v>4913.1083333333336</v>
      </c>
      <c r="E590">
        <v>4785.7750000000005</v>
      </c>
      <c r="G590">
        <f t="shared" si="18"/>
        <v>0</v>
      </c>
      <c r="H590">
        <f t="shared" si="19"/>
        <v>0</v>
      </c>
    </row>
    <row r="591" spans="1:8" ht="12.75">
      <c r="A591" s="473" t="s">
        <v>619</v>
      </c>
      <c r="B591" s="599">
        <v>9015.2999999999993</v>
      </c>
      <c r="C591" s="599">
        <v>7941.7166666666662</v>
      </c>
      <c r="D591">
        <v>9015.2999999999993</v>
      </c>
      <c r="E591">
        <v>7941.7166666666662</v>
      </c>
      <c r="G591">
        <f t="shared" si="18"/>
        <v>0</v>
      </c>
      <c r="H591">
        <f t="shared" si="19"/>
        <v>0</v>
      </c>
    </row>
    <row r="592" spans="1:8" ht="12.75">
      <c r="A592" s="473" t="s">
        <v>619</v>
      </c>
      <c r="B592" s="599">
        <v>4054.1749999999997</v>
      </c>
      <c r="C592" s="599">
        <v>3690.3666666666668</v>
      </c>
      <c r="D592">
        <v>4054.1749999999997</v>
      </c>
      <c r="E592">
        <v>3690.3666666666668</v>
      </c>
      <c r="G592">
        <f t="shared" si="18"/>
        <v>0</v>
      </c>
      <c r="H592">
        <f t="shared" si="19"/>
        <v>0</v>
      </c>
    </row>
    <row r="593" spans="1:8" ht="12.75">
      <c r="A593" s="473" t="s">
        <v>619</v>
      </c>
      <c r="B593" s="599">
        <v>4040.5</v>
      </c>
      <c r="C593" s="599">
        <v>3935.2916666666665</v>
      </c>
      <c r="D593">
        <v>4040.5</v>
      </c>
      <c r="E593">
        <v>3935.2916666666665</v>
      </c>
      <c r="G593">
        <f t="shared" si="18"/>
        <v>0</v>
      </c>
      <c r="H593">
        <f t="shared" si="19"/>
        <v>0</v>
      </c>
    </row>
    <row r="594" spans="1:8" ht="12.75">
      <c r="A594" s="473" t="s">
        <v>619</v>
      </c>
      <c r="B594" s="599">
        <v>4759.9000000000005</v>
      </c>
      <c r="C594" s="599">
        <v>4543.125</v>
      </c>
      <c r="D594">
        <v>4759.9000000000005</v>
      </c>
      <c r="E594">
        <v>4543.125</v>
      </c>
      <c r="G594">
        <f t="shared" si="18"/>
        <v>0</v>
      </c>
      <c r="H594">
        <f t="shared" si="19"/>
        <v>0</v>
      </c>
    </row>
    <row r="595" spans="1:8" ht="12.75">
      <c r="A595" s="473" t="s">
        <v>619</v>
      </c>
      <c r="B595" s="599">
        <v>1527.3666666666666</v>
      </c>
      <c r="C595" s="599">
        <v>1552.5</v>
      </c>
      <c r="D595">
        <v>1527.3666666666666</v>
      </c>
      <c r="E595">
        <v>1552.5</v>
      </c>
      <c r="G595">
        <f t="shared" si="18"/>
        <v>0</v>
      </c>
      <c r="H595">
        <f t="shared" si="19"/>
        <v>0</v>
      </c>
    </row>
    <row r="596" spans="1:8" ht="12.75">
      <c r="A596" s="473" t="s">
        <v>619</v>
      </c>
      <c r="B596" s="599">
        <v>5259.0666666666666</v>
      </c>
      <c r="C596" s="599">
        <v>4877.166666666667</v>
      </c>
      <c r="D596">
        <v>5259.0666666666666</v>
      </c>
      <c r="E596">
        <v>4877.166666666667</v>
      </c>
      <c r="G596">
        <f t="shared" si="18"/>
        <v>0</v>
      </c>
      <c r="H596">
        <f t="shared" si="19"/>
        <v>0</v>
      </c>
    </row>
    <row r="597" spans="1:8" ht="12.75">
      <c r="A597" s="473" t="s">
        <v>619</v>
      </c>
      <c r="B597" s="599">
        <v>5298.3</v>
      </c>
      <c r="C597" s="599">
        <v>4979.7666666666664</v>
      </c>
      <c r="D597">
        <v>5298.3</v>
      </c>
      <c r="E597">
        <v>4979.7666666666664</v>
      </c>
      <c r="G597">
        <f t="shared" si="18"/>
        <v>0</v>
      </c>
      <c r="H597">
        <f t="shared" si="19"/>
        <v>0</v>
      </c>
    </row>
    <row r="598" spans="1:8" ht="12.75">
      <c r="A598" s="473" t="s">
        <v>619</v>
      </c>
      <c r="B598" s="599">
        <v>30778.1</v>
      </c>
      <c r="C598" s="599">
        <v>30976.6</v>
      </c>
      <c r="D598">
        <v>30778.1</v>
      </c>
      <c r="E598">
        <v>30976.6</v>
      </c>
      <c r="G598">
        <f t="shared" si="18"/>
        <v>0</v>
      </c>
      <c r="H598">
        <f t="shared" si="19"/>
        <v>0</v>
      </c>
    </row>
    <row r="599" spans="1:8" ht="12.75">
      <c r="A599" s="473" t="s">
        <v>619</v>
      </c>
      <c r="B599" s="599">
        <v>4411.5</v>
      </c>
      <c r="C599" s="599">
        <v>3947.8</v>
      </c>
      <c r="D599">
        <v>4411.5</v>
      </c>
      <c r="E599">
        <v>3947.8</v>
      </c>
      <c r="G599">
        <f t="shared" si="18"/>
        <v>0</v>
      </c>
      <c r="H599">
        <f t="shared" si="19"/>
        <v>0</v>
      </c>
    </row>
    <row r="600" spans="1:8" ht="12.75">
      <c r="A600" s="473" t="s">
        <v>619</v>
      </c>
      <c r="B600" s="599">
        <v>11978.366666666667</v>
      </c>
      <c r="C600" s="599">
        <v>10857.133333333333</v>
      </c>
      <c r="D600">
        <v>11978.366666666667</v>
      </c>
      <c r="E600">
        <v>10857.133333333333</v>
      </c>
      <c r="G600">
        <f t="shared" si="18"/>
        <v>0</v>
      </c>
      <c r="H600">
        <f t="shared" si="19"/>
        <v>0</v>
      </c>
    </row>
    <row r="601" spans="1:8" ht="12.75">
      <c r="A601" s="473" t="s">
        <v>619</v>
      </c>
      <c r="B601" s="599">
        <v>2165.2333333333331</v>
      </c>
      <c r="C601" s="599">
        <v>1996.1</v>
      </c>
      <c r="D601">
        <v>2165.2333333333331</v>
      </c>
      <c r="E601">
        <v>1996.1</v>
      </c>
      <c r="G601">
        <f t="shared" si="18"/>
        <v>0</v>
      </c>
      <c r="H601">
        <f t="shared" si="19"/>
        <v>0</v>
      </c>
    </row>
    <row r="602" spans="1:8" ht="12.75">
      <c r="A602" s="473" t="s">
        <v>619</v>
      </c>
      <c r="B602" s="599">
        <v>2159.0666666666666</v>
      </c>
      <c r="C602" s="599">
        <v>2038.7333333333333</v>
      </c>
      <c r="D602">
        <v>2159.0666666666666</v>
      </c>
      <c r="E602">
        <v>2038.7333333333333</v>
      </c>
      <c r="G602">
        <f t="shared" si="18"/>
        <v>0</v>
      </c>
      <c r="H602">
        <f t="shared" si="19"/>
        <v>0</v>
      </c>
    </row>
    <row r="603" spans="1:8" ht="12.75">
      <c r="A603" s="473" t="s">
        <v>619</v>
      </c>
      <c r="B603" s="599">
        <v>4532.6000000000004</v>
      </c>
      <c r="C603" s="599">
        <v>4703.4666666666662</v>
      </c>
      <c r="D603">
        <v>4532.6000000000004</v>
      </c>
      <c r="E603">
        <v>4703.4666666666662</v>
      </c>
      <c r="G603">
        <f t="shared" si="18"/>
        <v>0</v>
      </c>
      <c r="H603">
        <f t="shared" si="19"/>
        <v>0</v>
      </c>
    </row>
    <row r="604" spans="1:8" ht="12.75">
      <c r="A604" s="473" t="s">
        <v>619</v>
      </c>
      <c r="B604" s="599">
        <v>3851.0666666666666</v>
      </c>
      <c r="C604" s="599">
        <v>3569.2333333333331</v>
      </c>
      <c r="D604">
        <v>3851.0666666666666</v>
      </c>
      <c r="E604">
        <v>3569.2333333333331</v>
      </c>
      <c r="G604">
        <f t="shared" si="18"/>
        <v>0</v>
      </c>
      <c r="H604">
        <f t="shared" si="19"/>
        <v>0</v>
      </c>
    </row>
    <row r="605" spans="1:8" ht="12.75">
      <c r="A605" s="473" t="s">
        <v>619</v>
      </c>
      <c r="B605" s="599">
        <v>2625.6</v>
      </c>
      <c r="C605" s="599">
        <v>2495.2333333333331</v>
      </c>
      <c r="D605">
        <v>2625.6</v>
      </c>
      <c r="E605">
        <v>2495.2333333333331</v>
      </c>
      <c r="G605">
        <f t="shared" si="18"/>
        <v>0</v>
      </c>
      <c r="H605">
        <f t="shared" si="19"/>
        <v>0</v>
      </c>
    </row>
    <row r="606" spans="1:8" ht="12.75">
      <c r="A606" s="473" t="s">
        <v>619</v>
      </c>
      <c r="B606" s="599">
        <v>2735.5</v>
      </c>
      <c r="C606" s="599">
        <v>2662.7333333333331</v>
      </c>
      <c r="D606">
        <v>2735.5</v>
      </c>
      <c r="E606">
        <v>2662.7333333333331</v>
      </c>
      <c r="G606">
        <f t="shared" si="18"/>
        <v>0</v>
      </c>
      <c r="H606">
        <f t="shared" si="19"/>
        <v>0</v>
      </c>
    </row>
    <row r="607" spans="1:8" ht="12.75">
      <c r="A607" s="473" t="s">
        <v>619</v>
      </c>
      <c r="B607" s="599">
        <v>1991.4</v>
      </c>
      <c r="C607" s="599">
        <v>1876.9666666666667</v>
      </c>
      <c r="D607">
        <v>1991.4</v>
      </c>
      <c r="E607">
        <v>1876.9666666666667</v>
      </c>
      <c r="G607">
        <f t="shared" si="18"/>
        <v>0</v>
      </c>
      <c r="H607">
        <f t="shared" si="19"/>
        <v>0</v>
      </c>
    </row>
    <row r="608" spans="1:8" ht="12.75">
      <c r="A608" s="473" t="s">
        <v>619</v>
      </c>
      <c r="B608" s="599">
        <v>3437.4</v>
      </c>
      <c r="C608" s="599">
        <v>3320.1666666666665</v>
      </c>
      <c r="D608">
        <v>3437.4</v>
      </c>
      <c r="E608">
        <v>3320.1666666666665</v>
      </c>
      <c r="G608">
        <f t="shared" si="18"/>
        <v>0</v>
      </c>
      <c r="H608">
        <f t="shared" si="19"/>
        <v>0</v>
      </c>
    </row>
    <row r="609" spans="1:8" ht="12.75">
      <c r="A609" s="473" t="s">
        <v>619</v>
      </c>
      <c r="B609" s="599">
        <v>621.86666666666667</v>
      </c>
      <c r="C609" s="599">
        <v>646.76666666666665</v>
      </c>
      <c r="D609">
        <v>621.86666666666667</v>
      </c>
      <c r="E609">
        <v>646.76666666666665</v>
      </c>
      <c r="G609">
        <f t="shared" si="18"/>
        <v>0</v>
      </c>
      <c r="H609">
        <f t="shared" si="19"/>
        <v>0</v>
      </c>
    </row>
    <row r="610" spans="1:8" ht="12.75">
      <c r="A610" s="473" t="s">
        <v>619</v>
      </c>
      <c r="B610" s="599">
        <v>1649.6</v>
      </c>
      <c r="C610" s="599">
        <v>1471</v>
      </c>
      <c r="D610">
        <v>1649.6</v>
      </c>
      <c r="E610">
        <v>1471</v>
      </c>
      <c r="G610">
        <f t="shared" si="18"/>
        <v>0</v>
      </c>
      <c r="H610">
        <f t="shared" si="19"/>
        <v>0</v>
      </c>
    </row>
    <row r="611" spans="1:8" ht="12.75">
      <c r="A611" s="473" t="s">
        <v>619</v>
      </c>
      <c r="B611" s="599">
        <v>406.06666666666666</v>
      </c>
      <c r="C611" s="599">
        <v>390.8</v>
      </c>
      <c r="D611">
        <v>406.06666666666666</v>
      </c>
      <c r="E611">
        <v>390.8</v>
      </c>
      <c r="G611">
        <f t="shared" si="18"/>
        <v>0</v>
      </c>
      <c r="H611">
        <f t="shared" si="19"/>
        <v>0</v>
      </c>
    </row>
    <row r="612" spans="1:8" ht="12.75">
      <c r="A612" s="473" t="s">
        <v>619</v>
      </c>
      <c r="B612" s="599">
        <v>1507.9</v>
      </c>
      <c r="C612" s="599">
        <v>1456.1666666666667</v>
      </c>
      <c r="D612">
        <v>1507.9</v>
      </c>
      <c r="E612">
        <v>1456.1666666666667</v>
      </c>
      <c r="G612">
        <f t="shared" si="18"/>
        <v>0</v>
      </c>
      <c r="H612">
        <f t="shared" si="19"/>
        <v>0</v>
      </c>
    </row>
    <row r="613" spans="1:8" ht="12.75">
      <c r="A613" s="473" t="s">
        <v>619</v>
      </c>
      <c r="B613" s="599">
        <v>1536.1666666666667</v>
      </c>
      <c r="C613" s="599">
        <v>1417.9</v>
      </c>
      <c r="D613">
        <v>1536.1666666666667</v>
      </c>
      <c r="E613">
        <v>1417.9</v>
      </c>
      <c r="G613">
        <f t="shared" si="18"/>
        <v>0</v>
      </c>
      <c r="H613">
        <f t="shared" si="19"/>
        <v>0</v>
      </c>
    </row>
    <row r="614" spans="1:8" ht="12.75">
      <c r="A614" s="473" t="s">
        <v>619</v>
      </c>
      <c r="B614" s="599">
        <v>764.5333333333333</v>
      </c>
      <c r="C614" s="599">
        <v>734.9</v>
      </c>
      <c r="D614">
        <v>764.5333333333333</v>
      </c>
      <c r="E614">
        <v>734.9</v>
      </c>
      <c r="G614">
        <f t="shared" si="18"/>
        <v>0</v>
      </c>
      <c r="H614">
        <f t="shared" si="19"/>
        <v>0</v>
      </c>
    </row>
    <row r="615" spans="1:8" ht="12.75">
      <c r="A615" s="473" t="s">
        <v>619</v>
      </c>
      <c r="B615" s="599">
        <v>1597</v>
      </c>
      <c r="C615" s="599">
        <v>1506.5333333333333</v>
      </c>
      <c r="D615">
        <v>1597</v>
      </c>
      <c r="E615">
        <v>1506.5333333333333</v>
      </c>
      <c r="G615">
        <f t="shared" si="18"/>
        <v>0</v>
      </c>
      <c r="H615">
        <f t="shared" si="19"/>
        <v>0</v>
      </c>
    </row>
    <row r="616" spans="1:8" ht="12.75">
      <c r="A616" s="473" t="s">
        <v>619</v>
      </c>
      <c r="B616" s="599">
        <v>1228.2666666666667</v>
      </c>
      <c r="C616" s="599">
        <v>1084.8666666666666</v>
      </c>
      <c r="D616">
        <v>1228.2666666666667</v>
      </c>
      <c r="E616">
        <v>1084.8666666666666</v>
      </c>
      <c r="G616">
        <f t="shared" si="18"/>
        <v>0</v>
      </c>
      <c r="H616">
        <f t="shared" si="19"/>
        <v>0</v>
      </c>
    </row>
    <row r="617" spans="1:8" ht="12.75">
      <c r="A617" s="473" t="s">
        <v>619</v>
      </c>
      <c r="B617" s="599">
        <v>1623.8</v>
      </c>
      <c r="C617" s="599">
        <v>1608.2</v>
      </c>
      <c r="D617">
        <v>1623.8</v>
      </c>
      <c r="E617">
        <v>1608.2</v>
      </c>
      <c r="G617">
        <f t="shared" si="18"/>
        <v>0</v>
      </c>
      <c r="H617">
        <f t="shared" si="19"/>
        <v>0</v>
      </c>
    </row>
    <row r="618" spans="1:8" ht="12.75">
      <c r="A618" s="473" t="s">
        <v>619</v>
      </c>
      <c r="B618" s="599">
        <v>1399.5</v>
      </c>
      <c r="C618" s="599">
        <v>1492.5</v>
      </c>
      <c r="D618">
        <v>1399.5</v>
      </c>
      <c r="E618">
        <v>1492.5</v>
      </c>
      <c r="G618">
        <f t="shared" si="18"/>
        <v>0</v>
      </c>
      <c r="H618">
        <f t="shared" si="19"/>
        <v>0</v>
      </c>
    </row>
    <row r="619" spans="1:8" ht="12.75">
      <c r="A619" s="473" t="s">
        <v>619</v>
      </c>
      <c r="B619" s="599">
        <v>1469.5666666666666</v>
      </c>
      <c r="C619" s="599">
        <v>1385.05</v>
      </c>
      <c r="D619">
        <v>1469.5666666666666</v>
      </c>
      <c r="E619">
        <v>1385.05</v>
      </c>
      <c r="G619">
        <f t="shared" si="18"/>
        <v>0</v>
      </c>
      <c r="H619">
        <f t="shared" si="19"/>
        <v>0</v>
      </c>
    </row>
    <row r="620" spans="1:8" ht="12.75">
      <c r="A620" s="473" t="s">
        <v>619</v>
      </c>
      <c r="B620" s="599">
        <v>93799.2</v>
      </c>
      <c r="C620" s="599">
        <v>90410.916666666672</v>
      </c>
      <c r="D620">
        <v>93799.2</v>
      </c>
      <c r="E620">
        <v>90410.916666666672</v>
      </c>
      <c r="G620">
        <f t="shared" si="18"/>
        <v>0</v>
      </c>
      <c r="H620">
        <f t="shared" si="19"/>
        <v>0</v>
      </c>
    </row>
    <row r="621" spans="1:8" ht="12.75">
      <c r="A621" s="473" t="s">
        <v>619</v>
      </c>
      <c r="B621" s="599">
        <v>57725.333333333336</v>
      </c>
      <c r="C621" s="599">
        <v>55638.466666666667</v>
      </c>
      <c r="D621">
        <v>57725.333333333336</v>
      </c>
      <c r="E621">
        <v>55638.466666666667</v>
      </c>
      <c r="G621">
        <f t="shared" ref="G621:G644" si="20">D621-B621</f>
        <v>0</v>
      </c>
      <c r="H621">
        <f t="shared" ref="H621:H644" si="21">E621-C621</f>
        <v>0</v>
      </c>
    </row>
    <row r="622" spans="1:8" ht="12.75">
      <c r="A622" s="473" t="s">
        <v>619</v>
      </c>
      <c r="B622" s="599">
        <v>23497.866666666665</v>
      </c>
      <c r="C622" s="599">
        <v>22662.633333333335</v>
      </c>
      <c r="D622">
        <v>23497.866666666665</v>
      </c>
      <c r="E622">
        <v>22662.633333333335</v>
      </c>
      <c r="G622">
        <f t="shared" si="20"/>
        <v>0</v>
      </c>
      <c r="H622">
        <f t="shared" si="21"/>
        <v>0</v>
      </c>
    </row>
    <row r="623" spans="1:8" ht="12.75">
      <c r="A623" s="473" t="s">
        <v>619</v>
      </c>
      <c r="B623" s="599">
        <v>1228.2666666666667</v>
      </c>
      <c r="C623" s="599">
        <v>1084.8666666666666</v>
      </c>
      <c r="D623">
        <v>1228.2666666666667</v>
      </c>
      <c r="E623">
        <v>1084.8666666666666</v>
      </c>
      <c r="G623">
        <f t="shared" si="20"/>
        <v>0</v>
      </c>
      <c r="H623">
        <f t="shared" si="21"/>
        <v>0</v>
      </c>
    </row>
    <row r="624" spans="1:8" ht="12.75">
      <c r="A624" s="473" t="s">
        <v>619</v>
      </c>
      <c r="B624" s="599">
        <v>12576</v>
      </c>
      <c r="C624" s="599">
        <v>12109.816666666668</v>
      </c>
      <c r="D624">
        <v>12576</v>
      </c>
      <c r="E624">
        <v>12109.816666666668</v>
      </c>
      <c r="G624">
        <f t="shared" si="20"/>
        <v>0</v>
      </c>
      <c r="H624">
        <f t="shared" si="21"/>
        <v>0</v>
      </c>
    </row>
    <row r="625" spans="1:8" ht="12.75">
      <c r="A625" s="436" t="s">
        <v>410</v>
      </c>
      <c r="B625" s="599">
        <v>23669.774999999998</v>
      </c>
      <c r="C625" s="599">
        <v>22584.208333333332</v>
      </c>
      <c r="D625">
        <v>23669.774999999998</v>
      </c>
      <c r="E625">
        <v>22584.208333333332</v>
      </c>
      <c r="G625">
        <f t="shared" si="20"/>
        <v>0</v>
      </c>
      <c r="H625">
        <f t="shared" si="21"/>
        <v>0</v>
      </c>
    </row>
    <row r="626" spans="1:8" ht="12.75">
      <c r="A626" s="436" t="s">
        <v>410</v>
      </c>
      <c r="B626" s="599">
        <v>10516.116666666667</v>
      </c>
      <c r="C626" s="599">
        <v>9933.9666666666672</v>
      </c>
      <c r="D626">
        <v>10516.116666666667</v>
      </c>
      <c r="E626">
        <v>9933.9666666666672</v>
      </c>
      <c r="G626">
        <f t="shared" si="20"/>
        <v>0</v>
      </c>
      <c r="H626">
        <f t="shared" si="21"/>
        <v>0</v>
      </c>
    </row>
    <row r="627" spans="1:8" ht="12.75">
      <c r="A627" s="436" t="s">
        <v>410</v>
      </c>
      <c r="B627" s="599">
        <v>1720.6916666666666</v>
      </c>
      <c r="C627" s="599">
        <v>1683.9666666666667</v>
      </c>
      <c r="D627">
        <v>1720.6916666666666</v>
      </c>
      <c r="E627">
        <v>1683.9666666666667</v>
      </c>
      <c r="G627">
        <f t="shared" si="20"/>
        <v>0</v>
      </c>
      <c r="H627">
        <f t="shared" si="21"/>
        <v>0</v>
      </c>
    </row>
    <row r="628" spans="1:8" ht="12.75">
      <c r="A628" s="436" t="s">
        <v>410</v>
      </c>
      <c r="B628" s="599">
        <v>3323.7333333333336</v>
      </c>
      <c r="C628" s="599">
        <v>3066.125</v>
      </c>
      <c r="D628">
        <v>3323.7333333333336</v>
      </c>
      <c r="E628">
        <v>3066.125</v>
      </c>
      <c r="G628">
        <f t="shared" si="20"/>
        <v>0</v>
      </c>
      <c r="H628">
        <f t="shared" si="21"/>
        <v>0</v>
      </c>
    </row>
    <row r="629" spans="1:8" ht="12.75">
      <c r="A629" s="436" t="s">
        <v>410</v>
      </c>
      <c r="B629" s="599">
        <v>2986.3666666666668</v>
      </c>
      <c r="C629" s="599">
        <v>2989.7833333333333</v>
      </c>
      <c r="D629">
        <v>2986.3666666666668</v>
      </c>
      <c r="E629">
        <v>2989.7833333333333</v>
      </c>
      <c r="G629">
        <f t="shared" si="20"/>
        <v>0</v>
      </c>
      <c r="H629">
        <f t="shared" si="21"/>
        <v>0</v>
      </c>
    </row>
    <row r="630" spans="1:8" ht="12.75">
      <c r="A630" s="576" t="s">
        <v>410</v>
      </c>
      <c r="B630" s="599">
        <v>2304.7166666666667</v>
      </c>
      <c r="C630" s="599">
        <v>2155.6416666666664</v>
      </c>
      <c r="D630">
        <v>2304.7166666666667</v>
      </c>
      <c r="E630">
        <v>2155.6416666666664</v>
      </c>
      <c r="G630">
        <f t="shared" si="20"/>
        <v>0</v>
      </c>
      <c r="H630">
        <f t="shared" si="21"/>
        <v>0</v>
      </c>
    </row>
    <row r="631" spans="1:8" ht="12.75">
      <c r="A631" s="436" t="s">
        <v>410</v>
      </c>
      <c r="B631" s="599">
        <v>1051.0999999999999</v>
      </c>
      <c r="C631" s="599">
        <v>1028</v>
      </c>
      <c r="D631">
        <v>1051.0999999999999</v>
      </c>
      <c r="E631">
        <v>1028</v>
      </c>
      <c r="G631">
        <f t="shared" si="20"/>
        <v>0</v>
      </c>
      <c r="H631">
        <f t="shared" si="21"/>
        <v>0</v>
      </c>
    </row>
    <row r="632" spans="1:8" ht="12.75">
      <c r="A632" s="436" t="s">
        <v>410</v>
      </c>
      <c r="B632" s="599">
        <v>1229.5999999999999</v>
      </c>
      <c r="C632" s="599">
        <v>1185.1666666666667</v>
      </c>
      <c r="D632">
        <v>1229.5999999999999</v>
      </c>
      <c r="E632">
        <v>1185.1666666666667</v>
      </c>
      <c r="G632">
        <f t="shared" si="20"/>
        <v>0</v>
      </c>
      <c r="H632">
        <f t="shared" si="21"/>
        <v>0</v>
      </c>
    </row>
    <row r="633" spans="1:8" ht="12.75">
      <c r="A633" s="576" t="s">
        <v>410</v>
      </c>
      <c r="B633" s="599">
        <v>2266.1916666666666</v>
      </c>
      <c r="C633" s="599">
        <v>2030.3666666666666</v>
      </c>
      <c r="D633">
        <v>2266.1916666666666</v>
      </c>
      <c r="E633">
        <v>2030.3666666666666</v>
      </c>
      <c r="G633">
        <f t="shared" si="20"/>
        <v>0</v>
      </c>
      <c r="H633">
        <f t="shared" si="21"/>
        <v>0</v>
      </c>
    </row>
    <row r="634" spans="1:8" ht="12.75">
      <c r="A634" s="436" t="s">
        <v>410</v>
      </c>
      <c r="B634" s="599">
        <v>1315.4</v>
      </c>
      <c r="C634" s="599">
        <v>1239.3333333333333</v>
      </c>
      <c r="D634">
        <v>1315.4</v>
      </c>
      <c r="E634">
        <v>1239.3333333333333</v>
      </c>
      <c r="G634">
        <f t="shared" si="20"/>
        <v>0</v>
      </c>
      <c r="H634">
        <f t="shared" si="21"/>
        <v>0</v>
      </c>
    </row>
    <row r="635" spans="1:8" ht="12.75">
      <c r="A635" s="436" t="s">
        <v>410</v>
      </c>
      <c r="B635" s="599">
        <v>1056.2666666666667</v>
      </c>
      <c r="C635" s="599">
        <v>1018.1666666666666</v>
      </c>
      <c r="D635">
        <v>1056.2666666666667</v>
      </c>
      <c r="E635">
        <v>1018.1666666666666</v>
      </c>
      <c r="G635">
        <f t="shared" si="20"/>
        <v>0</v>
      </c>
      <c r="H635">
        <f t="shared" si="21"/>
        <v>0</v>
      </c>
    </row>
    <row r="636" spans="1:8" ht="12.75">
      <c r="A636" s="436" t="s">
        <v>410</v>
      </c>
      <c r="B636" s="599">
        <v>1801.7666666666667</v>
      </c>
      <c r="C636" s="599">
        <v>1626.8</v>
      </c>
      <c r="D636">
        <v>1801.7666666666667</v>
      </c>
      <c r="E636">
        <v>1626.8</v>
      </c>
      <c r="G636">
        <f t="shared" si="20"/>
        <v>0</v>
      </c>
      <c r="H636">
        <f t="shared" si="21"/>
        <v>0</v>
      </c>
    </row>
    <row r="637" spans="1:8" ht="12.75">
      <c r="A637" s="436" t="s">
        <v>410</v>
      </c>
      <c r="B637" s="599">
        <v>1695.0799999999997</v>
      </c>
      <c r="C637" s="599">
        <v>1327</v>
      </c>
      <c r="D637">
        <v>1695.0799999999997</v>
      </c>
      <c r="E637">
        <v>1327</v>
      </c>
      <c r="G637">
        <f t="shared" si="20"/>
        <v>0</v>
      </c>
      <c r="H637">
        <f t="shared" si="21"/>
        <v>0</v>
      </c>
    </row>
    <row r="638" spans="1:8" ht="12.75">
      <c r="A638" s="436" t="s">
        <v>410</v>
      </c>
      <c r="B638" s="599">
        <v>1226.0999999999999</v>
      </c>
      <c r="C638" s="599">
        <v>1171.3666666666666</v>
      </c>
      <c r="D638">
        <v>1226.0999999999999</v>
      </c>
      <c r="E638">
        <v>1171.3666666666666</v>
      </c>
      <c r="G638">
        <f t="shared" si="20"/>
        <v>0</v>
      </c>
      <c r="H638">
        <f t="shared" si="21"/>
        <v>0</v>
      </c>
    </row>
    <row r="639" spans="1:8" ht="12.75">
      <c r="A639" s="436" t="s">
        <v>410</v>
      </c>
      <c r="B639" s="599">
        <v>219.86666666666667</v>
      </c>
      <c r="C639" s="599">
        <v>191.66666666666666</v>
      </c>
      <c r="D639">
        <v>219.86666666666667</v>
      </c>
      <c r="E639">
        <v>191.66666666666666</v>
      </c>
      <c r="G639">
        <f t="shared" si="20"/>
        <v>0</v>
      </c>
      <c r="H639">
        <f t="shared" si="21"/>
        <v>0</v>
      </c>
    </row>
    <row r="640" spans="1:8" ht="12.75">
      <c r="A640" s="436" t="s">
        <v>410</v>
      </c>
      <c r="B640" s="599">
        <v>1123.6333333333334</v>
      </c>
      <c r="C640" s="599">
        <v>924</v>
      </c>
      <c r="D640">
        <v>1123.6333333333334</v>
      </c>
      <c r="E640">
        <v>924</v>
      </c>
      <c r="G640">
        <f t="shared" si="20"/>
        <v>0</v>
      </c>
      <c r="H640">
        <f t="shared" si="21"/>
        <v>0</v>
      </c>
    </row>
    <row r="641" spans="1:8" ht="12.75">
      <c r="A641" s="436" t="s">
        <v>410</v>
      </c>
      <c r="B641" s="599">
        <v>847.0333333333333</v>
      </c>
      <c r="C641" s="599">
        <v>786.9666666666667</v>
      </c>
      <c r="D641">
        <v>847.0333333333333</v>
      </c>
      <c r="E641">
        <v>786.9666666666667</v>
      </c>
      <c r="G641">
        <f t="shared" si="20"/>
        <v>0</v>
      </c>
      <c r="H641">
        <f t="shared" si="21"/>
        <v>0</v>
      </c>
    </row>
    <row r="642" spans="1:8" ht="12.75">
      <c r="A642" s="436" t="s">
        <v>410</v>
      </c>
      <c r="B642" s="599">
        <v>1185.9666666666667</v>
      </c>
      <c r="C642" s="599">
        <v>1080.0666666666666</v>
      </c>
      <c r="D642">
        <v>1185.9666666666667</v>
      </c>
      <c r="E642">
        <v>1080.0666666666666</v>
      </c>
      <c r="G642">
        <f t="shared" si="20"/>
        <v>0</v>
      </c>
      <c r="H642">
        <f t="shared" si="21"/>
        <v>0</v>
      </c>
    </row>
    <row r="643" spans="1:8" ht="12.75">
      <c r="A643" s="436" t="s">
        <v>410</v>
      </c>
      <c r="B643" s="599">
        <v>1113.5666666666666</v>
      </c>
      <c r="C643" s="599">
        <v>1034.2</v>
      </c>
      <c r="D643">
        <v>1113.5666666666666</v>
      </c>
      <c r="E643">
        <v>1034.2</v>
      </c>
      <c r="G643">
        <f t="shared" si="20"/>
        <v>0</v>
      </c>
      <c r="H643">
        <f t="shared" si="21"/>
        <v>0</v>
      </c>
    </row>
    <row r="644" spans="1:8" ht="12.75">
      <c r="A644" s="436" t="s">
        <v>410</v>
      </c>
      <c r="B644" s="599">
        <v>928.83333333333337</v>
      </c>
      <c r="C644" s="599">
        <v>833.33333333333337</v>
      </c>
      <c r="D644">
        <v>928.83333333333337</v>
      </c>
      <c r="E644">
        <v>833.33333333333337</v>
      </c>
      <c r="G644">
        <f t="shared" si="20"/>
        <v>0</v>
      </c>
      <c r="H644">
        <f t="shared" si="2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G209"/>
  <sheetViews>
    <sheetView workbookViewId="0">
      <selection sqref="A1:XFD1048576"/>
    </sheetView>
  </sheetViews>
  <sheetFormatPr defaultColWidth="9.33203125" defaultRowHeight="12.75"/>
  <cols>
    <col min="1" max="1" width="7.5" style="1" customWidth="1"/>
    <col min="2" max="2" width="46.6640625" style="1" customWidth="1"/>
    <col min="3" max="8" width="16.1640625" style="1" customWidth="1"/>
    <col min="9" max="9" width="17.5" style="1" customWidth="1"/>
    <col min="10" max="13" width="14.33203125" style="1" customWidth="1"/>
    <col min="14" max="14" width="17" style="1" customWidth="1"/>
    <col min="15" max="15" width="13.83203125" style="1" customWidth="1"/>
    <col min="16" max="16" width="13.83203125" style="1" hidden="1" customWidth="1"/>
    <col min="17" max="18" width="14.5" style="1" customWidth="1"/>
    <col min="19" max="19" width="11.6640625" style="1" customWidth="1"/>
    <col min="20" max="20" width="8.5" style="1" customWidth="1"/>
    <col min="21" max="21" width="10.83203125" style="1" customWidth="1"/>
    <col min="22" max="22" width="9.83203125" style="1" customWidth="1"/>
    <col min="23" max="23" width="12.1640625" style="1" customWidth="1"/>
    <col min="24" max="24" width="9.83203125" style="1" customWidth="1"/>
    <col min="25" max="25" width="12.1640625" style="1" customWidth="1"/>
    <col min="26" max="26" width="8.6640625" style="1" customWidth="1"/>
    <col min="27" max="27" width="12.1640625" style="1" customWidth="1"/>
    <col min="28" max="29" width="1.5" style="1" customWidth="1"/>
    <col min="30" max="30" width="2.1640625" style="1" customWidth="1"/>
    <col min="31" max="31" width="14.5" style="1" customWidth="1"/>
    <col min="32" max="32" width="13.6640625" style="1" customWidth="1"/>
    <col min="33" max="33" width="12.6640625" style="1" customWidth="1"/>
    <col min="34" max="34" width="16" style="1" customWidth="1"/>
    <col min="35" max="35" width="16.5" style="1" customWidth="1"/>
    <col min="36" max="36" width="14.6640625" style="1" customWidth="1"/>
    <col min="37" max="37" width="14" style="1" customWidth="1"/>
    <col min="38" max="16384" width="9.33203125" style="1"/>
  </cols>
  <sheetData>
    <row r="1" spans="1:31">
      <c r="M1" s="7"/>
      <c r="T1" s="8"/>
      <c r="U1" s="8"/>
      <c r="V1" s="8"/>
      <c r="W1" s="8"/>
      <c r="X1" s="8"/>
      <c r="Y1" s="8"/>
      <c r="Z1" s="8"/>
      <c r="AA1" s="8"/>
    </row>
    <row r="2" spans="1:31">
      <c r="E2" s="9"/>
      <c r="F2" s="9"/>
      <c r="G2" s="9"/>
      <c r="H2" s="9"/>
      <c r="I2" s="9"/>
      <c r="J2" s="10"/>
      <c r="K2" s="9"/>
      <c r="L2" s="9"/>
      <c r="M2" s="11"/>
      <c r="N2" s="12"/>
      <c r="O2" s="10"/>
      <c r="P2" s="9"/>
      <c r="Q2" s="9"/>
      <c r="R2" s="9"/>
      <c r="S2" s="9"/>
      <c r="T2" s="13"/>
      <c r="U2" s="13"/>
      <c r="V2" s="13"/>
      <c r="W2" s="13"/>
      <c r="X2" s="13"/>
      <c r="Y2" s="13"/>
      <c r="Z2" s="13"/>
      <c r="AA2" s="14"/>
      <c r="AB2" s="15"/>
      <c r="AC2" s="16"/>
      <c r="AD2" s="17"/>
      <c r="AE2"/>
    </row>
    <row r="3" spans="1:31">
      <c r="A3" s="18"/>
      <c r="B3" s="9"/>
      <c r="C3" s="18"/>
      <c r="D3" s="9"/>
      <c r="E3" s="9"/>
      <c r="F3" s="9"/>
      <c r="G3" s="9"/>
      <c r="H3" s="9"/>
      <c r="I3" s="19"/>
      <c r="J3" s="18"/>
      <c r="K3" s="9"/>
      <c r="L3" s="9"/>
      <c r="M3" s="9"/>
      <c r="N3" s="19"/>
      <c r="O3" s="18"/>
      <c r="P3" s="9"/>
      <c r="Q3" s="19"/>
      <c r="R3" s="18"/>
      <c r="S3" s="18"/>
      <c r="T3" s="20"/>
      <c r="U3" s="20"/>
      <c r="V3" s="20"/>
      <c r="W3" s="20"/>
      <c r="X3" s="20"/>
      <c r="Y3" s="20"/>
      <c r="Z3" s="20"/>
      <c r="AA3" s="21"/>
      <c r="AB3" s="22"/>
      <c r="AC3" s="23"/>
      <c r="AD3" s="17"/>
      <c r="AE3"/>
    </row>
    <row r="4" spans="1:31">
      <c r="A4" s="18"/>
      <c r="B4" s="24"/>
      <c r="C4" s="25"/>
      <c r="D4" s="26"/>
      <c r="E4" s="26"/>
      <c r="F4" s="26"/>
      <c r="G4" s="26"/>
      <c r="H4" s="26"/>
      <c r="I4" s="27"/>
      <c r="J4" s="28"/>
      <c r="K4" s="29"/>
      <c r="L4" s="29"/>
      <c r="M4" s="29"/>
      <c r="N4" s="27"/>
      <c r="O4" s="28"/>
      <c r="P4" s="29"/>
      <c r="Q4" s="27"/>
      <c r="R4" s="18"/>
      <c r="S4" s="30"/>
      <c r="T4" s="20"/>
      <c r="U4" s="31"/>
      <c r="V4" s="32"/>
      <c r="W4" s="33"/>
      <c r="X4" s="32"/>
      <c r="Y4" s="33"/>
      <c r="Z4" s="20"/>
      <c r="AA4" s="34"/>
      <c r="AB4" s="22"/>
      <c r="AC4" s="35"/>
      <c r="AD4" s="17"/>
      <c r="AE4"/>
    </row>
    <row r="5" spans="1:31">
      <c r="A5" s="36"/>
      <c r="B5" s="24"/>
      <c r="C5" s="18"/>
      <c r="D5" s="12"/>
      <c r="E5" s="12"/>
      <c r="F5" s="12"/>
      <c r="G5" s="12"/>
      <c r="H5" s="12"/>
      <c r="I5" s="18"/>
      <c r="J5" s="18"/>
      <c r="K5" s="12"/>
      <c r="L5" s="12"/>
      <c r="M5" s="12"/>
      <c r="N5" s="18"/>
      <c r="O5" s="18"/>
      <c r="P5" s="12"/>
      <c r="Q5" s="18"/>
      <c r="R5" s="18"/>
      <c r="S5" s="18"/>
      <c r="T5" s="20"/>
      <c r="U5" s="20"/>
      <c r="V5" s="20"/>
      <c r="W5" s="20"/>
      <c r="X5" s="20"/>
      <c r="Y5" s="20"/>
      <c r="Z5" s="20"/>
      <c r="AA5" s="37"/>
      <c r="AB5" s="22"/>
      <c r="AC5" s="23"/>
      <c r="AD5" s="17"/>
      <c r="AE5"/>
    </row>
    <row r="6" spans="1:31">
      <c r="A6" s="38"/>
      <c r="B6" s="39"/>
      <c r="C6" s="40"/>
      <c r="D6" s="17"/>
      <c r="E6" s="17"/>
      <c r="F6" s="17"/>
      <c r="G6" s="17"/>
      <c r="H6" s="17"/>
      <c r="I6" s="40"/>
      <c r="J6" s="40"/>
      <c r="K6" s="17"/>
      <c r="L6" s="17"/>
      <c r="M6" s="17"/>
      <c r="N6" s="40"/>
      <c r="O6" s="40"/>
      <c r="P6" s="17"/>
      <c r="Q6" s="40"/>
      <c r="R6" s="40"/>
      <c r="S6" s="40"/>
      <c r="T6" s="41"/>
      <c r="U6" s="41"/>
      <c r="V6" s="41"/>
      <c r="W6" s="41"/>
      <c r="X6" s="41"/>
      <c r="Y6" s="41"/>
      <c r="Z6" s="41"/>
      <c r="AA6" s="42"/>
      <c r="AB6" s="43"/>
      <c r="AC6" s="44"/>
      <c r="AD6" s="17"/>
      <c r="AE6"/>
    </row>
    <row r="7" spans="1:31">
      <c r="A7" s="38"/>
      <c r="B7" s="45"/>
      <c r="C7" s="46"/>
      <c r="D7" s="47"/>
      <c r="E7" s="47"/>
      <c r="F7" s="47"/>
      <c r="G7" s="47"/>
      <c r="H7" s="47"/>
      <c r="I7" s="46"/>
      <c r="J7" s="46"/>
      <c r="K7" s="47"/>
      <c r="L7" s="47"/>
      <c r="M7" s="47"/>
      <c r="N7" s="46"/>
      <c r="O7" s="48"/>
      <c r="P7" s="47"/>
      <c r="Q7" s="46"/>
      <c r="R7" s="46"/>
      <c r="S7" s="46"/>
      <c r="T7" s="49"/>
      <c r="U7" s="49"/>
      <c r="V7" s="49"/>
      <c r="W7" s="49"/>
      <c r="X7" s="49"/>
      <c r="Y7" s="49"/>
      <c r="Z7" s="49"/>
      <c r="AA7" s="50"/>
      <c r="AB7" s="51"/>
      <c r="AC7" s="52"/>
      <c r="AD7" s="47"/>
      <c r="AE7"/>
    </row>
    <row r="8" spans="1:31">
      <c r="A8" s="38"/>
      <c r="B8" s="39"/>
      <c r="C8" s="40"/>
      <c r="D8" s="17"/>
      <c r="E8" s="17"/>
      <c r="F8" s="17"/>
      <c r="G8" s="17"/>
      <c r="H8" s="17"/>
      <c r="I8" s="40"/>
      <c r="J8" s="40"/>
      <c r="K8" s="17"/>
      <c r="L8" s="17"/>
      <c r="M8" s="17"/>
      <c r="N8" s="40"/>
      <c r="O8" s="53"/>
      <c r="P8" s="17"/>
      <c r="Q8" s="40"/>
      <c r="R8" s="40"/>
      <c r="S8" s="40"/>
      <c r="T8" s="41"/>
      <c r="U8" s="41"/>
      <c r="V8" s="41"/>
      <c r="W8" s="41"/>
      <c r="X8" s="41"/>
      <c r="Y8" s="41"/>
      <c r="Z8" s="41"/>
      <c r="AA8" s="54"/>
      <c r="AB8" s="43"/>
      <c r="AC8" s="44"/>
      <c r="AD8" s="17"/>
      <c r="AE8"/>
    </row>
    <row r="9" spans="1:31">
      <c r="A9" s="38"/>
      <c r="B9" s="39"/>
      <c r="C9" s="40"/>
      <c r="D9" s="17"/>
      <c r="E9" s="17"/>
      <c r="F9" s="17"/>
      <c r="G9" s="17"/>
      <c r="H9" s="17"/>
      <c r="I9" s="40"/>
      <c r="J9" s="40"/>
      <c r="K9" s="17"/>
      <c r="L9" s="17"/>
      <c r="M9" s="17"/>
      <c r="N9" s="40"/>
      <c r="O9" s="53"/>
      <c r="P9" s="17"/>
      <c r="Q9" s="40"/>
      <c r="R9" s="40"/>
      <c r="S9" s="40"/>
      <c r="T9" s="41"/>
      <c r="U9" s="41"/>
      <c r="V9" s="41"/>
      <c r="W9" s="41"/>
      <c r="X9" s="41"/>
      <c r="Y9" s="41"/>
      <c r="Z9" s="41"/>
      <c r="AA9" s="54"/>
      <c r="AB9" s="43"/>
      <c r="AC9" s="44"/>
      <c r="AD9" s="17"/>
      <c r="AE9"/>
    </row>
    <row r="10" spans="1:31">
      <c r="A10" s="38"/>
      <c r="B10" s="45"/>
      <c r="C10" s="46"/>
      <c r="D10" s="47"/>
      <c r="E10" s="47"/>
      <c r="F10" s="47"/>
      <c r="G10" s="47"/>
      <c r="H10" s="47"/>
      <c r="I10" s="46"/>
      <c r="J10" s="46"/>
      <c r="K10" s="47"/>
      <c r="L10" s="47"/>
      <c r="M10" s="47"/>
      <c r="N10" s="46"/>
      <c r="O10" s="48"/>
      <c r="P10" s="47"/>
      <c r="Q10" s="46"/>
      <c r="R10" s="46"/>
      <c r="S10" s="46"/>
      <c r="T10" s="49"/>
      <c r="U10" s="49"/>
      <c r="V10" s="49"/>
      <c r="W10" s="49"/>
      <c r="X10" s="49"/>
      <c r="Y10" s="49"/>
      <c r="Z10" s="49"/>
      <c r="AA10" s="50"/>
      <c r="AB10" s="51"/>
      <c r="AC10" s="52"/>
      <c r="AD10" s="47"/>
      <c r="AE10"/>
    </row>
    <row r="11" spans="1:31">
      <c r="A11" s="38"/>
      <c r="B11" s="39"/>
      <c r="C11" s="40"/>
      <c r="D11" s="17"/>
      <c r="E11" s="17"/>
      <c r="F11" s="17"/>
      <c r="G11" s="17"/>
      <c r="H11" s="17"/>
      <c r="I11" s="40"/>
      <c r="J11" s="40"/>
      <c r="K11" s="17"/>
      <c r="L11" s="17"/>
      <c r="M11" s="17"/>
      <c r="N11" s="40"/>
      <c r="O11" s="53"/>
      <c r="P11" s="17"/>
      <c r="Q11" s="40"/>
      <c r="R11" s="40"/>
      <c r="S11" s="40"/>
      <c r="T11" s="41"/>
      <c r="U11" s="41"/>
      <c r="V11" s="41"/>
      <c r="W11" s="41"/>
      <c r="X11" s="41"/>
      <c r="Y11" s="41"/>
      <c r="Z11" s="41"/>
      <c r="AA11" s="54"/>
      <c r="AB11" s="43"/>
      <c r="AC11" s="44"/>
      <c r="AD11" s="17"/>
      <c r="AE11"/>
    </row>
    <row r="12" spans="1:31">
      <c r="A12" s="38"/>
      <c r="B12" s="39"/>
      <c r="C12" s="40"/>
      <c r="D12" s="17"/>
      <c r="E12" s="17"/>
      <c r="F12" s="17"/>
      <c r="G12" s="17"/>
      <c r="H12" s="17"/>
      <c r="I12" s="40"/>
      <c r="J12" s="40"/>
      <c r="K12" s="17"/>
      <c r="L12" s="17"/>
      <c r="M12" s="17"/>
      <c r="N12" s="40"/>
      <c r="O12" s="53"/>
      <c r="P12" s="17"/>
      <c r="Q12" s="40"/>
      <c r="R12" s="40"/>
      <c r="S12" s="40"/>
      <c r="T12" s="41"/>
      <c r="U12" s="41"/>
      <c r="V12" s="41"/>
      <c r="W12" s="41"/>
      <c r="X12" s="41"/>
      <c r="Y12" s="41"/>
      <c r="Z12" s="41"/>
      <c r="AA12" s="54"/>
      <c r="AB12" s="43"/>
      <c r="AC12" s="44"/>
      <c r="AD12" s="17"/>
      <c r="AE12"/>
    </row>
    <row r="13" spans="1:31">
      <c r="A13" s="38"/>
      <c r="B13" s="45"/>
      <c r="C13" s="46"/>
      <c r="D13" s="47"/>
      <c r="E13" s="47"/>
      <c r="F13" s="47"/>
      <c r="G13" s="47"/>
      <c r="H13" s="47"/>
      <c r="I13" s="46"/>
      <c r="J13" s="46"/>
      <c r="K13" s="47"/>
      <c r="L13" s="47"/>
      <c r="M13" s="47"/>
      <c r="N13" s="46"/>
      <c r="O13" s="48"/>
      <c r="P13" s="47"/>
      <c r="Q13" s="46"/>
      <c r="R13" s="46"/>
      <c r="S13" s="46"/>
      <c r="T13" s="49"/>
      <c r="U13" s="49"/>
      <c r="V13" s="49"/>
      <c r="W13" s="49"/>
      <c r="X13" s="49"/>
      <c r="Y13" s="49"/>
      <c r="Z13" s="49"/>
      <c r="AA13" s="50"/>
      <c r="AB13" s="51"/>
      <c r="AC13" s="52"/>
      <c r="AD13" s="47"/>
      <c r="AE13"/>
    </row>
    <row r="14" spans="1:31">
      <c r="A14" s="38"/>
      <c r="B14" s="39"/>
      <c r="C14" s="40"/>
      <c r="D14" s="17"/>
      <c r="E14" s="17"/>
      <c r="F14" s="17"/>
      <c r="G14" s="17"/>
      <c r="H14" s="17"/>
      <c r="I14" s="40"/>
      <c r="J14" s="40"/>
      <c r="K14" s="17"/>
      <c r="L14" s="17"/>
      <c r="M14" s="17"/>
      <c r="N14" s="40"/>
      <c r="O14" s="53"/>
      <c r="P14" s="17"/>
      <c r="Q14" s="40"/>
      <c r="R14" s="40"/>
      <c r="S14" s="40"/>
      <c r="T14" s="41"/>
      <c r="U14" s="41"/>
      <c r="V14" s="41"/>
      <c r="W14" s="41"/>
      <c r="X14" s="41"/>
      <c r="Y14" s="41"/>
      <c r="Z14" s="41"/>
      <c r="AA14" s="54"/>
      <c r="AB14" s="43"/>
      <c r="AC14" s="44"/>
      <c r="AD14" s="17"/>
      <c r="AE14"/>
    </row>
    <row r="15" spans="1:31">
      <c r="A15" s="38"/>
      <c r="B15" s="39"/>
      <c r="C15" s="40"/>
      <c r="D15" s="17"/>
      <c r="E15" s="17"/>
      <c r="F15" s="17"/>
      <c r="G15" s="17"/>
      <c r="H15" s="17"/>
      <c r="I15" s="40"/>
      <c r="J15" s="40"/>
      <c r="K15" s="17"/>
      <c r="L15" s="17"/>
      <c r="M15" s="17"/>
      <c r="N15" s="40"/>
      <c r="O15" s="53"/>
      <c r="P15" s="17"/>
      <c r="Q15" s="40"/>
      <c r="R15" s="40"/>
      <c r="S15" s="40"/>
      <c r="T15" s="41"/>
      <c r="U15" s="41"/>
      <c r="V15" s="41"/>
      <c r="W15" s="41"/>
      <c r="X15" s="41"/>
      <c r="Y15" s="41"/>
      <c r="Z15" s="41"/>
      <c r="AA15" s="54"/>
      <c r="AB15" s="43"/>
      <c r="AC15" s="44"/>
      <c r="AD15" s="17"/>
      <c r="AE15"/>
    </row>
    <row r="16" spans="1:31">
      <c r="A16" s="55"/>
      <c r="B16" s="56"/>
      <c r="C16" s="46"/>
      <c r="D16" s="47"/>
      <c r="E16" s="47"/>
      <c r="F16" s="47"/>
      <c r="G16" s="47"/>
      <c r="H16" s="47"/>
      <c r="I16" s="46"/>
      <c r="J16" s="46"/>
      <c r="K16" s="47"/>
      <c r="L16" s="47"/>
      <c r="M16" s="47"/>
      <c r="N16" s="46"/>
      <c r="O16" s="48"/>
      <c r="P16" s="47"/>
      <c r="Q16" s="46"/>
      <c r="R16" s="46"/>
      <c r="S16" s="46"/>
      <c r="T16" s="49"/>
      <c r="U16" s="49"/>
      <c r="V16" s="49"/>
      <c r="W16" s="49"/>
      <c r="X16" s="49"/>
      <c r="Y16" s="49"/>
      <c r="Z16" s="49"/>
      <c r="AA16" s="50"/>
      <c r="AB16" s="43"/>
      <c r="AC16" s="44"/>
      <c r="AD16" s="47"/>
      <c r="AE16"/>
    </row>
    <row r="17" spans="1:31">
      <c r="A17" s="36"/>
      <c r="B17" s="24"/>
      <c r="C17" s="18"/>
      <c r="D17" s="12"/>
      <c r="E17" s="12"/>
      <c r="F17" s="12"/>
      <c r="G17" s="12"/>
      <c r="H17" s="12"/>
      <c r="I17" s="18"/>
      <c r="J17" s="18"/>
      <c r="K17" s="12"/>
      <c r="L17" s="12"/>
      <c r="M17" s="12"/>
      <c r="N17" s="18"/>
      <c r="O17" s="18"/>
      <c r="P17" s="12"/>
      <c r="Q17" s="18"/>
      <c r="R17" s="18"/>
      <c r="S17" s="18"/>
      <c r="T17" s="20"/>
      <c r="U17" s="20"/>
      <c r="V17" s="20"/>
      <c r="W17" s="20"/>
      <c r="X17" s="20"/>
      <c r="Y17" s="20"/>
      <c r="Z17" s="20"/>
      <c r="AA17" s="37"/>
      <c r="AB17" s="22"/>
      <c r="AC17" s="23"/>
      <c r="AD17" s="17"/>
      <c r="AE17"/>
    </row>
    <row r="18" spans="1:31">
      <c r="A18" s="38"/>
      <c r="B18" s="39"/>
      <c r="C18" s="40"/>
      <c r="D18" s="17"/>
      <c r="E18" s="17"/>
      <c r="F18" s="17"/>
      <c r="G18" s="17"/>
      <c r="H18" s="17"/>
      <c r="I18" s="40"/>
      <c r="J18" s="40"/>
      <c r="K18" s="17"/>
      <c r="L18" s="17"/>
      <c r="M18" s="17"/>
      <c r="N18" s="40"/>
      <c r="O18" s="40"/>
      <c r="P18" s="17"/>
      <c r="Q18" s="40"/>
      <c r="R18" s="40"/>
      <c r="S18" s="40"/>
      <c r="T18" s="41"/>
      <c r="U18" s="41"/>
      <c r="V18" s="41"/>
      <c r="W18" s="41"/>
      <c r="X18" s="41"/>
      <c r="Y18" s="41"/>
      <c r="Z18" s="41"/>
      <c r="AA18" s="42"/>
      <c r="AB18" s="43"/>
      <c r="AC18" s="44"/>
      <c r="AD18" s="17"/>
      <c r="AE18"/>
    </row>
    <row r="19" spans="1:31">
      <c r="A19" s="38"/>
      <c r="B19" s="45"/>
      <c r="C19" s="46"/>
      <c r="D19" s="47"/>
      <c r="E19" s="47"/>
      <c r="F19" s="47"/>
      <c r="G19" s="47"/>
      <c r="H19" s="47"/>
      <c r="I19" s="46"/>
      <c r="J19" s="46"/>
      <c r="K19" s="47"/>
      <c r="L19" s="47"/>
      <c r="M19" s="47"/>
      <c r="N19" s="46"/>
      <c r="O19" s="48"/>
      <c r="P19" s="47"/>
      <c r="Q19" s="46"/>
      <c r="R19" s="46"/>
      <c r="S19" s="46"/>
      <c r="T19" s="49"/>
      <c r="U19" s="49"/>
      <c r="V19" s="49"/>
      <c r="W19" s="49"/>
      <c r="X19" s="49"/>
      <c r="Y19" s="49"/>
      <c r="Z19" s="49"/>
      <c r="AA19" s="50"/>
      <c r="AB19" s="51"/>
      <c r="AC19" s="52"/>
      <c r="AD19" s="47"/>
      <c r="AE19"/>
    </row>
    <row r="20" spans="1:31">
      <c r="A20" s="38"/>
      <c r="B20" s="39"/>
      <c r="C20" s="40"/>
      <c r="D20" s="17"/>
      <c r="E20" s="17"/>
      <c r="F20" s="17"/>
      <c r="G20" s="17"/>
      <c r="H20" s="17"/>
      <c r="I20" s="40"/>
      <c r="J20" s="40"/>
      <c r="K20" s="17"/>
      <c r="L20" s="17"/>
      <c r="M20" s="17"/>
      <c r="N20" s="40"/>
      <c r="O20" s="53"/>
      <c r="P20" s="17"/>
      <c r="Q20" s="40"/>
      <c r="R20" s="40"/>
      <c r="S20" s="40"/>
      <c r="T20" s="41"/>
      <c r="U20" s="41"/>
      <c r="V20" s="41"/>
      <c r="W20" s="41"/>
      <c r="X20" s="41"/>
      <c r="Y20" s="41"/>
      <c r="Z20" s="41"/>
      <c r="AA20" s="54"/>
      <c r="AB20" s="43"/>
      <c r="AC20" s="44"/>
      <c r="AD20" s="17"/>
      <c r="AE20"/>
    </row>
    <row r="21" spans="1:31">
      <c r="A21" s="38"/>
      <c r="B21" s="39"/>
      <c r="C21" s="40"/>
      <c r="D21" s="17"/>
      <c r="E21" s="17"/>
      <c r="F21" s="17"/>
      <c r="G21" s="17"/>
      <c r="H21" s="17"/>
      <c r="I21" s="40"/>
      <c r="J21" s="40"/>
      <c r="K21" s="17"/>
      <c r="L21" s="17"/>
      <c r="M21" s="17"/>
      <c r="N21" s="40"/>
      <c r="O21" s="53"/>
      <c r="P21" s="17"/>
      <c r="Q21" s="40"/>
      <c r="R21" s="40"/>
      <c r="S21" s="40"/>
      <c r="T21" s="41"/>
      <c r="U21" s="41"/>
      <c r="V21" s="41"/>
      <c r="W21" s="41"/>
      <c r="X21" s="41"/>
      <c r="Y21" s="41"/>
      <c r="Z21" s="41"/>
      <c r="AA21" s="54"/>
      <c r="AB21" s="43"/>
      <c r="AC21" s="44"/>
      <c r="AD21" s="17"/>
      <c r="AE21"/>
    </row>
    <row r="22" spans="1:31">
      <c r="A22" s="38"/>
      <c r="B22" s="45"/>
      <c r="C22" s="46"/>
      <c r="D22" s="47"/>
      <c r="E22" s="47"/>
      <c r="F22" s="47"/>
      <c r="G22" s="47"/>
      <c r="H22" s="47"/>
      <c r="I22" s="46"/>
      <c r="J22" s="46"/>
      <c r="K22" s="47"/>
      <c r="L22" s="47"/>
      <c r="M22" s="47"/>
      <c r="N22" s="46"/>
      <c r="O22" s="48"/>
      <c r="P22" s="47"/>
      <c r="Q22" s="46"/>
      <c r="R22" s="46"/>
      <c r="S22" s="46"/>
      <c r="T22" s="49"/>
      <c r="U22" s="49"/>
      <c r="V22" s="49"/>
      <c r="W22" s="49"/>
      <c r="X22" s="49"/>
      <c r="Y22" s="49"/>
      <c r="Z22" s="49"/>
      <c r="AA22" s="50"/>
      <c r="AB22" s="51"/>
      <c r="AC22" s="52"/>
      <c r="AD22" s="47"/>
      <c r="AE22"/>
    </row>
    <row r="23" spans="1:31">
      <c r="A23" s="38"/>
      <c r="B23" s="39"/>
      <c r="C23" s="40"/>
      <c r="D23" s="17"/>
      <c r="E23" s="17"/>
      <c r="F23" s="17"/>
      <c r="G23" s="17"/>
      <c r="H23" s="17"/>
      <c r="I23" s="40"/>
      <c r="J23" s="40"/>
      <c r="K23" s="17"/>
      <c r="L23" s="17"/>
      <c r="M23" s="17"/>
      <c r="N23" s="40"/>
      <c r="O23" s="53"/>
      <c r="P23" s="17"/>
      <c r="Q23" s="40"/>
      <c r="R23" s="40"/>
      <c r="S23" s="40"/>
      <c r="T23" s="41"/>
      <c r="U23" s="41"/>
      <c r="V23" s="41"/>
      <c r="W23" s="41"/>
      <c r="X23" s="41"/>
      <c r="Y23" s="41"/>
      <c r="Z23" s="41"/>
      <c r="AA23" s="54"/>
      <c r="AB23" s="43"/>
      <c r="AC23" s="44"/>
      <c r="AD23" s="17"/>
      <c r="AE23"/>
    </row>
    <row r="24" spans="1:31">
      <c r="A24" s="38"/>
      <c r="B24" s="39"/>
      <c r="C24" s="40"/>
      <c r="D24" s="17"/>
      <c r="E24" s="17"/>
      <c r="F24" s="17"/>
      <c r="G24" s="17"/>
      <c r="H24" s="17"/>
      <c r="I24" s="40"/>
      <c r="J24" s="40"/>
      <c r="K24" s="17"/>
      <c r="L24" s="17"/>
      <c r="M24" s="17"/>
      <c r="N24" s="40"/>
      <c r="O24" s="53"/>
      <c r="P24" s="17"/>
      <c r="Q24" s="40"/>
      <c r="R24" s="40"/>
      <c r="S24" s="40"/>
      <c r="T24" s="41"/>
      <c r="U24" s="41"/>
      <c r="V24" s="41"/>
      <c r="W24" s="41"/>
      <c r="X24" s="41"/>
      <c r="Y24" s="41"/>
      <c r="Z24" s="41"/>
      <c r="AA24" s="54"/>
      <c r="AB24" s="43"/>
      <c r="AC24" s="44"/>
      <c r="AD24" s="17"/>
      <c r="AE24"/>
    </row>
    <row r="25" spans="1:31">
      <c r="A25" s="38"/>
      <c r="B25" s="45"/>
      <c r="C25" s="46"/>
      <c r="D25" s="47"/>
      <c r="E25" s="47"/>
      <c r="F25" s="47"/>
      <c r="G25" s="47"/>
      <c r="H25" s="47"/>
      <c r="I25" s="46"/>
      <c r="J25" s="46"/>
      <c r="K25" s="47"/>
      <c r="L25" s="47"/>
      <c r="M25" s="47"/>
      <c r="N25" s="46"/>
      <c r="O25" s="48"/>
      <c r="P25" s="47"/>
      <c r="Q25" s="46"/>
      <c r="R25" s="46"/>
      <c r="S25" s="46"/>
      <c r="T25" s="49"/>
      <c r="U25" s="49"/>
      <c r="V25" s="49"/>
      <c r="W25" s="49"/>
      <c r="X25" s="49"/>
      <c r="Y25" s="49"/>
      <c r="Z25" s="49"/>
      <c r="AA25" s="50"/>
      <c r="AB25" s="51"/>
      <c r="AC25" s="52"/>
      <c r="AD25" s="47"/>
      <c r="AE25"/>
    </row>
    <row r="26" spans="1:31">
      <c r="A26" s="38"/>
      <c r="B26" s="39"/>
      <c r="C26" s="40"/>
      <c r="D26" s="17"/>
      <c r="E26" s="17"/>
      <c r="F26" s="17"/>
      <c r="G26" s="17"/>
      <c r="H26" s="17"/>
      <c r="I26" s="40"/>
      <c r="J26" s="40"/>
      <c r="K26" s="17"/>
      <c r="L26" s="17"/>
      <c r="M26" s="17"/>
      <c r="N26" s="40"/>
      <c r="O26" s="53"/>
      <c r="P26" s="17"/>
      <c r="Q26" s="40"/>
      <c r="R26" s="40"/>
      <c r="S26" s="40"/>
      <c r="T26" s="41"/>
      <c r="U26" s="41"/>
      <c r="V26" s="41"/>
      <c r="W26" s="41"/>
      <c r="X26" s="41"/>
      <c r="Y26" s="41"/>
      <c r="Z26" s="41"/>
      <c r="AA26" s="54"/>
      <c r="AB26" s="43"/>
      <c r="AC26" s="44"/>
      <c r="AD26" s="17"/>
      <c r="AE26"/>
    </row>
    <row r="27" spans="1:31">
      <c r="A27" s="38"/>
      <c r="B27" s="39"/>
      <c r="C27" s="40"/>
      <c r="D27" s="17"/>
      <c r="E27" s="17"/>
      <c r="F27" s="17"/>
      <c r="G27" s="17"/>
      <c r="H27" s="17"/>
      <c r="I27" s="40"/>
      <c r="J27" s="40"/>
      <c r="K27" s="17"/>
      <c r="L27" s="17"/>
      <c r="M27" s="17"/>
      <c r="N27" s="40"/>
      <c r="O27" s="53"/>
      <c r="P27" s="17"/>
      <c r="Q27" s="40"/>
      <c r="R27" s="40"/>
      <c r="S27" s="40"/>
      <c r="T27" s="41"/>
      <c r="U27" s="41"/>
      <c r="V27" s="41"/>
      <c r="W27" s="41"/>
      <c r="X27" s="41"/>
      <c r="Y27" s="41"/>
      <c r="Z27" s="41"/>
      <c r="AA27" s="54"/>
      <c r="AB27" s="43"/>
      <c r="AC27" s="44"/>
      <c r="AD27" s="17"/>
      <c r="AE27"/>
    </row>
    <row r="28" spans="1:31">
      <c r="A28" s="55"/>
      <c r="B28" s="56"/>
      <c r="C28" s="46"/>
      <c r="D28" s="47"/>
      <c r="E28" s="47"/>
      <c r="F28" s="47"/>
      <c r="G28" s="47"/>
      <c r="H28" s="47"/>
      <c r="I28" s="46"/>
      <c r="J28" s="46"/>
      <c r="K28" s="47"/>
      <c r="L28" s="47"/>
      <c r="M28" s="47"/>
      <c r="N28" s="46"/>
      <c r="O28" s="48"/>
      <c r="P28" s="47"/>
      <c r="Q28" s="46"/>
      <c r="R28" s="46"/>
      <c r="S28" s="46"/>
      <c r="T28" s="49"/>
      <c r="U28" s="49"/>
      <c r="V28" s="49"/>
      <c r="W28" s="49"/>
      <c r="X28" s="49"/>
      <c r="Y28" s="49"/>
      <c r="Z28" s="49"/>
      <c r="AA28" s="50"/>
      <c r="AB28" s="43"/>
      <c r="AC28" s="44"/>
      <c r="AD28" s="47"/>
      <c r="AE28"/>
    </row>
    <row r="29" spans="1:31">
      <c r="A29" s="36"/>
      <c r="B29" s="24"/>
      <c r="C29" s="18"/>
      <c r="D29" s="12"/>
      <c r="E29" s="12"/>
      <c r="F29" s="12"/>
      <c r="G29" s="12"/>
      <c r="H29" s="12"/>
      <c r="I29" s="18"/>
      <c r="J29" s="18"/>
      <c r="K29" s="12"/>
      <c r="L29" s="12"/>
      <c r="M29" s="12"/>
      <c r="N29" s="18"/>
      <c r="O29" s="18"/>
      <c r="P29" s="12"/>
      <c r="Q29" s="18"/>
      <c r="R29" s="18"/>
      <c r="S29" s="18"/>
      <c r="T29" s="20"/>
      <c r="U29" s="20"/>
      <c r="V29" s="20"/>
      <c r="W29" s="20"/>
      <c r="X29" s="20"/>
      <c r="Y29" s="20"/>
      <c r="Z29" s="20"/>
      <c r="AA29" s="37"/>
      <c r="AB29" s="22"/>
      <c r="AC29" s="23"/>
      <c r="AD29" s="17"/>
      <c r="AE29"/>
    </row>
    <row r="30" spans="1:31">
      <c r="A30" s="38"/>
      <c r="B30" s="39"/>
      <c r="C30" s="40"/>
      <c r="D30" s="17"/>
      <c r="E30" s="17"/>
      <c r="F30" s="17"/>
      <c r="G30" s="17"/>
      <c r="H30" s="17"/>
      <c r="I30" s="40"/>
      <c r="J30" s="40"/>
      <c r="K30" s="17"/>
      <c r="L30" s="17"/>
      <c r="M30" s="17"/>
      <c r="N30" s="40"/>
      <c r="O30" s="40"/>
      <c r="P30" s="17"/>
      <c r="Q30" s="40"/>
      <c r="R30" s="40"/>
      <c r="S30" s="40"/>
      <c r="T30" s="41"/>
      <c r="U30" s="41"/>
      <c r="V30" s="41"/>
      <c r="W30" s="41"/>
      <c r="X30" s="41"/>
      <c r="Y30" s="41"/>
      <c r="Z30" s="41"/>
      <c r="AA30" s="42"/>
      <c r="AB30" s="43"/>
      <c r="AC30" s="44"/>
      <c r="AD30" s="17"/>
      <c r="AE30"/>
    </row>
    <row r="31" spans="1:31">
      <c r="A31" s="38"/>
      <c r="B31" s="45"/>
      <c r="C31" s="46"/>
      <c r="D31" s="47"/>
      <c r="E31" s="47"/>
      <c r="F31" s="47"/>
      <c r="G31" s="47"/>
      <c r="H31" s="47"/>
      <c r="I31" s="46"/>
      <c r="J31" s="46"/>
      <c r="K31" s="47"/>
      <c r="L31" s="47"/>
      <c r="M31" s="47"/>
      <c r="N31" s="46"/>
      <c r="O31" s="48"/>
      <c r="P31" s="47"/>
      <c r="Q31" s="46"/>
      <c r="R31" s="46"/>
      <c r="S31" s="46"/>
      <c r="T31" s="49"/>
      <c r="U31" s="49"/>
      <c r="V31" s="49"/>
      <c r="W31" s="49"/>
      <c r="X31" s="49"/>
      <c r="Y31" s="49"/>
      <c r="Z31" s="49"/>
      <c r="AA31" s="50"/>
      <c r="AB31" s="51"/>
      <c r="AC31" s="52"/>
      <c r="AD31" s="47"/>
      <c r="AE31"/>
    </row>
    <row r="32" spans="1:31">
      <c r="A32" s="38"/>
      <c r="B32" s="39"/>
      <c r="C32" s="40"/>
      <c r="D32" s="17"/>
      <c r="E32" s="17"/>
      <c r="F32" s="17"/>
      <c r="G32" s="17"/>
      <c r="H32" s="17"/>
      <c r="I32" s="40"/>
      <c r="J32" s="40"/>
      <c r="K32" s="17"/>
      <c r="L32" s="17"/>
      <c r="M32" s="17"/>
      <c r="N32" s="40"/>
      <c r="O32" s="53"/>
      <c r="P32" s="17"/>
      <c r="Q32" s="40"/>
      <c r="R32" s="40"/>
      <c r="S32" s="40"/>
      <c r="T32" s="41"/>
      <c r="U32" s="41"/>
      <c r="V32" s="41"/>
      <c r="W32" s="41"/>
      <c r="X32" s="41"/>
      <c r="Y32" s="41"/>
      <c r="Z32" s="41"/>
      <c r="AA32" s="54"/>
      <c r="AB32" s="43"/>
      <c r="AC32" s="44"/>
      <c r="AD32" s="17"/>
      <c r="AE32"/>
    </row>
    <row r="33" spans="1:31">
      <c r="A33" s="38"/>
      <c r="B33" s="39"/>
      <c r="C33" s="40"/>
      <c r="D33" s="17"/>
      <c r="E33" s="17"/>
      <c r="F33" s="17"/>
      <c r="G33" s="17"/>
      <c r="H33" s="17"/>
      <c r="I33" s="40"/>
      <c r="J33" s="40"/>
      <c r="K33" s="17"/>
      <c r="L33" s="17"/>
      <c r="M33" s="17"/>
      <c r="N33" s="40"/>
      <c r="O33" s="53"/>
      <c r="P33" s="17"/>
      <c r="Q33" s="40"/>
      <c r="R33" s="40"/>
      <c r="S33" s="40"/>
      <c r="T33" s="41"/>
      <c r="U33" s="41"/>
      <c r="V33" s="41"/>
      <c r="W33" s="41"/>
      <c r="X33" s="41"/>
      <c r="Y33" s="41"/>
      <c r="Z33" s="41"/>
      <c r="AA33" s="54"/>
      <c r="AB33" s="43"/>
      <c r="AC33" s="44"/>
      <c r="AD33" s="17"/>
      <c r="AE33"/>
    </row>
    <row r="34" spans="1:31">
      <c r="A34" s="38"/>
      <c r="B34" s="45"/>
      <c r="C34" s="46"/>
      <c r="D34" s="47"/>
      <c r="E34" s="47"/>
      <c r="F34" s="47"/>
      <c r="G34" s="47"/>
      <c r="H34" s="47"/>
      <c r="I34" s="46"/>
      <c r="J34" s="46"/>
      <c r="K34" s="47"/>
      <c r="L34" s="47"/>
      <c r="M34" s="47"/>
      <c r="N34" s="46"/>
      <c r="O34" s="48"/>
      <c r="P34" s="47"/>
      <c r="Q34" s="46"/>
      <c r="R34" s="46"/>
      <c r="S34" s="46"/>
      <c r="T34" s="49"/>
      <c r="U34" s="49"/>
      <c r="V34" s="49"/>
      <c r="W34" s="49"/>
      <c r="X34" s="49"/>
      <c r="Y34" s="49"/>
      <c r="Z34" s="49"/>
      <c r="AA34" s="50"/>
      <c r="AB34" s="51"/>
      <c r="AC34" s="52"/>
      <c r="AD34" s="47"/>
      <c r="AE34"/>
    </row>
    <row r="35" spans="1:31">
      <c r="A35" s="38"/>
      <c r="B35" s="39"/>
      <c r="C35" s="40"/>
      <c r="D35" s="17"/>
      <c r="E35" s="17"/>
      <c r="F35" s="17"/>
      <c r="G35" s="17"/>
      <c r="H35" s="17"/>
      <c r="I35" s="40"/>
      <c r="J35" s="40"/>
      <c r="K35" s="17"/>
      <c r="L35" s="17"/>
      <c r="M35" s="17"/>
      <c r="N35" s="40"/>
      <c r="O35" s="53"/>
      <c r="P35" s="17"/>
      <c r="Q35" s="40"/>
      <c r="R35" s="40"/>
      <c r="S35" s="40"/>
      <c r="T35" s="41"/>
      <c r="U35" s="41"/>
      <c r="V35" s="41"/>
      <c r="W35" s="41"/>
      <c r="X35" s="41"/>
      <c r="Y35" s="41"/>
      <c r="Z35" s="41"/>
      <c r="AA35" s="54"/>
      <c r="AB35" s="43"/>
      <c r="AC35" s="44"/>
      <c r="AD35" s="17"/>
      <c r="AE35"/>
    </row>
    <row r="36" spans="1:31">
      <c r="A36" s="38"/>
      <c r="B36" s="39"/>
      <c r="C36" s="40"/>
      <c r="D36" s="17"/>
      <c r="E36" s="17"/>
      <c r="F36" s="17"/>
      <c r="G36" s="17"/>
      <c r="H36" s="17"/>
      <c r="I36" s="40"/>
      <c r="J36" s="40"/>
      <c r="K36" s="17"/>
      <c r="L36" s="17"/>
      <c r="M36" s="17"/>
      <c r="N36" s="40"/>
      <c r="O36" s="53"/>
      <c r="P36" s="17"/>
      <c r="Q36" s="40"/>
      <c r="R36" s="40"/>
      <c r="S36" s="40"/>
      <c r="T36" s="41"/>
      <c r="U36" s="41"/>
      <c r="V36" s="41"/>
      <c r="W36" s="41"/>
      <c r="X36" s="41"/>
      <c r="Y36" s="41"/>
      <c r="Z36" s="41"/>
      <c r="AA36" s="54"/>
      <c r="AB36" s="43"/>
      <c r="AC36" s="44"/>
      <c r="AD36" s="17"/>
      <c r="AE36"/>
    </row>
    <row r="37" spans="1:31">
      <c r="A37" s="38"/>
      <c r="B37" s="45"/>
      <c r="C37" s="46"/>
      <c r="D37" s="47"/>
      <c r="E37" s="47"/>
      <c r="F37" s="47"/>
      <c r="G37" s="47"/>
      <c r="H37" s="47"/>
      <c r="I37" s="46"/>
      <c r="J37" s="46"/>
      <c r="K37" s="47"/>
      <c r="L37" s="47"/>
      <c r="M37" s="47"/>
      <c r="N37" s="46"/>
      <c r="O37" s="48"/>
      <c r="P37" s="47"/>
      <c r="Q37" s="46"/>
      <c r="R37" s="46"/>
      <c r="S37" s="46"/>
      <c r="T37" s="49"/>
      <c r="U37" s="49"/>
      <c r="V37" s="49"/>
      <c r="W37" s="49"/>
      <c r="X37" s="49"/>
      <c r="Y37" s="49"/>
      <c r="Z37" s="49"/>
      <c r="AA37" s="50"/>
      <c r="AB37" s="51"/>
      <c r="AC37" s="52"/>
      <c r="AD37" s="47"/>
      <c r="AE37"/>
    </row>
    <row r="38" spans="1:31">
      <c r="A38" s="38"/>
      <c r="B38" s="39"/>
      <c r="C38" s="40"/>
      <c r="D38" s="17"/>
      <c r="E38" s="17"/>
      <c r="F38" s="17"/>
      <c r="G38" s="17"/>
      <c r="H38" s="17"/>
      <c r="I38" s="40"/>
      <c r="J38" s="40"/>
      <c r="K38" s="17"/>
      <c r="L38" s="17"/>
      <c r="M38" s="17"/>
      <c r="N38" s="40"/>
      <c r="O38" s="53"/>
      <c r="P38" s="17"/>
      <c r="Q38" s="40"/>
      <c r="R38" s="40"/>
      <c r="S38" s="40"/>
      <c r="T38" s="41"/>
      <c r="U38" s="41"/>
      <c r="V38" s="41"/>
      <c r="W38" s="41"/>
      <c r="X38" s="41"/>
      <c r="Y38" s="41"/>
      <c r="Z38" s="41"/>
      <c r="AA38" s="54"/>
      <c r="AB38" s="43"/>
      <c r="AC38" s="44"/>
      <c r="AD38" s="17"/>
      <c r="AE38"/>
    </row>
    <row r="39" spans="1:31">
      <c r="A39" s="38"/>
      <c r="B39" s="39"/>
      <c r="C39" s="40"/>
      <c r="D39" s="17"/>
      <c r="E39" s="17"/>
      <c r="F39" s="17"/>
      <c r="G39" s="17"/>
      <c r="H39" s="17"/>
      <c r="I39" s="40"/>
      <c r="J39" s="40"/>
      <c r="K39" s="17"/>
      <c r="L39" s="17"/>
      <c r="M39" s="17"/>
      <c r="N39" s="40"/>
      <c r="O39" s="53"/>
      <c r="P39" s="17"/>
      <c r="Q39" s="40"/>
      <c r="R39" s="40"/>
      <c r="S39" s="40"/>
      <c r="T39" s="41"/>
      <c r="U39" s="41"/>
      <c r="V39" s="41"/>
      <c r="W39" s="41"/>
      <c r="X39" s="41"/>
      <c r="Y39" s="41"/>
      <c r="Z39" s="41"/>
      <c r="AA39" s="54"/>
      <c r="AB39" s="43"/>
      <c r="AC39" s="44"/>
      <c r="AD39" s="17"/>
      <c r="AE39"/>
    </row>
    <row r="40" spans="1:31">
      <c r="A40" s="55"/>
      <c r="B40" s="56"/>
      <c r="C40" s="46"/>
      <c r="D40" s="47"/>
      <c r="E40" s="47"/>
      <c r="F40" s="47"/>
      <c r="G40" s="47"/>
      <c r="H40" s="47"/>
      <c r="I40" s="46"/>
      <c r="J40" s="46"/>
      <c r="K40" s="47"/>
      <c r="L40" s="47"/>
      <c r="M40" s="47"/>
      <c r="N40" s="46"/>
      <c r="O40" s="48"/>
      <c r="P40" s="47"/>
      <c r="Q40" s="46"/>
      <c r="R40" s="46"/>
      <c r="S40" s="46"/>
      <c r="T40" s="49"/>
      <c r="U40" s="49"/>
      <c r="V40" s="49"/>
      <c r="W40" s="49"/>
      <c r="X40" s="49"/>
      <c r="Y40" s="49"/>
      <c r="Z40" s="49"/>
      <c r="AA40" s="50"/>
      <c r="AB40" s="43"/>
      <c r="AC40" s="44"/>
      <c r="AD40" s="47"/>
      <c r="AE40"/>
    </row>
    <row r="41" spans="1:31">
      <c r="A41" s="36"/>
      <c r="B41" s="24"/>
      <c r="C41" s="18"/>
      <c r="D41" s="12"/>
      <c r="E41" s="12"/>
      <c r="F41" s="12"/>
      <c r="G41" s="12"/>
      <c r="H41" s="12"/>
      <c r="I41" s="18"/>
      <c r="J41" s="18"/>
      <c r="K41" s="12"/>
      <c r="L41" s="12"/>
      <c r="M41" s="12"/>
      <c r="N41" s="18"/>
      <c r="O41" s="18"/>
      <c r="P41" s="12"/>
      <c r="Q41" s="18"/>
      <c r="R41" s="18"/>
      <c r="S41" s="18"/>
      <c r="T41" s="20"/>
      <c r="U41" s="20"/>
      <c r="V41" s="20"/>
      <c r="W41" s="20"/>
      <c r="X41" s="20"/>
      <c r="Y41" s="20"/>
      <c r="Z41" s="20"/>
      <c r="AA41" s="37"/>
      <c r="AB41" s="22"/>
      <c r="AC41" s="23"/>
      <c r="AD41" s="17"/>
      <c r="AE41"/>
    </row>
    <row r="42" spans="1:31">
      <c r="A42" s="38"/>
      <c r="B42" s="39"/>
      <c r="C42" s="40"/>
      <c r="D42" s="17"/>
      <c r="E42" s="17"/>
      <c r="F42" s="17"/>
      <c r="G42" s="17"/>
      <c r="H42" s="17"/>
      <c r="I42" s="40"/>
      <c r="J42" s="40"/>
      <c r="K42" s="17"/>
      <c r="L42" s="17"/>
      <c r="M42" s="17"/>
      <c r="N42" s="40"/>
      <c r="O42" s="40"/>
      <c r="P42" s="17"/>
      <c r="Q42" s="40"/>
      <c r="R42" s="40"/>
      <c r="S42" s="40"/>
      <c r="T42" s="41"/>
      <c r="U42" s="41"/>
      <c r="V42" s="41"/>
      <c r="W42" s="41"/>
      <c r="X42" s="41"/>
      <c r="Y42" s="41"/>
      <c r="Z42" s="41"/>
      <c r="AA42" s="42"/>
      <c r="AB42" s="43"/>
      <c r="AC42" s="44"/>
      <c r="AD42" s="17"/>
      <c r="AE42"/>
    </row>
    <row r="43" spans="1:31">
      <c r="A43" s="38"/>
      <c r="B43" s="45"/>
      <c r="C43" s="46"/>
      <c r="D43" s="47"/>
      <c r="E43" s="47"/>
      <c r="F43" s="47"/>
      <c r="G43" s="47"/>
      <c r="H43" s="47"/>
      <c r="I43" s="46"/>
      <c r="J43" s="46"/>
      <c r="K43" s="47"/>
      <c r="L43" s="47"/>
      <c r="M43" s="47"/>
      <c r="N43" s="46"/>
      <c r="O43" s="48"/>
      <c r="P43" s="47"/>
      <c r="Q43" s="46"/>
      <c r="R43" s="46"/>
      <c r="S43" s="46"/>
      <c r="T43" s="49"/>
      <c r="U43" s="49"/>
      <c r="V43" s="49"/>
      <c r="W43" s="49"/>
      <c r="X43" s="49"/>
      <c r="Y43" s="49"/>
      <c r="Z43" s="49"/>
      <c r="AA43" s="50"/>
      <c r="AB43" s="51"/>
      <c r="AC43" s="52"/>
      <c r="AD43" s="47"/>
      <c r="AE43"/>
    </row>
    <row r="44" spans="1:31">
      <c r="A44" s="38"/>
      <c r="B44" s="39"/>
      <c r="C44" s="40"/>
      <c r="D44" s="17"/>
      <c r="E44" s="17"/>
      <c r="F44" s="17"/>
      <c r="G44" s="17"/>
      <c r="H44" s="17"/>
      <c r="I44" s="40"/>
      <c r="J44" s="40"/>
      <c r="K44" s="17"/>
      <c r="L44" s="17"/>
      <c r="M44" s="17"/>
      <c r="N44" s="40"/>
      <c r="O44" s="53"/>
      <c r="P44" s="17"/>
      <c r="Q44" s="40"/>
      <c r="R44" s="40"/>
      <c r="S44" s="40"/>
      <c r="T44" s="41"/>
      <c r="U44" s="41"/>
      <c r="V44" s="41"/>
      <c r="W44" s="41"/>
      <c r="X44" s="41"/>
      <c r="Y44" s="41"/>
      <c r="Z44" s="41"/>
      <c r="AA44" s="54"/>
      <c r="AB44" s="43"/>
      <c r="AC44" s="44"/>
      <c r="AD44" s="17"/>
      <c r="AE44"/>
    </row>
    <row r="45" spans="1:31">
      <c r="A45" s="38"/>
      <c r="B45" s="39"/>
      <c r="C45" s="40"/>
      <c r="D45" s="17"/>
      <c r="E45" s="17"/>
      <c r="F45" s="17"/>
      <c r="G45" s="17"/>
      <c r="H45" s="17"/>
      <c r="I45" s="40"/>
      <c r="J45" s="40"/>
      <c r="K45" s="17"/>
      <c r="L45" s="17"/>
      <c r="M45" s="17"/>
      <c r="N45" s="40"/>
      <c r="O45" s="53"/>
      <c r="P45" s="17"/>
      <c r="Q45" s="40"/>
      <c r="R45" s="40"/>
      <c r="S45" s="40"/>
      <c r="T45" s="41"/>
      <c r="U45" s="41"/>
      <c r="V45" s="41"/>
      <c r="W45" s="41"/>
      <c r="X45" s="41"/>
      <c r="Y45" s="41"/>
      <c r="Z45" s="41"/>
      <c r="AA45" s="54"/>
      <c r="AB45" s="43"/>
      <c r="AC45" s="44"/>
      <c r="AD45" s="17"/>
      <c r="AE45"/>
    </row>
    <row r="46" spans="1:31">
      <c r="A46" s="38"/>
      <c r="B46" s="45"/>
      <c r="C46" s="46"/>
      <c r="D46" s="47"/>
      <c r="E46" s="47"/>
      <c r="F46" s="47"/>
      <c r="G46" s="47"/>
      <c r="H46" s="47"/>
      <c r="I46" s="46"/>
      <c r="J46" s="46"/>
      <c r="K46" s="47"/>
      <c r="L46" s="47"/>
      <c r="M46" s="47"/>
      <c r="N46" s="46"/>
      <c r="O46" s="48"/>
      <c r="P46" s="47"/>
      <c r="Q46" s="46"/>
      <c r="R46" s="46"/>
      <c r="S46" s="46"/>
      <c r="T46" s="49"/>
      <c r="U46" s="49"/>
      <c r="V46" s="49"/>
      <c r="W46" s="49"/>
      <c r="X46" s="49"/>
      <c r="Y46" s="49"/>
      <c r="Z46" s="49"/>
      <c r="AA46" s="50"/>
      <c r="AB46" s="51"/>
      <c r="AC46" s="52"/>
      <c r="AD46" s="47"/>
      <c r="AE46"/>
    </row>
    <row r="47" spans="1:31">
      <c r="A47" s="38"/>
      <c r="B47" s="39"/>
      <c r="C47" s="40"/>
      <c r="D47" s="17"/>
      <c r="E47" s="17"/>
      <c r="F47" s="17"/>
      <c r="G47" s="17"/>
      <c r="H47" s="17"/>
      <c r="I47" s="40"/>
      <c r="J47" s="40"/>
      <c r="K47" s="17"/>
      <c r="L47" s="17"/>
      <c r="M47" s="17"/>
      <c r="N47" s="40"/>
      <c r="O47" s="53"/>
      <c r="P47" s="17"/>
      <c r="Q47" s="40"/>
      <c r="R47" s="40"/>
      <c r="S47" s="40"/>
      <c r="T47" s="41"/>
      <c r="U47" s="41"/>
      <c r="V47" s="41"/>
      <c r="W47" s="41"/>
      <c r="X47" s="41"/>
      <c r="Y47" s="41"/>
      <c r="Z47" s="41"/>
      <c r="AA47" s="54"/>
      <c r="AB47" s="43"/>
      <c r="AC47" s="44"/>
      <c r="AD47" s="17"/>
      <c r="AE47"/>
    </row>
    <row r="48" spans="1:31">
      <c r="A48" s="38"/>
      <c r="B48" s="39"/>
      <c r="C48" s="40"/>
      <c r="D48" s="17"/>
      <c r="E48" s="17"/>
      <c r="F48" s="17"/>
      <c r="G48" s="17"/>
      <c r="H48" s="17"/>
      <c r="I48" s="40"/>
      <c r="J48" s="40"/>
      <c r="K48" s="17"/>
      <c r="L48" s="17"/>
      <c r="M48" s="17"/>
      <c r="N48" s="40"/>
      <c r="O48" s="53"/>
      <c r="P48" s="17"/>
      <c r="Q48" s="40"/>
      <c r="R48" s="40"/>
      <c r="S48" s="40"/>
      <c r="T48" s="41"/>
      <c r="U48" s="41"/>
      <c r="V48" s="41"/>
      <c r="W48" s="41"/>
      <c r="X48" s="41"/>
      <c r="Y48" s="41"/>
      <c r="Z48" s="41"/>
      <c r="AA48" s="54"/>
      <c r="AB48" s="43"/>
      <c r="AC48" s="44"/>
      <c r="AD48" s="17"/>
      <c r="AE48"/>
    </row>
    <row r="49" spans="1:31">
      <c r="A49" s="38"/>
      <c r="B49" s="45"/>
      <c r="C49" s="46"/>
      <c r="D49" s="47"/>
      <c r="E49" s="47"/>
      <c r="F49" s="47"/>
      <c r="G49" s="47"/>
      <c r="H49" s="47"/>
      <c r="I49" s="46"/>
      <c r="J49" s="46"/>
      <c r="K49" s="47"/>
      <c r="L49" s="47"/>
      <c r="M49" s="47"/>
      <c r="N49" s="46"/>
      <c r="O49" s="48"/>
      <c r="P49" s="47"/>
      <c r="Q49" s="46"/>
      <c r="R49" s="46"/>
      <c r="S49" s="46"/>
      <c r="T49" s="49"/>
      <c r="U49" s="49"/>
      <c r="V49" s="49"/>
      <c r="W49" s="49"/>
      <c r="X49" s="49"/>
      <c r="Y49" s="49"/>
      <c r="Z49" s="49"/>
      <c r="AA49" s="50"/>
      <c r="AB49" s="51"/>
      <c r="AC49" s="52"/>
      <c r="AD49" s="47"/>
      <c r="AE49"/>
    </row>
    <row r="50" spans="1:31">
      <c r="A50" s="38"/>
      <c r="B50" s="39"/>
      <c r="C50" s="40"/>
      <c r="D50" s="17"/>
      <c r="E50" s="17"/>
      <c r="F50" s="17"/>
      <c r="G50" s="17"/>
      <c r="H50" s="17"/>
      <c r="I50" s="40"/>
      <c r="J50" s="40"/>
      <c r="K50" s="17"/>
      <c r="L50" s="17"/>
      <c r="M50" s="17"/>
      <c r="N50" s="40"/>
      <c r="O50" s="53"/>
      <c r="P50" s="17"/>
      <c r="Q50" s="40"/>
      <c r="R50" s="40"/>
      <c r="S50" s="40"/>
      <c r="T50" s="41"/>
      <c r="U50" s="41"/>
      <c r="V50" s="41"/>
      <c r="W50" s="41"/>
      <c r="X50" s="41"/>
      <c r="Y50" s="41"/>
      <c r="Z50" s="41"/>
      <c r="AA50" s="54"/>
      <c r="AB50" s="43"/>
      <c r="AC50" s="44"/>
      <c r="AD50" s="17"/>
      <c r="AE50"/>
    </row>
    <row r="51" spans="1:31">
      <c r="A51" s="38"/>
      <c r="B51" s="39"/>
      <c r="C51" s="40"/>
      <c r="D51" s="17"/>
      <c r="E51" s="17"/>
      <c r="F51" s="17"/>
      <c r="G51" s="17"/>
      <c r="H51" s="17"/>
      <c r="I51" s="40"/>
      <c r="J51" s="40"/>
      <c r="K51" s="17"/>
      <c r="L51" s="17"/>
      <c r="M51" s="17"/>
      <c r="N51" s="40"/>
      <c r="O51" s="53"/>
      <c r="P51" s="17"/>
      <c r="Q51" s="40"/>
      <c r="R51" s="40"/>
      <c r="S51" s="40"/>
      <c r="T51" s="41"/>
      <c r="U51" s="41"/>
      <c r="V51" s="41"/>
      <c r="W51" s="41"/>
      <c r="X51" s="41"/>
      <c r="Y51" s="41"/>
      <c r="Z51" s="41"/>
      <c r="AA51" s="54"/>
      <c r="AB51" s="43"/>
      <c r="AC51" s="44"/>
      <c r="AD51" s="17"/>
      <c r="AE51"/>
    </row>
    <row r="52" spans="1:31">
      <c r="A52" s="55"/>
      <c r="B52" s="56"/>
      <c r="C52" s="46"/>
      <c r="D52" s="47"/>
      <c r="E52" s="47"/>
      <c r="F52" s="47"/>
      <c r="G52" s="47"/>
      <c r="H52" s="47"/>
      <c r="I52" s="46"/>
      <c r="J52" s="46"/>
      <c r="K52" s="47"/>
      <c r="L52" s="47"/>
      <c r="M52" s="47"/>
      <c r="N52" s="46"/>
      <c r="O52" s="48"/>
      <c r="P52" s="47"/>
      <c r="Q52" s="46"/>
      <c r="R52" s="46"/>
      <c r="S52" s="46"/>
      <c r="T52" s="49"/>
      <c r="U52" s="49"/>
      <c r="V52" s="49"/>
      <c r="W52" s="49"/>
      <c r="X52" s="49"/>
      <c r="Y52" s="49"/>
      <c r="Z52" s="49"/>
      <c r="AA52" s="50"/>
      <c r="AB52" s="43"/>
      <c r="AC52" s="44"/>
      <c r="AD52" s="47"/>
      <c r="AE52"/>
    </row>
    <row r="53" spans="1:31">
      <c r="A53" s="36"/>
      <c r="B53" s="24"/>
      <c r="C53" s="18"/>
      <c r="D53" s="12"/>
      <c r="E53" s="12"/>
      <c r="F53" s="12"/>
      <c r="G53" s="12"/>
      <c r="H53" s="12"/>
      <c r="I53" s="18"/>
      <c r="J53" s="18"/>
      <c r="K53" s="12"/>
      <c r="L53" s="12"/>
      <c r="M53" s="12"/>
      <c r="N53" s="18"/>
      <c r="O53" s="18"/>
      <c r="P53" s="12"/>
      <c r="Q53" s="18"/>
      <c r="R53" s="18"/>
      <c r="S53" s="18"/>
      <c r="T53" s="20"/>
      <c r="U53" s="20"/>
      <c r="V53" s="20"/>
      <c r="W53" s="20"/>
      <c r="X53" s="20"/>
      <c r="Y53" s="20"/>
      <c r="Z53" s="20"/>
      <c r="AA53" s="37"/>
      <c r="AB53" s="22"/>
      <c r="AC53" s="23"/>
      <c r="AD53" s="17"/>
      <c r="AE53"/>
    </row>
    <row r="54" spans="1:31">
      <c r="A54" s="38"/>
      <c r="B54" s="39"/>
      <c r="C54" s="40"/>
      <c r="D54" s="17"/>
      <c r="E54" s="17"/>
      <c r="F54" s="17"/>
      <c r="G54" s="17"/>
      <c r="H54" s="17"/>
      <c r="I54" s="40"/>
      <c r="J54" s="40"/>
      <c r="K54" s="17"/>
      <c r="L54" s="17"/>
      <c r="M54" s="17"/>
      <c r="N54" s="40"/>
      <c r="O54" s="40"/>
      <c r="P54" s="17"/>
      <c r="Q54" s="40"/>
      <c r="R54" s="40"/>
      <c r="S54" s="40"/>
      <c r="T54" s="41"/>
      <c r="U54" s="41"/>
      <c r="V54" s="41"/>
      <c r="W54" s="41"/>
      <c r="X54" s="41"/>
      <c r="Y54" s="41"/>
      <c r="Z54" s="41"/>
      <c r="AA54" s="42"/>
      <c r="AB54" s="43"/>
      <c r="AC54" s="44"/>
      <c r="AD54" s="17"/>
      <c r="AE54"/>
    </row>
    <row r="55" spans="1:31">
      <c r="A55" s="38"/>
      <c r="B55" s="45"/>
      <c r="C55" s="46"/>
      <c r="D55" s="47"/>
      <c r="E55" s="47"/>
      <c r="F55" s="47"/>
      <c r="G55" s="47"/>
      <c r="H55" s="47"/>
      <c r="I55" s="46"/>
      <c r="J55" s="46"/>
      <c r="K55" s="47"/>
      <c r="L55" s="47"/>
      <c r="M55" s="47"/>
      <c r="N55" s="46"/>
      <c r="O55" s="48"/>
      <c r="P55" s="47"/>
      <c r="Q55" s="46"/>
      <c r="R55" s="46"/>
      <c r="S55" s="46"/>
      <c r="T55" s="49"/>
      <c r="U55" s="49"/>
      <c r="V55" s="49"/>
      <c r="W55" s="49"/>
      <c r="X55" s="49"/>
      <c r="Y55" s="49"/>
      <c r="Z55" s="49"/>
      <c r="AA55" s="50"/>
      <c r="AB55" s="51"/>
      <c r="AC55" s="52"/>
      <c r="AD55" s="47"/>
      <c r="AE55"/>
    </row>
    <row r="56" spans="1:31">
      <c r="A56" s="38"/>
      <c r="B56" s="39"/>
      <c r="C56" s="40"/>
      <c r="D56" s="17"/>
      <c r="E56" s="17"/>
      <c r="F56" s="17"/>
      <c r="G56" s="17"/>
      <c r="H56" s="17"/>
      <c r="I56" s="40"/>
      <c r="J56" s="40"/>
      <c r="K56" s="17"/>
      <c r="L56" s="17"/>
      <c r="M56" s="17"/>
      <c r="N56" s="40"/>
      <c r="O56" s="53"/>
      <c r="P56" s="17"/>
      <c r="Q56" s="40"/>
      <c r="R56" s="40"/>
      <c r="S56" s="40"/>
      <c r="T56" s="41"/>
      <c r="U56" s="41"/>
      <c r="V56" s="41"/>
      <c r="W56" s="41"/>
      <c r="X56" s="41"/>
      <c r="Y56" s="41"/>
      <c r="Z56" s="41"/>
      <c r="AA56" s="54"/>
      <c r="AB56" s="43"/>
      <c r="AC56" s="44"/>
      <c r="AD56" s="17"/>
      <c r="AE56"/>
    </row>
    <row r="57" spans="1:31">
      <c r="A57" s="38"/>
      <c r="B57" s="39"/>
      <c r="C57" s="40"/>
      <c r="D57" s="17"/>
      <c r="E57" s="17"/>
      <c r="F57" s="17"/>
      <c r="G57" s="17"/>
      <c r="H57" s="17"/>
      <c r="I57" s="40"/>
      <c r="J57" s="40"/>
      <c r="K57" s="17"/>
      <c r="L57" s="17"/>
      <c r="M57" s="17"/>
      <c r="N57" s="40"/>
      <c r="O57" s="53"/>
      <c r="P57" s="17"/>
      <c r="Q57" s="40"/>
      <c r="R57" s="40"/>
      <c r="S57" s="40"/>
      <c r="T57" s="41"/>
      <c r="U57" s="41"/>
      <c r="V57" s="41"/>
      <c r="W57" s="41"/>
      <c r="X57" s="41"/>
      <c r="Y57" s="41"/>
      <c r="Z57" s="41"/>
      <c r="AA57" s="54"/>
      <c r="AB57" s="43"/>
      <c r="AC57" s="44"/>
      <c r="AD57" s="17"/>
      <c r="AE57"/>
    </row>
    <row r="58" spans="1:31">
      <c r="A58" s="38"/>
      <c r="B58" s="45"/>
      <c r="C58" s="46"/>
      <c r="D58" s="47"/>
      <c r="E58" s="47"/>
      <c r="F58" s="47"/>
      <c r="G58" s="47"/>
      <c r="H58" s="47"/>
      <c r="I58" s="46"/>
      <c r="J58" s="46"/>
      <c r="K58" s="47"/>
      <c r="L58" s="47"/>
      <c r="M58" s="47"/>
      <c r="N58" s="46"/>
      <c r="O58" s="48"/>
      <c r="P58" s="47"/>
      <c r="Q58" s="46"/>
      <c r="R58" s="46"/>
      <c r="S58" s="46"/>
      <c r="T58" s="49"/>
      <c r="U58" s="49"/>
      <c r="V58" s="49"/>
      <c r="W58" s="49"/>
      <c r="X58" s="49"/>
      <c r="Y58" s="49"/>
      <c r="Z58" s="49"/>
      <c r="AA58" s="50"/>
      <c r="AB58" s="51"/>
      <c r="AC58" s="52"/>
      <c r="AD58" s="47"/>
      <c r="AE58"/>
    </row>
    <row r="59" spans="1:31">
      <c r="A59" s="38"/>
      <c r="B59" s="39"/>
      <c r="C59" s="40"/>
      <c r="D59" s="17"/>
      <c r="E59" s="17"/>
      <c r="F59" s="17"/>
      <c r="G59" s="17"/>
      <c r="H59" s="17"/>
      <c r="I59" s="40"/>
      <c r="J59" s="40"/>
      <c r="K59" s="17"/>
      <c r="L59" s="17"/>
      <c r="M59" s="17"/>
      <c r="N59" s="40"/>
      <c r="O59" s="53"/>
      <c r="P59" s="17"/>
      <c r="Q59" s="40"/>
      <c r="R59" s="40"/>
      <c r="S59" s="40"/>
      <c r="T59" s="41"/>
      <c r="U59" s="41"/>
      <c r="V59" s="41"/>
      <c r="W59" s="41"/>
      <c r="X59" s="41"/>
      <c r="Y59" s="41"/>
      <c r="Z59" s="41"/>
      <c r="AA59" s="54"/>
      <c r="AB59" s="43"/>
      <c r="AC59" s="44"/>
      <c r="AD59" s="17"/>
      <c r="AE59"/>
    </row>
    <row r="60" spans="1:31">
      <c r="A60" s="38"/>
      <c r="B60" s="39"/>
      <c r="C60" s="40"/>
      <c r="D60" s="17"/>
      <c r="E60" s="17"/>
      <c r="F60" s="17"/>
      <c r="G60" s="17"/>
      <c r="H60" s="17"/>
      <c r="I60" s="40"/>
      <c r="J60" s="40"/>
      <c r="K60" s="17"/>
      <c r="L60" s="17"/>
      <c r="M60" s="17"/>
      <c r="N60" s="40"/>
      <c r="O60" s="53"/>
      <c r="P60" s="17"/>
      <c r="Q60" s="40"/>
      <c r="R60" s="40"/>
      <c r="S60" s="40"/>
      <c r="T60" s="41"/>
      <c r="U60" s="41"/>
      <c r="V60" s="41"/>
      <c r="W60" s="41"/>
      <c r="X60" s="41"/>
      <c r="Y60" s="41"/>
      <c r="Z60" s="41"/>
      <c r="AA60" s="54"/>
      <c r="AB60" s="43"/>
      <c r="AC60" s="44"/>
      <c r="AD60" s="17"/>
      <c r="AE60"/>
    </row>
    <row r="61" spans="1:31">
      <c r="A61" s="38"/>
      <c r="B61" s="45"/>
      <c r="C61" s="46"/>
      <c r="D61" s="47"/>
      <c r="E61" s="47"/>
      <c r="F61" s="47"/>
      <c r="G61" s="47"/>
      <c r="H61" s="47"/>
      <c r="I61" s="46"/>
      <c r="J61" s="46"/>
      <c r="K61" s="47"/>
      <c r="L61" s="47"/>
      <c r="M61" s="47"/>
      <c r="N61" s="46"/>
      <c r="O61" s="48"/>
      <c r="P61" s="47"/>
      <c r="Q61" s="46"/>
      <c r="R61" s="46"/>
      <c r="S61" s="46"/>
      <c r="T61" s="49"/>
      <c r="U61" s="49"/>
      <c r="V61" s="49"/>
      <c r="W61" s="49"/>
      <c r="X61" s="49"/>
      <c r="Y61" s="49"/>
      <c r="Z61" s="49"/>
      <c r="AA61" s="50"/>
      <c r="AB61" s="51"/>
      <c r="AC61" s="52"/>
      <c r="AD61" s="47"/>
      <c r="AE61"/>
    </row>
    <row r="62" spans="1:31">
      <c r="A62" s="38"/>
      <c r="B62" s="39"/>
      <c r="C62" s="40"/>
      <c r="D62" s="17"/>
      <c r="E62" s="17"/>
      <c r="F62" s="17"/>
      <c r="G62" s="17"/>
      <c r="H62" s="17"/>
      <c r="I62" s="40"/>
      <c r="J62" s="40"/>
      <c r="K62" s="17"/>
      <c r="L62" s="17"/>
      <c r="M62" s="17"/>
      <c r="N62" s="40"/>
      <c r="O62" s="53"/>
      <c r="P62" s="17"/>
      <c r="Q62" s="40"/>
      <c r="R62" s="40"/>
      <c r="S62" s="40"/>
      <c r="T62" s="41"/>
      <c r="U62" s="41"/>
      <c r="V62" s="41"/>
      <c r="W62" s="41"/>
      <c r="X62" s="41"/>
      <c r="Y62" s="41"/>
      <c r="Z62" s="41"/>
      <c r="AA62" s="54"/>
      <c r="AB62" s="43"/>
      <c r="AC62" s="44"/>
      <c r="AD62" s="17"/>
      <c r="AE62"/>
    </row>
    <row r="63" spans="1:31">
      <c r="A63" s="38"/>
      <c r="B63" s="39"/>
      <c r="C63" s="40"/>
      <c r="D63" s="17"/>
      <c r="E63" s="17"/>
      <c r="F63" s="17"/>
      <c r="G63" s="17"/>
      <c r="H63" s="17"/>
      <c r="I63" s="40"/>
      <c r="J63" s="40"/>
      <c r="K63" s="17"/>
      <c r="L63" s="17"/>
      <c r="M63" s="17"/>
      <c r="N63" s="40"/>
      <c r="O63" s="53"/>
      <c r="P63" s="17"/>
      <c r="Q63" s="40"/>
      <c r="R63" s="40"/>
      <c r="S63" s="40"/>
      <c r="T63" s="41"/>
      <c r="U63" s="41"/>
      <c r="V63" s="41"/>
      <c r="W63" s="41"/>
      <c r="X63" s="41"/>
      <c r="Y63" s="41"/>
      <c r="Z63" s="41"/>
      <c r="AA63" s="54"/>
      <c r="AB63" s="43"/>
      <c r="AC63" s="44"/>
      <c r="AD63" s="17"/>
      <c r="AE63"/>
    </row>
    <row r="64" spans="1:31">
      <c r="A64" s="55"/>
      <c r="B64" s="56"/>
      <c r="C64" s="46"/>
      <c r="D64" s="47"/>
      <c r="E64" s="47"/>
      <c r="F64" s="47"/>
      <c r="G64" s="47"/>
      <c r="H64" s="47"/>
      <c r="I64" s="46"/>
      <c r="J64" s="46"/>
      <c r="K64" s="47"/>
      <c r="L64" s="47"/>
      <c r="M64" s="47"/>
      <c r="N64" s="46"/>
      <c r="O64" s="48"/>
      <c r="P64" s="47"/>
      <c r="Q64" s="46"/>
      <c r="R64" s="46"/>
      <c r="S64" s="46"/>
      <c r="T64" s="49"/>
      <c r="U64" s="49"/>
      <c r="V64" s="49"/>
      <c r="W64" s="49"/>
      <c r="X64" s="49"/>
      <c r="Y64" s="49"/>
      <c r="Z64" s="49"/>
      <c r="AA64" s="50"/>
      <c r="AB64" s="43"/>
      <c r="AC64" s="44"/>
      <c r="AD64" s="47"/>
      <c r="AE64"/>
    </row>
    <row r="65" spans="1:31">
      <c r="A65" s="36"/>
      <c r="B65" s="24"/>
      <c r="C65" s="18"/>
      <c r="D65" s="12"/>
      <c r="E65" s="12"/>
      <c r="F65" s="12"/>
      <c r="G65" s="12"/>
      <c r="H65" s="12"/>
      <c r="I65" s="18"/>
      <c r="J65" s="18"/>
      <c r="K65" s="12"/>
      <c r="L65" s="12"/>
      <c r="M65" s="12"/>
      <c r="N65" s="18"/>
      <c r="O65" s="18"/>
      <c r="P65" s="12"/>
      <c r="Q65" s="18"/>
      <c r="R65" s="18"/>
      <c r="S65" s="18"/>
      <c r="T65" s="20"/>
      <c r="U65" s="20"/>
      <c r="V65" s="20"/>
      <c r="W65" s="20"/>
      <c r="X65" s="20"/>
      <c r="Y65" s="20"/>
      <c r="Z65" s="20"/>
      <c r="AA65" s="37"/>
      <c r="AB65" s="22"/>
      <c r="AC65" s="23"/>
      <c r="AD65" s="17"/>
      <c r="AE65"/>
    </row>
    <row r="66" spans="1:31">
      <c r="A66" s="38"/>
      <c r="B66" s="39"/>
      <c r="C66" s="40"/>
      <c r="D66" s="17"/>
      <c r="E66" s="17"/>
      <c r="F66" s="17"/>
      <c r="G66" s="17"/>
      <c r="H66" s="17"/>
      <c r="I66" s="40"/>
      <c r="J66" s="40"/>
      <c r="K66" s="17"/>
      <c r="L66" s="17"/>
      <c r="M66" s="17"/>
      <c r="N66" s="40"/>
      <c r="O66" s="40"/>
      <c r="P66" s="17"/>
      <c r="Q66" s="40"/>
      <c r="R66" s="40"/>
      <c r="S66" s="40"/>
      <c r="T66" s="41"/>
      <c r="U66" s="41"/>
      <c r="V66" s="41"/>
      <c r="W66" s="41"/>
      <c r="X66" s="41"/>
      <c r="Y66" s="41"/>
      <c r="Z66" s="41"/>
      <c r="AA66" s="42"/>
      <c r="AB66" s="43"/>
      <c r="AC66" s="44"/>
      <c r="AD66" s="17"/>
      <c r="AE66"/>
    </row>
    <row r="67" spans="1:31">
      <c r="A67" s="38"/>
      <c r="B67" s="45"/>
      <c r="C67" s="46"/>
      <c r="D67" s="47"/>
      <c r="E67" s="47"/>
      <c r="F67" s="47"/>
      <c r="G67" s="47"/>
      <c r="H67" s="47"/>
      <c r="I67" s="46"/>
      <c r="J67" s="46"/>
      <c r="K67" s="47"/>
      <c r="L67" s="47"/>
      <c r="M67" s="47"/>
      <c r="N67" s="46"/>
      <c r="O67" s="48"/>
      <c r="P67" s="47"/>
      <c r="Q67" s="46"/>
      <c r="R67" s="46"/>
      <c r="S67" s="46"/>
      <c r="T67" s="49"/>
      <c r="U67" s="49"/>
      <c r="V67" s="49"/>
      <c r="W67" s="49"/>
      <c r="X67" s="49"/>
      <c r="Y67" s="49"/>
      <c r="Z67" s="49"/>
      <c r="AA67" s="50"/>
      <c r="AB67" s="51"/>
      <c r="AC67" s="52"/>
      <c r="AD67" s="47"/>
      <c r="AE67"/>
    </row>
    <row r="68" spans="1:31">
      <c r="A68" s="38"/>
      <c r="B68" s="39"/>
      <c r="C68" s="40"/>
      <c r="D68" s="17"/>
      <c r="E68" s="17"/>
      <c r="F68" s="17"/>
      <c r="G68" s="17"/>
      <c r="H68" s="17"/>
      <c r="I68" s="40"/>
      <c r="J68" s="40"/>
      <c r="K68" s="17"/>
      <c r="L68" s="17"/>
      <c r="M68" s="17"/>
      <c r="N68" s="40"/>
      <c r="O68" s="53"/>
      <c r="P68" s="17"/>
      <c r="Q68" s="40"/>
      <c r="R68" s="40"/>
      <c r="S68" s="40"/>
      <c r="T68" s="41"/>
      <c r="U68" s="41"/>
      <c r="V68" s="41"/>
      <c r="W68" s="41"/>
      <c r="X68" s="41"/>
      <c r="Y68" s="41"/>
      <c r="Z68" s="41"/>
      <c r="AA68" s="54"/>
      <c r="AB68" s="43"/>
      <c r="AC68" s="44"/>
      <c r="AD68" s="17"/>
      <c r="AE68"/>
    </row>
    <row r="69" spans="1:31">
      <c r="A69" s="38"/>
      <c r="B69" s="39"/>
      <c r="C69" s="40"/>
      <c r="D69" s="17"/>
      <c r="E69" s="17"/>
      <c r="F69" s="17"/>
      <c r="G69" s="17"/>
      <c r="H69" s="17"/>
      <c r="I69" s="40"/>
      <c r="J69" s="40"/>
      <c r="K69" s="17"/>
      <c r="L69" s="17"/>
      <c r="M69" s="17"/>
      <c r="N69" s="40"/>
      <c r="O69" s="53"/>
      <c r="P69" s="17"/>
      <c r="Q69" s="40"/>
      <c r="R69" s="40"/>
      <c r="S69" s="40"/>
      <c r="T69" s="41"/>
      <c r="U69" s="41"/>
      <c r="V69" s="41"/>
      <c r="W69" s="41"/>
      <c r="X69" s="41"/>
      <c r="Y69" s="41"/>
      <c r="Z69" s="41"/>
      <c r="AA69" s="54"/>
      <c r="AB69" s="43"/>
      <c r="AC69" s="44"/>
      <c r="AD69" s="17"/>
      <c r="AE69"/>
    </row>
    <row r="70" spans="1:31">
      <c r="A70" s="38"/>
      <c r="B70" s="45"/>
      <c r="C70" s="46"/>
      <c r="D70" s="47"/>
      <c r="E70" s="47"/>
      <c r="F70" s="47"/>
      <c r="G70" s="47"/>
      <c r="H70" s="47"/>
      <c r="I70" s="46"/>
      <c r="J70" s="46"/>
      <c r="K70" s="47"/>
      <c r="L70" s="47"/>
      <c r="M70" s="47"/>
      <c r="N70" s="46"/>
      <c r="O70" s="48"/>
      <c r="P70" s="47"/>
      <c r="Q70" s="46"/>
      <c r="R70" s="46"/>
      <c r="S70" s="46"/>
      <c r="T70" s="49"/>
      <c r="U70" s="49"/>
      <c r="V70" s="49"/>
      <c r="W70" s="49"/>
      <c r="X70" s="49"/>
      <c r="Y70" s="49"/>
      <c r="Z70" s="49"/>
      <c r="AA70" s="50"/>
      <c r="AB70" s="51"/>
      <c r="AC70" s="52"/>
      <c r="AD70" s="47"/>
      <c r="AE70"/>
    </row>
    <row r="71" spans="1:31">
      <c r="A71" s="38"/>
      <c r="B71" s="39"/>
      <c r="C71" s="40"/>
      <c r="D71" s="17"/>
      <c r="E71" s="17"/>
      <c r="F71" s="17"/>
      <c r="G71" s="17"/>
      <c r="H71" s="17"/>
      <c r="I71" s="40"/>
      <c r="J71" s="40"/>
      <c r="K71" s="17"/>
      <c r="L71" s="17"/>
      <c r="M71" s="17"/>
      <c r="N71" s="40"/>
      <c r="O71" s="53"/>
      <c r="P71" s="17"/>
      <c r="Q71" s="40"/>
      <c r="R71" s="40"/>
      <c r="S71" s="40"/>
      <c r="T71" s="41"/>
      <c r="U71" s="41"/>
      <c r="V71" s="41"/>
      <c r="W71" s="41"/>
      <c r="X71" s="41"/>
      <c r="Y71" s="41"/>
      <c r="Z71" s="41"/>
      <c r="AA71" s="54"/>
      <c r="AB71" s="43"/>
      <c r="AC71" s="44"/>
      <c r="AD71" s="17"/>
      <c r="AE71"/>
    </row>
    <row r="72" spans="1:31">
      <c r="A72" s="38"/>
      <c r="B72" s="39"/>
      <c r="C72" s="40"/>
      <c r="D72" s="17"/>
      <c r="E72" s="17"/>
      <c r="F72" s="17"/>
      <c r="G72" s="17"/>
      <c r="H72" s="17"/>
      <c r="I72" s="40"/>
      <c r="J72" s="40"/>
      <c r="K72" s="17"/>
      <c r="L72" s="17"/>
      <c r="M72" s="17"/>
      <c r="N72" s="40"/>
      <c r="O72" s="53"/>
      <c r="P72" s="17"/>
      <c r="Q72" s="40"/>
      <c r="R72" s="40"/>
      <c r="S72" s="40"/>
      <c r="T72" s="41"/>
      <c r="U72" s="41"/>
      <c r="V72" s="41"/>
      <c r="W72" s="41"/>
      <c r="X72" s="41"/>
      <c r="Y72" s="41"/>
      <c r="Z72" s="41"/>
      <c r="AA72" s="54"/>
      <c r="AB72" s="43"/>
      <c r="AC72" s="44"/>
      <c r="AD72" s="17"/>
      <c r="AE72"/>
    </row>
    <row r="73" spans="1:31">
      <c r="A73" s="38"/>
      <c r="B73" s="45"/>
      <c r="C73" s="46"/>
      <c r="D73" s="47"/>
      <c r="E73" s="47"/>
      <c r="F73" s="47"/>
      <c r="G73" s="47"/>
      <c r="H73" s="47"/>
      <c r="I73" s="46"/>
      <c r="J73" s="46"/>
      <c r="K73" s="47"/>
      <c r="L73" s="47"/>
      <c r="M73" s="47"/>
      <c r="N73" s="46"/>
      <c r="O73" s="48"/>
      <c r="P73" s="47"/>
      <c r="Q73" s="46"/>
      <c r="R73" s="46"/>
      <c r="S73" s="46"/>
      <c r="T73" s="49"/>
      <c r="U73" s="49"/>
      <c r="V73" s="49"/>
      <c r="W73" s="49"/>
      <c r="X73" s="49"/>
      <c r="Y73" s="49"/>
      <c r="Z73" s="49"/>
      <c r="AA73" s="50"/>
      <c r="AB73" s="51"/>
      <c r="AC73" s="52"/>
      <c r="AD73" s="47"/>
      <c r="AE73"/>
    </row>
    <row r="74" spans="1:31">
      <c r="A74" s="38"/>
      <c r="B74" s="39"/>
      <c r="C74" s="40"/>
      <c r="D74" s="17"/>
      <c r="E74" s="17"/>
      <c r="F74" s="17"/>
      <c r="G74" s="17"/>
      <c r="H74" s="17"/>
      <c r="I74" s="40"/>
      <c r="J74" s="40"/>
      <c r="K74" s="17"/>
      <c r="L74" s="17"/>
      <c r="M74" s="17"/>
      <c r="N74" s="40"/>
      <c r="O74" s="53"/>
      <c r="P74" s="17"/>
      <c r="Q74" s="40"/>
      <c r="R74" s="40"/>
      <c r="S74" s="40"/>
      <c r="T74" s="41"/>
      <c r="U74" s="41"/>
      <c r="V74" s="41"/>
      <c r="W74" s="41"/>
      <c r="X74" s="41"/>
      <c r="Y74" s="41"/>
      <c r="Z74" s="41"/>
      <c r="AA74" s="54"/>
      <c r="AB74" s="43"/>
      <c r="AC74" s="44"/>
      <c r="AD74" s="17"/>
      <c r="AE74"/>
    </row>
    <row r="75" spans="1:31">
      <c r="A75" s="38"/>
      <c r="B75" s="39"/>
      <c r="C75" s="40"/>
      <c r="D75" s="17"/>
      <c r="E75" s="17"/>
      <c r="F75" s="17"/>
      <c r="G75" s="17"/>
      <c r="H75" s="17"/>
      <c r="I75" s="40"/>
      <c r="J75" s="40"/>
      <c r="K75" s="17"/>
      <c r="L75" s="17"/>
      <c r="M75" s="17"/>
      <c r="N75" s="40"/>
      <c r="O75" s="53"/>
      <c r="P75" s="17"/>
      <c r="Q75" s="40"/>
      <c r="R75" s="40"/>
      <c r="S75" s="40"/>
      <c r="T75" s="41"/>
      <c r="U75" s="41"/>
      <c r="V75" s="41"/>
      <c r="W75" s="41"/>
      <c r="X75" s="41"/>
      <c r="Y75" s="41"/>
      <c r="Z75" s="41"/>
      <c r="AA75" s="54"/>
      <c r="AB75" s="43"/>
      <c r="AC75" s="44"/>
      <c r="AD75" s="17"/>
      <c r="AE75"/>
    </row>
    <row r="76" spans="1:31">
      <c r="A76" s="55"/>
      <c r="B76" s="56"/>
      <c r="C76" s="46"/>
      <c r="D76" s="47"/>
      <c r="E76" s="47"/>
      <c r="F76" s="47"/>
      <c r="G76" s="47"/>
      <c r="H76" s="47"/>
      <c r="I76" s="46"/>
      <c r="J76" s="46"/>
      <c r="K76" s="47"/>
      <c r="L76" s="47"/>
      <c r="M76" s="47"/>
      <c r="N76" s="46"/>
      <c r="O76" s="48"/>
      <c r="P76" s="47"/>
      <c r="Q76" s="46"/>
      <c r="R76" s="46"/>
      <c r="S76" s="46"/>
      <c r="T76" s="49"/>
      <c r="U76" s="49"/>
      <c r="V76" s="49"/>
      <c r="W76" s="49"/>
      <c r="X76" s="49"/>
      <c r="Y76" s="49"/>
      <c r="Z76" s="49"/>
      <c r="AA76" s="50"/>
      <c r="AB76" s="43"/>
      <c r="AC76" s="44"/>
      <c r="AD76" s="47"/>
      <c r="AE76"/>
    </row>
    <row r="77" spans="1:31">
      <c r="A77" s="36"/>
      <c r="B77" s="24"/>
      <c r="C77" s="18"/>
      <c r="D77" s="12"/>
      <c r="E77" s="12"/>
      <c r="F77" s="12"/>
      <c r="G77" s="12"/>
      <c r="H77" s="12"/>
      <c r="I77" s="18"/>
      <c r="J77" s="18"/>
      <c r="K77" s="12"/>
      <c r="L77" s="12"/>
      <c r="M77" s="12"/>
      <c r="N77" s="18"/>
      <c r="O77" s="18"/>
      <c r="P77" s="12"/>
      <c r="Q77" s="18"/>
      <c r="R77" s="18"/>
      <c r="S77" s="18"/>
      <c r="T77" s="20"/>
      <c r="U77" s="20"/>
      <c r="V77" s="20"/>
      <c r="W77" s="20"/>
      <c r="X77" s="20"/>
      <c r="Y77" s="20"/>
      <c r="Z77" s="20"/>
      <c r="AA77" s="37"/>
      <c r="AB77" s="22"/>
      <c r="AC77" s="23"/>
      <c r="AD77" s="17"/>
      <c r="AE77"/>
    </row>
    <row r="78" spans="1:31">
      <c r="A78" s="38"/>
      <c r="B78" s="39"/>
      <c r="C78" s="40"/>
      <c r="D78" s="17"/>
      <c r="E78" s="17"/>
      <c r="F78" s="17"/>
      <c r="G78" s="17"/>
      <c r="H78" s="17"/>
      <c r="I78" s="40"/>
      <c r="J78" s="40"/>
      <c r="K78" s="17"/>
      <c r="L78" s="17"/>
      <c r="M78" s="17"/>
      <c r="N78" s="40"/>
      <c r="O78" s="40"/>
      <c r="P78" s="17"/>
      <c r="Q78" s="40"/>
      <c r="R78" s="40"/>
      <c r="S78" s="40"/>
      <c r="T78" s="41"/>
      <c r="U78" s="41"/>
      <c r="V78" s="41"/>
      <c r="W78" s="41"/>
      <c r="X78" s="41"/>
      <c r="Y78" s="41"/>
      <c r="Z78" s="41"/>
      <c r="AA78" s="42"/>
      <c r="AB78" s="43"/>
      <c r="AC78" s="44"/>
      <c r="AD78" s="17"/>
      <c r="AE78"/>
    </row>
    <row r="79" spans="1:31">
      <c r="A79" s="38"/>
      <c r="B79" s="45"/>
      <c r="C79" s="46"/>
      <c r="D79" s="47"/>
      <c r="E79" s="47"/>
      <c r="F79" s="47"/>
      <c r="G79" s="47"/>
      <c r="H79" s="47"/>
      <c r="I79" s="46"/>
      <c r="J79" s="46"/>
      <c r="K79" s="47"/>
      <c r="L79" s="47"/>
      <c r="M79" s="47"/>
      <c r="N79" s="46"/>
      <c r="O79" s="48"/>
      <c r="P79" s="47"/>
      <c r="Q79" s="46"/>
      <c r="R79" s="46"/>
      <c r="S79" s="46"/>
      <c r="T79" s="49"/>
      <c r="U79" s="49"/>
      <c r="V79" s="49"/>
      <c r="W79" s="49"/>
      <c r="X79" s="49"/>
      <c r="Y79" s="49"/>
      <c r="Z79" s="49"/>
      <c r="AA79" s="50"/>
      <c r="AB79" s="51"/>
      <c r="AC79" s="52"/>
      <c r="AD79" s="47"/>
      <c r="AE79"/>
    </row>
    <row r="80" spans="1:31">
      <c r="A80" s="38"/>
      <c r="B80" s="39"/>
      <c r="C80" s="40"/>
      <c r="D80" s="17"/>
      <c r="E80" s="17"/>
      <c r="F80" s="17"/>
      <c r="G80" s="17"/>
      <c r="H80" s="17"/>
      <c r="I80" s="40"/>
      <c r="J80" s="40"/>
      <c r="K80" s="17"/>
      <c r="L80" s="57"/>
      <c r="M80" s="17"/>
      <c r="N80" s="58"/>
      <c r="O80" s="53"/>
      <c r="P80" s="17"/>
      <c r="Q80" s="40"/>
      <c r="R80" s="40"/>
      <c r="S80" s="40"/>
      <c r="T80" s="41"/>
      <c r="U80" s="41"/>
      <c r="V80" s="41"/>
      <c r="W80" s="41"/>
      <c r="X80" s="41"/>
      <c r="Y80" s="41"/>
      <c r="Z80" s="41"/>
      <c r="AA80" s="54"/>
      <c r="AB80" s="43"/>
      <c r="AC80" s="44"/>
      <c r="AD80" s="17"/>
      <c r="AE80"/>
    </row>
    <row r="81" spans="1:31">
      <c r="A81" s="38"/>
      <c r="B81" s="39"/>
      <c r="C81" s="40"/>
      <c r="D81" s="17"/>
      <c r="E81" s="17"/>
      <c r="F81" s="17"/>
      <c r="G81" s="17"/>
      <c r="H81" s="17"/>
      <c r="I81" s="40"/>
      <c r="J81" s="40"/>
      <c r="K81" s="17"/>
      <c r="L81" s="17"/>
      <c r="M81" s="17"/>
      <c r="N81" s="40"/>
      <c r="O81" s="53"/>
      <c r="P81" s="17"/>
      <c r="Q81" s="40"/>
      <c r="R81" s="40"/>
      <c r="S81" s="40"/>
      <c r="T81" s="41"/>
      <c r="U81" s="41"/>
      <c r="V81" s="41"/>
      <c r="W81" s="41"/>
      <c r="X81" s="41"/>
      <c r="Y81" s="41"/>
      <c r="Z81" s="41"/>
      <c r="AA81" s="54"/>
      <c r="AB81" s="43"/>
      <c r="AC81" s="44"/>
      <c r="AD81" s="17"/>
      <c r="AE81"/>
    </row>
    <row r="82" spans="1:31">
      <c r="A82" s="38"/>
      <c r="B82" s="45"/>
      <c r="C82" s="46"/>
      <c r="D82" s="47"/>
      <c r="E82" s="47"/>
      <c r="F82" s="47"/>
      <c r="G82" s="47"/>
      <c r="H82" s="47"/>
      <c r="I82" s="46"/>
      <c r="J82" s="46"/>
      <c r="K82" s="47"/>
      <c r="L82" s="47"/>
      <c r="M82" s="47"/>
      <c r="N82" s="46"/>
      <c r="O82" s="48"/>
      <c r="P82" s="47"/>
      <c r="Q82" s="46"/>
      <c r="R82" s="46"/>
      <c r="S82" s="46"/>
      <c r="T82" s="49"/>
      <c r="U82" s="49"/>
      <c r="V82" s="49"/>
      <c r="W82" s="49"/>
      <c r="X82" s="49"/>
      <c r="Y82" s="49"/>
      <c r="Z82" s="49"/>
      <c r="AA82" s="50"/>
      <c r="AB82" s="51"/>
      <c r="AC82" s="52"/>
      <c r="AD82" s="47"/>
      <c r="AE82"/>
    </row>
    <row r="83" spans="1:31">
      <c r="A83" s="38"/>
      <c r="B83" s="39"/>
      <c r="C83" s="40"/>
      <c r="D83" s="17"/>
      <c r="E83" s="17"/>
      <c r="F83" s="17"/>
      <c r="G83" s="17"/>
      <c r="H83" s="17"/>
      <c r="I83" s="40"/>
      <c r="J83" s="40"/>
      <c r="K83" s="17"/>
      <c r="L83" s="17"/>
      <c r="M83" s="17"/>
      <c r="N83" s="40"/>
      <c r="O83" s="53"/>
      <c r="P83" s="17"/>
      <c r="Q83" s="40"/>
      <c r="R83" s="40"/>
      <c r="S83" s="40"/>
      <c r="T83" s="41"/>
      <c r="U83" s="41"/>
      <c r="V83" s="41"/>
      <c r="W83" s="41"/>
      <c r="X83" s="41"/>
      <c r="Y83" s="41"/>
      <c r="Z83" s="41"/>
      <c r="AA83" s="54"/>
      <c r="AB83" s="43"/>
      <c r="AC83" s="44"/>
      <c r="AD83" s="17"/>
      <c r="AE83"/>
    </row>
    <row r="84" spans="1:31">
      <c r="A84" s="38"/>
      <c r="B84" s="39"/>
      <c r="C84" s="40"/>
      <c r="D84" s="17"/>
      <c r="E84" s="17"/>
      <c r="F84" s="17"/>
      <c r="G84" s="17"/>
      <c r="H84" s="17"/>
      <c r="I84" s="40"/>
      <c r="J84" s="40"/>
      <c r="K84" s="17"/>
      <c r="L84" s="17"/>
      <c r="M84" s="17"/>
      <c r="N84" s="40"/>
      <c r="O84" s="53"/>
      <c r="P84" s="17"/>
      <c r="Q84" s="40"/>
      <c r="R84" s="40"/>
      <c r="S84" s="40"/>
      <c r="T84" s="41"/>
      <c r="U84" s="41"/>
      <c r="V84" s="41"/>
      <c r="W84" s="41"/>
      <c r="X84" s="41"/>
      <c r="Y84" s="41"/>
      <c r="Z84" s="41"/>
      <c r="AA84" s="54"/>
      <c r="AB84" s="43"/>
      <c r="AC84" s="44"/>
      <c r="AD84" s="17"/>
      <c r="AE84"/>
    </row>
    <row r="85" spans="1:31">
      <c r="A85" s="38"/>
      <c r="B85" s="45"/>
      <c r="C85" s="46"/>
      <c r="D85" s="47"/>
      <c r="E85" s="47"/>
      <c r="F85" s="47"/>
      <c r="G85" s="47"/>
      <c r="H85" s="47"/>
      <c r="I85" s="46"/>
      <c r="J85" s="46"/>
      <c r="K85" s="47"/>
      <c r="L85" s="47"/>
      <c r="M85" s="47"/>
      <c r="N85" s="46"/>
      <c r="O85" s="48"/>
      <c r="P85" s="47"/>
      <c r="Q85" s="46"/>
      <c r="R85" s="46"/>
      <c r="S85" s="46"/>
      <c r="T85" s="49"/>
      <c r="U85" s="49"/>
      <c r="V85" s="49"/>
      <c r="W85" s="49"/>
      <c r="X85" s="49"/>
      <c r="Y85" s="49"/>
      <c r="Z85" s="49"/>
      <c r="AA85" s="50"/>
      <c r="AB85" s="51"/>
      <c r="AC85" s="52"/>
      <c r="AD85" s="47"/>
      <c r="AE85"/>
    </row>
    <row r="86" spans="1:31">
      <c r="A86" s="38"/>
      <c r="B86" s="39"/>
      <c r="C86" s="40"/>
      <c r="D86" s="17"/>
      <c r="E86" s="17"/>
      <c r="F86" s="17"/>
      <c r="G86" s="17"/>
      <c r="H86" s="17"/>
      <c r="I86" s="40"/>
      <c r="J86" s="40"/>
      <c r="K86" s="17"/>
      <c r="L86" s="17"/>
      <c r="M86" s="17"/>
      <c r="N86" s="40"/>
      <c r="O86" s="53"/>
      <c r="P86" s="17"/>
      <c r="Q86" s="40"/>
      <c r="R86" s="40"/>
      <c r="S86" s="40"/>
      <c r="T86" s="41"/>
      <c r="U86" s="41"/>
      <c r="V86" s="41"/>
      <c r="W86" s="41"/>
      <c r="X86" s="41"/>
      <c r="Y86" s="41"/>
      <c r="Z86" s="41"/>
      <c r="AA86" s="54"/>
      <c r="AB86" s="43"/>
      <c r="AC86" s="44"/>
      <c r="AD86" s="17"/>
      <c r="AE86"/>
    </row>
    <row r="87" spans="1:31">
      <c r="A87" s="38"/>
      <c r="B87" s="39"/>
      <c r="C87" s="40"/>
      <c r="D87" s="17"/>
      <c r="E87" s="17"/>
      <c r="F87" s="17"/>
      <c r="G87" s="17"/>
      <c r="H87" s="17"/>
      <c r="I87" s="40"/>
      <c r="J87" s="40"/>
      <c r="K87" s="17"/>
      <c r="L87" s="17"/>
      <c r="M87" s="17"/>
      <c r="N87" s="40"/>
      <c r="O87" s="53"/>
      <c r="P87" s="17"/>
      <c r="Q87" s="40"/>
      <c r="R87" s="40"/>
      <c r="S87" s="40"/>
      <c r="T87" s="41"/>
      <c r="U87" s="41"/>
      <c r="V87" s="41"/>
      <c r="W87" s="41"/>
      <c r="X87" s="41"/>
      <c r="Y87" s="41"/>
      <c r="Z87" s="41"/>
      <c r="AA87" s="54"/>
      <c r="AB87" s="43"/>
      <c r="AC87" s="44"/>
      <c r="AD87" s="17"/>
      <c r="AE87"/>
    </row>
    <row r="88" spans="1:31">
      <c r="A88" s="55"/>
      <c r="B88" s="56"/>
      <c r="C88" s="46"/>
      <c r="D88" s="47"/>
      <c r="E88" s="47"/>
      <c r="F88" s="47"/>
      <c r="G88" s="47"/>
      <c r="H88" s="47"/>
      <c r="I88" s="46"/>
      <c r="J88" s="46"/>
      <c r="K88" s="47"/>
      <c r="L88" s="47"/>
      <c r="M88" s="47"/>
      <c r="N88" s="46"/>
      <c r="O88" s="48"/>
      <c r="P88" s="47"/>
      <c r="Q88" s="46"/>
      <c r="R88" s="46"/>
      <c r="S88" s="46"/>
      <c r="T88" s="49"/>
      <c r="U88" s="49"/>
      <c r="V88" s="49"/>
      <c r="W88" s="49"/>
      <c r="X88" s="49"/>
      <c r="Y88" s="49"/>
      <c r="Z88" s="49"/>
      <c r="AA88" s="50"/>
      <c r="AB88" s="43"/>
      <c r="AC88" s="44"/>
      <c r="AD88" s="47"/>
      <c r="AE88"/>
    </row>
    <row r="89" spans="1:31">
      <c r="A89" s="36"/>
      <c r="B89" s="24"/>
      <c r="C89" s="18"/>
      <c r="D89" s="12"/>
      <c r="E89" s="12"/>
      <c r="F89" s="12"/>
      <c r="G89" s="12"/>
      <c r="H89" s="12"/>
      <c r="I89" s="18"/>
      <c r="J89" s="18"/>
      <c r="K89" s="12"/>
      <c r="L89" s="12"/>
      <c r="M89" s="12"/>
      <c r="N89" s="18"/>
      <c r="O89" s="18"/>
      <c r="P89" s="12"/>
      <c r="Q89" s="18"/>
      <c r="R89" s="18"/>
      <c r="S89" s="18"/>
      <c r="T89" s="20"/>
      <c r="U89" s="20"/>
      <c r="V89" s="20"/>
      <c r="W89" s="20"/>
      <c r="X89" s="20"/>
      <c r="Y89" s="20"/>
      <c r="Z89" s="20"/>
      <c r="AA89" s="37"/>
      <c r="AB89" s="22"/>
      <c r="AC89" s="23"/>
      <c r="AD89" s="17"/>
      <c r="AE89"/>
    </row>
    <row r="90" spans="1:31">
      <c r="A90" s="38"/>
      <c r="B90" s="39"/>
      <c r="C90" s="40"/>
      <c r="D90" s="17"/>
      <c r="E90" s="17"/>
      <c r="F90" s="17"/>
      <c r="G90" s="17"/>
      <c r="H90" s="17"/>
      <c r="I90" s="40"/>
      <c r="J90" s="40"/>
      <c r="K90" s="17"/>
      <c r="L90" s="17"/>
      <c r="M90" s="17"/>
      <c r="N90" s="40"/>
      <c r="O90" s="40"/>
      <c r="P90" s="17"/>
      <c r="Q90" s="40"/>
      <c r="R90" s="40"/>
      <c r="S90" s="40"/>
      <c r="T90" s="41"/>
      <c r="U90" s="41"/>
      <c r="V90" s="41"/>
      <c r="W90" s="41"/>
      <c r="X90" s="41"/>
      <c r="Y90" s="41"/>
      <c r="Z90" s="41"/>
      <c r="AA90" s="42"/>
      <c r="AB90" s="43"/>
      <c r="AC90" s="44"/>
      <c r="AD90" s="17"/>
      <c r="AE90"/>
    </row>
    <row r="91" spans="1:31">
      <c r="A91" s="38"/>
      <c r="B91" s="45"/>
      <c r="C91" s="46"/>
      <c r="D91" s="47"/>
      <c r="E91" s="47"/>
      <c r="F91" s="47"/>
      <c r="G91" s="47"/>
      <c r="H91" s="47"/>
      <c r="I91" s="46"/>
      <c r="J91" s="46"/>
      <c r="K91" s="47"/>
      <c r="L91" s="47"/>
      <c r="M91" s="47"/>
      <c r="N91" s="46"/>
      <c r="O91" s="48"/>
      <c r="P91" s="47"/>
      <c r="Q91" s="46"/>
      <c r="R91" s="46"/>
      <c r="S91" s="46"/>
      <c r="T91" s="49"/>
      <c r="U91" s="49"/>
      <c r="V91" s="49"/>
      <c r="W91" s="49"/>
      <c r="X91" s="49"/>
      <c r="Y91" s="49"/>
      <c r="Z91" s="49"/>
      <c r="AA91" s="50"/>
      <c r="AB91" s="51"/>
      <c r="AC91" s="52"/>
      <c r="AD91" s="47"/>
      <c r="AE91"/>
    </row>
    <row r="92" spans="1:31">
      <c r="A92" s="38"/>
      <c r="B92" s="39"/>
      <c r="C92" s="40"/>
      <c r="D92" s="17"/>
      <c r="E92" s="17"/>
      <c r="F92" s="17"/>
      <c r="G92" s="17"/>
      <c r="H92" s="17"/>
      <c r="I92" s="40"/>
      <c r="J92" s="40"/>
      <c r="K92" s="17"/>
      <c r="L92" s="17"/>
      <c r="M92" s="17"/>
      <c r="N92" s="40"/>
      <c r="O92" s="53"/>
      <c r="P92" s="17"/>
      <c r="Q92" s="40"/>
      <c r="R92" s="40"/>
      <c r="S92" s="40"/>
      <c r="T92" s="41"/>
      <c r="U92" s="41"/>
      <c r="V92" s="41"/>
      <c r="W92" s="41"/>
      <c r="X92" s="41"/>
      <c r="Y92" s="41"/>
      <c r="Z92" s="41"/>
      <c r="AA92" s="54"/>
      <c r="AB92" s="43"/>
      <c r="AC92" s="44"/>
      <c r="AD92" s="17"/>
      <c r="AE92"/>
    </row>
    <row r="93" spans="1:31">
      <c r="A93" s="38"/>
      <c r="B93" s="39"/>
      <c r="C93" s="40"/>
      <c r="D93" s="17"/>
      <c r="E93" s="17"/>
      <c r="F93" s="17"/>
      <c r="G93" s="17"/>
      <c r="H93" s="17"/>
      <c r="I93" s="40"/>
      <c r="J93" s="40"/>
      <c r="K93" s="17"/>
      <c r="L93" s="17"/>
      <c r="M93" s="17"/>
      <c r="N93" s="40"/>
      <c r="O93" s="53"/>
      <c r="P93" s="17"/>
      <c r="Q93" s="40"/>
      <c r="R93" s="40"/>
      <c r="S93" s="40"/>
      <c r="T93" s="41"/>
      <c r="U93" s="41"/>
      <c r="V93" s="41"/>
      <c r="W93" s="41"/>
      <c r="X93" s="41"/>
      <c r="Y93" s="41"/>
      <c r="Z93" s="41"/>
      <c r="AA93" s="54"/>
      <c r="AB93" s="43"/>
      <c r="AC93" s="44"/>
      <c r="AD93" s="17"/>
      <c r="AE93"/>
    </row>
    <row r="94" spans="1:31">
      <c r="A94" s="38"/>
      <c r="B94" s="45"/>
      <c r="C94" s="46"/>
      <c r="D94" s="47"/>
      <c r="E94" s="47"/>
      <c r="F94" s="47"/>
      <c r="G94" s="47"/>
      <c r="H94" s="47"/>
      <c r="I94" s="46"/>
      <c r="J94" s="46"/>
      <c r="K94" s="47"/>
      <c r="L94" s="47"/>
      <c r="M94" s="47"/>
      <c r="N94" s="46"/>
      <c r="O94" s="48"/>
      <c r="P94" s="47"/>
      <c r="Q94" s="46"/>
      <c r="R94" s="46"/>
      <c r="S94" s="46"/>
      <c r="T94" s="49"/>
      <c r="U94" s="49"/>
      <c r="V94" s="49"/>
      <c r="W94" s="49"/>
      <c r="X94" s="49"/>
      <c r="Y94" s="49"/>
      <c r="Z94" s="49"/>
      <c r="AA94" s="50"/>
      <c r="AB94" s="51"/>
      <c r="AC94" s="52"/>
      <c r="AD94" s="47"/>
      <c r="AE94"/>
    </row>
    <row r="95" spans="1:31">
      <c r="A95" s="38"/>
      <c r="B95" s="39"/>
      <c r="C95" s="40"/>
      <c r="D95" s="17"/>
      <c r="E95" s="17"/>
      <c r="F95" s="17"/>
      <c r="G95" s="17"/>
      <c r="H95" s="17"/>
      <c r="I95" s="40"/>
      <c r="J95" s="40"/>
      <c r="K95" s="17"/>
      <c r="L95" s="17"/>
      <c r="M95" s="17"/>
      <c r="N95" s="40"/>
      <c r="O95" s="53"/>
      <c r="P95" s="17"/>
      <c r="Q95" s="40"/>
      <c r="R95" s="40"/>
      <c r="S95" s="40"/>
      <c r="T95" s="41"/>
      <c r="U95" s="41"/>
      <c r="V95" s="41"/>
      <c r="W95" s="41"/>
      <c r="X95" s="41"/>
      <c r="Y95" s="41"/>
      <c r="Z95" s="41"/>
      <c r="AA95" s="54"/>
      <c r="AB95" s="43"/>
      <c r="AC95" s="44"/>
      <c r="AD95" s="17"/>
      <c r="AE95"/>
    </row>
    <row r="96" spans="1:31">
      <c r="A96" s="38"/>
      <c r="B96" s="39"/>
      <c r="C96" s="40"/>
      <c r="D96" s="17"/>
      <c r="E96" s="17"/>
      <c r="F96" s="17"/>
      <c r="G96" s="17"/>
      <c r="H96" s="17"/>
      <c r="I96" s="40"/>
      <c r="J96" s="40"/>
      <c r="K96" s="17"/>
      <c r="L96" s="17"/>
      <c r="M96" s="17"/>
      <c r="N96" s="40"/>
      <c r="O96" s="53"/>
      <c r="P96" s="17"/>
      <c r="Q96" s="40"/>
      <c r="R96" s="40"/>
      <c r="S96" s="40"/>
      <c r="T96" s="41"/>
      <c r="U96" s="41"/>
      <c r="V96" s="41"/>
      <c r="W96" s="41"/>
      <c r="X96" s="41"/>
      <c r="Y96" s="41"/>
      <c r="Z96" s="41"/>
      <c r="AA96" s="54"/>
      <c r="AB96" s="43"/>
      <c r="AC96" s="44"/>
      <c r="AD96" s="17"/>
      <c r="AE96"/>
    </row>
    <row r="97" spans="1:31">
      <c r="A97" s="38"/>
      <c r="B97" s="45"/>
      <c r="C97" s="46"/>
      <c r="D97" s="47"/>
      <c r="E97" s="47"/>
      <c r="F97" s="47"/>
      <c r="G97" s="47"/>
      <c r="H97" s="47"/>
      <c r="I97" s="46"/>
      <c r="J97" s="46"/>
      <c r="K97" s="47"/>
      <c r="L97" s="47"/>
      <c r="M97" s="47"/>
      <c r="N97" s="46"/>
      <c r="O97" s="48"/>
      <c r="P97" s="47"/>
      <c r="Q97" s="46"/>
      <c r="R97" s="46"/>
      <c r="S97" s="46"/>
      <c r="T97" s="49"/>
      <c r="U97" s="49"/>
      <c r="V97" s="49"/>
      <c r="W97" s="49"/>
      <c r="X97" s="49"/>
      <c r="Y97" s="49"/>
      <c r="Z97" s="49"/>
      <c r="AA97" s="50"/>
      <c r="AB97" s="51"/>
      <c r="AC97" s="52"/>
      <c r="AD97" s="47"/>
      <c r="AE97"/>
    </row>
    <row r="98" spans="1:31">
      <c r="A98" s="38"/>
      <c r="B98" s="39"/>
      <c r="C98" s="40"/>
      <c r="D98" s="17"/>
      <c r="E98" s="17"/>
      <c r="F98" s="17"/>
      <c r="G98" s="17"/>
      <c r="H98" s="17"/>
      <c r="I98" s="40"/>
      <c r="J98" s="40"/>
      <c r="K98" s="17"/>
      <c r="L98" s="17"/>
      <c r="M98" s="17"/>
      <c r="N98" s="40"/>
      <c r="O98" s="53"/>
      <c r="P98" s="17"/>
      <c r="Q98" s="40"/>
      <c r="R98" s="40"/>
      <c r="S98" s="40"/>
      <c r="T98" s="41"/>
      <c r="U98" s="41"/>
      <c r="V98" s="41"/>
      <c r="W98" s="41"/>
      <c r="X98" s="41"/>
      <c r="Y98" s="41"/>
      <c r="Z98" s="41"/>
      <c r="AA98" s="54"/>
      <c r="AB98" s="43"/>
      <c r="AC98" s="44"/>
      <c r="AD98" s="17"/>
      <c r="AE98"/>
    </row>
    <row r="99" spans="1:31">
      <c r="A99" s="38"/>
      <c r="B99" s="39"/>
      <c r="C99" s="40"/>
      <c r="D99" s="17"/>
      <c r="E99" s="17"/>
      <c r="F99" s="17"/>
      <c r="G99" s="17"/>
      <c r="H99" s="17"/>
      <c r="I99" s="40"/>
      <c r="J99" s="40"/>
      <c r="K99" s="17"/>
      <c r="L99" s="17"/>
      <c r="M99" s="17"/>
      <c r="N99" s="40"/>
      <c r="O99" s="53"/>
      <c r="P99" s="17"/>
      <c r="Q99" s="40"/>
      <c r="R99" s="40"/>
      <c r="S99" s="40"/>
      <c r="T99" s="41"/>
      <c r="U99" s="41"/>
      <c r="V99" s="41"/>
      <c r="W99" s="41"/>
      <c r="X99" s="41"/>
      <c r="Y99" s="41"/>
      <c r="Z99" s="41"/>
      <c r="AA99" s="54"/>
      <c r="AB99" s="43"/>
      <c r="AC99" s="44"/>
      <c r="AD99" s="17"/>
      <c r="AE99"/>
    </row>
    <row r="100" spans="1:31">
      <c r="A100" s="55"/>
      <c r="B100" s="56"/>
      <c r="C100" s="46"/>
      <c r="D100" s="47"/>
      <c r="E100" s="47"/>
      <c r="F100" s="47"/>
      <c r="G100" s="47"/>
      <c r="H100" s="47"/>
      <c r="I100" s="46"/>
      <c r="J100" s="46"/>
      <c r="K100" s="47"/>
      <c r="L100" s="47"/>
      <c r="M100" s="47"/>
      <c r="N100" s="46"/>
      <c r="O100" s="48"/>
      <c r="P100" s="47"/>
      <c r="Q100" s="46"/>
      <c r="R100" s="46"/>
      <c r="S100" s="46"/>
      <c r="T100" s="49"/>
      <c r="U100" s="49"/>
      <c r="V100" s="49"/>
      <c r="W100" s="49"/>
      <c r="X100" s="49"/>
      <c r="Y100" s="49"/>
      <c r="Z100" s="49"/>
      <c r="AA100" s="50"/>
      <c r="AB100" s="43"/>
      <c r="AC100" s="44"/>
      <c r="AD100" s="47"/>
      <c r="AE100"/>
    </row>
    <row r="101" spans="1:31">
      <c r="A101" s="36"/>
      <c r="B101" s="24"/>
      <c r="C101" s="18"/>
      <c r="D101" s="12"/>
      <c r="E101" s="12"/>
      <c r="F101" s="12"/>
      <c r="G101" s="12"/>
      <c r="H101" s="12"/>
      <c r="I101" s="18"/>
      <c r="J101" s="18"/>
      <c r="K101" s="12"/>
      <c r="L101" s="12"/>
      <c r="M101" s="12"/>
      <c r="N101" s="18"/>
      <c r="O101" s="18"/>
      <c r="P101" s="12"/>
      <c r="Q101" s="18"/>
      <c r="R101" s="18"/>
      <c r="S101" s="18"/>
      <c r="T101" s="20"/>
      <c r="U101" s="20"/>
      <c r="V101" s="20"/>
      <c r="W101" s="20"/>
      <c r="X101" s="20"/>
      <c r="Y101" s="20"/>
      <c r="Z101" s="20"/>
      <c r="AA101" s="37"/>
      <c r="AB101" s="22"/>
      <c r="AC101" s="23"/>
      <c r="AD101" s="17"/>
      <c r="AE101"/>
    </row>
    <row r="102" spans="1:31">
      <c r="A102" s="38"/>
      <c r="B102" s="39"/>
      <c r="C102" s="40"/>
      <c r="D102" s="17"/>
      <c r="E102" s="17"/>
      <c r="F102" s="17"/>
      <c r="G102" s="17"/>
      <c r="H102" s="17"/>
      <c r="I102" s="40"/>
      <c r="J102" s="40"/>
      <c r="K102" s="17"/>
      <c r="L102" s="17"/>
      <c r="M102" s="17"/>
      <c r="N102" s="40"/>
      <c r="O102" s="40"/>
      <c r="P102" s="17"/>
      <c r="Q102" s="40"/>
      <c r="R102" s="40"/>
      <c r="S102" s="40"/>
      <c r="T102" s="41"/>
      <c r="U102" s="41"/>
      <c r="V102" s="41"/>
      <c r="W102" s="41"/>
      <c r="X102" s="41"/>
      <c r="Y102" s="41"/>
      <c r="Z102" s="41"/>
      <c r="AA102" s="42"/>
      <c r="AB102" s="43"/>
      <c r="AC102" s="44"/>
      <c r="AD102" s="17"/>
      <c r="AE102"/>
    </row>
    <row r="103" spans="1:31">
      <c r="A103" s="38"/>
      <c r="B103" s="45"/>
      <c r="C103" s="46"/>
      <c r="D103" s="47"/>
      <c r="E103" s="47"/>
      <c r="F103" s="47"/>
      <c r="G103" s="47"/>
      <c r="H103" s="47"/>
      <c r="I103" s="46"/>
      <c r="J103" s="46"/>
      <c r="K103" s="47"/>
      <c r="L103" s="47"/>
      <c r="M103" s="47"/>
      <c r="N103" s="46"/>
      <c r="O103" s="48"/>
      <c r="P103" s="47"/>
      <c r="Q103" s="46"/>
      <c r="R103" s="46"/>
      <c r="S103" s="46"/>
      <c r="T103" s="49"/>
      <c r="U103" s="49"/>
      <c r="V103" s="49"/>
      <c r="W103" s="49"/>
      <c r="X103" s="49"/>
      <c r="Y103" s="49"/>
      <c r="Z103" s="49"/>
      <c r="AA103" s="50"/>
      <c r="AB103" s="51"/>
      <c r="AC103" s="52"/>
      <c r="AD103" s="47"/>
      <c r="AE103"/>
    </row>
    <row r="104" spans="1:31">
      <c r="A104" s="38"/>
      <c r="B104" s="39"/>
      <c r="C104" s="40"/>
      <c r="D104" s="17"/>
      <c r="E104" s="17"/>
      <c r="F104" s="17"/>
      <c r="G104" s="17"/>
      <c r="H104" s="17"/>
      <c r="I104" s="40"/>
      <c r="J104" s="40"/>
      <c r="K104" s="17"/>
      <c r="L104" s="17"/>
      <c r="M104" s="17"/>
      <c r="N104" s="40"/>
      <c r="O104" s="53"/>
      <c r="P104" s="17"/>
      <c r="Q104" s="40"/>
      <c r="R104" s="40"/>
      <c r="S104" s="40"/>
      <c r="T104" s="41"/>
      <c r="U104" s="41"/>
      <c r="V104" s="41"/>
      <c r="W104" s="41"/>
      <c r="X104" s="41"/>
      <c r="Y104" s="41"/>
      <c r="Z104" s="41"/>
      <c r="AA104" s="54"/>
      <c r="AB104" s="43"/>
      <c r="AC104" s="44"/>
      <c r="AD104" s="17"/>
      <c r="AE104"/>
    </row>
    <row r="105" spans="1:31">
      <c r="A105" s="38"/>
      <c r="B105" s="39"/>
      <c r="C105" s="40"/>
      <c r="D105" s="17"/>
      <c r="E105" s="17"/>
      <c r="F105" s="17"/>
      <c r="G105" s="17"/>
      <c r="H105" s="17"/>
      <c r="I105" s="40"/>
      <c r="J105" s="40"/>
      <c r="K105" s="17"/>
      <c r="L105" s="17"/>
      <c r="M105" s="17"/>
      <c r="N105" s="40"/>
      <c r="O105" s="53"/>
      <c r="P105" s="17"/>
      <c r="Q105" s="40"/>
      <c r="R105" s="40"/>
      <c r="S105" s="40"/>
      <c r="T105" s="41"/>
      <c r="U105" s="41"/>
      <c r="V105" s="41"/>
      <c r="W105" s="41"/>
      <c r="X105" s="41"/>
      <c r="Y105" s="41"/>
      <c r="Z105" s="41"/>
      <c r="AA105" s="54"/>
      <c r="AB105" s="43"/>
      <c r="AC105" s="44"/>
      <c r="AD105" s="17"/>
      <c r="AE105"/>
    </row>
    <row r="106" spans="1:31">
      <c r="A106" s="38"/>
      <c r="B106" s="45"/>
      <c r="C106" s="46"/>
      <c r="D106" s="47"/>
      <c r="E106" s="47"/>
      <c r="F106" s="47"/>
      <c r="G106" s="47"/>
      <c r="H106" s="47"/>
      <c r="I106" s="46"/>
      <c r="J106" s="46"/>
      <c r="K106" s="47"/>
      <c r="L106" s="47"/>
      <c r="M106" s="47"/>
      <c r="N106" s="46"/>
      <c r="O106" s="48"/>
      <c r="P106" s="47"/>
      <c r="Q106" s="46"/>
      <c r="R106" s="46"/>
      <c r="S106" s="46"/>
      <c r="T106" s="49"/>
      <c r="U106" s="49"/>
      <c r="V106" s="49"/>
      <c r="W106" s="49"/>
      <c r="X106" s="49"/>
      <c r="Y106" s="49"/>
      <c r="Z106" s="49"/>
      <c r="AA106" s="50"/>
      <c r="AB106" s="51"/>
      <c r="AC106" s="52"/>
      <c r="AD106" s="47"/>
      <c r="AE106"/>
    </row>
    <row r="107" spans="1:31">
      <c r="A107" s="38"/>
      <c r="B107" s="39"/>
      <c r="C107" s="40"/>
      <c r="D107" s="17"/>
      <c r="E107" s="17"/>
      <c r="F107" s="17"/>
      <c r="G107" s="17"/>
      <c r="H107" s="17"/>
      <c r="I107" s="40"/>
      <c r="J107" s="40"/>
      <c r="K107" s="17"/>
      <c r="L107" s="17"/>
      <c r="M107" s="17"/>
      <c r="N107" s="40"/>
      <c r="O107" s="53"/>
      <c r="P107" s="17"/>
      <c r="Q107" s="40"/>
      <c r="R107" s="40"/>
      <c r="S107" s="40"/>
      <c r="T107" s="41"/>
      <c r="U107" s="41"/>
      <c r="V107" s="41"/>
      <c r="W107" s="41"/>
      <c r="X107" s="41"/>
      <c r="Y107" s="41"/>
      <c r="Z107" s="41"/>
      <c r="AA107" s="54"/>
      <c r="AB107" s="43"/>
      <c r="AC107" s="44"/>
      <c r="AD107" s="17"/>
      <c r="AE107"/>
    </row>
    <row r="108" spans="1:31">
      <c r="A108" s="38"/>
      <c r="B108" s="39"/>
      <c r="C108" s="40"/>
      <c r="D108" s="17"/>
      <c r="E108" s="17"/>
      <c r="F108" s="17"/>
      <c r="G108" s="17"/>
      <c r="H108" s="17"/>
      <c r="I108" s="40"/>
      <c r="J108" s="40"/>
      <c r="K108" s="17"/>
      <c r="L108" s="17"/>
      <c r="M108" s="17"/>
      <c r="N108" s="40"/>
      <c r="O108" s="53"/>
      <c r="P108" s="17"/>
      <c r="Q108" s="40"/>
      <c r="R108" s="40"/>
      <c r="S108" s="40"/>
      <c r="T108" s="41"/>
      <c r="U108" s="41"/>
      <c r="V108" s="41"/>
      <c r="W108" s="41"/>
      <c r="X108" s="41"/>
      <c r="Y108" s="41"/>
      <c r="Z108" s="41"/>
      <c r="AA108" s="54"/>
      <c r="AB108" s="43"/>
      <c r="AC108" s="44"/>
      <c r="AD108" s="17"/>
      <c r="AE108"/>
    </row>
    <row r="109" spans="1:31">
      <c r="A109" s="38"/>
      <c r="B109" s="45"/>
      <c r="C109" s="46"/>
      <c r="D109" s="47"/>
      <c r="E109" s="47"/>
      <c r="F109" s="47"/>
      <c r="G109" s="47"/>
      <c r="H109" s="47"/>
      <c r="I109" s="46"/>
      <c r="J109" s="46"/>
      <c r="K109" s="47"/>
      <c r="L109" s="47"/>
      <c r="M109" s="47"/>
      <c r="N109" s="46"/>
      <c r="O109" s="48"/>
      <c r="P109" s="47"/>
      <c r="Q109" s="46"/>
      <c r="R109" s="46"/>
      <c r="S109" s="46"/>
      <c r="T109" s="49"/>
      <c r="U109" s="49"/>
      <c r="V109" s="49"/>
      <c r="W109" s="49"/>
      <c r="X109" s="49"/>
      <c r="Y109" s="49"/>
      <c r="Z109" s="49"/>
      <c r="AA109" s="50"/>
      <c r="AB109" s="51"/>
      <c r="AC109" s="52"/>
      <c r="AD109" s="47"/>
      <c r="AE109"/>
    </row>
    <row r="110" spans="1:31">
      <c r="A110" s="38"/>
      <c r="B110" s="39"/>
      <c r="C110" s="40"/>
      <c r="D110" s="17"/>
      <c r="E110" s="17"/>
      <c r="F110" s="17"/>
      <c r="G110" s="17"/>
      <c r="H110" s="17"/>
      <c r="I110" s="40"/>
      <c r="J110" s="40"/>
      <c r="K110" s="17"/>
      <c r="L110" s="17"/>
      <c r="M110" s="17"/>
      <c r="N110" s="40"/>
      <c r="O110" s="53"/>
      <c r="P110" s="17"/>
      <c r="Q110" s="40"/>
      <c r="R110" s="40"/>
      <c r="S110" s="40"/>
      <c r="T110" s="41"/>
      <c r="U110" s="41"/>
      <c r="V110" s="41"/>
      <c r="W110" s="41"/>
      <c r="X110" s="41"/>
      <c r="Y110" s="41"/>
      <c r="Z110" s="41"/>
      <c r="AA110" s="54"/>
      <c r="AB110" s="43"/>
      <c r="AC110" s="44"/>
      <c r="AD110" s="17"/>
      <c r="AE110"/>
    </row>
    <row r="111" spans="1:31">
      <c r="A111" s="38"/>
      <c r="B111" s="39"/>
      <c r="C111" s="40"/>
      <c r="D111" s="17"/>
      <c r="E111" s="17"/>
      <c r="F111" s="17"/>
      <c r="G111" s="17"/>
      <c r="H111" s="17"/>
      <c r="I111" s="40"/>
      <c r="J111" s="40"/>
      <c r="K111" s="17"/>
      <c r="L111" s="17"/>
      <c r="M111" s="17"/>
      <c r="N111" s="40"/>
      <c r="O111" s="53"/>
      <c r="P111" s="17"/>
      <c r="Q111" s="40"/>
      <c r="R111" s="40"/>
      <c r="S111" s="40"/>
      <c r="T111" s="41"/>
      <c r="U111" s="41"/>
      <c r="V111" s="41"/>
      <c r="W111" s="41"/>
      <c r="X111" s="41"/>
      <c r="Y111" s="41"/>
      <c r="Z111" s="41"/>
      <c r="AA111" s="54"/>
      <c r="AB111" s="43"/>
      <c r="AC111" s="44"/>
      <c r="AD111" s="17"/>
      <c r="AE111"/>
    </row>
    <row r="112" spans="1:31">
      <c r="A112" s="55"/>
      <c r="B112" s="56"/>
      <c r="C112" s="46"/>
      <c r="D112" s="47"/>
      <c r="E112" s="47"/>
      <c r="F112" s="47"/>
      <c r="G112" s="47"/>
      <c r="H112" s="47"/>
      <c r="I112" s="46"/>
      <c r="J112" s="46"/>
      <c r="K112" s="47"/>
      <c r="L112" s="47"/>
      <c r="M112" s="47"/>
      <c r="N112" s="46"/>
      <c r="O112" s="48"/>
      <c r="P112" s="47"/>
      <c r="Q112" s="46"/>
      <c r="R112" s="46"/>
      <c r="S112" s="46"/>
      <c r="T112" s="49"/>
      <c r="U112" s="49"/>
      <c r="V112" s="49"/>
      <c r="W112" s="49"/>
      <c r="X112" s="49"/>
      <c r="Y112" s="49"/>
      <c r="Z112" s="49"/>
      <c r="AA112" s="50"/>
      <c r="AB112" s="43"/>
      <c r="AC112" s="44"/>
      <c r="AD112" s="47"/>
      <c r="AE112"/>
    </row>
    <row r="113" spans="1:31">
      <c r="A113" s="36"/>
      <c r="B113" s="24"/>
      <c r="C113" s="18"/>
      <c r="D113" s="12"/>
      <c r="E113" s="12"/>
      <c r="F113" s="12"/>
      <c r="G113" s="12"/>
      <c r="H113" s="12"/>
      <c r="I113" s="18"/>
      <c r="J113" s="18"/>
      <c r="K113" s="12"/>
      <c r="L113" s="12"/>
      <c r="M113" s="12"/>
      <c r="N113" s="18"/>
      <c r="O113" s="18"/>
      <c r="P113" s="12"/>
      <c r="Q113" s="18"/>
      <c r="R113" s="18"/>
      <c r="S113" s="18"/>
      <c r="T113" s="20"/>
      <c r="U113" s="20"/>
      <c r="V113" s="20"/>
      <c r="W113" s="20"/>
      <c r="X113" s="20"/>
      <c r="Y113" s="20"/>
      <c r="Z113" s="20"/>
      <c r="AA113" s="37"/>
      <c r="AB113" s="22"/>
      <c r="AC113" s="23"/>
      <c r="AD113" s="17"/>
      <c r="AE113"/>
    </row>
    <row r="114" spans="1:31">
      <c r="A114" s="38"/>
      <c r="B114" s="39"/>
      <c r="C114" s="40"/>
      <c r="D114" s="17"/>
      <c r="E114" s="17"/>
      <c r="F114" s="17"/>
      <c r="G114" s="17"/>
      <c r="H114" s="17"/>
      <c r="I114" s="40"/>
      <c r="J114" s="40"/>
      <c r="K114" s="17"/>
      <c r="L114" s="17"/>
      <c r="M114" s="17"/>
      <c r="N114" s="40"/>
      <c r="O114" s="40"/>
      <c r="P114" s="17"/>
      <c r="Q114" s="40"/>
      <c r="R114" s="40"/>
      <c r="S114" s="40"/>
      <c r="T114" s="41"/>
      <c r="U114" s="41"/>
      <c r="V114" s="41"/>
      <c r="W114" s="41"/>
      <c r="X114" s="41"/>
      <c r="Y114" s="41"/>
      <c r="Z114" s="41"/>
      <c r="AA114" s="42"/>
      <c r="AB114" s="43"/>
      <c r="AC114" s="44"/>
      <c r="AD114" s="17"/>
      <c r="AE114"/>
    </row>
    <row r="115" spans="1:31">
      <c r="A115" s="38"/>
      <c r="B115" s="45"/>
      <c r="C115" s="46"/>
      <c r="D115" s="47"/>
      <c r="E115" s="47"/>
      <c r="F115" s="47"/>
      <c r="G115" s="47"/>
      <c r="H115" s="47"/>
      <c r="I115" s="46"/>
      <c r="J115" s="46"/>
      <c r="K115" s="47"/>
      <c r="L115" s="47"/>
      <c r="M115" s="47"/>
      <c r="N115" s="46"/>
      <c r="O115" s="48"/>
      <c r="P115" s="47"/>
      <c r="Q115" s="46"/>
      <c r="R115" s="46"/>
      <c r="S115" s="46"/>
      <c r="T115" s="49"/>
      <c r="U115" s="49"/>
      <c r="V115" s="49"/>
      <c r="W115" s="49"/>
      <c r="X115" s="49"/>
      <c r="Y115" s="49"/>
      <c r="Z115" s="49"/>
      <c r="AA115" s="50"/>
      <c r="AB115" s="51"/>
      <c r="AC115" s="52"/>
      <c r="AD115" s="47"/>
      <c r="AE115"/>
    </row>
    <row r="116" spans="1:31">
      <c r="A116" s="38"/>
      <c r="B116" s="39"/>
      <c r="C116" s="40"/>
      <c r="D116" s="17"/>
      <c r="E116" s="17"/>
      <c r="F116" s="17"/>
      <c r="G116" s="17"/>
      <c r="H116" s="17"/>
      <c r="I116" s="40"/>
      <c r="J116" s="40"/>
      <c r="K116" s="17"/>
      <c r="L116" s="17"/>
      <c r="M116" s="17"/>
      <c r="N116" s="40"/>
      <c r="O116" s="53"/>
      <c r="P116" s="17"/>
      <c r="Q116" s="40"/>
      <c r="R116" s="40"/>
      <c r="S116" s="40"/>
      <c r="T116" s="41"/>
      <c r="U116" s="41"/>
      <c r="V116" s="41"/>
      <c r="W116" s="41"/>
      <c r="X116" s="41"/>
      <c r="Y116" s="41"/>
      <c r="Z116" s="41"/>
      <c r="AA116" s="54"/>
      <c r="AB116" s="43"/>
      <c r="AC116" s="44"/>
      <c r="AD116" s="17"/>
      <c r="AE116"/>
    </row>
    <row r="117" spans="1:31">
      <c r="A117" s="38"/>
      <c r="B117" s="39"/>
      <c r="C117" s="40"/>
      <c r="D117" s="17"/>
      <c r="E117" s="17"/>
      <c r="F117" s="17"/>
      <c r="G117" s="17"/>
      <c r="H117" s="17"/>
      <c r="I117" s="40"/>
      <c r="J117" s="40"/>
      <c r="K117" s="17"/>
      <c r="L117" s="17"/>
      <c r="M117" s="17"/>
      <c r="N117" s="40"/>
      <c r="O117" s="53"/>
      <c r="P117" s="17"/>
      <c r="Q117" s="40"/>
      <c r="R117" s="40"/>
      <c r="S117" s="40"/>
      <c r="T117" s="41"/>
      <c r="U117" s="41"/>
      <c r="V117" s="41"/>
      <c r="W117" s="41"/>
      <c r="X117" s="41"/>
      <c r="Y117" s="41"/>
      <c r="Z117" s="41"/>
      <c r="AA117" s="54"/>
      <c r="AB117" s="43"/>
      <c r="AC117" s="44"/>
      <c r="AD117" s="17"/>
      <c r="AE117"/>
    </row>
    <row r="118" spans="1:31">
      <c r="A118" s="38"/>
      <c r="B118" s="45"/>
      <c r="C118" s="46"/>
      <c r="D118" s="47"/>
      <c r="E118" s="47"/>
      <c r="F118" s="47"/>
      <c r="G118" s="47"/>
      <c r="H118" s="47"/>
      <c r="I118" s="46"/>
      <c r="J118" s="46"/>
      <c r="K118" s="47"/>
      <c r="L118" s="47"/>
      <c r="M118" s="47"/>
      <c r="N118" s="46"/>
      <c r="O118" s="48"/>
      <c r="P118" s="47"/>
      <c r="Q118" s="46"/>
      <c r="R118" s="46"/>
      <c r="S118" s="46"/>
      <c r="T118" s="49"/>
      <c r="U118" s="49"/>
      <c r="V118" s="49"/>
      <c r="W118" s="49"/>
      <c r="X118" s="49"/>
      <c r="Y118" s="49"/>
      <c r="Z118" s="49"/>
      <c r="AA118" s="50"/>
      <c r="AB118" s="51"/>
      <c r="AC118" s="52"/>
      <c r="AD118" s="47"/>
      <c r="AE118"/>
    </row>
    <row r="119" spans="1:31">
      <c r="A119" s="38"/>
      <c r="B119" s="39"/>
      <c r="C119" s="40"/>
      <c r="D119" s="17"/>
      <c r="E119" s="17"/>
      <c r="F119" s="17"/>
      <c r="G119" s="17"/>
      <c r="H119" s="17"/>
      <c r="I119" s="40"/>
      <c r="J119" s="40"/>
      <c r="K119" s="17"/>
      <c r="L119" s="17"/>
      <c r="M119" s="17"/>
      <c r="N119" s="40"/>
      <c r="O119" s="53"/>
      <c r="P119" s="17"/>
      <c r="Q119" s="40"/>
      <c r="R119" s="40"/>
      <c r="S119" s="40"/>
      <c r="T119" s="41"/>
      <c r="U119" s="41"/>
      <c r="V119" s="41"/>
      <c r="W119" s="41"/>
      <c r="X119" s="41"/>
      <c r="Y119" s="41"/>
      <c r="Z119" s="41"/>
      <c r="AA119" s="54"/>
      <c r="AB119" s="43"/>
      <c r="AC119" s="44"/>
      <c r="AD119" s="17"/>
      <c r="AE119"/>
    </row>
    <row r="120" spans="1:31">
      <c r="A120" s="38"/>
      <c r="B120" s="39"/>
      <c r="C120" s="40"/>
      <c r="D120" s="17"/>
      <c r="E120" s="17"/>
      <c r="F120" s="17"/>
      <c r="G120" s="17"/>
      <c r="H120" s="17"/>
      <c r="I120" s="40"/>
      <c r="J120" s="40"/>
      <c r="K120" s="17"/>
      <c r="L120" s="17"/>
      <c r="M120" s="17"/>
      <c r="N120" s="40"/>
      <c r="O120" s="53"/>
      <c r="P120" s="17"/>
      <c r="Q120" s="40"/>
      <c r="R120" s="40"/>
      <c r="S120" s="40"/>
      <c r="T120" s="41"/>
      <c r="U120" s="41"/>
      <c r="V120" s="41"/>
      <c r="W120" s="41"/>
      <c r="X120" s="41"/>
      <c r="Y120" s="41"/>
      <c r="Z120" s="41"/>
      <c r="AA120" s="54"/>
      <c r="AB120" s="43"/>
      <c r="AC120" s="44"/>
      <c r="AD120" s="17"/>
      <c r="AE120"/>
    </row>
    <row r="121" spans="1:31">
      <c r="A121" s="38"/>
      <c r="B121" s="45"/>
      <c r="C121" s="46"/>
      <c r="D121" s="47"/>
      <c r="E121" s="47"/>
      <c r="F121" s="47"/>
      <c r="G121" s="47"/>
      <c r="H121" s="47"/>
      <c r="I121" s="46"/>
      <c r="J121" s="46"/>
      <c r="K121" s="47"/>
      <c r="L121" s="47"/>
      <c r="M121" s="47"/>
      <c r="N121" s="46"/>
      <c r="O121" s="48"/>
      <c r="P121" s="47"/>
      <c r="Q121" s="46"/>
      <c r="R121" s="46"/>
      <c r="S121" s="46"/>
      <c r="T121" s="49"/>
      <c r="U121" s="49"/>
      <c r="V121" s="49"/>
      <c r="W121" s="49"/>
      <c r="X121" s="49"/>
      <c r="Y121" s="49"/>
      <c r="Z121" s="49"/>
      <c r="AA121" s="50"/>
      <c r="AB121" s="51"/>
      <c r="AC121" s="52"/>
      <c r="AD121" s="47"/>
      <c r="AE121"/>
    </row>
    <row r="122" spans="1:31">
      <c r="A122" s="38"/>
      <c r="B122" s="39"/>
      <c r="C122" s="40"/>
      <c r="D122" s="17"/>
      <c r="E122" s="17"/>
      <c r="F122" s="17"/>
      <c r="G122" s="17"/>
      <c r="H122" s="17"/>
      <c r="I122" s="40"/>
      <c r="J122" s="40"/>
      <c r="K122" s="17"/>
      <c r="L122" s="17"/>
      <c r="M122" s="17"/>
      <c r="N122" s="40"/>
      <c r="O122" s="53"/>
      <c r="P122" s="17"/>
      <c r="Q122" s="40"/>
      <c r="R122" s="40"/>
      <c r="S122" s="40"/>
      <c r="T122" s="41"/>
      <c r="U122" s="41"/>
      <c r="V122" s="41"/>
      <c r="W122" s="41"/>
      <c r="X122" s="41"/>
      <c r="Y122" s="41"/>
      <c r="Z122" s="41"/>
      <c r="AA122" s="54"/>
      <c r="AB122" s="43"/>
      <c r="AC122" s="44"/>
      <c r="AD122" s="17"/>
      <c r="AE122"/>
    </row>
    <row r="123" spans="1:31">
      <c r="A123" s="38"/>
      <c r="B123" s="39"/>
      <c r="C123" s="40"/>
      <c r="D123" s="17"/>
      <c r="E123" s="17"/>
      <c r="F123" s="17"/>
      <c r="G123" s="17"/>
      <c r="H123" s="17"/>
      <c r="I123" s="40"/>
      <c r="J123" s="40"/>
      <c r="K123" s="17"/>
      <c r="L123" s="17"/>
      <c r="M123" s="17"/>
      <c r="N123" s="40"/>
      <c r="O123" s="53"/>
      <c r="P123" s="17"/>
      <c r="Q123" s="40"/>
      <c r="R123" s="40"/>
      <c r="S123" s="40"/>
      <c r="T123" s="41"/>
      <c r="U123" s="41"/>
      <c r="V123" s="41"/>
      <c r="W123" s="41"/>
      <c r="X123" s="41"/>
      <c r="Y123" s="41"/>
      <c r="Z123" s="41"/>
      <c r="AA123" s="54"/>
      <c r="AB123" s="43"/>
      <c r="AC123" s="44"/>
      <c r="AD123" s="17"/>
      <c r="AE123"/>
    </row>
    <row r="124" spans="1:31">
      <c r="A124" s="55"/>
      <c r="B124" s="56"/>
      <c r="C124" s="46"/>
      <c r="D124" s="47"/>
      <c r="E124" s="47"/>
      <c r="F124" s="47"/>
      <c r="G124" s="47"/>
      <c r="H124" s="47"/>
      <c r="I124" s="46"/>
      <c r="J124" s="46"/>
      <c r="K124" s="47"/>
      <c r="L124" s="47"/>
      <c r="M124" s="47"/>
      <c r="N124" s="46"/>
      <c r="O124" s="48"/>
      <c r="P124" s="47"/>
      <c r="Q124" s="46"/>
      <c r="R124" s="46"/>
      <c r="S124" s="46"/>
      <c r="T124" s="49"/>
      <c r="U124" s="49"/>
      <c r="V124" s="49"/>
      <c r="W124" s="49"/>
      <c r="X124" s="49"/>
      <c r="Y124" s="49"/>
      <c r="Z124" s="49"/>
      <c r="AA124" s="50"/>
      <c r="AB124" s="43"/>
      <c r="AC124" s="44"/>
      <c r="AD124" s="47"/>
      <c r="AE124"/>
    </row>
    <row r="125" spans="1:31">
      <c r="A125" s="36"/>
      <c r="B125" s="24"/>
      <c r="C125" s="18"/>
      <c r="D125" s="12"/>
      <c r="E125" s="12"/>
      <c r="F125" s="12"/>
      <c r="G125" s="12"/>
      <c r="H125" s="12"/>
      <c r="I125" s="18"/>
      <c r="J125" s="18"/>
      <c r="K125" s="12"/>
      <c r="L125" s="12"/>
      <c r="M125" s="12"/>
      <c r="N125" s="18"/>
      <c r="O125" s="18"/>
      <c r="P125" s="12"/>
      <c r="Q125" s="18"/>
      <c r="R125" s="18"/>
      <c r="S125" s="18"/>
      <c r="T125" s="20"/>
      <c r="U125" s="20"/>
      <c r="V125" s="20"/>
      <c r="W125" s="20"/>
      <c r="X125" s="20"/>
      <c r="Y125" s="20"/>
      <c r="Z125" s="20"/>
      <c r="AA125" s="37"/>
      <c r="AB125" s="22"/>
      <c r="AC125" s="23"/>
      <c r="AD125" s="17"/>
      <c r="AE125"/>
    </row>
    <row r="126" spans="1:31">
      <c r="A126" s="38"/>
      <c r="B126" s="39"/>
      <c r="C126" s="40"/>
      <c r="D126" s="17"/>
      <c r="E126" s="17"/>
      <c r="F126" s="17"/>
      <c r="G126" s="17"/>
      <c r="H126" s="17"/>
      <c r="I126" s="40"/>
      <c r="J126" s="40"/>
      <c r="K126" s="17"/>
      <c r="L126" s="17"/>
      <c r="M126" s="17"/>
      <c r="N126" s="40"/>
      <c r="O126" s="40"/>
      <c r="P126" s="17"/>
      <c r="Q126" s="40"/>
      <c r="R126" s="40"/>
      <c r="S126" s="40"/>
      <c r="T126" s="41"/>
      <c r="U126" s="41"/>
      <c r="V126" s="41"/>
      <c r="W126" s="41"/>
      <c r="X126" s="41"/>
      <c r="Y126" s="41"/>
      <c r="Z126" s="41"/>
      <c r="AA126" s="42"/>
      <c r="AB126" s="43"/>
      <c r="AC126" s="44"/>
      <c r="AD126" s="17"/>
      <c r="AE126"/>
    </row>
    <row r="127" spans="1:31">
      <c r="A127" s="38"/>
      <c r="B127" s="45"/>
      <c r="C127" s="46"/>
      <c r="D127" s="47"/>
      <c r="E127" s="47"/>
      <c r="F127" s="47"/>
      <c r="G127" s="47"/>
      <c r="H127" s="47"/>
      <c r="I127" s="46"/>
      <c r="J127" s="46"/>
      <c r="K127" s="47"/>
      <c r="L127" s="47"/>
      <c r="M127" s="47"/>
      <c r="N127" s="46"/>
      <c r="O127" s="48"/>
      <c r="P127" s="47"/>
      <c r="Q127" s="46"/>
      <c r="R127" s="46"/>
      <c r="S127" s="46"/>
      <c r="T127" s="49"/>
      <c r="U127" s="49"/>
      <c r="V127" s="49"/>
      <c r="W127" s="49"/>
      <c r="X127" s="49"/>
      <c r="Y127" s="49"/>
      <c r="Z127" s="49"/>
      <c r="AA127" s="50"/>
      <c r="AB127" s="51"/>
      <c r="AC127" s="52"/>
      <c r="AD127" s="47"/>
      <c r="AE127"/>
    </row>
    <row r="128" spans="1:31">
      <c r="A128" s="38"/>
      <c r="B128" s="39"/>
      <c r="C128" s="40"/>
      <c r="D128" s="17"/>
      <c r="E128" s="17"/>
      <c r="F128" s="17"/>
      <c r="G128" s="17"/>
      <c r="H128" s="17"/>
      <c r="I128" s="40"/>
      <c r="J128" s="40"/>
      <c r="K128" s="17"/>
      <c r="L128" s="17"/>
      <c r="M128" s="17"/>
      <c r="N128" s="40"/>
      <c r="O128" s="53"/>
      <c r="P128" s="17"/>
      <c r="Q128" s="40"/>
      <c r="R128" s="40"/>
      <c r="S128" s="40"/>
      <c r="T128" s="41"/>
      <c r="U128" s="41"/>
      <c r="V128" s="41"/>
      <c r="W128" s="41"/>
      <c r="X128" s="41"/>
      <c r="Y128" s="41"/>
      <c r="Z128" s="41"/>
      <c r="AA128" s="54"/>
      <c r="AB128" s="43"/>
      <c r="AC128" s="44"/>
      <c r="AD128" s="17"/>
      <c r="AE128"/>
    </row>
    <row r="129" spans="1:31">
      <c r="A129" s="38"/>
      <c r="B129" s="39"/>
      <c r="C129" s="40"/>
      <c r="D129" s="17"/>
      <c r="E129" s="17"/>
      <c r="F129" s="17"/>
      <c r="G129" s="17"/>
      <c r="H129" s="17"/>
      <c r="I129" s="40"/>
      <c r="J129" s="40"/>
      <c r="K129" s="17"/>
      <c r="L129" s="17"/>
      <c r="M129" s="17"/>
      <c r="N129" s="40"/>
      <c r="O129" s="53"/>
      <c r="P129" s="17"/>
      <c r="Q129" s="40"/>
      <c r="R129" s="40"/>
      <c r="S129" s="40"/>
      <c r="T129" s="41"/>
      <c r="U129" s="41"/>
      <c r="V129" s="41"/>
      <c r="W129" s="41"/>
      <c r="X129" s="41"/>
      <c r="Y129" s="41"/>
      <c r="Z129" s="41"/>
      <c r="AA129" s="54"/>
      <c r="AB129" s="43"/>
      <c r="AC129" s="44"/>
      <c r="AD129" s="17"/>
      <c r="AE129"/>
    </row>
    <row r="130" spans="1:31">
      <c r="A130" s="38"/>
      <c r="B130" s="45"/>
      <c r="C130" s="46"/>
      <c r="D130" s="47"/>
      <c r="E130" s="47"/>
      <c r="F130" s="47"/>
      <c r="G130" s="47"/>
      <c r="H130" s="47"/>
      <c r="I130" s="46"/>
      <c r="J130" s="46"/>
      <c r="K130" s="47"/>
      <c r="L130" s="47"/>
      <c r="M130" s="47"/>
      <c r="N130" s="46"/>
      <c r="O130" s="48"/>
      <c r="P130" s="47"/>
      <c r="Q130" s="46"/>
      <c r="R130" s="46"/>
      <c r="S130" s="46"/>
      <c r="T130" s="49"/>
      <c r="U130" s="49"/>
      <c r="V130" s="49"/>
      <c r="W130" s="49"/>
      <c r="X130" s="49"/>
      <c r="Y130" s="49"/>
      <c r="Z130" s="49"/>
      <c r="AA130" s="50"/>
      <c r="AB130" s="51"/>
      <c r="AC130" s="52"/>
      <c r="AD130" s="47"/>
      <c r="AE130"/>
    </row>
    <row r="131" spans="1:31">
      <c r="A131" s="38"/>
      <c r="B131" s="39"/>
      <c r="C131" s="40"/>
      <c r="D131" s="17"/>
      <c r="E131" s="17"/>
      <c r="F131" s="17"/>
      <c r="G131" s="17"/>
      <c r="H131" s="17"/>
      <c r="I131" s="40"/>
      <c r="J131" s="40"/>
      <c r="K131" s="17"/>
      <c r="L131" s="17"/>
      <c r="M131" s="17"/>
      <c r="N131" s="40"/>
      <c r="O131" s="53"/>
      <c r="P131" s="17"/>
      <c r="Q131" s="40"/>
      <c r="R131" s="40"/>
      <c r="S131" s="40"/>
      <c r="T131" s="41"/>
      <c r="U131" s="41"/>
      <c r="V131" s="41"/>
      <c r="W131" s="41"/>
      <c r="X131" s="41"/>
      <c r="Y131" s="41"/>
      <c r="Z131" s="41"/>
      <c r="AA131" s="54"/>
      <c r="AB131" s="43"/>
      <c r="AC131" s="44"/>
      <c r="AD131" s="17"/>
      <c r="AE131"/>
    </row>
    <row r="132" spans="1:31">
      <c r="A132" s="38"/>
      <c r="B132" s="39"/>
      <c r="C132" s="40"/>
      <c r="D132" s="17"/>
      <c r="E132" s="17"/>
      <c r="F132" s="17"/>
      <c r="G132" s="17"/>
      <c r="H132" s="17"/>
      <c r="I132" s="40"/>
      <c r="J132" s="40"/>
      <c r="K132" s="17"/>
      <c r="L132" s="17"/>
      <c r="M132" s="17"/>
      <c r="N132" s="40"/>
      <c r="O132" s="53"/>
      <c r="P132" s="17"/>
      <c r="Q132" s="40"/>
      <c r="R132" s="40"/>
      <c r="S132" s="40"/>
      <c r="T132" s="41"/>
      <c r="U132" s="41"/>
      <c r="V132" s="41"/>
      <c r="W132" s="41"/>
      <c r="X132" s="41"/>
      <c r="Y132" s="41"/>
      <c r="Z132" s="41"/>
      <c r="AA132" s="54"/>
      <c r="AB132" s="43"/>
      <c r="AC132" s="44"/>
      <c r="AD132" s="17"/>
      <c r="AE132"/>
    </row>
    <row r="133" spans="1:31">
      <c r="A133" s="38"/>
      <c r="B133" s="45"/>
      <c r="C133" s="46"/>
      <c r="D133" s="47"/>
      <c r="E133" s="47"/>
      <c r="F133" s="47"/>
      <c r="G133" s="47"/>
      <c r="H133" s="47"/>
      <c r="I133" s="46"/>
      <c r="J133" s="46"/>
      <c r="K133" s="47"/>
      <c r="L133" s="47"/>
      <c r="M133" s="47"/>
      <c r="N133" s="46"/>
      <c r="O133" s="48"/>
      <c r="P133" s="47"/>
      <c r="Q133" s="46"/>
      <c r="R133" s="46"/>
      <c r="S133" s="46"/>
      <c r="T133" s="49"/>
      <c r="U133" s="49"/>
      <c r="V133" s="49"/>
      <c r="W133" s="49"/>
      <c r="X133" s="49"/>
      <c r="Y133" s="49"/>
      <c r="Z133" s="49"/>
      <c r="AA133" s="50"/>
      <c r="AB133" s="51"/>
      <c r="AC133" s="52"/>
      <c r="AD133" s="47"/>
      <c r="AE133"/>
    </row>
    <row r="134" spans="1:31">
      <c r="A134" s="38"/>
      <c r="B134" s="39"/>
      <c r="C134" s="40"/>
      <c r="D134" s="17"/>
      <c r="E134" s="17"/>
      <c r="F134" s="17"/>
      <c r="G134" s="17"/>
      <c r="H134" s="17"/>
      <c r="I134" s="40"/>
      <c r="J134" s="40"/>
      <c r="K134" s="17"/>
      <c r="L134" s="17"/>
      <c r="M134" s="17"/>
      <c r="N134" s="40"/>
      <c r="O134" s="53"/>
      <c r="P134" s="17"/>
      <c r="Q134" s="40"/>
      <c r="R134" s="40"/>
      <c r="S134" s="40"/>
      <c r="T134" s="41"/>
      <c r="U134" s="41"/>
      <c r="V134" s="41"/>
      <c r="W134" s="41"/>
      <c r="X134" s="41"/>
      <c r="Y134" s="41"/>
      <c r="Z134" s="41"/>
      <c r="AA134" s="54"/>
      <c r="AB134" s="43"/>
      <c r="AC134" s="44"/>
      <c r="AD134" s="17"/>
      <c r="AE134"/>
    </row>
    <row r="135" spans="1:31">
      <c r="A135" s="38"/>
      <c r="B135" s="39"/>
      <c r="C135" s="40"/>
      <c r="D135" s="17"/>
      <c r="E135" s="17"/>
      <c r="F135" s="17"/>
      <c r="G135" s="17"/>
      <c r="H135" s="17"/>
      <c r="I135" s="40"/>
      <c r="J135" s="40"/>
      <c r="K135" s="17"/>
      <c r="L135" s="17"/>
      <c r="M135" s="17"/>
      <c r="N135" s="40"/>
      <c r="O135" s="53"/>
      <c r="P135" s="17"/>
      <c r="Q135" s="40"/>
      <c r="R135" s="40"/>
      <c r="S135" s="40"/>
      <c r="T135" s="41"/>
      <c r="U135" s="41"/>
      <c r="V135" s="41"/>
      <c r="W135" s="41"/>
      <c r="X135" s="41"/>
      <c r="Y135" s="41"/>
      <c r="Z135" s="41"/>
      <c r="AA135" s="54"/>
      <c r="AB135" s="43"/>
      <c r="AC135" s="44"/>
      <c r="AD135" s="17"/>
      <c r="AE135"/>
    </row>
    <row r="136" spans="1:31">
      <c r="A136" s="55"/>
      <c r="B136" s="56"/>
      <c r="C136" s="46"/>
      <c r="D136" s="47"/>
      <c r="E136" s="47"/>
      <c r="F136" s="47"/>
      <c r="G136" s="47"/>
      <c r="H136" s="47"/>
      <c r="I136" s="46"/>
      <c r="J136" s="46"/>
      <c r="K136" s="47"/>
      <c r="L136" s="47"/>
      <c r="M136" s="47"/>
      <c r="N136" s="46"/>
      <c r="O136" s="48"/>
      <c r="P136" s="47"/>
      <c r="Q136" s="46"/>
      <c r="R136" s="46"/>
      <c r="S136" s="46"/>
      <c r="T136" s="49"/>
      <c r="U136" s="49"/>
      <c r="V136" s="49"/>
      <c r="W136" s="49"/>
      <c r="X136" s="49"/>
      <c r="Y136" s="49"/>
      <c r="Z136" s="49"/>
      <c r="AA136" s="50"/>
      <c r="AB136" s="43"/>
      <c r="AC136" s="44"/>
      <c r="AD136" s="47"/>
      <c r="AE136"/>
    </row>
    <row r="137" spans="1:31">
      <c r="A137" s="36"/>
      <c r="B137" s="24"/>
      <c r="C137" s="18"/>
      <c r="D137" s="12"/>
      <c r="E137" s="12"/>
      <c r="F137" s="12"/>
      <c r="G137" s="12"/>
      <c r="H137" s="12"/>
      <c r="I137" s="18"/>
      <c r="J137" s="18"/>
      <c r="K137" s="12"/>
      <c r="L137" s="12"/>
      <c r="M137" s="12"/>
      <c r="N137" s="18"/>
      <c r="O137" s="18"/>
      <c r="P137" s="12"/>
      <c r="Q137" s="18"/>
      <c r="R137" s="18"/>
      <c r="S137" s="18"/>
      <c r="T137" s="20"/>
      <c r="U137" s="20"/>
      <c r="V137" s="20"/>
      <c r="W137" s="20"/>
      <c r="X137" s="20"/>
      <c r="Y137" s="20"/>
      <c r="Z137" s="20"/>
      <c r="AA137" s="37"/>
      <c r="AB137" s="22"/>
      <c r="AC137" s="23"/>
      <c r="AD137" s="17"/>
      <c r="AE137"/>
    </row>
    <row r="138" spans="1:31">
      <c r="A138" s="38"/>
      <c r="B138" s="39"/>
      <c r="C138" s="40"/>
      <c r="D138" s="17"/>
      <c r="E138" s="17"/>
      <c r="F138" s="17"/>
      <c r="G138" s="17"/>
      <c r="H138" s="17"/>
      <c r="I138" s="40"/>
      <c r="J138" s="40"/>
      <c r="K138" s="17"/>
      <c r="L138" s="17"/>
      <c r="M138" s="17"/>
      <c r="N138" s="40"/>
      <c r="O138" s="40"/>
      <c r="P138" s="17"/>
      <c r="Q138" s="40"/>
      <c r="R138" s="40"/>
      <c r="S138" s="40"/>
      <c r="T138" s="41"/>
      <c r="U138" s="41"/>
      <c r="V138" s="41"/>
      <c r="W138" s="41"/>
      <c r="X138" s="41"/>
      <c r="Y138" s="41"/>
      <c r="Z138" s="41"/>
      <c r="AA138" s="42"/>
      <c r="AB138" s="43"/>
      <c r="AC138" s="44"/>
      <c r="AD138" s="17"/>
      <c r="AE138"/>
    </row>
    <row r="139" spans="1:31">
      <c r="A139" s="38"/>
      <c r="B139" s="45"/>
      <c r="C139" s="46"/>
      <c r="D139" s="47"/>
      <c r="E139" s="47"/>
      <c r="F139" s="47"/>
      <c r="G139" s="47"/>
      <c r="H139" s="47"/>
      <c r="I139" s="46"/>
      <c r="J139" s="46"/>
      <c r="K139" s="47"/>
      <c r="L139" s="47"/>
      <c r="M139" s="47"/>
      <c r="N139" s="46"/>
      <c r="O139" s="48"/>
      <c r="P139" s="47"/>
      <c r="Q139" s="46"/>
      <c r="R139" s="46"/>
      <c r="S139" s="46"/>
      <c r="T139" s="49"/>
      <c r="U139" s="49"/>
      <c r="V139" s="49"/>
      <c r="W139" s="49"/>
      <c r="X139" s="49"/>
      <c r="Y139" s="49"/>
      <c r="Z139" s="49"/>
      <c r="AA139" s="50"/>
      <c r="AB139" s="51"/>
      <c r="AC139" s="52"/>
      <c r="AD139" s="47"/>
      <c r="AE139"/>
    </row>
    <row r="140" spans="1:31">
      <c r="A140" s="38"/>
      <c r="B140" s="39"/>
      <c r="C140" s="40"/>
      <c r="D140" s="17"/>
      <c r="E140" s="17"/>
      <c r="F140" s="17"/>
      <c r="G140" s="17"/>
      <c r="H140" s="17"/>
      <c r="I140" s="40"/>
      <c r="J140" s="40"/>
      <c r="K140" s="17"/>
      <c r="L140" s="17"/>
      <c r="M140" s="17"/>
      <c r="N140" s="40"/>
      <c r="O140" s="53"/>
      <c r="P140" s="17"/>
      <c r="Q140" s="40"/>
      <c r="R140" s="40"/>
      <c r="S140" s="40"/>
      <c r="T140" s="41"/>
      <c r="U140" s="41"/>
      <c r="V140" s="41"/>
      <c r="W140" s="41"/>
      <c r="X140" s="41"/>
      <c r="Y140" s="41"/>
      <c r="Z140" s="41"/>
      <c r="AA140" s="54"/>
      <c r="AB140" s="43"/>
      <c r="AC140" s="44"/>
      <c r="AD140" s="17"/>
      <c r="AE140"/>
    </row>
    <row r="141" spans="1:31">
      <c r="A141" s="38"/>
      <c r="B141" s="39"/>
      <c r="C141" s="40"/>
      <c r="D141" s="17"/>
      <c r="E141" s="17"/>
      <c r="F141" s="17"/>
      <c r="G141" s="17"/>
      <c r="H141" s="17"/>
      <c r="I141" s="40"/>
      <c r="J141" s="40"/>
      <c r="K141" s="17"/>
      <c r="L141" s="17"/>
      <c r="M141" s="17"/>
      <c r="N141" s="40"/>
      <c r="O141" s="53"/>
      <c r="P141" s="17"/>
      <c r="Q141" s="40"/>
      <c r="R141" s="40"/>
      <c r="S141" s="40"/>
      <c r="T141" s="41"/>
      <c r="U141" s="41"/>
      <c r="V141" s="41"/>
      <c r="W141" s="41"/>
      <c r="X141" s="41"/>
      <c r="Y141" s="41"/>
      <c r="Z141" s="41"/>
      <c r="AA141" s="54"/>
      <c r="AB141" s="43"/>
      <c r="AC141" s="44"/>
      <c r="AD141" s="17"/>
      <c r="AE141"/>
    </row>
    <row r="142" spans="1:31">
      <c r="A142" s="38"/>
      <c r="B142" s="45"/>
      <c r="C142" s="46"/>
      <c r="D142" s="47"/>
      <c r="E142" s="47"/>
      <c r="F142" s="47"/>
      <c r="G142" s="47"/>
      <c r="H142" s="47"/>
      <c r="I142" s="46"/>
      <c r="J142" s="46"/>
      <c r="K142" s="47"/>
      <c r="L142" s="47"/>
      <c r="M142" s="47"/>
      <c r="N142" s="46"/>
      <c r="O142" s="48"/>
      <c r="P142" s="47"/>
      <c r="Q142" s="46"/>
      <c r="R142" s="46"/>
      <c r="S142" s="46"/>
      <c r="T142" s="49"/>
      <c r="U142" s="49"/>
      <c r="V142" s="49"/>
      <c r="W142" s="49"/>
      <c r="X142" s="49"/>
      <c r="Y142" s="49"/>
      <c r="Z142" s="49"/>
      <c r="AA142" s="50"/>
      <c r="AB142" s="51"/>
      <c r="AC142" s="52"/>
      <c r="AD142" s="47"/>
      <c r="AE142"/>
    </row>
    <row r="143" spans="1:31">
      <c r="A143" s="38"/>
      <c r="B143" s="39"/>
      <c r="C143" s="40"/>
      <c r="D143" s="17"/>
      <c r="E143" s="17"/>
      <c r="F143" s="17"/>
      <c r="G143" s="17"/>
      <c r="H143" s="17"/>
      <c r="I143" s="40"/>
      <c r="J143" s="40"/>
      <c r="K143" s="17"/>
      <c r="L143" s="17"/>
      <c r="M143" s="17"/>
      <c r="N143" s="40"/>
      <c r="O143" s="53"/>
      <c r="P143" s="17"/>
      <c r="Q143" s="40"/>
      <c r="R143" s="40"/>
      <c r="S143" s="40"/>
      <c r="T143" s="41"/>
      <c r="U143" s="41"/>
      <c r="V143" s="41"/>
      <c r="W143" s="41"/>
      <c r="X143" s="41"/>
      <c r="Y143" s="41"/>
      <c r="Z143" s="41"/>
      <c r="AA143" s="54"/>
      <c r="AB143" s="43"/>
      <c r="AC143" s="44"/>
      <c r="AD143" s="17"/>
      <c r="AE143"/>
    </row>
    <row r="144" spans="1:31">
      <c r="A144" s="38"/>
      <c r="B144" s="39"/>
      <c r="C144" s="40"/>
      <c r="D144" s="17"/>
      <c r="E144" s="17"/>
      <c r="F144" s="17"/>
      <c r="G144" s="17"/>
      <c r="H144" s="17"/>
      <c r="I144" s="40"/>
      <c r="J144" s="40"/>
      <c r="K144" s="17"/>
      <c r="L144" s="17"/>
      <c r="M144" s="17"/>
      <c r="N144" s="40"/>
      <c r="O144" s="53"/>
      <c r="P144" s="17"/>
      <c r="Q144" s="40"/>
      <c r="R144" s="40"/>
      <c r="S144" s="40"/>
      <c r="T144" s="41"/>
      <c r="U144" s="41"/>
      <c r="V144" s="41"/>
      <c r="W144" s="41"/>
      <c r="X144" s="41"/>
      <c r="Y144" s="41"/>
      <c r="Z144" s="41"/>
      <c r="AA144" s="54"/>
      <c r="AB144" s="43"/>
      <c r="AC144" s="44"/>
      <c r="AD144" s="17"/>
      <c r="AE144"/>
    </row>
    <row r="145" spans="1:31">
      <c r="A145" s="38"/>
      <c r="B145" s="45"/>
      <c r="C145" s="46"/>
      <c r="D145" s="47"/>
      <c r="E145" s="47"/>
      <c r="F145" s="47"/>
      <c r="G145" s="47"/>
      <c r="H145" s="47"/>
      <c r="I145" s="46"/>
      <c r="J145" s="46"/>
      <c r="K145" s="47"/>
      <c r="L145" s="47"/>
      <c r="M145" s="47"/>
      <c r="N145" s="46"/>
      <c r="O145" s="48"/>
      <c r="P145" s="47"/>
      <c r="Q145" s="46"/>
      <c r="R145" s="46"/>
      <c r="S145" s="46"/>
      <c r="T145" s="49"/>
      <c r="U145" s="49"/>
      <c r="V145" s="49"/>
      <c r="W145" s="49"/>
      <c r="X145" s="49"/>
      <c r="Y145" s="49"/>
      <c r="Z145" s="49"/>
      <c r="AA145" s="50"/>
      <c r="AB145" s="51"/>
      <c r="AC145" s="52"/>
      <c r="AD145" s="47"/>
      <c r="AE145"/>
    </row>
    <row r="146" spans="1:31">
      <c r="A146" s="38"/>
      <c r="B146" s="39"/>
      <c r="C146" s="40"/>
      <c r="D146" s="17"/>
      <c r="E146" s="17"/>
      <c r="F146" s="17"/>
      <c r="G146" s="17"/>
      <c r="H146" s="17"/>
      <c r="I146" s="40"/>
      <c r="J146" s="40"/>
      <c r="K146" s="17"/>
      <c r="L146" s="17"/>
      <c r="M146" s="17"/>
      <c r="N146" s="40"/>
      <c r="O146" s="53"/>
      <c r="P146" s="17"/>
      <c r="Q146" s="40"/>
      <c r="R146" s="40"/>
      <c r="S146" s="40"/>
      <c r="T146" s="41"/>
      <c r="U146" s="41"/>
      <c r="V146" s="41"/>
      <c r="W146" s="41"/>
      <c r="X146" s="41"/>
      <c r="Y146" s="41"/>
      <c r="Z146" s="41"/>
      <c r="AA146" s="54"/>
      <c r="AB146" s="43"/>
      <c r="AC146" s="44"/>
      <c r="AD146" s="17"/>
      <c r="AE146"/>
    </row>
    <row r="147" spans="1:31">
      <c r="A147" s="38"/>
      <c r="B147" s="39"/>
      <c r="C147" s="40"/>
      <c r="D147" s="17"/>
      <c r="E147" s="17"/>
      <c r="F147" s="17"/>
      <c r="G147" s="17"/>
      <c r="H147" s="17"/>
      <c r="I147" s="40"/>
      <c r="J147" s="40"/>
      <c r="K147" s="17"/>
      <c r="L147" s="17"/>
      <c r="M147" s="17"/>
      <c r="N147" s="40"/>
      <c r="O147" s="53"/>
      <c r="P147" s="17"/>
      <c r="Q147" s="40"/>
      <c r="R147" s="40"/>
      <c r="S147" s="40"/>
      <c r="T147" s="41"/>
      <c r="U147" s="41"/>
      <c r="V147" s="41"/>
      <c r="W147" s="41"/>
      <c r="X147" s="41"/>
      <c r="Y147" s="41"/>
      <c r="Z147" s="41"/>
      <c r="AA147" s="54"/>
      <c r="AB147" s="43"/>
      <c r="AC147" s="44"/>
      <c r="AD147" s="17"/>
      <c r="AE147"/>
    </row>
    <row r="148" spans="1:31">
      <c r="A148" s="55"/>
      <c r="B148" s="56"/>
      <c r="C148" s="46"/>
      <c r="D148" s="47"/>
      <c r="E148" s="47"/>
      <c r="F148" s="47"/>
      <c r="G148" s="47"/>
      <c r="H148" s="47"/>
      <c r="I148" s="46"/>
      <c r="J148" s="46"/>
      <c r="K148" s="47"/>
      <c r="L148" s="47"/>
      <c r="M148" s="47"/>
      <c r="N148" s="46"/>
      <c r="O148" s="48"/>
      <c r="P148" s="47"/>
      <c r="Q148" s="46"/>
      <c r="R148" s="46"/>
      <c r="S148" s="46"/>
      <c r="T148" s="49"/>
      <c r="U148" s="49"/>
      <c r="V148" s="49"/>
      <c r="W148" s="49"/>
      <c r="X148" s="49"/>
      <c r="Y148" s="49"/>
      <c r="Z148" s="49"/>
      <c r="AA148" s="50"/>
      <c r="AB148" s="43"/>
      <c r="AC148" s="44"/>
      <c r="AD148" s="47"/>
      <c r="AE148"/>
    </row>
    <row r="149" spans="1:31">
      <c r="A149" s="36"/>
      <c r="B149" s="24"/>
      <c r="C149" s="18"/>
      <c r="D149" s="12"/>
      <c r="E149" s="12"/>
      <c r="F149" s="12"/>
      <c r="G149" s="12"/>
      <c r="H149" s="12"/>
      <c r="I149" s="18"/>
      <c r="J149" s="18"/>
      <c r="K149" s="12"/>
      <c r="L149" s="12"/>
      <c r="M149" s="12"/>
      <c r="N149" s="18"/>
      <c r="O149" s="18"/>
      <c r="P149" s="12"/>
      <c r="Q149" s="18"/>
      <c r="R149" s="18"/>
      <c r="S149" s="18"/>
      <c r="T149" s="20"/>
      <c r="U149" s="20"/>
      <c r="V149" s="20"/>
      <c r="W149" s="20"/>
      <c r="X149" s="20"/>
      <c r="Y149" s="20"/>
      <c r="Z149" s="20"/>
      <c r="AA149" s="37"/>
      <c r="AB149" s="22"/>
      <c r="AC149" s="23"/>
      <c r="AD149" s="17"/>
      <c r="AE149"/>
    </row>
    <row r="150" spans="1:31">
      <c r="A150" s="38"/>
      <c r="B150" s="39"/>
      <c r="C150" s="40"/>
      <c r="D150" s="17"/>
      <c r="E150" s="17"/>
      <c r="F150" s="17"/>
      <c r="G150" s="17"/>
      <c r="H150" s="17"/>
      <c r="I150" s="40"/>
      <c r="J150" s="40"/>
      <c r="K150" s="17"/>
      <c r="L150" s="17"/>
      <c r="M150" s="17"/>
      <c r="N150" s="40"/>
      <c r="O150" s="40"/>
      <c r="P150" s="17"/>
      <c r="Q150" s="40"/>
      <c r="R150" s="40"/>
      <c r="S150" s="40"/>
      <c r="T150" s="41"/>
      <c r="U150" s="41"/>
      <c r="V150" s="41"/>
      <c r="W150" s="41"/>
      <c r="X150" s="41"/>
      <c r="Y150" s="41"/>
      <c r="Z150" s="41"/>
      <c r="AA150" s="42"/>
      <c r="AB150" s="43"/>
      <c r="AC150" s="44"/>
      <c r="AD150" s="17"/>
      <c r="AE150"/>
    </row>
    <row r="151" spans="1:31">
      <c r="A151" s="38"/>
      <c r="B151" s="45"/>
      <c r="C151" s="46"/>
      <c r="D151" s="47"/>
      <c r="E151" s="47"/>
      <c r="F151" s="47"/>
      <c r="G151" s="47"/>
      <c r="H151" s="47"/>
      <c r="I151" s="46"/>
      <c r="J151" s="46"/>
      <c r="K151" s="47"/>
      <c r="L151" s="47"/>
      <c r="M151" s="47"/>
      <c r="N151" s="46"/>
      <c r="O151" s="48"/>
      <c r="P151" s="47"/>
      <c r="Q151" s="46"/>
      <c r="R151" s="46"/>
      <c r="S151" s="46"/>
      <c r="T151" s="49"/>
      <c r="U151" s="49"/>
      <c r="V151" s="49"/>
      <c r="W151" s="49"/>
      <c r="X151" s="49"/>
      <c r="Y151" s="49"/>
      <c r="Z151" s="49"/>
      <c r="AA151" s="50"/>
      <c r="AB151" s="51"/>
      <c r="AC151" s="52"/>
      <c r="AD151" s="47"/>
      <c r="AE151"/>
    </row>
    <row r="152" spans="1:31">
      <c r="A152" s="38"/>
      <c r="B152" s="39"/>
      <c r="C152" s="40"/>
      <c r="D152" s="17"/>
      <c r="E152" s="17"/>
      <c r="F152" s="17"/>
      <c r="G152" s="17"/>
      <c r="H152" s="17"/>
      <c r="I152" s="40"/>
      <c r="J152" s="40"/>
      <c r="K152" s="17"/>
      <c r="L152" s="17"/>
      <c r="M152" s="17"/>
      <c r="N152" s="40"/>
      <c r="O152" s="53"/>
      <c r="P152" s="17"/>
      <c r="Q152" s="40"/>
      <c r="R152" s="40"/>
      <c r="S152" s="40"/>
      <c r="T152" s="41"/>
      <c r="U152" s="41"/>
      <c r="V152" s="41"/>
      <c r="W152" s="41"/>
      <c r="X152" s="41"/>
      <c r="Y152" s="41"/>
      <c r="Z152" s="41"/>
      <c r="AA152" s="54"/>
      <c r="AB152" s="43"/>
      <c r="AC152" s="44"/>
      <c r="AD152" s="17"/>
      <c r="AE152"/>
    </row>
    <row r="153" spans="1:31">
      <c r="A153" s="38"/>
      <c r="B153" s="39"/>
      <c r="C153" s="40"/>
      <c r="D153" s="17"/>
      <c r="E153" s="17"/>
      <c r="F153" s="17"/>
      <c r="G153" s="17"/>
      <c r="H153" s="17"/>
      <c r="I153" s="40"/>
      <c r="J153" s="40"/>
      <c r="K153" s="17"/>
      <c r="L153" s="17"/>
      <c r="M153" s="17"/>
      <c r="N153" s="40"/>
      <c r="O153" s="53"/>
      <c r="P153" s="17"/>
      <c r="Q153" s="40"/>
      <c r="R153" s="40"/>
      <c r="S153" s="40"/>
      <c r="T153" s="41"/>
      <c r="U153" s="41"/>
      <c r="V153" s="41"/>
      <c r="W153" s="41"/>
      <c r="X153" s="41"/>
      <c r="Y153" s="41"/>
      <c r="Z153" s="41"/>
      <c r="AA153" s="54"/>
      <c r="AB153" s="43"/>
      <c r="AC153" s="44"/>
      <c r="AD153" s="17"/>
      <c r="AE153"/>
    </row>
    <row r="154" spans="1:31">
      <c r="A154" s="38"/>
      <c r="B154" s="45"/>
      <c r="C154" s="46"/>
      <c r="D154" s="47"/>
      <c r="E154" s="47"/>
      <c r="F154" s="47"/>
      <c r="G154" s="47"/>
      <c r="H154" s="47"/>
      <c r="I154" s="46"/>
      <c r="J154" s="46"/>
      <c r="K154" s="47"/>
      <c r="L154" s="47"/>
      <c r="M154" s="47"/>
      <c r="N154" s="46"/>
      <c r="O154" s="48"/>
      <c r="P154" s="47"/>
      <c r="Q154" s="46"/>
      <c r="R154" s="46"/>
      <c r="S154" s="46"/>
      <c r="T154" s="49"/>
      <c r="U154" s="49"/>
      <c r="V154" s="49"/>
      <c r="W154" s="49"/>
      <c r="X154" s="49"/>
      <c r="Y154" s="49"/>
      <c r="Z154" s="49"/>
      <c r="AA154" s="50"/>
      <c r="AB154" s="51"/>
      <c r="AC154" s="52"/>
      <c r="AD154" s="47"/>
      <c r="AE154"/>
    </row>
    <row r="155" spans="1:31">
      <c r="A155" s="38"/>
      <c r="B155" s="39"/>
      <c r="C155" s="40"/>
      <c r="D155" s="17"/>
      <c r="E155" s="17"/>
      <c r="F155" s="17"/>
      <c r="G155" s="17"/>
      <c r="H155" s="17"/>
      <c r="I155" s="40"/>
      <c r="J155" s="40"/>
      <c r="K155" s="17"/>
      <c r="L155" s="17"/>
      <c r="M155" s="17"/>
      <c r="N155" s="40"/>
      <c r="O155" s="53"/>
      <c r="P155" s="17"/>
      <c r="Q155" s="40"/>
      <c r="R155" s="40"/>
      <c r="S155" s="40"/>
      <c r="T155" s="41"/>
      <c r="U155" s="41"/>
      <c r="V155" s="41"/>
      <c r="W155" s="41"/>
      <c r="X155" s="41"/>
      <c r="Y155" s="41"/>
      <c r="Z155" s="41"/>
      <c r="AA155" s="54"/>
      <c r="AB155" s="43"/>
      <c r="AC155" s="44"/>
      <c r="AD155" s="17"/>
      <c r="AE155"/>
    </row>
    <row r="156" spans="1:31">
      <c r="A156" s="38"/>
      <c r="B156" s="39"/>
      <c r="C156" s="40"/>
      <c r="D156" s="17"/>
      <c r="E156" s="17"/>
      <c r="F156" s="17"/>
      <c r="G156" s="17"/>
      <c r="H156" s="17"/>
      <c r="I156" s="40"/>
      <c r="J156" s="40"/>
      <c r="K156" s="17"/>
      <c r="L156" s="17"/>
      <c r="M156" s="17"/>
      <c r="N156" s="40"/>
      <c r="O156" s="53"/>
      <c r="P156" s="17"/>
      <c r="Q156" s="40"/>
      <c r="R156" s="40"/>
      <c r="S156" s="40"/>
      <c r="T156" s="41"/>
      <c r="U156" s="41"/>
      <c r="V156" s="41"/>
      <c r="W156" s="41"/>
      <c r="X156" s="41"/>
      <c r="Y156" s="41"/>
      <c r="Z156" s="41"/>
      <c r="AA156" s="54"/>
      <c r="AB156" s="43"/>
      <c r="AC156" s="44"/>
      <c r="AD156" s="17"/>
      <c r="AE156"/>
    </row>
    <row r="157" spans="1:31">
      <c r="A157" s="38"/>
      <c r="B157" s="45"/>
      <c r="C157" s="46"/>
      <c r="D157" s="47"/>
      <c r="E157" s="47"/>
      <c r="F157" s="47"/>
      <c r="G157" s="47"/>
      <c r="H157" s="47"/>
      <c r="I157" s="46"/>
      <c r="J157" s="46"/>
      <c r="K157" s="47"/>
      <c r="L157" s="47"/>
      <c r="M157" s="47"/>
      <c r="N157" s="46"/>
      <c r="O157" s="48"/>
      <c r="P157" s="47"/>
      <c r="Q157" s="46"/>
      <c r="R157" s="46"/>
      <c r="S157" s="46"/>
      <c r="T157" s="49"/>
      <c r="U157" s="49"/>
      <c r="V157" s="49"/>
      <c r="W157" s="49"/>
      <c r="X157" s="49"/>
      <c r="Y157" s="49"/>
      <c r="Z157" s="49"/>
      <c r="AA157" s="50"/>
      <c r="AB157" s="51"/>
      <c r="AC157" s="52"/>
      <c r="AD157" s="47"/>
      <c r="AE157"/>
    </row>
    <row r="158" spans="1:31">
      <c r="A158" s="38"/>
      <c r="B158" s="39"/>
      <c r="C158" s="40"/>
      <c r="D158" s="17"/>
      <c r="E158" s="17"/>
      <c r="F158" s="17"/>
      <c r="G158" s="17"/>
      <c r="H158" s="17"/>
      <c r="I158" s="40"/>
      <c r="J158" s="40"/>
      <c r="K158" s="17"/>
      <c r="L158" s="17"/>
      <c r="M158" s="17"/>
      <c r="N158" s="40"/>
      <c r="O158" s="53"/>
      <c r="P158" s="17"/>
      <c r="Q158" s="40"/>
      <c r="R158" s="40"/>
      <c r="S158" s="40"/>
      <c r="T158" s="41"/>
      <c r="U158" s="41"/>
      <c r="V158" s="41"/>
      <c r="W158" s="41"/>
      <c r="X158" s="41"/>
      <c r="Y158" s="41"/>
      <c r="Z158" s="41"/>
      <c r="AA158" s="54"/>
      <c r="AB158" s="43"/>
      <c r="AC158" s="44"/>
      <c r="AD158" s="17"/>
      <c r="AE158"/>
    </row>
    <row r="159" spans="1:31">
      <c r="A159" s="38"/>
      <c r="B159" s="39"/>
      <c r="C159" s="40"/>
      <c r="D159" s="17"/>
      <c r="E159" s="17"/>
      <c r="F159" s="17"/>
      <c r="G159" s="17"/>
      <c r="H159" s="17"/>
      <c r="I159" s="40"/>
      <c r="J159" s="40"/>
      <c r="K159" s="17"/>
      <c r="L159" s="17"/>
      <c r="M159" s="17"/>
      <c r="N159" s="40"/>
      <c r="O159" s="53"/>
      <c r="P159" s="17"/>
      <c r="Q159" s="40"/>
      <c r="R159" s="40"/>
      <c r="S159" s="40"/>
      <c r="T159" s="41"/>
      <c r="U159" s="41"/>
      <c r="V159" s="41"/>
      <c r="W159" s="41"/>
      <c r="X159" s="41"/>
      <c r="Y159" s="41"/>
      <c r="Z159" s="41"/>
      <c r="AA159" s="54"/>
      <c r="AB159" s="43"/>
      <c r="AC159" s="44"/>
      <c r="AD159" s="17"/>
      <c r="AE159"/>
    </row>
    <row r="160" spans="1:31">
      <c r="A160" s="55"/>
      <c r="B160" s="56"/>
      <c r="C160" s="46"/>
      <c r="D160" s="47"/>
      <c r="E160" s="47"/>
      <c r="F160" s="47"/>
      <c r="G160" s="47"/>
      <c r="H160" s="47"/>
      <c r="I160" s="46"/>
      <c r="J160" s="46"/>
      <c r="K160" s="47"/>
      <c r="L160" s="47"/>
      <c r="M160" s="47"/>
      <c r="N160" s="46"/>
      <c r="O160" s="48"/>
      <c r="P160" s="47"/>
      <c r="Q160" s="46"/>
      <c r="R160" s="46"/>
      <c r="S160" s="46"/>
      <c r="T160" s="49"/>
      <c r="U160" s="49"/>
      <c r="V160" s="49"/>
      <c r="W160" s="49"/>
      <c r="X160" s="49"/>
      <c r="Y160" s="49"/>
      <c r="Z160" s="49"/>
      <c r="AA160" s="50"/>
      <c r="AB160" s="43"/>
      <c r="AC160" s="44"/>
      <c r="AD160" s="47"/>
      <c r="AE160"/>
    </row>
    <row r="161" spans="1:31">
      <c r="A161" s="36"/>
      <c r="B161" s="24"/>
      <c r="C161" s="18"/>
      <c r="D161" s="12"/>
      <c r="E161" s="12"/>
      <c r="F161" s="12"/>
      <c r="G161" s="12"/>
      <c r="H161" s="12"/>
      <c r="I161" s="18"/>
      <c r="J161" s="18"/>
      <c r="K161" s="12"/>
      <c r="L161" s="12"/>
      <c r="M161" s="12"/>
      <c r="N161" s="18"/>
      <c r="O161" s="18"/>
      <c r="P161" s="12"/>
      <c r="Q161" s="18"/>
      <c r="R161" s="18"/>
      <c r="S161" s="18"/>
      <c r="T161" s="20"/>
      <c r="U161" s="20"/>
      <c r="V161" s="20"/>
      <c r="W161" s="20"/>
      <c r="X161" s="20"/>
      <c r="Y161" s="20"/>
      <c r="Z161" s="20"/>
      <c r="AA161" s="37"/>
      <c r="AB161" s="22"/>
      <c r="AC161" s="23"/>
      <c r="AD161" s="17"/>
      <c r="AE161"/>
    </row>
    <row r="162" spans="1:31">
      <c r="A162" s="38"/>
      <c r="B162" s="39"/>
      <c r="C162" s="40"/>
      <c r="D162" s="17"/>
      <c r="E162" s="17"/>
      <c r="F162" s="17"/>
      <c r="G162" s="17"/>
      <c r="H162" s="17"/>
      <c r="I162" s="40"/>
      <c r="J162" s="40"/>
      <c r="K162" s="17"/>
      <c r="L162" s="17"/>
      <c r="M162" s="17"/>
      <c r="N162" s="40"/>
      <c r="O162" s="40"/>
      <c r="P162" s="17"/>
      <c r="Q162" s="40"/>
      <c r="R162" s="40"/>
      <c r="S162" s="40"/>
      <c r="T162" s="41"/>
      <c r="U162" s="41"/>
      <c r="V162" s="41"/>
      <c r="W162" s="41"/>
      <c r="X162" s="41"/>
      <c r="Y162" s="41"/>
      <c r="Z162" s="41"/>
      <c r="AA162" s="42"/>
      <c r="AB162" s="43"/>
      <c r="AC162" s="44"/>
      <c r="AD162" s="17"/>
      <c r="AE162"/>
    </row>
    <row r="163" spans="1:31">
      <c r="A163" s="38"/>
      <c r="B163" s="45"/>
      <c r="C163" s="46"/>
      <c r="D163" s="47"/>
      <c r="E163" s="47"/>
      <c r="F163" s="47"/>
      <c r="G163" s="47"/>
      <c r="H163" s="47"/>
      <c r="I163" s="46"/>
      <c r="J163" s="46"/>
      <c r="K163" s="47"/>
      <c r="L163" s="47"/>
      <c r="M163" s="47"/>
      <c r="N163" s="46"/>
      <c r="O163" s="48"/>
      <c r="P163" s="47"/>
      <c r="Q163" s="46"/>
      <c r="R163" s="46"/>
      <c r="S163" s="46"/>
      <c r="T163" s="49"/>
      <c r="U163" s="49"/>
      <c r="V163" s="49"/>
      <c r="W163" s="49"/>
      <c r="X163" s="49"/>
      <c r="Y163" s="49"/>
      <c r="Z163" s="49"/>
      <c r="AA163" s="50"/>
      <c r="AB163" s="51"/>
      <c r="AC163" s="52"/>
      <c r="AD163" s="47"/>
      <c r="AE163"/>
    </row>
    <row r="164" spans="1:31">
      <c r="A164" s="38"/>
      <c r="B164" s="39"/>
      <c r="C164" s="40"/>
      <c r="D164" s="17"/>
      <c r="E164" s="17"/>
      <c r="F164" s="17"/>
      <c r="G164" s="17"/>
      <c r="H164" s="17"/>
      <c r="I164" s="40"/>
      <c r="J164" s="40"/>
      <c r="K164" s="17"/>
      <c r="L164" s="17"/>
      <c r="M164" s="17"/>
      <c r="N164" s="40"/>
      <c r="O164" s="53"/>
      <c r="P164" s="17"/>
      <c r="Q164" s="40"/>
      <c r="R164" s="40"/>
      <c r="S164" s="40"/>
      <c r="T164" s="41"/>
      <c r="U164" s="41"/>
      <c r="V164" s="41"/>
      <c r="W164" s="41"/>
      <c r="X164" s="41"/>
      <c r="Y164" s="41"/>
      <c r="Z164" s="41"/>
      <c r="AA164" s="54"/>
      <c r="AB164" s="43"/>
      <c r="AC164" s="44"/>
      <c r="AD164" s="17"/>
      <c r="AE164"/>
    </row>
    <row r="165" spans="1:31">
      <c r="A165" s="38"/>
      <c r="B165" s="39"/>
      <c r="C165" s="40"/>
      <c r="D165" s="17"/>
      <c r="E165" s="17"/>
      <c r="F165" s="17"/>
      <c r="G165" s="17"/>
      <c r="H165" s="17"/>
      <c r="I165" s="40"/>
      <c r="J165" s="40"/>
      <c r="K165" s="17"/>
      <c r="L165" s="17"/>
      <c r="M165" s="17"/>
      <c r="N165" s="40"/>
      <c r="O165" s="53"/>
      <c r="P165" s="17"/>
      <c r="Q165" s="40"/>
      <c r="R165" s="40"/>
      <c r="S165" s="40"/>
      <c r="T165" s="41"/>
      <c r="U165" s="41"/>
      <c r="V165" s="41"/>
      <c r="W165" s="41"/>
      <c r="X165" s="41"/>
      <c r="Y165" s="41"/>
      <c r="Z165" s="41"/>
      <c r="AA165" s="54"/>
      <c r="AB165" s="43"/>
      <c r="AC165" s="44"/>
      <c r="AD165" s="17"/>
      <c r="AE165"/>
    </row>
    <row r="166" spans="1:31">
      <c r="A166" s="38"/>
      <c r="B166" s="45"/>
      <c r="C166" s="46"/>
      <c r="D166" s="47"/>
      <c r="E166" s="47"/>
      <c r="F166" s="47"/>
      <c r="G166" s="47"/>
      <c r="H166" s="47"/>
      <c r="I166" s="46"/>
      <c r="J166" s="46"/>
      <c r="K166" s="47"/>
      <c r="L166" s="47"/>
      <c r="M166" s="47"/>
      <c r="N166" s="46"/>
      <c r="O166" s="48"/>
      <c r="P166" s="47"/>
      <c r="Q166" s="46"/>
      <c r="R166" s="46"/>
      <c r="S166" s="46"/>
      <c r="T166" s="49"/>
      <c r="U166" s="49"/>
      <c r="V166" s="49"/>
      <c r="W166" s="49"/>
      <c r="X166" s="49"/>
      <c r="Y166" s="49"/>
      <c r="Z166" s="49"/>
      <c r="AA166" s="50"/>
      <c r="AB166" s="51"/>
      <c r="AC166" s="52"/>
      <c r="AD166" s="47"/>
      <c r="AE166"/>
    </row>
    <row r="167" spans="1:31">
      <c r="A167" s="38"/>
      <c r="B167" s="39"/>
      <c r="C167" s="40"/>
      <c r="D167" s="17"/>
      <c r="E167" s="17"/>
      <c r="F167" s="17"/>
      <c r="G167" s="17"/>
      <c r="H167" s="17"/>
      <c r="I167" s="40"/>
      <c r="J167" s="40"/>
      <c r="K167" s="17"/>
      <c r="L167" s="17"/>
      <c r="M167" s="17"/>
      <c r="N167" s="40"/>
      <c r="O167" s="53"/>
      <c r="P167" s="17"/>
      <c r="Q167" s="40"/>
      <c r="R167" s="40"/>
      <c r="S167" s="40"/>
      <c r="T167" s="41"/>
      <c r="U167" s="41"/>
      <c r="V167" s="41"/>
      <c r="W167" s="41"/>
      <c r="X167" s="41"/>
      <c r="Y167" s="41"/>
      <c r="Z167" s="41"/>
      <c r="AA167" s="54"/>
      <c r="AB167" s="43"/>
      <c r="AC167" s="44"/>
      <c r="AD167" s="17"/>
      <c r="AE167"/>
    </row>
    <row r="168" spans="1:31">
      <c r="A168" s="38"/>
      <c r="B168" s="39"/>
      <c r="C168" s="40"/>
      <c r="D168" s="17"/>
      <c r="E168" s="17"/>
      <c r="F168" s="17"/>
      <c r="G168" s="17"/>
      <c r="H168" s="17"/>
      <c r="I168" s="40"/>
      <c r="J168" s="40"/>
      <c r="K168" s="17"/>
      <c r="L168" s="17"/>
      <c r="M168" s="17"/>
      <c r="N168" s="40"/>
      <c r="O168" s="53"/>
      <c r="P168" s="17"/>
      <c r="Q168" s="40"/>
      <c r="R168" s="40"/>
      <c r="S168" s="40"/>
      <c r="T168" s="41"/>
      <c r="U168" s="41"/>
      <c r="V168" s="41"/>
      <c r="W168" s="41"/>
      <c r="X168" s="41"/>
      <c r="Y168" s="41"/>
      <c r="Z168" s="41"/>
      <c r="AA168" s="54"/>
      <c r="AB168" s="43"/>
      <c r="AC168" s="44"/>
      <c r="AD168" s="17"/>
      <c r="AE168"/>
    </row>
    <row r="169" spans="1:31">
      <c r="A169" s="38"/>
      <c r="B169" s="45"/>
      <c r="C169" s="46"/>
      <c r="D169" s="47"/>
      <c r="E169" s="47"/>
      <c r="F169" s="47"/>
      <c r="G169" s="47"/>
      <c r="H169" s="47"/>
      <c r="I169" s="46"/>
      <c r="J169" s="46"/>
      <c r="K169" s="47"/>
      <c r="L169" s="47"/>
      <c r="M169" s="47"/>
      <c r="N169" s="46"/>
      <c r="O169" s="48"/>
      <c r="P169" s="47"/>
      <c r="Q169" s="46"/>
      <c r="R169" s="46"/>
      <c r="S169" s="46"/>
      <c r="T169" s="49"/>
      <c r="U169" s="49"/>
      <c r="V169" s="49"/>
      <c r="W169" s="49"/>
      <c r="X169" s="49"/>
      <c r="Y169" s="49"/>
      <c r="Z169" s="49"/>
      <c r="AA169" s="50"/>
      <c r="AB169" s="51"/>
      <c r="AC169" s="52"/>
      <c r="AD169" s="47"/>
      <c r="AE169"/>
    </row>
    <row r="170" spans="1:31">
      <c r="A170" s="38"/>
      <c r="B170" s="39"/>
      <c r="C170" s="40"/>
      <c r="D170" s="17"/>
      <c r="E170" s="17"/>
      <c r="F170" s="17"/>
      <c r="G170" s="17"/>
      <c r="H170" s="17"/>
      <c r="I170" s="40"/>
      <c r="J170" s="40"/>
      <c r="K170" s="17"/>
      <c r="L170" s="17"/>
      <c r="M170" s="17"/>
      <c r="N170" s="40"/>
      <c r="O170" s="53"/>
      <c r="P170" s="17"/>
      <c r="Q170" s="40"/>
      <c r="R170" s="40"/>
      <c r="S170" s="40"/>
      <c r="T170" s="41"/>
      <c r="U170" s="41"/>
      <c r="V170" s="41"/>
      <c r="W170" s="41"/>
      <c r="X170" s="41"/>
      <c r="Y170" s="41"/>
      <c r="Z170" s="41"/>
      <c r="AA170" s="54"/>
      <c r="AB170" s="43"/>
      <c r="AC170" s="44"/>
      <c r="AD170" s="17"/>
      <c r="AE170"/>
    </row>
    <row r="171" spans="1:31">
      <c r="A171" s="38"/>
      <c r="B171" s="39"/>
      <c r="C171" s="40"/>
      <c r="D171" s="17"/>
      <c r="E171" s="17"/>
      <c r="F171" s="17"/>
      <c r="G171" s="17"/>
      <c r="H171" s="17"/>
      <c r="I171" s="40"/>
      <c r="J171" s="40"/>
      <c r="K171" s="17"/>
      <c r="L171" s="17"/>
      <c r="M171" s="17"/>
      <c r="N171" s="40"/>
      <c r="O171" s="53"/>
      <c r="P171" s="17"/>
      <c r="Q171" s="40"/>
      <c r="R171" s="40"/>
      <c r="S171" s="40"/>
      <c r="T171" s="41"/>
      <c r="U171" s="41"/>
      <c r="V171" s="41"/>
      <c r="W171" s="41"/>
      <c r="X171" s="41"/>
      <c r="Y171" s="41"/>
      <c r="Z171" s="41"/>
      <c r="AA171" s="54"/>
      <c r="AB171" s="43"/>
      <c r="AC171" s="44"/>
      <c r="AD171" s="17"/>
      <c r="AE171"/>
    </row>
    <row r="172" spans="1:31">
      <c r="A172" s="55"/>
      <c r="B172" s="56"/>
      <c r="C172" s="46"/>
      <c r="D172" s="47"/>
      <c r="E172" s="47"/>
      <c r="F172" s="47"/>
      <c r="G172" s="47"/>
      <c r="H172" s="47"/>
      <c r="I172" s="46"/>
      <c r="J172" s="46"/>
      <c r="K172" s="47"/>
      <c r="L172" s="47"/>
      <c r="M172" s="47"/>
      <c r="N172" s="46"/>
      <c r="O172" s="48"/>
      <c r="P172" s="47"/>
      <c r="Q172" s="46"/>
      <c r="R172" s="46"/>
      <c r="S172" s="46"/>
      <c r="T172" s="49"/>
      <c r="U172" s="49"/>
      <c r="V172" s="49"/>
      <c r="W172" s="49"/>
      <c r="X172" s="49"/>
      <c r="Y172" s="49"/>
      <c r="Z172" s="49"/>
      <c r="AA172" s="50"/>
      <c r="AB172" s="43"/>
      <c r="AC172" s="44"/>
      <c r="AD172" s="47"/>
      <c r="AE172"/>
    </row>
    <row r="173" spans="1:31">
      <c r="A173" s="36"/>
      <c r="B173" s="24"/>
      <c r="C173" s="18"/>
      <c r="D173" s="12"/>
      <c r="E173" s="12"/>
      <c r="F173" s="12"/>
      <c r="G173" s="12"/>
      <c r="H173" s="12"/>
      <c r="I173" s="18"/>
      <c r="J173" s="18"/>
      <c r="K173" s="12"/>
      <c r="L173" s="12"/>
      <c r="M173" s="12"/>
      <c r="N173" s="18"/>
      <c r="O173" s="18"/>
      <c r="P173" s="12"/>
      <c r="Q173" s="18"/>
      <c r="R173" s="18"/>
      <c r="S173" s="18"/>
      <c r="T173" s="20"/>
      <c r="U173" s="20"/>
      <c r="V173" s="20"/>
      <c r="W173" s="20"/>
      <c r="X173" s="20"/>
      <c r="Y173" s="20"/>
      <c r="Z173" s="20"/>
      <c r="AA173" s="37"/>
      <c r="AB173" s="22"/>
      <c r="AC173" s="23"/>
      <c r="AD173" s="17"/>
      <c r="AE173"/>
    </row>
    <row r="174" spans="1:31">
      <c r="A174" s="38"/>
      <c r="B174" s="39"/>
      <c r="C174" s="40"/>
      <c r="D174" s="17"/>
      <c r="E174" s="17"/>
      <c r="F174" s="17"/>
      <c r="G174" s="17"/>
      <c r="H174" s="17"/>
      <c r="I174" s="40"/>
      <c r="J174" s="40"/>
      <c r="K174" s="17"/>
      <c r="L174" s="17"/>
      <c r="M174" s="17"/>
      <c r="N174" s="40"/>
      <c r="O174" s="40"/>
      <c r="P174" s="17"/>
      <c r="Q174" s="40"/>
      <c r="R174" s="40"/>
      <c r="S174" s="40"/>
      <c r="T174" s="41"/>
      <c r="U174" s="41"/>
      <c r="V174" s="41"/>
      <c r="W174" s="41"/>
      <c r="X174" s="41"/>
      <c r="Y174" s="41"/>
      <c r="Z174" s="41"/>
      <c r="AA174" s="42"/>
      <c r="AB174" s="43"/>
      <c r="AC174" s="44"/>
      <c r="AD174" s="17"/>
      <c r="AE174"/>
    </row>
    <row r="175" spans="1:31">
      <c r="A175" s="38"/>
      <c r="B175" s="45"/>
      <c r="C175" s="46"/>
      <c r="D175" s="47"/>
      <c r="E175" s="47"/>
      <c r="F175" s="47"/>
      <c r="G175" s="47"/>
      <c r="H175" s="47"/>
      <c r="I175" s="46"/>
      <c r="J175" s="46"/>
      <c r="K175" s="47"/>
      <c r="L175" s="47"/>
      <c r="M175" s="47"/>
      <c r="N175" s="46"/>
      <c r="O175" s="48"/>
      <c r="P175" s="47"/>
      <c r="Q175" s="46"/>
      <c r="R175" s="46"/>
      <c r="S175" s="46"/>
      <c r="T175" s="49"/>
      <c r="U175" s="49"/>
      <c r="V175" s="49"/>
      <c r="W175" s="49"/>
      <c r="X175" s="49"/>
      <c r="Y175" s="49"/>
      <c r="Z175" s="49"/>
      <c r="AA175" s="50"/>
      <c r="AB175" s="51"/>
      <c r="AC175" s="52"/>
      <c r="AD175" s="47"/>
      <c r="AE175"/>
    </row>
    <row r="176" spans="1:31">
      <c r="A176" s="38"/>
      <c r="B176" s="39"/>
      <c r="C176" s="40"/>
      <c r="D176" s="17"/>
      <c r="E176" s="17"/>
      <c r="F176" s="17"/>
      <c r="G176" s="17"/>
      <c r="H176" s="17"/>
      <c r="I176" s="40"/>
      <c r="J176" s="40"/>
      <c r="K176" s="17"/>
      <c r="L176" s="17"/>
      <c r="M176" s="17"/>
      <c r="N176" s="40"/>
      <c r="O176" s="53"/>
      <c r="P176" s="17"/>
      <c r="Q176" s="40"/>
      <c r="R176" s="40"/>
      <c r="S176" s="40"/>
      <c r="T176" s="41"/>
      <c r="U176" s="41"/>
      <c r="V176" s="41"/>
      <c r="W176" s="41"/>
      <c r="X176" s="41"/>
      <c r="Y176" s="41"/>
      <c r="Z176" s="41"/>
      <c r="AA176" s="54"/>
      <c r="AB176" s="43"/>
      <c r="AC176" s="44"/>
      <c r="AD176" s="17"/>
      <c r="AE176"/>
    </row>
    <row r="177" spans="1:33">
      <c r="A177" s="38"/>
      <c r="B177" s="39"/>
      <c r="C177" s="40"/>
      <c r="D177" s="17"/>
      <c r="E177" s="17"/>
      <c r="F177" s="17"/>
      <c r="G177" s="17"/>
      <c r="H177" s="17"/>
      <c r="I177" s="40"/>
      <c r="J177" s="40"/>
      <c r="K177" s="17"/>
      <c r="L177" s="17"/>
      <c r="M177" s="17"/>
      <c r="N177" s="40"/>
      <c r="O177" s="53"/>
      <c r="P177" s="17"/>
      <c r="Q177" s="40"/>
      <c r="R177" s="40"/>
      <c r="S177" s="40"/>
      <c r="T177" s="41"/>
      <c r="U177" s="41"/>
      <c r="V177" s="41"/>
      <c r="W177" s="41"/>
      <c r="X177" s="41"/>
      <c r="Y177" s="41"/>
      <c r="Z177" s="41"/>
      <c r="AA177" s="54"/>
      <c r="AB177" s="43"/>
      <c r="AC177" s="44"/>
      <c r="AD177" s="17"/>
      <c r="AE177"/>
    </row>
    <row r="178" spans="1:33">
      <c r="A178" s="38"/>
      <c r="B178" s="45"/>
      <c r="C178" s="46"/>
      <c r="D178" s="47"/>
      <c r="E178" s="47"/>
      <c r="F178" s="47"/>
      <c r="G178" s="47"/>
      <c r="H178" s="47"/>
      <c r="I178" s="46"/>
      <c r="J178" s="46"/>
      <c r="K178" s="47"/>
      <c r="L178" s="47"/>
      <c r="M178" s="47"/>
      <c r="N178" s="46"/>
      <c r="O178" s="48"/>
      <c r="P178" s="47"/>
      <c r="Q178" s="46"/>
      <c r="R178" s="46"/>
      <c r="S178" s="46"/>
      <c r="T178" s="49"/>
      <c r="U178" s="49"/>
      <c r="V178" s="49"/>
      <c r="W178" s="49"/>
      <c r="X178" s="49"/>
      <c r="Y178" s="49"/>
      <c r="Z178" s="49"/>
      <c r="AA178" s="50"/>
      <c r="AB178" s="51"/>
      <c r="AC178" s="52"/>
      <c r="AD178" s="47"/>
      <c r="AE178"/>
    </row>
    <row r="179" spans="1:33">
      <c r="A179" s="38"/>
      <c r="B179" s="39"/>
      <c r="C179" s="40"/>
      <c r="D179" s="17"/>
      <c r="E179" s="17"/>
      <c r="F179" s="17"/>
      <c r="G179" s="17"/>
      <c r="H179" s="17"/>
      <c r="I179" s="40"/>
      <c r="J179" s="40"/>
      <c r="K179" s="17"/>
      <c r="L179" s="17"/>
      <c r="M179" s="17"/>
      <c r="N179" s="40"/>
      <c r="O179" s="53"/>
      <c r="P179" s="17"/>
      <c r="Q179" s="40"/>
      <c r="R179" s="40"/>
      <c r="S179" s="40"/>
      <c r="T179" s="41"/>
      <c r="U179" s="41"/>
      <c r="V179" s="41"/>
      <c r="W179" s="41"/>
      <c r="X179" s="41"/>
      <c r="Y179" s="41"/>
      <c r="Z179" s="41"/>
      <c r="AA179" s="54"/>
      <c r="AB179" s="43"/>
      <c r="AC179" s="44"/>
      <c r="AD179" s="17"/>
      <c r="AE179"/>
    </row>
    <row r="180" spans="1:33">
      <c r="A180" s="38"/>
      <c r="B180" s="39"/>
      <c r="C180" s="40"/>
      <c r="D180" s="17"/>
      <c r="E180" s="17"/>
      <c r="F180" s="17"/>
      <c r="G180" s="17"/>
      <c r="H180" s="17"/>
      <c r="I180" s="40"/>
      <c r="J180" s="40"/>
      <c r="K180" s="17"/>
      <c r="L180" s="17"/>
      <c r="M180" s="17"/>
      <c r="N180" s="40"/>
      <c r="O180" s="53"/>
      <c r="P180" s="17"/>
      <c r="Q180" s="40"/>
      <c r="R180" s="40"/>
      <c r="S180" s="40"/>
      <c r="T180" s="41"/>
      <c r="U180" s="41"/>
      <c r="V180" s="41"/>
      <c r="W180" s="41"/>
      <c r="X180" s="41"/>
      <c r="Y180" s="41"/>
      <c r="Z180" s="41"/>
      <c r="AA180" s="54"/>
      <c r="AB180" s="43"/>
      <c r="AC180" s="44"/>
      <c r="AD180" s="17"/>
      <c r="AE180"/>
    </row>
    <row r="181" spans="1:33">
      <c r="A181" s="38"/>
      <c r="B181" s="45"/>
      <c r="C181" s="46"/>
      <c r="D181" s="47"/>
      <c r="E181" s="47"/>
      <c r="F181" s="47"/>
      <c r="G181" s="47"/>
      <c r="H181" s="47"/>
      <c r="I181" s="46"/>
      <c r="J181" s="46"/>
      <c r="K181" s="47"/>
      <c r="L181" s="47"/>
      <c r="M181" s="47"/>
      <c r="N181" s="46"/>
      <c r="O181" s="48"/>
      <c r="P181" s="47"/>
      <c r="Q181" s="46"/>
      <c r="R181" s="46"/>
      <c r="S181" s="46"/>
      <c r="T181" s="49"/>
      <c r="U181" s="49"/>
      <c r="V181" s="49"/>
      <c r="W181" s="49"/>
      <c r="X181" s="49"/>
      <c r="Y181" s="49"/>
      <c r="Z181" s="49"/>
      <c r="AA181" s="50"/>
      <c r="AB181" s="51"/>
      <c r="AC181" s="52"/>
      <c r="AD181" s="47"/>
      <c r="AE181"/>
      <c r="AF181" s="59"/>
      <c r="AG181" s="60"/>
    </row>
    <row r="182" spans="1:33">
      <c r="A182" s="38"/>
      <c r="B182" s="39"/>
      <c r="C182" s="40"/>
      <c r="D182" s="17"/>
      <c r="E182" s="17"/>
      <c r="F182" s="17"/>
      <c r="G182" s="17"/>
      <c r="H182" s="17"/>
      <c r="I182" s="40"/>
      <c r="J182" s="40"/>
      <c r="K182" s="17"/>
      <c r="L182" s="17"/>
      <c r="M182" s="17"/>
      <c r="N182" s="40"/>
      <c r="O182" s="53"/>
      <c r="P182" s="17"/>
      <c r="Q182" s="40"/>
      <c r="R182" s="40"/>
      <c r="S182" s="40"/>
      <c r="T182" s="41"/>
      <c r="U182" s="41"/>
      <c r="V182" s="41"/>
      <c r="W182" s="41"/>
      <c r="X182" s="41"/>
      <c r="Y182" s="41"/>
      <c r="Z182" s="41"/>
      <c r="AA182" s="54"/>
      <c r="AB182" s="43"/>
      <c r="AC182" s="44"/>
      <c r="AD182" s="17"/>
      <c r="AE182"/>
      <c r="AF182" s="61"/>
    </row>
    <row r="183" spans="1:33">
      <c r="A183" s="38"/>
      <c r="B183" s="39"/>
      <c r="C183" s="40"/>
      <c r="D183" s="17"/>
      <c r="E183" s="17"/>
      <c r="F183" s="17"/>
      <c r="G183" s="17"/>
      <c r="H183" s="17"/>
      <c r="I183" s="40"/>
      <c r="J183" s="40"/>
      <c r="K183" s="17"/>
      <c r="L183" s="17"/>
      <c r="M183" s="17"/>
      <c r="N183" s="40"/>
      <c r="O183" s="53"/>
      <c r="P183" s="17"/>
      <c r="Q183" s="40"/>
      <c r="R183" s="40"/>
      <c r="S183" s="40"/>
      <c r="T183" s="41"/>
      <c r="U183" s="41"/>
      <c r="V183" s="41"/>
      <c r="W183" s="41"/>
      <c r="X183" s="41"/>
      <c r="Y183" s="41"/>
      <c r="Z183" s="41"/>
      <c r="AA183" s="54"/>
      <c r="AB183" s="43"/>
      <c r="AC183" s="44"/>
      <c r="AD183" s="17"/>
      <c r="AE183"/>
      <c r="AF183" s="61"/>
    </row>
    <row r="184" spans="1:33">
      <c r="A184" s="55"/>
      <c r="B184" s="56"/>
      <c r="C184" s="46"/>
      <c r="D184" s="47"/>
      <c r="E184" s="47"/>
      <c r="F184" s="47"/>
      <c r="G184" s="47"/>
      <c r="H184" s="47"/>
      <c r="I184" s="46"/>
      <c r="J184" s="46"/>
      <c r="K184" s="47"/>
      <c r="L184" s="47"/>
      <c r="M184" s="47"/>
      <c r="N184" s="46"/>
      <c r="O184" s="48"/>
      <c r="P184" s="47"/>
      <c r="Q184" s="46"/>
      <c r="R184" s="46"/>
      <c r="S184" s="46"/>
      <c r="T184" s="49"/>
      <c r="U184" s="49"/>
      <c r="V184" s="49"/>
      <c r="W184" s="49"/>
      <c r="X184" s="49"/>
      <c r="Y184" s="49"/>
      <c r="Z184" s="49"/>
      <c r="AA184" s="50"/>
      <c r="AB184" s="43"/>
      <c r="AC184" s="44"/>
      <c r="AD184" s="47"/>
      <c r="AE184"/>
      <c r="AF184" s="62"/>
      <c r="AG184" s="59"/>
    </row>
    <row r="185" spans="1:33">
      <c r="A185" s="36"/>
      <c r="B185" s="24"/>
      <c r="C185" s="18"/>
      <c r="D185" s="12"/>
      <c r="E185" s="12"/>
      <c r="F185" s="12"/>
      <c r="G185" s="12"/>
      <c r="H185" s="12"/>
      <c r="I185" s="18"/>
      <c r="J185" s="18"/>
      <c r="K185" s="12"/>
      <c r="L185" s="12"/>
      <c r="M185" s="12"/>
      <c r="N185" s="18"/>
      <c r="O185" s="18"/>
      <c r="P185" s="12"/>
      <c r="Q185" s="18"/>
      <c r="R185" s="18"/>
      <c r="S185" s="18"/>
      <c r="T185" s="20"/>
      <c r="U185" s="20"/>
      <c r="V185" s="20"/>
      <c r="W185" s="20"/>
      <c r="X185" s="20"/>
      <c r="Y185" s="20"/>
      <c r="Z185" s="20"/>
      <c r="AA185" s="37"/>
      <c r="AB185" s="22"/>
      <c r="AC185" s="23"/>
      <c r="AD185" s="17"/>
      <c r="AE185"/>
    </row>
    <row r="186" spans="1:33">
      <c r="A186" s="38"/>
      <c r="B186" s="39"/>
      <c r="C186" s="40"/>
      <c r="D186" s="17"/>
      <c r="E186" s="17"/>
      <c r="F186" s="17"/>
      <c r="G186" s="17"/>
      <c r="H186" s="17"/>
      <c r="I186" s="40"/>
      <c r="J186" s="40"/>
      <c r="K186" s="17"/>
      <c r="L186" s="17"/>
      <c r="M186" s="17"/>
      <c r="N186" s="40"/>
      <c r="O186" s="40"/>
      <c r="P186" s="17"/>
      <c r="Q186" s="40"/>
      <c r="R186" s="40"/>
      <c r="S186" s="40"/>
      <c r="T186" s="41"/>
      <c r="U186" s="41"/>
      <c r="V186" s="41"/>
      <c r="W186" s="41"/>
      <c r="X186" s="41"/>
      <c r="Y186" s="41"/>
      <c r="Z186" s="41"/>
      <c r="AA186" s="42"/>
      <c r="AB186" s="43"/>
      <c r="AC186" s="44"/>
      <c r="AD186" s="17"/>
      <c r="AE186"/>
    </row>
    <row r="187" spans="1:33">
      <c r="A187" s="38"/>
      <c r="B187" s="45"/>
      <c r="C187" s="46"/>
      <c r="D187" s="47"/>
      <c r="E187" s="47"/>
      <c r="F187" s="47"/>
      <c r="G187" s="47"/>
      <c r="H187" s="47"/>
      <c r="I187" s="46"/>
      <c r="J187" s="46"/>
      <c r="K187" s="47"/>
      <c r="L187" s="47"/>
      <c r="M187" s="47"/>
      <c r="N187" s="46"/>
      <c r="O187" s="48"/>
      <c r="P187" s="47"/>
      <c r="Q187" s="46"/>
      <c r="R187" s="46"/>
      <c r="S187" s="46"/>
      <c r="T187" s="49"/>
      <c r="U187" s="49"/>
      <c r="V187" s="49"/>
      <c r="W187" s="49"/>
      <c r="X187" s="49"/>
      <c r="Y187" s="49"/>
      <c r="Z187" s="49"/>
      <c r="AA187" s="50"/>
      <c r="AB187" s="51"/>
      <c r="AC187" s="52"/>
      <c r="AD187" s="47"/>
      <c r="AE187"/>
    </row>
    <row r="188" spans="1:33">
      <c r="A188" s="38"/>
      <c r="B188" s="39"/>
      <c r="C188" s="40"/>
      <c r="D188" s="17"/>
      <c r="E188" s="17"/>
      <c r="F188" s="17"/>
      <c r="G188" s="17"/>
      <c r="H188" s="17"/>
      <c r="I188" s="40"/>
      <c r="J188" s="40"/>
      <c r="K188" s="17"/>
      <c r="L188" s="17"/>
      <c r="M188" s="17"/>
      <c r="N188" s="40"/>
      <c r="O188" s="53"/>
      <c r="P188" s="17"/>
      <c r="Q188" s="40"/>
      <c r="R188" s="40"/>
      <c r="S188" s="40"/>
      <c r="T188" s="41"/>
      <c r="U188" s="41"/>
      <c r="V188" s="41"/>
      <c r="W188" s="41"/>
      <c r="X188" s="41"/>
      <c r="Y188" s="41"/>
      <c r="Z188" s="41"/>
      <c r="AA188" s="54"/>
      <c r="AB188" s="43"/>
      <c r="AC188" s="44"/>
      <c r="AD188" s="17"/>
      <c r="AE188"/>
    </row>
    <row r="189" spans="1:33">
      <c r="A189" s="38"/>
      <c r="B189" s="39"/>
      <c r="C189" s="40"/>
      <c r="D189" s="17"/>
      <c r="E189" s="17"/>
      <c r="F189" s="17"/>
      <c r="G189" s="17"/>
      <c r="H189" s="17"/>
      <c r="I189" s="40"/>
      <c r="J189" s="40"/>
      <c r="K189" s="17"/>
      <c r="L189" s="17"/>
      <c r="M189" s="17"/>
      <c r="N189" s="40"/>
      <c r="O189" s="53"/>
      <c r="P189" s="17"/>
      <c r="Q189" s="40"/>
      <c r="R189" s="40"/>
      <c r="S189" s="40"/>
      <c r="T189" s="41"/>
      <c r="U189" s="41"/>
      <c r="V189" s="41"/>
      <c r="W189" s="41"/>
      <c r="X189" s="41"/>
      <c r="Y189" s="41"/>
      <c r="Z189" s="41"/>
      <c r="AA189" s="54"/>
      <c r="AB189" s="43"/>
      <c r="AC189" s="44"/>
      <c r="AD189" s="17"/>
      <c r="AE189"/>
    </row>
    <row r="190" spans="1:33">
      <c r="A190" s="38"/>
      <c r="B190" s="45"/>
      <c r="C190" s="46"/>
      <c r="D190" s="47"/>
      <c r="E190" s="47"/>
      <c r="F190" s="47"/>
      <c r="G190" s="47"/>
      <c r="H190" s="47"/>
      <c r="I190" s="46"/>
      <c r="J190" s="46"/>
      <c r="K190" s="47"/>
      <c r="L190" s="47"/>
      <c r="M190" s="47"/>
      <c r="N190" s="46"/>
      <c r="O190" s="48"/>
      <c r="P190" s="47"/>
      <c r="Q190" s="46"/>
      <c r="R190" s="46"/>
      <c r="S190" s="46"/>
      <c r="T190" s="49"/>
      <c r="U190" s="49"/>
      <c r="V190" s="49"/>
      <c r="W190" s="49"/>
      <c r="X190" s="49"/>
      <c r="Y190" s="49"/>
      <c r="Z190" s="49"/>
      <c r="AA190" s="50"/>
      <c r="AB190" s="51"/>
      <c r="AC190" s="52"/>
      <c r="AD190" s="47"/>
      <c r="AE190"/>
    </row>
    <row r="191" spans="1:33">
      <c r="A191" s="38"/>
      <c r="B191" s="39"/>
      <c r="C191" s="40"/>
      <c r="D191" s="17"/>
      <c r="E191" s="17"/>
      <c r="F191" s="17"/>
      <c r="G191" s="17"/>
      <c r="H191" s="17"/>
      <c r="I191" s="40"/>
      <c r="J191" s="40"/>
      <c r="K191" s="17"/>
      <c r="L191" s="17"/>
      <c r="M191" s="17"/>
      <c r="N191" s="40"/>
      <c r="O191" s="53"/>
      <c r="P191" s="17"/>
      <c r="Q191" s="40"/>
      <c r="R191" s="40"/>
      <c r="S191" s="40"/>
      <c r="T191" s="41"/>
      <c r="U191" s="41"/>
      <c r="V191" s="41"/>
      <c r="W191" s="41"/>
      <c r="X191" s="41"/>
      <c r="Y191" s="41"/>
      <c r="Z191" s="41"/>
      <c r="AA191" s="54"/>
      <c r="AB191" s="43"/>
      <c r="AC191" s="44"/>
      <c r="AD191" s="17"/>
      <c r="AE191"/>
    </row>
    <row r="192" spans="1:33">
      <c r="A192" s="38"/>
      <c r="B192" s="39"/>
      <c r="C192" s="40"/>
      <c r="D192" s="17"/>
      <c r="E192" s="17"/>
      <c r="F192" s="17"/>
      <c r="G192" s="17"/>
      <c r="H192" s="17"/>
      <c r="I192" s="40"/>
      <c r="J192" s="40"/>
      <c r="K192" s="17"/>
      <c r="L192" s="17"/>
      <c r="M192" s="17"/>
      <c r="N192" s="40"/>
      <c r="O192" s="53"/>
      <c r="P192" s="17"/>
      <c r="Q192" s="40"/>
      <c r="R192" s="40"/>
      <c r="S192" s="40"/>
      <c r="T192" s="41"/>
      <c r="U192" s="41"/>
      <c r="V192" s="41"/>
      <c r="W192" s="41"/>
      <c r="X192" s="41"/>
      <c r="Y192" s="41"/>
      <c r="Z192" s="41"/>
      <c r="AA192" s="54"/>
      <c r="AB192" s="43"/>
      <c r="AC192" s="44"/>
      <c r="AD192" s="17"/>
      <c r="AE192"/>
    </row>
    <row r="193" spans="1:33">
      <c r="A193" s="38"/>
      <c r="B193" s="45"/>
      <c r="C193" s="46"/>
      <c r="D193" s="47"/>
      <c r="E193" s="47"/>
      <c r="F193" s="47"/>
      <c r="G193" s="47"/>
      <c r="H193" s="47"/>
      <c r="I193" s="46"/>
      <c r="J193" s="46"/>
      <c r="K193" s="47"/>
      <c r="L193" s="47"/>
      <c r="M193" s="47"/>
      <c r="N193" s="46"/>
      <c r="O193" s="48"/>
      <c r="P193" s="47"/>
      <c r="Q193" s="46"/>
      <c r="R193" s="46"/>
      <c r="S193" s="46"/>
      <c r="T193" s="49"/>
      <c r="U193" s="49"/>
      <c r="V193" s="49"/>
      <c r="W193" s="49"/>
      <c r="X193" s="49"/>
      <c r="Y193" s="49"/>
      <c r="Z193" s="49"/>
      <c r="AA193" s="50"/>
      <c r="AB193" s="51"/>
      <c r="AC193" s="52"/>
      <c r="AD193" s="47"/>
      <c r="AE193"/>
      <c r="AF193" s="59"/>
      <c r="AG193" s="60"/>
    </row>
    <row r="194" spans="1:33">
      <c r="A194" s="38"/>
      <c r="B194" s="39"/>
      <c r="C194" s="40"/>
      <c r="D194" s="17"/>
      <c r="E194" s="17"/>
      <c r="F194" s="17"/>
      <c r="G194" s="17"/>
      <c r="H194" s="17"/>
      <c r="I194" s="40"/>
      <c r="J194" s="40"/>
      <c r="K194" s="17"/>
      <c r="L194" s="17"/>
      <c r="M194" s="17"/>
      <c r="N194" s="40"/>
      <c r="O194" s="53"/>
      <c r="P194" s="17"/>
      <c r="Q194" s="40"/>
      <c r="R194" s="40"/>
      <c r="S194" s="40"/>
      <c r="T194" s="41"/>
      <c r="U194" s="41"/>
      <c r="V194" s="41"/>
      <c r="W194" s="41"/>
      <c r="X194" s="41"/>
      <c r="Y194" s="41"/>
      <c r="Z194" s="41"/>
      <c r="AA194" s="54"/>
      <c r="AB194" s="43"/>
      <c r="AC194" s="44"/>
      <c r="AD194" s="17"/>
      <c r="AE194"/>
      <c r="AF194" s="61"/>
    </row>
    <row r="195" spans="1:33">
      <c r="A195" s="38"/>
      <c r="B195" s="39"/>
      <c r="C195" s="40"/>
      <c r="D195" s="17"/>
      <c r="E195" s="17"/>
      <c r="F195" s="17"/>
      <c r="G195" s="17"/>
      <c r="H195" s="17"/>
      <c r="I195" s="40"/>
      <c r="J195" s="40"/>
      <c r="K195" s="17"/>
      <c r="L195" s="17"/>
      <c r="M195" s="17"/>
      <c r="N195" s="40"/>
      <c r="O195" s="53"/>
      <c r="P195" s="17"/>
      <c r="Q195" s="40"/>
      <c r="R195" s="40"/>
      <c r="S195" s="40"/>
      <c r="T195" s="41"/>
      <c r="U195" s="41"/>
      <c r="V195" s="41"/>
      <c r="W195" s="41"/>
      <c r="X195" s="41"/>
      <c r="Y195" s="41"/>
      <c r="Z195" s="41"/>
      <c r="AA195" s="54"/>
      <c r="AB195" s="43"/>
      <c r="AC195" s="44"/>
      <c r="AD195" s="17"/>
      <c r="AE195"/>
      <c r="AF195" s="61"/>
    </row>
    <row r="196" spans="1:33">
      <c r="A196" s="55"/>
      <c r="B196" s="56"/>
      <c r="C196" s="46"/>
      <c r="D196" s="47"/>
      <c r="E196" s="47"/>
      <c r="F196" s="47"/>
      <c r="G196" s="47"/>
      <c r="H196" s="47"/>
      <c r="I196" s="46"/>
      <c r="J196" s="46"/>
      <c r="K196" s="47"/>
      <c r="L196" s="47"/>
      <c r="M196" s="47"/>
      <c r="N196" s="46"/>
      <c r="O196" s="48"/>
      <c r="P196" s="47"/>
      <c r="Q196" s="46"/>
      <c r="R196" s="46"/>
      <c r="S196" s="46"/>
      <c r="T196" s="49"/>
      <c r="U196" s="49"/>
      <c r="V196" s="49"/>
      <c r="W196" s="49"/>
      <c r="X196" s="49"/>
      <c r="Y196" s="49"/>
      <c r="Z196" s="49"/>
      <c r="AA196" s="50"/>
      <c r="AB196" s="43"/>
      <c r="AC196" s="44"/>
      <c r="AD196" s="47"/>
      <c r="AE196"/>
      <c r="AF196" s="62"/>
      <c r="AG196" s="59"/>
    </row>
    <row r="197" spans="1:33">
      <c r="A197" s="36"/>
      <c r="B197" s="24"/>
      <c r="C197" s="18"/>
      <c r="D197" s="12"/>
      <c r="E197" s="12"/>
      <c r="F197" s="12"/>
      <c r="G197" s="12"/>
      <c r="H197" s="12"/>
      <c r="I197" s="18"/>
      <c r="J197" s="18"/>
      <c r="K197" s="12"/>
      <c r="L197" s="12"/>
      <c r="M197" s="12"/>
      <c r="N197" s="18"/>
      <c r="O197" s="18"/>
      <c r="P197" s="12"/>
      <c r="Q197" s="18"/>
      <c r="R197" s="18"/>
      <c r="S197" s="18"/>
      <c r="T197" s="18"/>
      <c r="U197" s="18"/>
      <c r="V197" s="18"/>
      <c r="W197" s="18"/>
      <c r="X197" s="18"/>
      <c r="Y197" s="18"/>
      <c r="Z197" s="18"/>
      <c r="AA197" s="63"/>
      <c r="AB197" s="22"/>
      <c r="AC197" s="23"/>
      <c r="AD197" s="17"/>
      <c r="AE197"/>
    </row>
    <row r="198" spans="1:33">
      <c r="A198" s="38"/>
      <c r="B198" s="39"/>
      <c r="C198" s="40"/>
      <c r="D198" s="17"/>
      <c r="E198" s="17"/>
      <c r="F198" s="17"/>
      <c r="G198" s="17"/>
      <c r="H198" s="17"/>
      <c r="I198" s="40"/>
      <c r="J198" s="40"/>
      <c r="K198" s="17"/>
      <c r="L198" s="17"/>
      <c r="M198" s="17"/>
      <c r="N198" s="40"/>
      <c r="O198" s="40"/>
      <c r="P198" s="17"/>
      <c r="Q198" s="40"/>
      <c r="R198" s="40"/>
      <c r="S198" s="40"/>
      <c r="T198" s="40"/>
      <c r="U198" s="40"/>
      <c r="V198" s="40"/>
      <c r="W198" s="40"/>
      <c r="X198" s="40"/>
      <c r="Y198" s="40"/>
      <c r="Z198" s="40"/>
      <c r="AA198" s="64"/>
      <c r="AB198" s="22"/>
      <c r="AC198" s="23"/>
      <c r="AD198" s="17"/>
      <c r="AE198"/>
    </row>
    <row r="199" spans="1:33">
      <c r="A199" s="38"/>
      <c r="B199" s="45"/>
      <c r="C199" s="46"/>
      <c r="D199" s="47"/>
      <c r="E199" s="47"/>
      <c r="F199" s="47"/>
      <c r="G199" s="47"/>
      <c r="H199" s="47"/>
      <c r="I199" s="46"/>
      <c r="J199" s="46"/>
      <c r="K199" s="47"/>
      <c r="L199" s="47"/>
      <c r="M199" s="47"/>
      <c r="N199" s="46"/>
      <c r="O199" s="48"/>
      <c r="P199" s="47"/>
      <c r="Q199" s="46"/>
      <c r="R199" s="46"/>
      <c r="S199" s="46"/>
      <c r="T199" s="46"/>
      <c r="U199" s="46"/>
      <c r="V199" s="46"/>
      <c r="W199" s="46"/>
      <c r="X199" s="46"/>
      <c r="Y199" s="46"/>
      <c r="Z199" s="46"/>
      <c r="AA199" s="65"/>
      <c r="AB199" s="66"/>
      <c r="AC199" s="67"/>
      <c r="AD199" s="47"/>
      <c r="AE199"/>
    </row>
    <row r="200" spans="1:33">
      <c r="A200" s="38"/>
      <c r="B200" s="39"/>
      <c r="C200" s="40"/>
      <c r="D200" s="17"/>
      <c r="E200" s="17"/>
      <c r="F200" s="17"/>
      <c r="G200" s="17"/>
      <c r="H200" s="17"/>
      <c r="I200" s="40"/>
      <c r="J200" s="40"/>
      <c r="K200" s="17"/>
      <c r="L200" s="17"/>
      <c r="M200" s="17"/>
      <c r="N200" s="40"/>
      <c r="O200" s="53"/>
      <c r="P200" s="17"/>
      <c r="Q200" s="40"/>
      <c r="R200" s="40"/>
      <c r="S200" s="40"/>
      <c r="T200" s="40"/>
      <c r="U200" s="40"/>
      <c r="V200" s="40"/>
      <c r="W200" s="40"/>
      <c r="X200" s="40"/>
      <c r="Y200" s="40"/>
      <c r="Z200" s="40"/>
      <c r="AA200" s="39"/>
      <c r="AB200" s="22"/>
      <c r="AC200" s="23"/>
      <c r="AD200" s="17"/>
      <c r="AE200"/>
    </row>
    <row r="201" spans="1:33">
      <c r="A201" s="38"/>
      <c r="B201" s="39"/>
      <c r="C201" s="40"/>
      <c r="D201" s="17"/>
      <c r="E201" s="17"/>
      <c r="F201" s="17"/>
      <c r="G201" s="17"/>
      <c r="H201" s="17"/>
      <c r="I201" s="40"/>
      <c r="J201" s="40"/>
      <c r="K201" s="17"/>
      <c r="L201" s="17"/>
      <c r="M201" s="17"/>
      <c r="N201" s="40"/>
      <c r="O201" s="53"/>
      <c r="P201" s="17"/>
      <c r="Q201" s="40"/>
      <c r="R201" s="40"/>
      <c r="S201" s="40"/>
      <c r="T201" s="40"/>
      <c r="U201" s="40"/>
      <c r="V201" s="40"/>
      <c r="W201" s="40"/>
      <c r="X201" s="40"/>
      <c r="Y201" s="40"/>
      <c r="Z201" s="40"/>
      <c r="AA201" s="39"/>
      <c r="AB201" s="22"/>
      <c r="AC201" s="23"/>
      <c r="AD201" s="17"/>
      <c r="AE201"/>
    </row>
    <row r="202" spans="1:33">
      <c r="A202" s="38"/>
      <c r="B202" s="45"/>
      <c r="C202" s="46"/>
      <c r="D202" s="47"/>
      <c r="E202" s="47"/>
      <c r="F202" s="47"/>
      <c r="G202" s="47"/>
      <c r="H202" s="47"/>
      <c r="I202" s="46"/>
      <c r="J202" s="46"/>
      <c r="K202" s="47"/>
      <c r="L202" s="47"/>
      <c r="M202" s="47"/>
      <c r="N202" s="46"/>
      <c r="O202" s="48"/>
      <c r="P202" s="47"/>
      <c r="Q202" s="46"/>
      <c r="R202" s="46"/>
      <c r="S202" s="46"/>
      <c r="T202" s="46"/>
      <c r="U202" s="46"/>
      <c r="V202" s="46"/>
      <c r="W202" s="46"/>
      <c r="X202" s="46"/>
      <c r="Y202" s="46"/>
      <c r="Z202" s="46"/>
      <c r="AA202" s="65"/>
      <c r="AB202" s="68"/>
      <c r="AC202" s="69"/>
      <c r="AD202" s="47"/>
      <c r="AE202"/>
    </row>
    <row r="203" spans="1:33">
      <c r="A203" s="38"/>
      <c r="B203" s="39"/>
      <c r="C203" s="40"/>
      <c r="D203" s="17"/>
      <c r="E203" s="17"/>
      <c r="F203" s="17"/>
      <c r="G203" s="17"/>
      <c r="H203" s="17"/>
      <c r="I203" s="40"/>
      <c r="J203" s="40"/>
      <c r="K203" s="17"/>
      <c r="L203" s="17"/>
      <c r="M203" s="17"/>
      <c r="N203" s="40"/>
      <c r="O203" s="53"/>
      <c r="P203" s="17"/>
      <c r="Q203" s="40"/>
      <c r="R203" s="40"/>
      <c r="S203" s="40"/>
      <c r="T203" s="40"/>
      <c r="U203" s="40"/>
      <c r="V203" s="40"/>
      <c r="W203" s="40"/>
      <c r="X203" s="40"/>
      <c r="Y203" s="40"/>
      <c r="Z203" s="40"/>
      <c r="AA203" s="39"/>
      <c r="AB203" s="22"/>
      <c r="AC203" s="23"/>
      <c r="AD203" s="17"/>
      <c r="AE203"/>
    </row>
    <row r="204" spans="1:33">
      <c r="A204" s="38"/>
      <c r="B204" s="39"/>
      <c r="C204" s="40"/>
      <c r="D204" s="17"/>
      <c r="E204" s="17"/>
      <c r="F204" s="17"/>
      <c r="G204" s="17"/>
      <c r="H204" s="17"/>
      <c r="I204" s="40"/>
      <c r="J204" s="40"/>
      <c r="K204" s="17"/>
      <c r="L204" s="17"/>
      <c r="M204" s="17"/>
      <c r="N204" s="40"/>
      <c r="O204" s="53"/>
      <c r="P204" s="17"/>
      <c r="Q204" s="40"/>
      <c r="R204" s="40"/>
      <c r="S204" s="40"/>
      <c r="T204" s="40"/>
      <c r="U204" s="40"/>
      <c r="V204" s="40"/>
      <c r="W204" s="40"/>
      <c r="X204" s="40"/>
      <c r="Y204" s="40"/>
      <c r="Z204" s="40"/>
      <c r="AA204" s="39"/>
      <c r="AB204" s="22"/>
      <c r="AC204" s="23"/>
      <c r="AD204" s="17"/>
      <c r="AE204"/>
    </row>
    <row r="205" spans="1:33">
      <c r="A205" s="38"/>
      <c r="B205" s="45"/>
      <c r="C205" s="46"/>
      <c r="D205" s="47"/>
      <c r="E205" s="47"/>
      <c r="F205" s="47"/>
      <c r="G205" s="47"/>
      <c r="H205" s="47"/>
      <c r="I205" s="46"/>
      <c r="J205" s="46"/>
      <c r="K205" s="47"/>
      <c r="L205" s="47"/>
      <c r="M205" s="47"/>
      <c r="N205" s="46"/>
      <c r="O205" s="48"/>
      <c r="P205" s="47"/>
      <c r="Q205" s="46"/>
      <c r="R205" s="46"/>
      <c r="S205" s="46"/>
      <c r="T205" s="46"/>
      <c r="U205" s="46"/>
      <c r="V205" s="46"/>
      <c r="W205" s="46"/>
      <c r="X205" s="46"/>
      <c r="Y205" s="46"/>
      <c r="Z205" s="46"/>
      <c r="AA205" s="65"/>
      <c r="AB205" s="68"/>
      <c r="AC205" s="69"/>
      <c r="AD205" s="47"/>
      <c r="AE205"/>
      <c r="AF205" s="59"/>
      <c r="AG205" s="60"/>
    </row>
    <row r="206" spans="1:33">
      <c r="A206" s="38"/>
      <c r="B206" s="39"/>
      <c r="C206" s="40"/>
      <c r="D206" s="17"/>
      <c r="E206" s="17"/>
      <c r="F206" s="17"/>
      <c r="G206" s="17"/>
      <c r="H206" s="17"/>
      <c r="I206" s="40"/>
      <c r="J206" s="40"/>
      <c r="K206" s="17"/>
      <c r="L206" s="17"/>
      <c r="M206" s="17"/>
      <c r="N206" s="40"/>
      <c r="O206" s="53"/>
      <c r="P206" s="17"/>
      <c r="Q206" s="40"/>
      <c r="R206" s="40"/>
      <c r="S206" s="40"/>
      <c r="T206" s="40"/>
      <c r="U206" s="40"/>
      <c r="V206" s="40"/>
      <c r="W206" s="40"/>
      <c r="X206" s="40"/>
      <c r="Y206" s="40"/>
      <c r="Z206" s="40"/>
      <c r="AA206" s="39"/>
      <c r="AB206" s="22"/>
      <c r="AC206" s="23"/>
      <c r="AD206" s="17"/>
      <c r="AE206"/>
      <c r="AF206" s="61"/>
    </row>
    <row r="207" spans="1:33">
      <c r="A207" s="38"/>
      <c r="B207" s="39"/>
      <c r="C207" s="40"/>
      <c r="D207" s="17"/>
      <c r="E207" s="17"/>
      <c r="F207" s="17"/>
      <c r="G207" s="17"/>
      <c r="H207" s="17"/>
      <c r="I207" s="40"/>
      <c r="J207" s="40"/>
      <c r="K207" s="17"/>
      <c r="L207" s="17"/>
      <c r="M207" s="17"/>
      <c r="N207" s="40"/>
      <c r="O207" s="53"/>
      <c r="P207" s="17"/>
      <c r="Q207" s="40"/>
      <c r="R207" s="40"/>
      <c r="S207" s="40"/>
      <c r="T207" s="40"/>
      <c r="U207" s="40"/>
      <c r="V207" s="40"/>
      <c r="W207" s="40"/>
      <c r="X207" s="40"/>
      <c r="Y207" s="40"/>
      <c r="Z207" s="40"/>
      <c r="AA207" s="39"/>
      <c r="AB207" s="22"/>
      <c r="AC207" s="23"/>
      <c r="AD207" s="17"/>
      <c r="AE207"/>
      <c r="AF207" s="61"/>
    </row>
    <row r="208" spans="1:33">
      <c r="A208" s="55"/>
      <c r="B208" s="56"/>
      <c r="C208" s="46"/>
      <c r="D208" s="47"/>
      <c r="E208" s="47"/>
      <c r="F208" s="47"/>
      <c r="G208" s="47"/>
      <c r="H208" s="47"/>
      <c r="I208" s="46"/>
      <c r="J208" s="46"/>
      <c r="K208" s="47"/>
      <c r="L208" s="47"/>
      <c r="M208" s="47"/>
      <c r="N208" s="46"/>
      <c r="O208" s="48"/>
      <c r="P208" s="47"/>
      <c r="Q208" s="46"/>
      <c r="R208" s="46"/>
      <c r="S208" s="46"/>
      <c r="T208" s="46"/>
      <c r="U208" s="46"/>
      <c r="V208" s="46"/>
      <c r="W208" s="46"/>
      <c r="X208" s="46"/>
      <c r="Y208" s="46"/>
      <c r="Z208" s="46"/>
      <c r="AA208" s="65"/>
      <c r="AB208" s="70"/>
      <c r="AC208" s="71"/>
      <c r="AD208" s="47"/>
      <c r="AE208"/>
      <c r="AF208" s="62"/>
      <c r="AG208" s="59"/>
    </row>
    <row r="209" spans="3:27">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C141"/>
  <sheetViews>
    <sheetView workbookViewId="0">
      <selection sqref="A1:XFD1048576"/>
    </sheetView>
  </sheetViews>
  <sheetFormatPr defaultColWidth="9.33203125" defaultRowHeight="12.75"/>
  <cols>
    <col min="1" max="1" width="5" style="1" customWidth="1"/>
    <col min="2" max="2" width="32" style="1" customWidth="1"/>
    <col min="3" max="8" width="15.1640625" style="1" customWidth="1"/>
    <col min="9" max="9" width="17.5" style="1" customWidth="1"/>
    <col min="10" max="13" width="13.6640625" style="1" customWidth="1"/>
    <col min="14" max="14" width="17.5" style="1" customWidth="1"/>
    <col min="15" max="16" width="11.5" style="1" customWidth="1"/>
    <col min="17" max="18" width="12.83203125" style="1" customWidth="1"/>
    <col min="19" max="19" width="16.6640625" style="1" customWidth="1"/>
    <col min="20" max="20" width="6.5" style="1" customWidth="1"/>
    <col min="21" max="21" width="9.33203125" style="1"/>
    <col min="22" max="25" width="11.5" style="1" customWidth="1"/>
    <col min="26" max="26" width="9.5" style="1" customWidth="1"/>
    <col min="27" max="27" width="10.6640625" style="1" customWidth="1"/>
    <col min="28" max="28" width="10.1640625" style="1" customWidth="1"/>
    <col min="29" max="29" width="13.6640625" style="1" customWidth="1"/>
    <col min="30" max="16384" width="9.33203125" style="1"/>
  </cols>
  <sheetData>
    <row r="1" spans="1:29">
      <c r="E1" s="73"/>
      <c r="L1" s="74"/>
    </row>
    <row r="3" spans="1:29">
      <c r="A3" s="75"/>
      <c r="B3" s="76"/>
      <c r="C3" s="75"/>
      <c r="D3" s="76"/>
      <c r="E3" s="76"/>
      <c r="F3" s="76"/>
      <c r="G3" s="76"/>
      <c r="H3" s="76"/>
      <c r="I3" s="76"/>
      <c r="J3" s="76"/>
      <c r="K3" s="76"/>
      <c r="L3" s="76"/>
      <c r="M3" s="76"/>
      <c r="N3" s="76"/>
      <c r="O3" s="76"/>
      <c r="P3" s="76"/>
      <c r="Q3" s="76"/>
      <c r="R3" s="76"/>
      <c r="S3" s="76"/>
      <c r="T3" s="77"/>
      <c r="U3" s="77"/>
      <c r="V3" s="77"/>
      <c r="W3" s="78"/>
      <c r="X3" s="77"/>
      <c r="Y3" s="77"/>
      <c r="Z3" s="77"/>
      <c r="AA3" s="78"/>
      <c r="AB3" s="79"/>
      <c r="AC3" s="80"/>
    </row>
    <row r="4" spans="1:29">
      <c r="A4" s="81"/>
      <c r="B4" s="82"/>
      <c r="C4" s="75"/>
      <c r="D4" s="76"/>
      <c r="E4" s="76"/>
      <c r="F4" s="76"/>
      <c r="G4" s="76"/>
      <c r="H4" s="76"/>
      <c r="I4" s="75"/>
      <c r="J4" s="75"/>
      <c r="K4" s="76"/>
      <c r="L4" s="76"/>
      <c r="M4" s="76"/>
      <c r="N4" s="75"/>
      <c r="O4" s="75"/>
      <c r="P4" s="76"/>
      <c r="Q4" s="75"/>
      <c r="R4" s="75"/>
      <c r="S4" s="75"/>
      <c r="T4" s="83"/>
      <c r="U4" s="83"/>
      <c r="V4" s="83"/>
      <c r="W4" s="84"/>
      <c r="X4" s="83"/>
      <c r="Y4" s="83"/>
      <c r="Z4" s="83"/>
      <c r="AA4" s="84"/>
      <c r="AB4" s="85"/>
      <c r="AC4" s="86"/>
    </row>
    <row r="5" spans="1:29">
      <c r="A5" s="75"/>
      <c r="B5" s="75"/>
      <c r="C5" s="75"/>
      <c r="D5" s="87"/>
      <c r="E5" s="87"/>
      <c r="F5" s="87"/>
      <c r="G5" s="87"/>
      <c r="H5" s="87"/>
      <c r="I5" s="81"/>
      <c r="J5" s="75"/>
      <c r="K5" s="87"/>
      <c r="L5" s="87"/>
      <c r="M5" s="87"/>
      <c r="N5" s="81"/>
      <c r="O5" s="75"/>
      <c r="P5" s="87"/>
      <c r="Q5" s="81"/>
      <c r="R5" s="75"/>
      <c r="S5" s="81"/>
      <c r="T5" s="83"/>
      <c r="U5" s="88"/>
      <c r="V5" s="83"/>
      <c r="W5" s="89"/>
      <c r="X5" s="83"/>
      <c r="Y5" s="88"/>
      <c r="Z5" s="83"/>
      <c r="AA5" s="89"/>
      <c r="AB5" s="85"/>
      <c r="AC5" s="90"/>
    </row>
    <row r="6" spans="1:29">
      <c r="A6" s="91"/>
      <c r="B6" s="75"/>
      <c r="C6" s="75"/>
      <c r="D6" s="87"/>
      <c r="E6" s="87"/>
      <c r="F6" s="87"/>
      <c r="G6" s="87"/>
      <c r="H6" s="87"/>
      <c r="I6" s="75"/>
      <c r="J6" s="75"/>
      <c r="K6" s="87"/>
      <c r="L6" s="87"/>
      <c r="M6" s="87"/>
      <c r="N6" s="75"/>
      <c r="O6" s="75"/>
      <c r="P6" s="87"/>
      <c r="Q6" s="75"/>
      <c r="R6" s="75"/>
      <c r="S6" s="75"/>
      <c r="T6" s="83"/>
      <c r="U6" s="83"/>
      <c r="V6" s="83"/>
      <c r="W6" s="84"/>
      <c r="X6" s="83"/>
      <c r="Y6" s="83"/>
      <c r="Z6" s="83"/>
      <c r="AA6" s="84"/>
      <c r="AB6" s="85"/>
      <c r="AC6" s="86"/>
    </row>
    <row r="7" spans="1:29">
      <c r="A7" s="92"/>
      <c r="B7" s="93"/>
      <c r="C7" s="93"/>
      <c r="I7" s="93"/>
      <c r="J7" s="93"/>
      <c r="N7" s="93"/>
      <c r="O7" s="93"/>
      <c r="Q7" s="93"/>
      <c r="R7" s="93"/>
      <c r="S7" s="93"/>
      <c r="T7" s="94"/>
      <c r="U7" s="94"/>
      <c r="V7" s="94"/>
      <c r="W7" s="95"/>
      <c r="X7" s="94"/>
      <c r="Y7" s="94"/>
      <c r="Z7" s="94"/>
      <c r="AA7" s="95"/>
      <c r="AB7" s="96"/>
      <c r="AC7" s="97"/>
    </row>
    <row r="8" spans="1:29">
      <c r="A8" s="92"/>
      <c r="B8" s="98"/>
      <c r="C8" s="98"/>
      <c r="D8" s="99"/>
      <c r="E8" s="99"/>
      <c r="F8" s="99"/>
      <c r="G8" s="99"/>
      <c r="H8" s="99"/>
      <c r="I8" s="98"/>
      <c r="J8" s="98"/>
      <c r="K8" s="99"/>
      <c r="L8" s="99"/>
      <c r="M8" s="99"/>
      <c r="N8" s="98"/>
      <c r="O8" s="98"/>
      <c r="P8" s="99"/>
      <c r="Q8" s="98"/>
      <c r="R8" s="98"/>
      <c r="S8" s="98"/>
      <c r="T8" s="100"/>
      <c r="U8" s="100"/>
      <c r="V8" s="100"/>
      <c r="W8" s="101"/>
      <c r="X8" s="100"/>
      <c r="Y8" s="100"/>
      <c r="Z8" s="100"/>
      <c r="AA8" s="101"/>
      <c r="AB8" s="96"/>
      <c r="AC8" s="97"/>
    </row>
    <row r="9" spans="1:29">
      <c r="A9" s="92"/>
      <c r="B9" s="93"/>
      <c r="C9" s="93"/>
      <c r="I9" s="93"/>
      <c r="J9" s="93"/>
      <c r="N9" s="93"/>
      <c r="O9" s="93"/>
      <c r="Q9" s="93"/>
      <c r="R9" s="93"/>
      <c r="S9" s="93"/>
      <c r="T9" s="94"/>
      <c r="U9" s="94"/>
      <c r="V9" s="94"/>
      <c r="W9" s="95"/>
      <c r="X9" s="94"/>
      <c r="Y9" s="94"/>
      <c r="Z9" s="94"/>
      <c r="AA9" s="95"/>
      <c r="AB9" s="96"/>
      <c r="AC9" s="97"/>
    </row>
    <row r="10" spans="1:29">
      <c r="A10" s="92"/>
      <c r="B10" s="93"/>
      <c r="C10" s="93"/>
      <c r="I10" s="93"/>
      <c r="J10" s="93"/>
      <c r="N10" s="93"/>
      <c r="O10" s="93"/>
      <c r="Q10" s="93"/>
      <c r="R10" s="93"/>
      <c r="S10" s="93"/>
      <c r="T10" s="94"/>
      <c r="U10" s="94"/>
      <c r="V10" s="94"/>
      <c r="W10" s="95"/>
      <c r="X10" s="94"/>
      <c r="Y10" s="94"/>
      <c r="Z10" s="94"/>
      <c r="AA10" s="95"/>
      <c r="AB10" s="96"/>
      <c r="AC10" s="97"/>
    </row>
    <row r="11" spans="1:29">
      <c r="A11" s="92"/>
      <c r="B11" s="102"/>
      <c r="C11" s="98"/>
      <c r="D11" s="99"/>
      <c r="E11" s="99"/>
      <c r="F11" s="99"/>
      <c r="G11" s="99"/>
      <c r="H11" s="99"/>
      <c r="I11" s="98"/>
      <c r="J11" s="98"/>
      <c r="K11" s="99"/>
      <c r="L11" s="99"/>
      <c r="M11" s="99"/>
      <c r="N11" s="98"/>
      <c r="O11" s="98"/>
      <c r="P11" s="99"/>
      <c r="Q11" s="98"/>
      <c r="R11" s="102"/>
      <c r="S11" s="102"/>
      <c r="T11" s="103"/>
      <c r="U11" s="103"/>
      <c r="V11" s="103"/>
      <c r="W11" s="104"/>
      <c r="X11" s="103"/>
      <c r="Y11" s="103"/>
      <c r="Z11" s="103"/>
      <c r="AA11" s="104"/>
      <c r="AB11" s="96"/>
      <c r="AC11" s="97"/>
    </row>
    <row r="12" spans="1:29">
      <c r="A12" s="105"/>
      <c r="B12" s="106"/>
      <c r="C12" s="107"/>
      <c r="D12" s="108"/>
      <c r="E12" s="108"/>
      <c r="F12" s="108"/>
      <c r="G12" s="108"/>
      <c r="H12" s="108"/>
      <c r="I12" s="107"/>
      <c r="J12" s="107"/>
      <c r="K12" s="108"/>
      <c r="L12" s="108"/>
      <c r="M12" s="108"/>
      <c r="N12" s="107"/>
      <c r="O12" s="107"/>
      <c r="P12" s="108"/>
      <c r="Q12" s="107"/>
      <c r="R12" s="107"/>
      <c r="S12" s="107"/>
      <c r="T12" s="109"/>
      <c r="U12" s="109"/>
      <c r="V12" s="109"/>
      <c r="W12" s="110"/>
      <c r="X12" s="109"/>
      <c r="Y12" s="109"/>
      <c r="Z12" s="109"/>
      <c r="AA12" s="110"/>
      <c r="AB12" s="96"/>
      <c r="AC12" s="97"/>
    </row>
    <row r="13" spans="1:29">
      <c r="A13" s="91"/>
      <c r="B13" s="75"/>
      <c r="C13" s="75"/>
      <c r="D13" s="87"/>
      <c r="E13" s="87"/>
      <c r="F13" s="87"/>
      <c r="G13" s="87"/>
      <c r="H13" s="87"/>
      <c r="I13" s="75"/>
      <c r="J13" s="75"/>
      <c r="K13" s="87"/>
      <c r="L13" s="87"/>
      <c r="M13" s="87"/>
      <c r="N13" s="75"/>
      <c r="O13" s="75"/>
      <c r="P13" s="87"/>
      <c r="Q13" s="75"/>
      <c r="R13" s="75"/>
      <c r="S13" s="75"/>
      <c r="T13" s="83"/>
      <c r="U13" s="83"/>
      <c r="V13" s="83"/>
      <c r="W13" s="84"/>
      <c r="X13" s="83"/>
      <c r="Y13" s="83"/>
      <c r="Z13" s="83"/>
      <c r="AA13" s="84"/>
      <c r="AB13" s="85"/>
      <c r="AC13" s="86"/>
    </row>
    <row r="14" spans="1:29">
      <c r="A14" s="92"/>
      <c r="B14" s="93"/>
      <c r="C14" s="93"/>
      <c r="I14" s="93"/>
      <c r="J14" s="93"/>
      <c r="N14" s="93"/>
      <c r="O14" s="93"/>
      <c r="Q14" s="93"/>
      <c r="R14" s="93"/>
      <c r="S14" s="93"/>
      <c r="T14" s="94"/>
      <c r="U14" s="94"/>
      <c r="V14" s="94"/>
      <c r="W14" s="95"/>
      <c r="X14" s="94"/>
      <c r="Y14" s="94"/>
      <c r="Z14" s="94"/>
      <c r="AA14" s="95"/>
      <c r="AB14" s="96"/>
      <c r="AC14" s="97"/>
    </row>
    <row r="15" spans="1:29">
      <c r="A15" s="92"/>
      <c r="B15" s="98"/>
      <c r="C15" s="98"/>
      <c r="D15" s="99"/>
      <c r="E15" s="99"/>
      <c r="F15" s="99"/>
      <c r="G15" s="99"/>
      <c r="H15" s="99"/>
      <c r="I15" s="98"/>
      <c r="J15" s="98"/>
      <c r="K15" s="99"/>
      <c r="L15" s="99"/>
      <c r="M15" s="99"/>
      <c r="N15" s="98"/>
      <c r="O15" s="98"/>
      <c r="P15" s="99"/>
      <c r="Q15" s="98"/>
      <c r="R15" s="98"/>
      <c r="S15" s="98"/>
      <c r="T15" s="100"/>
      <c r="U15" s="100"/>
      <c r="V15" s="100"/>
      <c r="W15" s="101"/>
      <c r="X15" s="100"/>
      <c r="Y15" s="100"/>
      <c r="Z15" s="100"/>
      <c r="AA15" s="101"/>
      <c r="AB15" s="96"/>
      <c r="AC15" s="97"/>
    </row>
    <row r="16" spans="1:29">
      <c r="A16" s="92"/>
      <c r="B16" s="93"/>
      <c r="C16" s="93"/>
      <c r="I16" s="93"/>
      <c r="J16" s="93"/>
      <c r="N16" s="93"/>
      <c r="O16" s="93"/>
      <c r="Q16" s="93"/>
      <c r="R16" s="93"/>
      <c r="S16" s="93"/>
      <c r="T16" s="94"/>
      <c r="U16" s="94"/>
      <c r="V16" s="94"/>
      <c r="W16" s="95"/>
      <c r="X16" s="94"/>
      <c r="Y16" s="94"/>
      <c r="Z16" s="94"/>
      <c r="AA16" s="95"/>
      <c r="AB16" s="96"/>
      <c r="AC16" s="97"/>
    </row>
    <row r="17" spans="1:29">
      <c r="A17" s="92"/>
      <c r="B17" s="93"/>
      <c r="C17" s="93"/>
      <c r="I17" s="93"/>
      <c r="J17" s="93"/>
      <c r="N17" s="93"/>
      <c r="O17" s="93"/>
      <c r="Q17" s="93"/>
      <c r="R17" s="93"/>
      <c r="S17" s="93"/>
      <c r="T17" s="94"/>
      <c r="U17" s="94"/>
      <c r="V17" s="94"/>
      <c r="W17" s="95"/>
      <c r="X17" s="94"/>
      <c r="Y17" s="94"/>
      <c r="Z17" s="94"/>
      <c r="AA17" s="95"/>
      <c r="AB17" s="96"/>
      <c r="AC17" s="97"/>
    </row>
    <row r="18" spans="1:29">
      <c r="A18" s="92"/>
      <c r="B18" s="102"/>
      <c r="C18" s="98"/>
      <c r="D18" s="99"/>
      <c r="E18" s="99"/>
      <c r="F18" s="99"/>
      <c r="G18" s="99"/>
      <c r="H18" s="99"/>
      <c r="I18" s="98"/>
      <c r="J18" s="98"/>
      <c r="K18" s="99"/>
      <c r="L18" s="99"/>
      <c r="M18" s="99"/>
      <c r="N18" s="98"/>
      <c r="O18" s="98"/>
      <c r="P18" s="99"/>
      <c r="Q18" s="98"/>
      <c r="R18" s="102"/>
      <c r="S18" s="102"/>
      <c r="T18" s="103"/>
      <c r="U18" s="103"/>
      <c r="V18" s="103"/>
      <c r="W18" s="104"/>
      <c r="X18" s="103"/>
      <c r="Y18" s="103"/>
      <c r="Z18" s="103"/>
      <c r="AA18" s="104"/>
      <c r="AB18" s="96"/>
      <c r="AC18" s="97"/>
    </row>
    <row r="19" spans="1:29">
      <c r="A19" s="105"/>
      <c r="B19" s="106"/>
      <c r="C19" s="107"/>
      <c r="D19" s="108"/>
      <c r="E19" s="108"/>
      <c r="F19" s="108"/>
      <c r="G19" s="108"/>
      <c r="H19" s="108"/>
      <c r="I19" s="107"/>
      <c r="J19" s="107"/>
      <c r="K19" s="108"/>
      <c r="L19" s="108"/>
      <c r="M19" s="108"/>
      <c r="N19" s="107"/>
      <c r="O19" s="107"/>
      <c r="P19" s="108"/>
      <c r="Q19" s="107"/>
      <c r="R19" s="107"/>
      <c r="S19" s="107"/>
      <c r="T19" s="109"/>
      <c r="U19" s="109"/>
      <c r="V19" s="109"/>
      <c r="W19" s="110"/>
      <c r="X19" s="109"/>
      <c r="Y19" s="109"/>
      <c r="Z19" s="109"/>
      <c r="AA19" s="110"/>
      <c r="AB19" s="96"/>
      <c r="AC19" s="97"/>
    </row>
    <row r="20" spans="1:29">
      <c r="A20" s="91"/>
      <c r="B20" s="75"/>
      <c r="C20" s="75"/>
      <c r="D20" s="87"/>
      <c r="E20" s="87"/>
      <c r="F20" s="87"/>
      <c r="G20" s="87"/>
      <c r="H20" s="87"/>
      <c r="I20" s="75"/>
      <c r="J20" s="75"/>
      <c r="K20" s="87"/>
      <c r="L20" s="87"/>
      <c r="M20" s="87"/>
      <c r="N20" s="75"/>
      <c r="O20" s="75"/>
      <c r="P20" s="87"/>
      <c r="Q20" s="75"/>
      <c r="R20" s="75"/>
      <c r="S20" s="75"/>
      <c r="T20" s="83"/>
      <c r="U20" s="83"/>
      <c r="V20" s="83"/>
      <c r="W20" s="84"/>
      <c r="X20" s="83"/>
      <c r="Y20" s="83"/>
      <c r="Z20" s="83"/>
      <c r="AA20" s="84"/>
      <c r="AB20" s="85"/>
      <c r="AC20" s="86"/>
    </row>
    <row r="21" spans="1:29">
      <c r="A21" s="92"/>
      <c r="B21" s="93"/>
      <c r="C21" s="93"/>
      <c r="I21" s="93"/>
      <c r="J21" s="93"/>
      <c r="N21" s="93"/>
      <c r="O21" s="93"/>
      <c r="Q21" s="93"/>
      <c r="R21" s="93"/>
      <c r="S21" s="93"/>
      <c r="T21" s="94"/>
      <c r="U21" s="94"/>
      <c r="V21" s="94"/>
      <c r="W21" s="95"/>
      <c r="X21" s="94"/>
      <c r="Y21" s="94"/>
      <c r="Z21" s="94"/>
      <c r="AA21" s="95"/>
      <c r="AB21" s="96"/>
      <c r="AC21" s="97"/>
    </row>
    <row r="22" spans="1:29">
      <c r="A22" s="92"/>
      <c r="B22" s="98"/>
      <c r="C22" s="98"/>
      <c r="D22" s="99"/>
      <c r="E22" s="99"/>
      <c r="F22" s="99"/>
      <c r="G22" s="99"/>
      <c r="H22" s="99"/>
      <c r="I22" s="98"/>
      <c r="J22" s="98"/>
      <c r="K22" s="99"/>
      <c r="L22" s="99"/>
      <c r="M22" s="99"/>
      <c r="N22" s="98"/>
      <c r="O22" s="98"/>
      <c r="P22" s="99"/>
      <c r="Q22" s="98"/>
      <c r="R22" s="98"/>
      <c r="S22" s="98"/>
      <c r="T22" s="100"/>
      <c r="U22" s="100"/>
      <c r="V22" s="100"/>
      <c r="W22" s="101"/>
      <c r="X22" s="100"/>
      <c r="Y22" s="100"/>
      <c r="Z22" s="100"/>
      <c r="AA22" s="101"/>
      <c r="AB22" s="96"/>
      <c r="AC22" s="97"/>
    </row>
    <row r="23" spans="1:29">
      <c r="A23" s="92"/>
      <c r="B23" s="93"/>
      <c r="C23" s="93"/>
      <c r="I23" s="93"/>
      <c r="J23" s="93"/>
      <c r="N23" s="93"/>
      <c r="O23" s="93"/>
      <c r="Q23" s="93"/>
      <c r="R23" s="93"/>
      <c r="S23" s="93"/>
      <c r="T23" s="94"/>
      <c r="U23" s="94"/>
      <c r="V23" s="94"/>
      <c r="W23" s="95"/>
      <c r="X23" s="94"/>
      <c r="Y23" s="94"/>
      <c r="Z23" s="94"/>
      <c r="AA23" s="95"/>
      <c r="AB23" s="96"/>
      <c r="AC23" s="97"/>
    </row>
    <row r="24" spans="1:29">
      <c r="A24" s="92"/>
      <c r="B24" s="93"/>
      <c r="C24" s="93"/>
      <c r="I24" s="93"/>
      <c r="J24" s="93"/>
      <c r="N24" s="93"/>
      <c r="O24" s="93"/>
      <c r="Q24" s="93"/>
      <c r="R24" s="93"/>
      <c r="S24" s="93"/>
      <c r="T24" s="94"/>
      <c r="U24" s="94"/>
      <c r="V24" s="94"/>
      <c r="W24" s="95"/>
      <c r="X24" s="94"/>
      <c r="Y24" s="94"/>
      <c r="Z24" s="94"/>
      <c r="AA24" s="95"/>
      <c r="AB24" s="96"/>
      <c r="AC24" s="97"/>
    </row>
    <row r="25" spans="1:29">
      <c r="A25" s="92"/>
      <c r="B25" s="102"/>
      <c r="C25" s="98"/>
      <c r="D25" s="99"/>
      <c r="E25" s="99"/>
      <c r="F25" s="99"/>
      <c r="G25" s="99"/>
      <c r="H25" s="99"/>
      <c r="I25" s="98"/>
      <c r="J25" s="98"/>
      <c r="K25" s="99"/>
      <c r="L25" s="99"/>
      <c r="M25" s="99"/>
      <c r="N25" s="98"/>
      <c r="O25" s="98"/>
      <c r="P25" s="99"/>
      <c r="Q25" s="98"/>
      <c r="R25" s="102"/>
      <c r="S25" s="102"/>
      <c r="T25" s="103"/>
      <c r="U25" s="103"/>
      <c r="V25" s="103"/>
      <c r="W25" s="104"/>
      <c r="X25" s="103"/>
      <c r="Y25" s="103"/>
      <c r="Z25" s="103"/>
      <c r="AA25" s="104"/>
      <c r="AB25" s="96"/>
      <c r="AC25" s="97"/>
    </row>
    <row r="26" spans="1:29">
      <c r="A26" s="105"/>
      <c r="B26" s="106"/>
      <c r="C26" s="107"/>
      <c r="D26" s="108"/>
      <c r="E26" s="108"/>
      <c r="F26" s="108"/>
      <c r="G26" s="108"/>
      <c r="H26" s="108"/>
      <c r="I26" s="107"/>
      <c r="J26" s="107"/>
      <c r="K26" s="108"/>
      <c r="L26" s="108"/>
      <c r="M26" s="108"/>
      <c r="N26" s="107"/>
      <c r="O26" s="107"/>
      <c r="P26" s="108"/>
      <c r="Q26" s="107"/>
      <c r="R26" s="107"/>
      <c r="S26" s="107"/>
      <c r="T26" s="109"/>
      <c r="U26" s="109"/>
      <c r="V26" s="109"/>
      <c r="W26" s="110"/>
      <c r="X26" s="109"/>
      <c r="Y26" s="109"/>
      <c r="Z26" s="109"/>
      <c r="AA26" s="110"/>
      <c r="AB26" s="96"/>
      <c r="AC26" s="97"/>
    </row>
    <row r="27" spans="1:29">
      <c r="A27" s="91"/>
      <c r="B27" s="75"/>
      <c r="C27" s="75"/>
      <c r="D27" s="87"/>
      <c r="E27" s="87"/>
      <c r="F27" s="87"/>
      <c r="G27" s="87"/>
      <c r="H27" s="87"/>
      <c r="I27" s="75"/>
      <c r="J27" s="75"/>
      <c r="K27" s="87"/>
      <c r="L27" s="87"/>
      <c r="M27" s="87"/>
      <c r="N27" s="75"/>
      <c r="O27" s="75"/>
      <c r="P27" s="87"/>
      <c r="Q27" s="75"/>
      <c r="R27" s="75"/>
      <c r="S27" s="75"/>
      <c r="T27" s="83"/>
      <c r="U27" s="83"/>
      <c r="V27" s="83"/>
      <c r="W27" s="84"/>
      <c r="X27" s="83"/>
      <c r="Y27" s="83"/>
      <c r="Z27" s="83"/>
      <c r="AA27" s="84"/>
      <c r="AB27" s="85"/>
      <c r="AC27" s="86"/>
    </row>
    <row r="28" spans="1:29">
      <c r="A28" s="92"/>
      <c r="B28" s="93"/>
      <c r="C28" s="93"/>
      <c r="I28" s="93"/>
      <c r="J28" s="93"/>
      <c r="N28" s="93"/>
      <c r="O28" s="93"/>
      <c r="Q28" s="93"/>
      <c r="R28" s="93"/>
      <c r="S28" s="93"/>
      <c r="T28" s="94"/>
      <c r="U28" s="94"/>
      <c r="V28" s="94"/>
      <c r="W28" s="95"/>
      <c r="X28" s="94"/>
      <c r="Y28" s="94"/>
      <c r="Z28" s="94"/>
      <c r="AA28" s="95"/>
      <c r="AB28" s="96"/>
      <c r="AC28" s="97"/>
    </row>
    <row r="29" spans="1:29">
      <c r="A29" s="92"/>
      <c r="B29" s="98"/>
      <c r="C29" s="98"/>
      <c r="D29" s="99"/>
      <c r="E29" s="99"/>
      <c r="F29" s="99"/>
      <c r="G29" s="99"/>
      <c r="H29" s="99"/>
      <c r="I29" s="98"/>
      <c r="J29" s="98"/>
      <c r="K29" s="99"/>
      <c r="L29" s="99"/>
      <c r="M29" s="99"/>
      <c r="N29" s="98"/>
      <c r="O29" s="98"/>
      <c r="P29" s="99"/>
      <c r="Q29" s="98"/>
      <c r="R29" s="98"/>
      <c r="S29" s="98"/>
      <c r="T29" s="100"/>
      <c r="U29" s="100"/>
      <c r="V29" s="100"/>
      <c r="W29" s="101"/>
      <c r="X29" s="100"/>
      <c r="Y29" s="100"/>
      <c r="Z29" s="100"/>
      <c r="AA29" s="101"/>
      <c r="AB29" s="96"/>
      <c r="AC29" s="97"/>
    </row>
    <row r="30" spans="1:29">
      <c r="A30" s="92"/>
      <c r="B30" s="93"/>
      <c r="C30" s="93"/>
      <c r="I30" s="93"/>
      <c r="J30" s="93"/>
      <c r="N30" s="93"/>
      <c r="O30" s="93"/>
      <c r="Q30" s="93"/>
      <c r="R30" s="93"/>
      <c r="S30" s="93"/>
      <c r="T30" s="94"/>
      <c r="U30" s="94"/>
      <c r="V30" s="94"/>
      <c r="W30" s="95"/>
      <c r="X30" s="94"/>
      <c r="Y30" s="94"/>
      <c r="Z30" s="94"/>
      <c r="AA30" s="95"/>
      <c r="AB30" s="96"/>
      <c r="AC30" s="97"/>
    </row>
    <row r="31" spans="1:29">
      <c r="A31" s="92"/>
      <c r="B31" s="93"/>
      <c r="C31" s="93"/>
      <c r="I31" s="93"/>
      <c r="J31" s="93"/>
      <c r="N31" s="93"/>
      <c r="O31" s="93"/>
      <c r="Q31" s="93"/>
      <c r="R31" s="93"/>
      <c r="S31" s="93"/>
      <c r="T31" s="94"/>
      <c r="U31" s="94"/>
      <c r="V31" s="94"/>
      <c r="W31" s="95"/>
      <c r="X31" s="94"/>
      <c r="Y31" s="94"/>
      <c r="Z31" s="94"/>
      <c r="AA31" s="95"/>
      <c r="AB31" s="96"/>
      <c r="AC31" s="97"/>
    </row>
    <row r="32" spans="1:29">
      <c r="A32" s="92"/>
      <c r="B32" s="102"/>
      <c r="C32" s="98"/>
      <c r="D32" s="99"/>
      <c r="E32" s="99"/>
      <c r="F32" s="99"/>
      <c r="G32" s="99"/>
      <c r="H32" s="99"/>
      <c r="I32" s="98"/>
      <c r="J32" s="98"/>
      <c r="K32" s="99"/>
      <c r="L32" s="99"/>
      <c r="M32" s="99"/>
      <c r="N32" s="98"/>
      <c r="O32" s="98"/>
      <c r="P32" s="99"/>
      <c r="Q32" s="98"/>
      <c r="R32" s="102"/>
      <c r="S32" s="102"/>
      <c r="T32" s="103"/>
      <c r="U32" s="103"/>
      <c r="V32" s="103"/>
      <c r="W32" s="104"/>
      <c r="X32" s="103"/>
      <c r="Y32" s="103"/>
      <c r="Z32" s="103"/>
      <c r="AA32" s="104"/>
      <c r="AB32" s="96"/>
      <c r="AC32" s="97"/>
    </row>
    <row r="33" spans="1:29">
      <c r="A33" s="105"/>
      <c r="B33" s="106"/>
      <c r="C33" s="107"/>
      <c r="D33" s="108"/>
      <c r="E33" s="108"/>
      <c r="F33" s="108"/>
      <c r="G33" s="108"/>
      <c r="H33" s="108"/>
      <c r="I33" s="107"/>
      <c r="J33" s="107"/>
      <c r="K33" s="108"/>
      <c r="L33" s="108"/>
      <c r="M33" s="108"/>
      <c r="N33" s="107"/>
      <c r="O33" s="107"/>
      <c r="P33" s="108"/>
      <c r="Q33" s="107"/>
      <c r="R33" s="107"/>
      <c r="S33" s="107"/>
      <c r="T33" s="109"/>
      <c r="U33" s="109"/>
      <c r="V33" s="109"/>
      <c r="W33" s="110"/>
      <c r="X33" s="109"/>
      <c r="Y33" s="109"/>
      <c r="Z33" s="109"/>
      <c r="AA33" s="110"/>
      <c r="AB33" s="96"/>
      <c r="AC33" s="97"/>
    </row>
    <row r="34" spans="1:29">
      <c r="A34" s="91"/>
      <c r="B34" s="75"/>
      <c r="C34" s="75"/>
      <c r="D34" s="87"/>
      <c r="E34" s="87"/>
      <c r="F34" s="87"/>
      <c r="G34" s="87"/>
      <c r="H34" s="87"/>
      <c r="I34" s="75"/>
      <c r="J34" s="75"/>
      <c r="K34" s="87"/>
      <c r="L34" s="87"/>
      <c r="M34" s="87"/>
      <c r="N34" s="75"/>
      <c r="O34" s="75"/>
      <c r="P34" s="87"/>
      <c r="Q34" s="75"/>
      <c r="R34" s="75"/>
      <c r="S34" s="75"/>
      <c r="T34" s="83"/>
      <c r="U34" s="83"/>
      <c r="V34" s="83"/>
      <c r="W34" s="84"/>
      <c r="X34" s="83"/>
      <c r="Y34" s="83"/>
      <c r="Z34" s="83"/>
      <c r="AA34" s="84"/>
      <c r="AB34" s="85"/>
      <c r="AC34" s="86"/>
    </row>
    <row r="35" spans="1:29">
      <c r="A35" s="92"/>
      <c r="B35" s="93"/>
      <c r="C35" s="93"/>
      <c r="I35" s="93"/>
      <c r="J35" s="93"/>
      <c r="N35" s="93"/>
      <c r="O35" s="93"/>
      <c r="Q35" s="93"/>
      <c r="R35" s="93"/>
      <c r="S35" s="93"/>
      <c r="T35" s="94"/>
      <c r="U35" s="94"/>
      <c r="V35" s="94"/>
      <c r="W35" s="95"/>
      <c r="X35" s="94"/>
      <c r="Y35" s="94"/>
      <c r="Z35" s="94"/>
      <c r="AA35" s="95"/>
      <c r="AB35" s="96"/>
      <c r="AC35" s="97"/>
    </row>
    <row r="36" spans="1:29">
      <c r="A36" s="92"/>
      <c r="B36" s="98"/>
      <c r="C36" s="98"/>
      <c r="D36" s="99"/>
      <c r="E36" s="99"/>
      <c r="F36" s="99"/>
      <c r="G36" s="99"/>
      <c r="H36" s="99"/>
      <c r="I36" s="98"/>
      <c r="J36" s="98"/>
      <c r="K36" s="99"/>
      <c r="L36" s="99"/>
      <c r="M36" s="99"/>
      <c r="N36" s="98"/>
      <c r="O36" s="98"/>
      <c r="P36" s="99"/>
      <c r="Q36" s="98"/>
      <c r="R36" s="98"/>
      <c r="S36" s="98"/>
      <c r="T36" s="100"/>
      <c r="U36" s="100"/>
      <c r="V36" s="100"/>
      <c r="W36" s="101"/>
      <c r="X36" s="100"/>
      <c r="Y36" s="100"/>
      <c r="Z36" s="100"/>
      <c r="AA36" s="101"/>
      <c r="AB36" s="96"/>
      <c r="AC36" s="97"/>
    </row>
    <row r="37" spans="1:29">
      <c r="A37" s="92"/>
      <c r="B37" s="93"/>
      <c r="C37" s="93"/>
      <c r="I37" s="93"/>
      <c r="J37" s="93"/>
      <c r="N37" s="93"/>
      <c r="O37" s="93"/>
      <c r="Q37" s="93"/>
      <c r="R37" s="93"/>
      <c r="S37" s="93"/>
      <c r="T37" s="94"/>
      <c r="U37" s="94"/>
      <c r="V37" s="94"/>
      <c r="W37" s="95"/>
      <c r="X37" s="94"/>
      <c r="Y37" s="94"/>
      <c r="Z37" s="94"/>
      <c r="AA37" s="95"/>
      <c r="AB37" s="96"/>
      <c r="AC37" s="97"/>
    </row>
    <row r="38" spans="1:29">
      <c r="A38" s="92"/>
      <c r="B38" s="93"/>
      <c r="C38" s="93"/>
      <c r="I38" s="93"/>
      <c r="J38" s="93"/>
      <c r="N38" s="93"/>
      <c r="O38" s="93"/>
      <c r="Q38" s="93"/>
      <c r="R38" s="93"/>
      <c r="S38" s="93"/>
      <c r="T38" s="94"/>
      <c r="U38" s="94"/>
      <c r="V38" s="94"/>
      <c r="W38" s="95"/>
      <c r="X38" s="94"/>
      <c r="Y38" s="94"/>
      <c r="Z38" s="94"/>
      <c r="AA38" s="95"/>
      <c r="AB38" s="96"/>
      <c r="AC38" s="97"/>
    </row>
    <row r="39" spans="1:29">
      <c r="A39" s="92"/>
      <c r="B39" s="102"/>
      <c r="C39" s="98"/>
      <c r="D39" s="99"/>
      <c r="E39" s="99"/>
      <c r="F39" s="99"/>
      <c r="G39" s="99"/>
      <c r="H39" s="99"/>
      <c r="I39" s="98"/>
      <c r="J39" s="98"/>
      <c r="K39" s="99"/>
      <c r="L39" s="99"/>
      <c r="M39" s="99"/>
      <c r="N39" s="98"/>
      <c r="O39" s="98"/>
      <c r="P39" s="99"/>
      <c r="Q39" s="98"/>
      <c r="R39" s="102"/>
      <c r="S39" s="102"/>
      <c r="T39" s="103"/>
      <c r="U39" s="103"/>
      <c r="V39" s="103"/>
      <c r="W39" s="104"/>
      <c r="X39" s="103"/>
      <c r="Y39" s="103"/>
      <c r="Z39" s="103"/>
      <c r="AA39" s="104"/>
      <c r="AB39" s="96"/>
      <c r="AC39" s="97"/>
    </row>
    <row r="40" spans="1:29">
      <c r="A40" s="105"/>
      <c r="B40" s="106"/>
      <c r="C40" s="107"/>
      <c r="D40" s="108"/>
      <c r="E40" s="108"/>
      <c r="F40" s="108"/>
      <c r="G40" s="108"/>
      <c r="H40" s="108"/>
      <c r="I40" s="107"/>
      <c r="J40" s="107"/>
      <c r="K40" s="108"/>
      <c r="L40" s="108"/>
      <c r="M40" s="108"/>
      <c r="N40" s="107"/>
      <c r="O40" s="107"/>
      <c r="P40" s="108"/>
      <c r="Q40" s="107"/>
      <c r="R40" s="107"/>
      <c r="S40" s="107"/>
      <c r="T40" s="109"/>
      <c r="U40" s="109"/>
      <c r="V40" s="109"/>
      <c r="W40" s="110"/>
      <c r="X40" s="109"/>
      <c r="Y40" s="109"/>
      <c r="Z40" s="109"/>
      <c r="AA40" s="110"/>
      <c r="AB40" s="96"/>
      <c r="AC40" s="97"/>
    </row>
    <row r="41" spans="1:29">
      <c r="A41" s="91"/>
      <c r="B41" s="75"/>
      <c r="C41" s="75"/>
      <c r="D41" s="87"/>
      <c r="E41" s="87"/>
      <c r="F41" s="87"/>
      <c r="G41" s="87"/>
      <c r="H41" s="87"/>
      <c r="I41" s="75"/>
      <c r="J41" s="75"/>
      <c r="K41" s="87"/>
      <c r="L41" s="87"/>
      <c r="M41" s="87"/>
      <c r="N41" s="75"/>
      <c r="O41" s="75"/>
      <c r="P41" s="87"/>
      <c r="Q41" s="75"/>
      <c r="R41" s="75"/>
      <c r="S41" s="75"/>
      <c r="T41" s="83"/>
      <c r="U41" s="83"/>
      <c r="V41" s="83"/>
      <c r="W41" s="84"/>
      <c r="X41" s="83"/>
      <c r="Y41" s="83"/>
      <c r="Z41" s="83"/>
      <c r="AA41" s="84"/>
      <c r="AB41" s="85"/>
      <c r="AC41" s="86"/>
    </row>
    <row r="42" spans="1:29">
      <c r="A42" s="92"/>
      <c r="B42" s="93"/>
      <c r="C42" s="93"/>
      <c r="I42" s="93"/>
      <c r="J42" s="93"/>
      <c r="N42" s="93"/>
      <c r="O42" s="93"/>
      <c r="Q42" s="93"/>
      <c r="R42" s="93"/>
      <c r="S42" s="93"/>
      <c r="T42" s="94"/>
      <c r="U42" s="94"/>
      <c r="V42" s="94"/>
      <c r="W42" s="95"/>
      <c r="X42" s="94"/>
      <c r="Y42" s="94"/>
      <c r="Z42" s="94"/>
      <c r="AA42" s="95"/>
      <c r="AB42" s="96"/>
      <c r="AC42" s="97"/>
    </row>
    <row r="43" spans="1:29">
      <c r="A43" s="92"/>
      <c r="B43" s="98"/>
      <c r="C43" s="98"/>
      <c r="D43" s="99"/>
      <c r="E43" s="99"/>
      <c r="F43" s="99"/>
      <c r="G43" s="99"/>
      <c r="H43" s="99"/>
      <c r="I43" s="98"/>
      <c r="J43" s="98"/>
      <c r="K43" s="99"/>
      <c r="L43" s="99"/>
      <c r="M43" s="99"/>
      <c r="N43" s="98"/>
      <c r="O43" s="98"/>
      <c r="P43" s="99"/>
      <c r="Q43" s="98"/>
      <c r="R43" s="98"/>
      <c r="S43" s="98"/>
      <c r="T43" s="100"/>
      <c r="U43" s="100"/>
      <c r="V43" s="100"/>
      <c r="W43" s="101"/>
      <c r="X43" s="100"/>
      <c r="Y43" s="100"/>
      <c r="Z43" s="100"/>
      <c r="AA43" s="101"/>
      <c r="AB43" s="96"/>
      <c r="AC43" s="97"/>
    </row>
    <row r="44" spans="1:29">
      <c r="A44" s="92"/>
      <c r="B44" s="93"/>
      <c r="C44" s="93"/>
      <c r="I44" s="93"/>
      <c r="J44" s="93"/>
      <c r="N44" s="93"/>
      <c r="O44" s="93"/>
      <c r="Q44" s="93"/>
      <c r="R44" s="93"/>
      <c r="S44" s="93"/>
      <c r="T44" s="94"/>
      <c r="U44" s="94"/>
      <c r="V44" s="94"/>
      <c r="W44" s="95"/>
      <c r="X44" s="94"/>
      <c r="Y44" s="94"/>
      <c r="Z44" s="94"/>
      <c r="AA44" s="95"/>
      <c r="AB44" s="96"/>
      <c r="AC44" s="97"/>
    </row>
    <row r="45" spans="1:29">
      <c r="A45" s="92"/>
      <c r="B45" s="93"/>
      <c r="C45" s="93"/>
      <c r="I45" s="93"/>
      <c r="J45" s="93"/>
      <c r="N45" s="93"/>
      <c r="O45" s="93"/>
      <c r="Q45" s="93"/>
      <c r="R45" s="93"/>
      <c r="S45" s="93"/>
      <c r="T45" s="94"/>
      <c r="U45" s="94"/>
      <c r="V45" s="94"/>
      <c r="W45" s="95"/>
      <c r="X45" s="94"/>
      <c r="Y45" s="94"/>
      <c r="Z45" s="94"/>
      <c r="AA45" s="95"/>
      <c r="AB45" s="96"/>
      <c r="AC45" s="97"/>
    </row>
    <row r="46" spans="1:29">
      <c r="A46" s="92"/>
      <c r="B46" s="102"/>
      <c r="C46" s="98"/>
      <c r="D46" s="99"/>
      <c r="E46" s="99"/>
      <c r="F46" s="99"/>
      <c r="G46" s="99"/>
      <c r="H46" s="99"/>
      <c r="I46" s="98"/>
      <c r="J46" s="98"/>
      <c r="K46" s="99"/>
      <c r="L46" s="99"/>
      <c r="M46" s="99"/>
      <c r="N46" s="98"/>
      <c r="O46" s="98"/>
      <c r="P46" s="99"/>
      <c r="Q46" s="98"/>
      <c r="R46" s="102"/>
      <c r="S46" s="102"/>
      <c r="T46" s="103"/>
      <c r="U46" s="103"/>
      <c r="V46" s="103"/>
      <c r="W46" s="104"/>
      <c r="X46" s="103"/>
      <c r="Y46" s="103"/>
      <c r="Z46" s="103"/>
      <c r="AA46" s="104"/>
      <c r="AB46" s="96"/>
      <c r="AC46" s="97"/>
    </row>
    <row r="47" spans="1:29">
      <c r="A47" s="105"/>
      <c r="B47" s="106"/>
      <c r="C47" s="107"/>
      <c r="D47" s="108"/>
      <c r="E47" s="108"/>
      <c r="F47" s="108"/>
      <c r="G47" s="108"/>
      <c r="H47" s="108"/>
      <c r="I47" s="107"/>
      <c r="J47" s="107"/>
      <c r="K47" s="108"/>
      <c r="L47" s="108"/>
      <c r="M47" s="108"/>
      <c r="N47" s="107"/>
      <c r="O47" s="107"/>
      <c r="P47" s="108"/>
      <c r="Q47" s="107"/>
      <c r="R47" s="107"/>
      <c r="S47" s="107"/>
      <c r="T47" s="109"/>
      <c r="U47" s="109"/>
      <c r="V47" s="109"/>
      <c r="W47" s="110"/>
      <c r="X47" s="109"/>
      <c r="Y47" s="109"/>
      <c r="Z47" s="109"/>
      <c r="AA47" s="110"/>
      <c r="AB47" s="96"/>
      <c r="AC47" s="97"/>
    </row>
    <row r="48" spans="1:29">
      <c r="A48" s="91"/>
      <c r="B48" s="75"/>
      <c r="C48" s="75"/>
      <c r="D48" s="87"/>
      <c r="E48" s="87"/>
      <c r="F48" s="87"/>
      <c r="G48" s="87"/>
      <c r="H48" s="87"/>
      <c r="I48" s="75"/>
      <c r="J48" s="75"/>
      <c r="K48" s="87"/>
      <c r="L48" s="87"/>
      <c r="M48" s="87"/>
      <c r="N48" s="75"/>
      <c r="O48" s="75"/>
      <c r="P48" s="87"/>
      <c r="Q48" s="75"/>
      <c r="R48" s="75"/>
      <c r="S48" s="75"/>
      <c r="T48" s="83"/>
      <c r="U48" s="83"/>
      <c r="V48" s="83"/>
      <c r="W48" s="84"/>
      <c r="X48" s="83"/>
      <c r="Y48" s="83"/>
      <c r="Z48" s="83"/>
      <c r="AA48" s="84"/>
      <c r="AB48" s="85"/>
      <c r="AC48" s="86"/>
    </row>
    <row r="49" spans="1:29">
      <c r="A49" s="92"/>
      <c r="B49" s="93"/>
      <c r="C49" s="93"/>
      <c r="I49" s="93"/>
      <c r="J49" s="93"/>
      <c r="N49" s="93"/>
      <c r="O49" s="93"/>
      <c r="Q49" s="93"/>
      <c r="R49" s="93"/>
      <c r="S49" s="93"/>
      <c r="T49" s="94"/>
      <c r="U49" s="94"/>
      <c r="V49" s="94"/>
      <c r="W49" s="95"/>
      <c r="X49" s="94"/>
      <c r="Y49" s="94"/>
      <c r="Z49" s="94"/>
      <c r="AA49" s="95"/>
      <c r="AB49" s="96"/>
      <c r="AC49" s="97"/>
    </row>
    <row r="50" spans="1:29">
      <c r="A50" s="92"/>
      <c r="B50" s="98"/>
      <c r="C50" s="98"/>
      <c r="D50" s="99"/>
      <c r="E50" s="99"/>
      <c r="F50" s="99"/>
      <c r="G50" s="99"/>
      <c r="H50" s="99"/>
      <c r="I50" s="98"/>
      <c r="J50" s="98"/>
      <c r="K50" s="99"/>
      <c r="L50" s="99"/>
      <c r="M50" s="99"/>
      <c r="N50" s="98"/>
      <c r="O50" s="98"/>
      <c r="P50" s="99"/>
      <c r="Q50" s="98"/>
      <c r="R50" s="98"/>
      <c r="S50" s="98"/>
      <c r="T50" s="100"/>
      <c r="U50" s="100"/>
      <c r="V50" s="100"/>
      <c r="W50" s="101"/>
      <c r="X50" s="100"/>
      <c r="Y50" s="100"/>
      <c r="Z50" s="100"/>
      <c r="AA50" s="101"/>
      <c r="AB50" s="96"/>
      <c r="AC50" s="97"/>
    </row>
    <row r="51" spans="1:29">
      <c r="A51" s="92"/>
      <c r="B51" s="93"/>
      <c r="C51" s="93"/>
      <c r="I51" s="93"/>
      <c r="J51" s="93"/>
      <c r="N51" s="93"/>
      <c r="O51" s="93"/>
      <c r="Q51" s="93"/>
      <c r="R51" s="93"/>
      <c r="S51" s="93"/>
      <c r="T51" s="94"/>
      <c r="U51" s="94"/>
      <c r="V51" s="94"/>
      <c r="W51" s="95"/>
      <c r="X51" s="94"/>
      <c r="Y51" s="94"/>
      <c r="Z51" s="94"/>
      <c r="AA51" s="95"/>
      <c r="AB51" s="96"/>
      <c r="AC51" s="97"/>
    </row>
    <row r="52" spans="1:29">
      <c r="A52" s="92"/>
      <c r="B52" s="93"/>
      <c r="C52" s="93"/>
      <c r="I52" s="93"/>
      <c r="J52" s="93"/>
      <c r="N52" s="93"/>
      <c r="O52" s="93"/>
      <c r="Q52" s="93"/>
      <c r="R52" s="93"/>
      <c r="S52" s="93"/>
      <c r="T52" s="94"/>
      <c r="U52" s="94"/>
      <c r="V52" s="94"/>
      <c r="W52" s="95"/>
      <c r="X52" s="94"/>
      <c r="Y52" s="94"/>
      <c r="Z52" s="94"/>
      <c r="AA52" s="95"/>
      <c r="AB52" s="96"/>
      <c r="AC52" s="97"/>
    </row>
    <row r="53" spans="1:29">
      <c r="A53" s="92"/>
      <c r="B53" s="102"/>
      <c r="C53" s="98"/>
      <c r="D53" s="99"/>
      <c r="E53" s="99"/>
      <c r="F53" s="99"/>
      <c r="G53" s="99"/>
      <c r="H53" s="99"/>
      <c r="I53" s="98"/>
      <c r="J53" s="98"/>
      <c r="K53" s="99"/>
      <c r="L53" s="99"/>
      <c r="M53" s="99"/>
      <c r="N53" s="98"/>
      <c r="O53" s="98"/>
      <c r="P53" s="99"/>
      <c r="Q53" s="98"/>
      <c r="R53" s="102"/>
      <c r="S53" s="102"/>
      <c r="T53" s="103"/>
      <c r="U53" s="103"/>
      <c r="V53" s="103"/>
      <c r="W53" s="104"/>
      <c r="X53" s="103"/>
      <c r="Y53" s="103"/>
      <c r="Z53" s="103"/>
      <c r="AA53" s="104"/>
      <c r="AB53" s="96"/>
      <c r="AC53" s="97"/>
    </row>
    <row r="54" spans="1:29">
      <c r="A54" s="105"/>
      <c r="B54" s="106"/>
      <c r="C54" s="107"/>
      <c r="D54" s="108"/>
      <c r="E54" s="108"/>
      <c r="F54" s="108"/>
      <c r="G54" s="108"/>
      <c r="H54" s="108"/>
      <c r="I54" s="107"/>
      <c r="J54" s="107"/>
      <c r="K54" s="108"/>
      <c r="L54" s="108"/>
      <c r="M54" s="108"/>
      <c r="N54" s="107"/>
      <c r="O54" s="107"/>
      <c r="P54" s="108"/>
      <c r="Q54" s="107"/>
      <c r="R54" s="107"/>
      <c r="S54" s="107"/>
      <c r="T54" s="109"/>
      <c r="U54" s="109"/>
      <c r="V54" s="109"/>
      <c r="W54" s="110"/>
      <c r="X54" s="109"/>
      <c r="Y54" s="109"/>
      <c r="Z54" s="109"/>
      <c r="AA54" s="110"/>
      <c r="AB54" s="96"/>
      <c r="AC54" s="97"/>
    </row>
    <row r="55" spans="1:29">
      <c r="A55" s="91"/>
      <c r="B55" s="75"/>
      <c r="C55" s="75"/>
      <c r="D55" s="87"/>
      <c r="E55" s="87"/>
      <c r="F55" s="87"/>
      <c r="G55" s="87"/>
      <c r="H55" s="87"/>
      <c r="I55" s="75"/>
      <c r="J55" s="75"/>
      <c r="K55" s="87"/>
      <c r="L55" s="87"/>
      <c r="M55" s="87"/>
      <c r="N55" s="75"/>
      <c r="O55" s="75"/>
      <c r="P55" s="87"/>
      <c r="Q55" s="75"/>
      <c r="R55" s="75"/>
      <c r="S55" s="75"/>
      <c r="T55" s="83"/>
      <c r="U55" s="83"/>
      <c r="V55" s="83"/>
      <c r="W55" s="84"/>
      <c r="X55" s="83"/>
      <c r="Y55" s="83"/>
      <c r="Z55" s="83"/>
      <c r="AA55" s="84"/>
      <c r="AB55" s="85"/>
      <c r="AC55" s="86"/>
    </row>
    <row r="56" spans="1:29">
      <c r="A56" s="92"/>
      <c r="B56" s="93"/>
      <c r="C56" s="93"/>
      <c r="I56" s="93"/>
      <c r="J56" s="93"/>
      <c r="N56" s="93"/>
      <c r="O56" s="93"/>
      <c r="Q56" s="93"/>
      <c r="R56" s="93"/>
      <c r="S56" s="93"/>
      <c r="T56" s="94"/>
      <c r="U56" s="94"/>
      <c r="V56" s="94"/>
      <c r="W56" s="95"/>
      <c r="X56" s="94"/>
      <c r="Y56" s="94"/>
      <c r="Z56" s="94"/>
      <c r="AA56" s="95"/>
      <c r="AB56" s="96"/>
      <c r="AC56" s="97"/>
    </row>
    <row r="57" spans="1:29">
      <c r="A57" s="92"/>
      <c r="B57" s="98"/>
      <c r="C57" s="98"/>
      <c r="D57" s="99"/>
      <c r="E57" s="99"/>
      <c r="F57" s="99"/>
      <c r="G57" s="99"/>
      <c r="H57" s="99"/>
      <c r="I57" s="98"/>
      <c r="J57" s="98"/>
      <c r="K57" s="99"/>
      <c r="L57" s="99"/>
      <c r="M57" s="99"/>
      <c r="N57" s="98"/>
      <c r="O57" s="98"/>
      <c r="P57" s="99"/>
      <c r="Q57" s="98"/>
      <c r="R57" s="98"/>
      <c r="S57" s="98"/>
      <c r="T57" s="100"/>
      <c r="U57" s="100"/>
      <c r="V57" s="100"/>
      <c r="W57" s="101"/>
      <c r="X57" s="100"/>
      <c r="Y57" s="100"/>
      <c r="Z57" s="100"/>
      <c r="AA57" s="101"/>
      <c r="AB57" s="96"/>
      <c r="AC57" s="97"/>
    </row>
    <row r="58" spans="1:29">
      <c r="A58" s="92"/>
      <c r="B58" s="93"/>
      <c r="C58" s="93"/>
      <c r="I58" s="93"/>
      <c r="J58" s="93"/>
      <c r="N58" s="93"/>
      <c r="O58" s="93"/>
      <c r="Q58" s="93"/>
      <c r="R58" s="93"/>
      <c r="S58" s="93"/>
      <c r="T58" s="94"/>
      <c r="U58" s="94"/>
      <c r="V58" s="94"/>
      <c r="W58" s="95"/>
      <c r="X58" s="94"/>
      <c r="Y58" s="94"/>
      <c r="Z58" s="94"/>
      <c r="AA58" s="95"/>
      <c r="AB58" s="96"/>
      <c r="AC58" s="97"/>
    </row>
    <row r="59" spans="1:29">
      <c r="A59" s="92"/>
      <c r="B59" s="93"/>
      <c r="C59" s="93"/>
      <c r="I59" s="93"/>
      <c r="J59" s="93"/>
      <c r="N59" s="93"/>
      <c r="O59" s="93"/>
      <c r="Q59" s="93"/>
      <c r="R59" s="93"/>
      <c r="S59" s="93"/>
      <c r="T59" s="94"/>
      <c r="U59" s="94"/>
      <c r="V59" s="94"/>
      <c r="W59" s="95"/>
      <c r="X59" s="94"/>
      <c r="Y59" s="94"/>
      <c r="Z59" s="94"/>
      <c r="AA59" s="95"/>
      <c r="AB59" s="96"/>
      <c r="AC59" s="97"/>
    </row>
    <row r="60" spans="1:29">
      <c r="A60" s="92"/>
      <c r="B60" s="102"/>
      <c r="C60" s="98"/>
      <c r="D60" s="99"/>
      <c r="E60" s="99"/>
      <c r="F60" s="99"/>
      <c r="G60" s="99"/>
      <c r="H60" s="99"/>
      <c r="I60" s="98"/>
      <c r="J60" s="98"/>
      <c r="K60" s="99"/>
      <c r="L60" s="99"/>
      <c r="M60" s="99"/>
      <c r="N60" s="98"/>
      <c r="O60" s="98"/>
      <c r="P60" s="99"/>
      <c r="Q60" s="98"/>
      <c r="R60" s="102"/>
      <c r="S60" s="102"/>
      <c r="T60" s="103"/>
      <c r="U60" s="103"/>
      <c r="V60" s="103"/>
      <c r="W60" s="104"/>
      <c r="X60" s="103"/>
      <c r="Y60" s="103"/>
      <c r="Z60" s="103"/>
      <c r="AA60" s="104"/>
      <c r="AB60" s="96"/>
      <c r="AC60" s="97"/>
    </row>
    <row r="61" spans="1:29">
      <c r="A61" s="105"/>
      <c r="B61" s="106"/>
      <c r="C61" s="107"/>
      <c r="D61" s="108"/>
      <c r="E61" s="108"/>
      <c r="F61" s="108"/>
      <c r="G61" s="108"/>
      <c r="H61" s="108"/>
      <c r="I61" s="107"/>
      <c r="J61" s="107"/>
      <c r="K61" s="108"/>
      <c r="L61" s="108"/>
      <c r="M61" s="108"/>
      <c r="N61" s="107"/>
      <c r="O61" s="107"/>
      <c r="P61" s="108"/>
      <c r="Q61" s="107"/>
      <c r="R61" s="107"/>
      <c r="S61" s="107"/>
      <c r="T61" s="109"/>
      <c r="U61" s="109"/>
      <c r="V61" s="109"/>
      <c r="W61" s="110"/>
      <c r="X61" s="109"/>
      <c r="Y61" s="109"/>
      <c r="Z61" s="109"/>
      <c r="AA61" s="110"/>
      <c r="AB61" s="96"/>
      <c r="AC61" s="97"/>
    </row>
    <row r="62" spans="1:29">
      <c r="A62" s="91"/>
      <c r="B62" s="75"/>
      <c r="C62" s="75"/>
      <c r="D62" s="87"/>
      <c r="E62" s="87"/>
      <c r="F62" s="87"/>
      <c r="G62" s="87"/>
      <c r="H62" s="87"/>
      <c r="I62" s="75"/>
      <c r="J62" s="75"/>
      <c r="K62" s="87"/>
      <c r="L62" s="87"/>
      <c r="M62" s="87"/>
      <c r="N62" s="75"/>
      <c r="O62" s="75"/>
      <c r="P62" s="87"/>
      <c r="Q62" s="75"/>
      <c r="R62" s="75"/>
      <c r="S62" s="75"/>
      <c r="T62" s="83"/>
      <c r="U62" s="83"/>
      <c r="V62" s="83"/>
      <c r="W62" s="84"/>
      <c r="X62" s="83"/>
      <c r="Y62" s="83"/>
      <c r="Z62" s="83"/>
      <c r="AA62" s="84"/>
      <c r="AB62" s="85"/>
      <c r="AC62" s="86"/>
    </row>
    <row r="63" spans="1:29">
      <c r="A63" s="92"/>
      <c r="B63" s="93"/>
      <c r="C63" s="93"/>
      <c r="I63" s="93"/>
      <c r="J63" s="93"/>
      <c r="N63" s="93"/>
      <c r="O63" s="93"/>
      <c r="Q63" s="93"/>
      <c r="R63" s="93"/>
      <c r="S63" s="93"/>
      <c r="T63" s="94"/>
      <c r="U63" s="94"/>
      <c r="V63" s="94"/>
      <c r="W63" s="95"/>
      <c r="X63" s="94"/>
      <c r="Y63" s="94"/>
      <c r="Z63" s="94"/>
      <c r="AA63" s="95"/>
      <c r="AB63" s="96"/>
      <c r="AC63" s="97"/>
    </row>
    <row r="64" spans="1:29">
      <c r="A64" s="92"/>
      <c r="B64" s="98"/>
      <c r="C64" s="98"/>
      <c r="D64" s="99"/>
      <c r="E64" s="99"/>
      <c r="F64" s="99"/>
      <c r="G64" s="99"/>
      <c r="H64" s="99"/>
      <c r="I64" s="98"/>
      <c r="J64" s="98"/>
      <c r="K64" s="99"/>
      <c r="L64" s="99"/>
      <c r="M64" s="99"/>
      <c r="N64" s="98"/>
      <c r="O64" s="98"/>
      <c r="P64" s="99"/>
      <c r="Q64" s="98"/>
      <c r="R64" s="98"/>
      <c r="S64" s="98"/>
      <c r="T64" s="100"/>
      <c r="U64" s="100"/>
      <c r="V64" s="100"/>
      <c r="W64" s="101"/>
      <c r="X64" s="100"/>
      <c r="Y64" s="100"/>
      <c r="Z64" s="100"/>
      <c r="AA64" s="101"/>
      <c r="AB64" s="96"/>
      <c r="AC64" s="97"/>
    </row>
    <row r="65" spans="1:29">
      <c r="A65" s="92"/>
      <c r="B65" s="93"/>
      <c r="C65" s="93"/>
      <c r="I65" s="93"/>
      <c r="J65" s="93"/>
      <c r="N65" s="93"/>
      <c r="O65" s="93"/>
      <c r="Q65" s="93"/>
      <c r="R65" s="93"/>
      <c r="S65" s="93"/>
      <c r="T65" s="94"/>
      <c r="U65" s="94"/>
      <c r="V65" s="94"/>
      <c r="W65" s="95"/>
      <c r="X65" s="94"/>
      <c r="Y65" s="94"/>
      <c r="Z65" s="94"/>
      <c r="AA65" s="95"/>
      <c r="AB65" s="96"/>
      <c r="AC65" s="97"/>
    </row>
    <row r="66" spans="1:29">
      <c r="A66" s="92"/>
      <c r="B66" s="93"/>
      <c r="C66" s="93"/>
      <c r="I66" s="93"/>
      <c r="J66" s="93"/>
      <c r="N66" s="93"/>
      <c r="O66" s="93"/>
      <c r="Q66" s="93"/>
      <c r="R66" s="93"/>
      <c r="S66" s="93"/>
      <c r="T66" s="94"/>
      <c r="U66" s="94"/>
      <c r="V66" s="94"/>
      <c r="W66" s="95"/>
      <c r="X66" s="94"/>
      <c r="Y66" s="94"/>
      <c r="Z66" s="94"/>
      <c r="AA66" s="95"/>
      <c r="AB66" s="96"/>
      <c r="AC66" s="97"/>
    </row>
    <row r="67" spans="1:29">
      <c r="A67" s="92"/>
      <c r="B67" s="102"/>
      <c r="C67" s="98"/>
      <c r="D67" s="99"/>
      <c r="E67" s="99"/>
      <c r="F67" s="99"/>
      <c r="G67" s="99"/>
      <c r="H67" s="99"/>
      <c r="I67" s="98"/>
      <c r="J67" s="98"/>
      <c r="K67" s="99"/>
      <c r="L67" s="99"/>
      <c r="M67" s="99"/>
      <c r="N67" s="98"/>
      <c r="O67" s="98"/>
      <c r="P67" s="99"/>
      <c r="Q67" s="98"/>
      <c r="R67" s="102"/>
      <c r="S67" s="102"/>
      <c r="T67" s="103"/>
      <c r="U67" s="103"/>
      <c r="V67" s="103"/>
      <c r="W67" s="104"/>
      <c r="X67" s="103"/>
      <c r="Y67" s="103"/>
      <c r="Z67" s="103"/>
      <c r="AA67" s="104"/>
      <c r="AB67" s="96"/>
      <c r="AC67" s="97"/>
    </row>
    <row r="68" spans="1:29">
      <c r="A68" s="92"/>
      <c r="B68" s="106"/>
      <c r="C68" s="107"/>
      <c r="D68" s="108"/>
      <c r="E68" s="108"/>
      <c r="F68" s="108"/>
      <c r="G68" s="108"/>
      <c r="H68" s="108"/>
      <c r="I68" s="107"/>
      <c r="J68" s="107"/>
      <c r="K68" s="108"/>
      <c r="L68" s="108"/>
      <c r="M68" s="108"/>
      <c r="N68" s="107"/>
      <c r="O68" s="107"/>
      <c r="P68" s="108"/>
      <c r="Q68" s="107"/>
      <c r="R68" s="107"/>
      <c r="S68" s="107"/>
      <c r="T68" s="109"/>
      <c r="U68" s="109"/>
      <c r="V68" s="109"/>
      <c r="W68" s="110"/>
      <c r="X68" s="109"/>
      <c r="Y68" s="109"/>
      <c r="Z68" s="109"/>
      <c r="AA68" s="110"/>
      <c r="AB68" s="96"/>
      <c r="AC68" s="97"/>
    </row>
    <row r="69" spans="1:29">
      <c r="A69" s="91"/>
      <c r="B69" s="75"/>
      <c r="C69" s="75"/>
      <c r="D69" s="87"/>
      <c r="E69" s="87"/>
      <c r="F69" s="87"/>
      <c r="G69" s="87"/>
      <c r="H69" s="87"/>
      <c r="I69" s="75"/>
      <c r="J69" s="75"/>
      <c r="K69" s="87"/>
      <c r="L69" s="87"/>
      <c r="M69" s="87"/>
      <c r="N69" s="75"/>
      <c r="O69" s="75"/>
      <c r="P69" s="87"/>
      <c r="Q69" s="75"/>
      <c r="R69" s="75"/>
      <c r="S69" s="75"/>
      <c r="T69" s="83"/>
      <c r="U69" s="83"/>
      <c r="V69" s="83"/>
      <c r="W69" s="84"/>
      <c r="X69" s="83"/>
      <c r="Y69" s="83"/>
      <c r="Z69" s="83"/>
      <c r="AA69" s="84"/>
      <c r="AB69" s="85"/>
      <c r="AC69" s="86"/>
    </row>
    <row r="70" spans="1:29">
      <c r="A70" s="92"/>
      <c r="B70" s="93"/>
      <c r="C70" s="93"/>
      <c r="I70" s="93"/>
      <c r="J70" s="93"/>
      <c r="N70" s="93"/>
      <c r="O70" s="93"/>
      <c r="Q70" s="93"/>
      <c r="R70" s="93"/>
      <c r="S70" s="93"/>
      <c r="T70" s="94"/>
      <c r="U70" s="94"/>
      <c r="V70" s="94"/>
      <c r="W70" s="95"/>
      <c r="X70" s="94"/>
      <c r="Y70" s="94"/>
      <c r="Z70" s="94"/>
      <c r="AA70" s="95"/>
      <c r="AB70" s="96"/>
      <c r="AC70" s="97"/>
    </row>
    <row r="71" spans="1:29">
      <c r="A71" s="92"/>
      <c r="B71" s="98"/>
      <c r="C71" s="98"/>
      <c r="D71" s="99"/>
      <c r="E71" s="99"/>
      <c r="F71" s="99"/>
      <c r="G71" s="99"/>
      <c r="H71" s="99"/>
      <c r="I71" s="98"/>
      <c r="J71" s="98"/>
      <c r="K71" s="99"/>
      <c r="L71" s="99"/>
      <c r="M71" s="99"/>
      <c r="N71" s="98"/>
      <c r="O71" s="98"/>
      <c r="P71" s="99"/>
      <c r="Q71" s="98"/>
      <c r="R71" s="98"/>
      <c r="S71" s="98"/>
      <c r="T71" s="100"/>
      <c r="U71" s="100"/>
      <c r="V71" s="100"/>
      <c r="W71" s="101"/>
      <c r="X71" s="100"/>
      <c r="Y71" s="100"/>
      <c r="Z71" s="100"/>
      <c r="AA71" s="101"/>
      <c r="AB71" s="96"/>
      <c r="AC71" s="97"/>
    </row>
    <row r="72" spans="1:29">
      <c r="A72" s="92"/>
      <c r="B72" s="93"/>
      <c r="C72" s="93"/>
      <c r="I72" s="93"/>
      <c r="J72" s="93"/>
      <c r="N72" s="93"/>
      <c r="O72" s="93"/>
      <c r="Q72" s="93"/>
      <c r="R72" s="93"/>
      <c r="S72" s="93"/>
      <c r="T72" s="94"/>
      <c r="U72" s="94"/>
      <c r="V72" s="94"/>
      <c r="W72" s="95"/>
      <c r="X72" s="94"/>
      <c r="Y72" s="94"/>
      <c r="Z72" s="94"/>
      <c r="AA72" s="95"/>
      <c r="AB72" s="96"/>
      <c r="AC72" s="97"/>
    </row>
    <row r="73" spans="1:29">
      <c r="A73" s="92"/>
      <c r="B73" s="93"/>
      <c r="C73" s="93"/>
      <c r="I73" s="93"/>
      <c r="J73" s="93"/>
      <c r="N73" s="93"/>
      <c r="O73" s="93"/>
      <c r="Q73" s="93"/>
      <c r="R73" s="93"/>
      <c r="S73" s="93"/>
      <c r="T73" s="94"/>
      <c r="U73" s="94"/>
      <c r="V73" s="94"/>
      <c r="W73" s="95"/>
      <c r="X73" s="94"/>
      <c r="Y73" s="94"/>
      <c r="Z73" s="94"/>
      <c r="AA73" s="95"/>
      <c r="AB73" s="96"/>
      <c r="AC73" s="97"/>
    </row>
    <row r="74" spans="1:29">
      <c r="A74" s="92"/>
      <c r="B74" s="102"/>
      <c r="C74" s="98"/>
      <c r="D74" s="99"/>
      <c r="E74" s="99"/>
      <c r="F74" s="99"/>
      <c r="G74" s="99"/>
      <c r="H74" s="99"/>
      <c r="I74" s="98"/>
      <c r="J74" s="98"/>
      <c r="K74" s="99"/>
      <c r="L74" s="99"/>
      <c r="M74" s="99"/>
      <c r="N74" s="98"/>
      <c r="O74" s="98"/>
      <c r="P74" s="99"/>
      <c r="Q74" s="98"/>
      <c r="R74" s="102"/>
      <c r="S74" s="102"/>
      <c r="T74" s="103"/>
      <c r="U74" s="103"/>
      <c r="V74" s="103"/>
      <c r="W74" s="104"/>
      <c r="X74" s="103"/>
      <c r="Y74" s="103"/>
      <c r="Z74" s="103"/>
      <c r="AA74" s="104"/>
      <c r="AB74" s="96"/>
      <c r="AC74" s="97"/>
    </row>
    <row r="75" spans="1:29">
      <c r="A75" s="92"/>
      <c r="B75" s="106"/>
      <c r="C75" s="107"/>
      <c r="D75" s="108"/>
      <c r="E75" s="108"/>
      <c r="F75" s="108"/>
      <c r="G75" s="108"/>
      <c r="H75" s="108"/>
      <c r="I75" s="107"/>
      <c r="J75" s="107"/>
      <c r="K75" s="108"/>
      <c r="L75" s="108"/>
      <c r="M75" s="108"/>
      <c r="N75" s="107"/>
      <c r="O75" s="107"/>
      <c r="P75" s="108"/>
      <c r="Q75" s="107"/>
      <c r="R75" s="107"/>
      <c r="S75" s="107"/>
      <c r="T75" s="109"/>
      <c r="U75" s="109"/>
      <c r="V75" s="109"/>
      <c r="W75" s="110"/>
      <c r="X75" s="109"/>
      <c r="Y75" s="109"/>
      <c r="Z75" s="109"/>
      <c r="AA75" s="110"/>
      <c r="AB75" s="96"/>
      <c r="AC75" s="97"/>
    </row>
    <row r="76" spans="1:29">
      <c r="A76" s="91"/>
      <c r="B76" s="75"/>
      <c r="C76" s="75"/>
      <c r="D76" s="87"/>
      <c r="E76" s="87"/>
      <c r="F76" s="87"/>
      <c r="G76" s="87"/>
      <c r="H76" s="87"/>
      <c r="I76" s="75"/>
      <c r="J76" s="75"/>
      <c r="K76" s="87"/>
      <c r="L76" s="87"/>
      <c r="M76" s="87"/>
      <c r="N76" s="75"/>
      <c r="O76" s="75"/>
      <c r="P76" s="87"/>
      <c r="Q76" s="75"/>
      <c r="R76" s="75"/>
      <c r="S76" s="75"/>
      <c r="T76" s="83"/>
      <c r="U76" s="83"/>
      <c r="V76" s="83"/>
      <c r="W76" s="84"/>
      <c r="X76" s="83"/>
      <c r="Y76" s="83"/>
      <c r="Z76" s="83"/>
      <c r="AA76" s="84"/>
      <c r="AB76" s="85"/>
      <c r="AC76" s="86"/>
    </row>
    <row r="77" spans="1:29">
      <c r="A77" s="92"/>
      <c r="B77" s="93"/>
      <c r="C77" s="93"/>
      <c r="I77" s="93"/>
      <c r="J77" s="93"/>
      <c r="N77" s="93"/>
      <c r="O77" s="93"/>
      <c r="Q77" s="93"/>
      <c r="R77" s="93"/>
      <c r="S77" s="93"/>
      <c r="T77" s="94"/>
      <c r="U77" s="94"/>
      <c r="V77" s="94"/>
      <c r="W77" s="95"/>
      <c r="X77" s="94"/>
      <c r="Y77" s="94"/>
      <c r="Z77" s="94"/>
      <c r="AA77" s="95"/>
      <c r="AB77" s="96"/>
      <c r="AC77" s="97"/>
    </row>
    <row r="78" spans="1:29">
      <c r="A78" s="92"/>
      <c r="B78" s="98"/>
      <c r="C78" s="98"/>
      <c r="D78" s="99"/>
      <c r="E78" s="99"/>
      <c r="F78" s="99"/>
      <c r="G78" s="99"/>
      <c r="H78" s="99"/>
      <c r="I78" s="98"/>
      <c r="J78" s="98"/>
      <c r="K78" s="99"/>
      <c r="L78" s="99"/>
      <c r="M78" s="99"/>
      <c r="N78" s="98"/>
      <c r="O78" s="98"/>
      <c r="P78" s="99"/>
      <c r="Q78" s="98"/>
      <c r="R78" s="98"/>
      <c r="S78" s="98"/>
      <c r="T78" s="100"/>
      <c r="U78" s="100"/>
      <c r="V78" s="100"/>
      <c r="W78" s="101"/>
      <c r="X78" s="100"/>
      <c r="Y78" s="100"/>
      <c r="Z78" s="100"/>
      <c r="AA78" s="101"/>
      <c r="AB78" s="96"/>
      <c r="AC78" s="97"/>
    </row>
    <row r="79" spans="1:29">
      <c r="A79" s="92"/>
      <c r="B79" s="93"/>
      <c r="C79" s="93"/>
      <c r="I79" s="93"/>
      <c r="J79" s="93"/>
      <c r="N79" s="93"/>
      <c r="O79" s="93"/>
      <c r="Q79" s="93"/>
      <c r="R79" s="93"/>
      <c r="S79" s="93"/>
      <c r="T79" s="94"/>
      <c r="U79" s="94"/>
      <c r="V79" s="94"/>
      <c r="W79" s="95"/>
      <c r="X79" s="94"/>
      <c r="Y79" s="94"/>
      <c r="Z79" s="94"/>
      <c r="AA79" s="95"/>
      <c r="AB79" s="96"/>
      <c r="AC79" s="97"/>
    </row>
    <row r="80" spans="1:29">
      <c r="A80" s="92"/>
      <c r="B80" s="93"/>
      <c r="C80" s="93"/>
      <c r="I80" s="93"/>
      <c r="J80" s="93"/>
      <c r="N80" s="93"/>
      <c r="O80" s="93"/>
      <c r="Q80" s="93"/>
      <c r="R80" s="93"/>
      <c r="S80" s="93"/>
      <c r="T80" s="94"/>
      <c r="U80" s="94"/>
      <c r="V80" s="94"/>
      <c r="W80" s="95"/>
      <c r="X80" s="94"/>
      <c r="Y80" s="94"/>
      <c r="Z80" s="94"/>
      <c r="AA80" s="95"/>
      <c r="AB80" s="96"/>
      <c r="AC80" s="97"/>
    </row>
    <row r="81" spans="1:29">
      <c r="A81" s="92"/>
      <c r="B81" s="102"/>
      <c r="C81" s="98"/>
      <c r="D81" s="99"/>
      <c r="E81" s="99"/>
      <c r="F81" s="99"/>
      <c r="G81" s="99"/>
      <c r="H81" s="99"/>
      <c r="I81" s="98"/>
      <c r="J81" s="98"/>
      <c r="K81" s="99"/>
      <c r="L81" s="99"/>
      <c r="M81" s="99"/>
      <c r="N81" s="98"/>
      <c r="O81" s="98"/>
      <c r="P81" s="99"/>
      <c r="Q81" s="98"/>
      <c r="R81" s="102"/>
      <c r="S81" s="102"/>
      <c r="T81" s="103"/>
      <c r="U81" s="103"/>
      <c r="V81" s="103"/>
      <c r="W81" s="104"/>
      <c r="X81" s="103"/>
      <c r="Y81" s="103"/>
      <c r="Z81" s="103"/>
      <c r="AA81" s="104"/>
      <c r="AB81" s="96"/>
      <c r="AC81" s="97"/>
    </row>
    <row r="82" spans="1:29">
      <c r="A82" s="92"/>
      <c r="B82" s="106"/>
      <c r="C82" s="107"/>
      <c r="D82" s="108"/>
      <c r="E82" s="108"/>
      <c r="F82" s="108"/>
      <c r="G82" s="108"/>
      <c r="H82" s="108"/>
      <c r="I82" s="107"/>
      <c r="J82" s="107"/>
      <c r="K82" s="108"/>
      <c r="L82" s="108"/>
      <c r="M82" s="108"/>
      <c r="N82" s="107"/>
      <c r="O82" s="107"/>
      <c r="P82" s="108"/>
      <c r="Q82" s="107"/>
      <c r="R82" s="107"/>
      <c r="S82" s="107"/>
      <c r="T82" s="109"/>
      <c r="U82" s="109"/>
      <c r="V82" s="109"/>
      <c r="W82" s="110"/>
      <c r="X82" s="109"/>
      <c r="Y82" s="109"/>
      <c r="Z82" s="109"/>
      <c r="AA82" s="110"/>
      <c r="AB82" s="96"/>
      <c r="AC82" s="97"/>
    </row>
    <row r="83" spans="1:29">
      <c r="A83" s="91"/>
      <c r="B83" s="75"/>
      <c r="C83" s="75"/>
      <c r="D83" s="87"/>
      <c r="E83" s="87"/>
      <c r="F83" s="87"/>
      <c r="G83" s="87"/>
      <c r="H83" s="87"/>
      <c r="I83" s="75"/>
      <c r="J83" s="75"/>
      <c r="K83" s="87"/>
      <c r="L83" s="87"/>
      <c r="M83" s="87"/>
      <c r="N83" s="75"/>
      <c r="O83" s="75"/>
      <c r="P83" s="87"/>
      <c r="Q83" s="75"/>
      <c r="R83" s="75"/>
      <c r="S83" s="75"/>
      <c r="T83" s="83"/>
      <c r="U83" s="83"/>
      <c r="V83" s="83"/>
      <c r="W83" s="84"/>
      <c r="X83" s="83"/>
      <c r="Y83" s="83"/>
      <c r="Z83" s="83"/>
      <c r="AA83" s="84"/>
      <c r="AB83" s="85"/>
      <c r="AC83" s="86"/>
    </row>
    <row r="84" spans="1:29">
      <c r="A84" s="92"/>
      <c r="B84" s="93"/>
      <c r="C84" s="93"/>
      <c r="I84" s="93"/>
      <c r="J84" s="93"/>
      <c r="N84" s="93"/>
      <c r="O84" s="93"/>
      <c r="Q84" s="93"/>
      <c r="R84" s="93"/>
      <c r="S84" s="93"/>
      <c r="T84" s="94"/>
      <c r="U84" s="94"/>
      <c r="V84" s="94"/>
      <c r="W84" s="95"/>
      <c r="X84" s="94"/>
      <c r="Y84" s="94"/>
      <c r="Z84" s="94"/>
      <c r="AA84" s="95"/>
      <c r="AB84" s="96"/>
      <c r="AC84" s="97"/>
    </row>
    <row r="85" spans="1:29">
      <c r="A85" s="92"/>
      <c r="B85" s="98"/>
      <c r="C85" s="98"/>
      <c r="D85" s="99"/>
      <c r="E85" s="99"/>
      <c r="F85" s="99"/>
      <c r="G85" s="99"/>
      <c r="H85" s="99"/>
      <c r="I85" s="98"/>
      <c r="J85" s="98"/>
      <c r="K85" s="99"/>
      <c r="L85" s="99"/>
      <c r="M85" s="99"/>
      <c r="N85" s="98"/>
      <c r="O85" s="98"/>
      <c r="P85" s="99"/>
      <c r="Q85" s="98"/>
      <c r="R85" s="98"/>
      <c r="S85" s="98"/>
      <c r="T85" s="100"/>
      <c r="U85" s="100"/>
      <c r="V85" s="100"/>
      <c r="W85" s="101"/>
      <c r="X85" s="100"/>
      <c r="Y85" s="100"/>
      <c r="Z85" s="100"/>
      <c r="AA85" s="101"/>
      <c r="AB85" s="96"/>
      <c r="AC85" s="97"/>
    </row>
    <row r="86" spans="1:29">
      <c r="A86" s="92"/>
      <c r="B86" s="93"/>
      <c r="C86" s="93"/>
      <c r="I86" s="93"/>
      <c r="J86" s="93"/>
      <c r="N86" s="93"/>
      <c r="O86" s="93"/>
      <c r="Q86" s="93"/>
      <c r="R86" s="93"/>
      <c r="S86" s="93"/>
      <c r="T86" s="94"/>
      <c r="U86" s="94"/>
      <c r="V86" s="94"/>
      <c r="W86" s="95"/>
      <c r="X86" s="94"/>
      <c r="Y86" s="94"/>
      <c r="Z86" s="94"/>
      <c r="AA86" s="95"/>
      <c r="AB86" s="96"/>
      <c r="AC86" s="97"/>
    </row>
    <row r="87" spans="1:29">
      <c r="A87" s="92"/>
      <c r="B87" s="93"/>
      <c r="C87" s="93"/>
      <c r="I87" s="93"/>
      <c r="J87" s="93"/>
      <c r="N87" s="93"/>
      <c r="O87" s="93"/>
      <c r="Q87" s="93"/>
      <c r="R87" s="93"/>
      <c r="S87" s="93"/>
      <c r="T87" s="94"/>
      <c r="U87" s="94"/>
      <c r="V87" s="94"/>
      <c r="W87" s="95"/>
      <c r="X87" s="94"/>
      <c r="Y87" s="94"/>
      <c r="Z87" s="94"/>
      <c r="AA87" s="95"/>
      <c r="AB87" s="96"/>
      <c r="AC87" s="97"/>
    </row>
    <row r="88" spans="1:29">
      <c r="A88" s="92"/>
      <c r="B88" s="102"/>
      <c r="C88" s="98"/>
      <c r="D88" s="99"/>
      <c r="E88" s="99"/>
      <c r="F88" s="99"/>
      <c r="G88" s="99"/>
      <c r="H88" s="99"/>
      <c r="I88" s="98"/>
      <c r="J88" s="98"/>
      <c r="K88" s="99"/>
      <c r="L88" s="99"/>
      <c r="M88" s="99"/>
      <c r="N88" s="98"/>
      <c r="O88" s="98"/>
      <c r="P88" s="99"/>
      <c r="Q88" s="98"/>
      <c r="R88" s="102"/>
      <c r="S88" s="102"/>
      <c r="T88" s="103"/>
      <c r="U88" s="103"/>
      <c r="V88" s="103"/>
      <c r="W88" s="104"/>
      <c r="X88" s="103"/>
      <c r="Y88" s="103"/>
      <c r="Z88" s="103"/>
      <c r="AA88" s="104"/>
      <c r="AB88" s="96"/>
      <c r="AC88" s="97"/>
    </row>
    <row r="89" spans="1:29">
      <c r="A89" s="92"/>
      <c r="B89" s="106"/>
      <c r="C89" s="107"/>
      <c r="D89" s="108"/>
      <c r="E89" s="108"/>
      <c r="F89" s="108"/>
      <c r="G89" s="108"/>
      <c r="H89" s="108"/>
      <c r="I89" s="107"/>
      <c r="J89" s="107"/>
      <c r="K89" s="108"/>
      <c r="L89" s="108"/>
      <c r="M89" s="108"/>
      <c r="N89" s="107"/>
      <c r="O89" s="107"/>
      <c r="P89" s="108"/>
      <c r="Q89" s="107"/>
      <c r="R89" s="107"/>
      <c r="S89" s="107"/>
      <c r="T89" s="109"/>
      <c r="U89" s="109"/>
      <c r="V89" s="109"/>
      <c r="W89" s="110"/>
      <c r="X89" s="109"/>
      <c r="Y89" s="109"/>
      <c r="Z89" s="109"/>
      <c r="AA89" s="110"/>
      <c r="AB89" s="96"/>
      <c r="AC89" s="97"/>
    </row>
    <row r="90" spans="1:29">
      <c r="A90" s="91"/>
      <c r="B90" s="75"/>
      <c r="C90" s="75"/>
      <c r="D90" s="87"/>
      <c r="E90" s="87"/>
      <c r="F90" s="87"/>
      <c r="G90" s="87"/>
      <c r="H90" s="87"/>
      <c r="I90" s="75"/>
      <c r="J90" s="75"/>
      <c r="K90" s="87"/>
      <c r="L90" s="87"/>
      <c r="M90" s="87"/>
      <c r="N90" s="75"/>
      <c r="O90" s="75"/>
      <c r="P90" s="87"/>
      <c r="Q90" s="75"/>
      <c r="R90" s="75"/>
      <c r="S90" s="75"/>
      <c r="T90" s="83"/>
      <c r="U90" s="83"/>
      <c r="V90" s="83"/>
      <c r="W90" s="84"/>
      <c r="X90" s="83"/>
      <c r="Y90" s="83"/>
      <c r="Z90" s="83"/>
      <c r="AA90" s="84"/>
      <c r="AB90" s="85"/>
      <c r="AC90" s="86"/>
    </row>
    <row r="91" spans="1:29">
      <c r="A91" s="92"/>
      <c r="B91" s="93"/>
      <c r="C91" s="93"/>
      <c r="I91" s="93"/>
      <c r="J91" s="93"/>
      <c r="N91" s="93"/>
      <c r="O91" s="93"/>
      <c r="Q91" s="93"/>
      <c r="R91" s="93"/>
      <c r="S91" s="93"/>
      <c r="T91" s="94"/>
      <c r="U91" s="94"/>
      <c r="V91" s="94"/>
      <c r="W91" s="95"/>
      <c r="X91" s="94"/>
      <c r="Y91" s="94"/>
      <c r="Z91" s="94"/>
      <c r="AA91" s="95"/>
      <c r="AB91" s="96"/>
      <c r="AC91" s="97"/>
    </row>
    <row r="92" spans="1:29">
      <c r="A92" s="92"/>
      <c r="B92" s="98"/>
      <c r="C92" s="98"/>
      <c r="D92" s="99"/>
      <c r="E92" s="99"/>
      <c r="F92" s="99"/>
      <c r="G92" s="99"/>
      <c r="H92" s="99"/>
      <c r="I92" s="98"/>
      <c r="J92" s="98"/>
      <c r="K92" s="99"/>
      <c r="L92" s="99"/>
      <c r="M92" s="99"/>
      <c r="N92" s="98"/>
      <c r="O92" s="98"/>
      <c r="P92" s="99"/>
      <c r="Q92" s="98"/>
      <c r="R92" s="98"/>
      <c r="S92" s="98"/>
      <c r="T92" s="100"/>
      <c r="U92" s="100"/>
      <c r="V92" s="100"/>
      <c r="W92" s="101"/>
      <c r="X92" s="100"/>
      <c r="Y92" s="100"/>
      <c r="Z92" s="100"/>
      <c r="AA92" s="101"/>
      <c r="AB92" s="96"/>
      <c r="AC92" s="97"/>
    </row>
    <row r="93" spans="1:29">
      <c r="A93" s="92"/>
      <c r="B93" s="93"/>
      <c r="C93" s="93"/>
      <c r="I93" s="93"/>
      <c r="J93" s="93"/>
      <c r="N93" s="93"/>
      <c r="O93" s="93"/>
      <c r="Q93" s="93"/>
      <c r="R93" s="93"/>
      <c r="S93" s="93"/>
      <c r="T93" s="94"/>
      <c r="U93" s="94"/>
      <c r="V93" s="94"/>
      <c r="W93" s="95"/>
      <c r="X93" s="94"/>
      <c r="Y93" s="94"/>
      <c r="Z93" s="94"/>
      <c r="AA93" s="95"/>
      <c r="AB93" s="96"/>
      <c r="AC93" s="97"/>
    </row>
    <row r="94" spans="1:29">
      <c r="A94" s="92"/>
      <c r="B94" s="93"/>
      <c r="C94" s="93"/>
      <c r="I94" s="93"/>
      <c r="J94" s="93"/>
      <c r="N94" s="93"/>
      <c r="O94" s="93"/>
      <c r="Q94" s="93"/>
      <c r="R94" s="93"/>
      <c r="S94" s="93"/>
      <c r="T94" s="94"/>
      <c r="U94" s="94"/>
      <c r="V94" s="94"/>
      <c r="W94" s="95"/>
      <c r="X94" s="94"/>
      <c r="Y94" s="94"/>
      <c r="Z94" s="94"/>
      <c r="AA94" s="95"/>
      <c r="AB94" s="96"/>
      <c r="AC94" s="97"/>
    </row>
    <row r="95" spans="1:29">
      <c r="A95" s="92"/>
      <c r="B95" s="102"/>
      <c r="C95" s="98"/>
      <c r="D95" s="99"/>
      <c r="E95" s="99"/>
      <c r="F95" s="99"/>
      <c r="G95" s="99"/>
      <c r="H95" s="99"/>
      <c r="I95" s="98"/>
      <c r="J95" s="98"/>
      <c r="K95" s="99"/>
      <c r="L95" s="99"/>
      <c r="M95" s="99"/>
      <c r="N95" s="98"/>
      <c r="O95" s="98"/>
      <c r="P95" s="99"/>
      <c r="Q95" s="98"/>
      <c r="R95" s="102"/>
      <c r="S95" s="102"/>
      <c r="T95" s="103"/>
      <c r="U95" s="103"/>
      <c r="V95" s="103"/>
      <c r="W95" s="104"/>
      <c r="X95" s="103"/>
      <c r="Y95" s="103"/>
      <c r="Z95" s="103"/>
      <c r="AA95" s="104"/>
      <c r="AB95" s="96"/>
      <c r="AC95" s="97"/>
    </row>
    <row r="96" spans="1:29">
      <c r="A96" s="92"/>
      <c r="B96" s="106"/>
      <c r="C96" s="107"/>
      <c r="D96" s="108"/>
      <c r="E96" s="108"/>
      <c r="F96" s="108"/>
      <c r="G96" s="108"/>
      <c r="H96" s="108"/>
      <c r="I96" s="107"/>
      <c r="J96" s="107"/>
      <c r="K96" s="108"/>
      <c r="L96" s="108"/>
      <c r="M96" s="108"/>
      <c r="N96" s="107"/>
      <c r="O96" s="107"/>
      <c r="P96" s="108"/>
      <c r="Q96" s="107"/>
      <c r="R96" s="107"/>
      <c r="S96" s="107"/>
      <c r="T96" s="109"/>
      <c r="U96" s="109"/>
      <c r="V96" s="109"/>
      <c r="W96" s="110"/>
      <c r="X96" s="109"/>
      <c r="Y96" s="109"/>
      <c r="Z96" s="109"/>
      <c r="AA96" s="110"/>
      <c r="AB96" s="96"/>
      <c r="AC96" s="97"/>
    </row>
    <row r="97" spans="1:29">
      <c r="A97" s="91"/>
      <c r="B97" s="75"/>
      <c r="C97" s="75"/>
      <c r="D97" s="87"/>
      <c r="E97" s="87"/>
      <c r="F97" s="87"/>
      <c r="G97" s="87"/>
      <c r="H97" s="87"/>
      <c r="I97" s="75"/>
      <c r="J97" s="75"/>
      <c r="K97" s="87"/>
      <c r="L97" s="87"/>
      <c r="M97" s="87"/>
      <c r="N97" s="75"/>
      <c r="O97" s="75"/>
      <c r="P97" s="87"/>
      <c r="Q97" s="75"/>
      <c r="R97" s="75"/>
      <c r="S97" s="75"/>
      <c r="T97" s="83"/>
      <c r="U97" s="83"/>
      <c r="V97" s="83"/>
      <c r="W97" s="84"/>
      <c r="X97" s="83"/>
      <c r="Y97" s="83"/>
      <c r="Z97" s="83"/>
      <c r="AA97" s="84"/>
      <c r="AB97" s="85"/>
      <c r="AC97" s="86"/>
    </row>
    <row r="98" spans="1:29">
      <c r="A98" s="92"/>
      <c r="B98" s="93"/>
      <c r="C98" s="93"/>
      <c r="I98" s="93"/>
      <c r="J98" s="93"/>
      <c r="N98" s="93"/>
      <c r="O98" s="93"/>
      <c r="Q98" s="93"/>
      <c r="R98" s="93"/>
      <c r="S98" s="93"/>
      <c r="T98" s="94"/>
      <c r="U98" s="94"/>
      <c r="V98" s="94"/>
      <c r="W98" s="95"/>
      <c r="X98" s="94"/>
      <c r="Y98" s="94"/>
      <c r="Z98" s="94"/>
      <c r="AA98" s="95"/>
      <c r="AB98" s="96"/>
      <c r="AC98" s="97"/>
    </row>
    <row r="99" spans="1:29">
      <c r="A99" s="92"/>
      <c r="B99" s="98"/>
      <c r="C99" s="98"/>
      <c r="D99" s="99"/>
      <c r="E99" s="99"/>
      <c r="F99" s="99"/>
      <c r="G99" s="99"/>
      <c r="H99" s="99"/>
      <c r="I99" s="98"/>
      <c r="J99" s="98"/>
      <c r="K99" s="99"/>
      <c r="L99" s="99"/>
      <c r="M99" s="99"/>
      <c r="N99" s="98"/>
      <c r="O99" s="98"/>
      <c r="P99" s="99"/>
      <c r="Q99" s="98"/>
      <c r="R99" s="98"/>
      <c r="S99" s="98"/>
      <c r="T99" s="100"/>
      <c r="U99" s="100"/>
      <c r="V99" s="100"/>
      <c r="W99" s="101"/>
      <c r="X99" s="100"/>
      <c r="Y99" s="100"/>
      <c r="Z99" s="100"/>
      <c r="AA99" s="101"/>
      <c r="AB99" s="96"/>
      <c r="AC99" s="97"/>
    </row>
    <row r="100" spans="1:29">
      <c r="A100" s="92"/>
      <c r="B100" s="93"/>
      <c r="C100" s="93"/>
      <c r="I100" s="93"/>
      <c r="J100" s="93"/>
      <c r="N100" s="93"/>
      <c r="O100" s="93"/>
      <c r="Q100" s="93"/>
      <c r="R100" s="93"/>
      <c r="S100" s="93"/>
      <c r="T100" s="94"/>
      <c r="U100" s="94"/>
      <c r="V100" s="94"/>
      <c r="W100" s="95"/>
      <c r="X100" s="94"/>
      <c r="Y100" s="94"/>
      <c r="Z100" s="94"/>
      <c r="AA100" s="95"/>
      <c r="AB100" s="96"/>
      <c r="AC100" s="97"/>
    </row>
    <row r="101" spans="1:29">
      <c r="A101" s="92"/>
      <c r="B101" s="93"/>
      <c r="C101" s="93"/>
      <c r="I101" s="93"/>
      <c r="J101" s="93"/>
      <c r="N101" s="93"/>
      <c r="O101" s="93"/>
      <c r="Q101" s="93"/>
      <c r="R101" s="93"/>
      <c r="S101" s="93"/>
      <c r="T101" s="94"/>
      <c r="U101" s="94"/>
      <c r="V101" s="94"/>
      <c r="W101" s="95"/>
      <c r="X101" s="94"/>
      <c r="Y101" s="94"/>
      <c r="Z101" s="94"/>
      <c r="AA101" s="95"/>
      <c r="AB101" s="96"/>
      <c r="AC101" s="97"/>
    </row>
    <row r="102" spans="1:29">
      <c r="A102" s="92"/>
      <c r="B102" s="102"/>
      <c r="C102" s="98"/>
      <c r="D102" s="99"/>
      <c r="E102" s="99"/>
      <c r="F102" s="99"/>
      <c r="G102" s="99"/>
      <c r="H102" s="99"/>
      <c r="I102" s="98"/>
      <c r="J102" s="98"/>
      <c r="K102" s="99"/>
      <c r="L102" s="99"/>
      <c r="M102" s="99"/>
      <c r="N102" s="98"/>
      <c r="O102" s="98"/>
      <c r="P102" s="99"/>
      <c r="Q102" s="98"/>
      <c r="R102" s="102"/>
      <c r="S102" s="102"/>
      <c r="T102" s="103"/>
      <c r="U102" s="103"/>
      <c r="V102" s="103"/>
      <c r="W102" s="104"/>
      <c r="X102" s="103"/>
      <c r="Y102" s="103"/>
      <c r="Z102" s="103"/>
      <c r="AA102" s="104"/>
      <c r="AB102" s="96"/>
      <c r="AC102" s="97"/>
    </row>
    <row r="103" spans="1:29">
      <c r="A103" s="92"/>
      <c r="B103" s="106"/>
      <c r="C103" s="107"/>
      <c r="D103" s="108"/>
      <c r="E103" s="108"/>
      <c r="F103" s="108"/>
      <c r="G103" s="108"/>
      <c r="H103" s="108"/>
      <c r="I103" s="107"/>
      <c r="J103" s="107"/>
      <c r="K103" s="108"/>
      <c r="L103" s="108"/>
      <c r="M103" s="108"/>
      <c r="N103" s="107"/>
      <c r="O103" s="107"/>
      <c r="P103" s="108"/>
      <c r="Q103" s="107"/>
      <c r="R103" s="107"/>
      <c r="S103" s="107"/>
      <c r="T103" s="109"/>
      <c r="U103" s="109"/>
      <c r="V103" s="109"/>
      <c r="W103" s="110"/>
      <c r="X103" s="109"/>
      <c r="Y103" s="109"/>
      <c r="Z103" s="109"/>
      <c r="AA103" s="110"/>
      <c r="AB103" s="96"/>
      <c r="AC103" s="97"/>
    </row>
    <row r="104" spans="1:29">
      <c r="A104" s="91"/>
      <c r="B104" s="75"/>
      <c r="C104" s="75"/>
      <c r="D104" s="87"/>
      <c r="E104" s="87"/>
      <c r="F104" s="87"/>
      <c r="G104" s="87"/>
      <c r="H104" s="87"/>
      <c r="I104" s="75"/>
      <c r="J104" s="75"/>
      <c r="K104" s="87"/>
      <c r="L104" s="87"/>
      <c r="M104" s="87"/>
      <c r="N104" s="75"/>
      <c r="O104" s="75"/>
      <c r="P104" s="87"/>
      <c r="Q104" s="75"/>
      <c r="R104" s="75"/>
      <c r="S104" s="75"/>
      <c r="T104" s="83"/>
      <c r="U104" s="83"/>
      <c r="V104" s="83"/>
      <c r="W104" s="84"/>
      <c r="X104" s="83"/>
      <c r="Y104" s="83"/>
      <c r="Z104" s="83"/>
      <c r="AA104" s="84"/>
      <c r="AB104" s="85"/>
      <c r="AC104" s="86"/>
    </row>
    <row r="105" spans="1:29">
      <c r="A105" s="92"/>
      <c r="B105" s="93"/>
      <c r="C105" s="93"/>
      <c r="I105" s="93"/>
      <c r="J105" s="93"/>
      <c r="N105" s="93"/>
      <c r="O105" s="93"/>
      <c r="Q105" s="93"/>
      <c r="R105" s="93"/>
      <c r="S105" s="93"/>
      <c r="T105" s="94"/>
      <c r="U105" s="94"/>
      <c r="V105" s="94"/>
      <c r="W105" s="95"/>
      <c r="X105" s="94"/>
      <c r="Y105" s="94"/>
      <c r="Z105" s="94"/>
      <c r="AA105" s="95"/>
      <c r="AB105" s="96"/>
      <c r="AC105" s="97"/>
    </row>
    <row r="106" spans="1:29">
      <c r="A106" s="92"/>
      <c r="B106" s="98"/>
      <c r="C106" s="98"/>
      <c r="D106" s="99"/>
      <c r="E106" s="99"/>
      <c r="F106" s="99"/>
      <c r="G106" s="99"/>
      <c r="H106" s="99"/>
      <c r="I106" s="98"/>
      <c r="J106" s="98"/>
      <c r="K106" s="99"/>
      <c r="L106" s="99"/>
      <c r="M106" s="99"/>
      <c r="N106" s="98"/>
      <c r="O106" s="98"/>
      <c r="P106" s="99"/>
      <c r="Q106" s="98"/>
      <c r="R106" s="98"/>
      <c r="S106" s="98"/>
      <c r="T106" s="100"/>
      <c r="U106" s="100"/>
      <c r="V106" s="100"/>
      <c r="W106" s="101"/>
      <c r="X106" s="100"/>
      <c r="Y106" s="100"/>
      <c r="Z106" s="100"/>
      <c r="AA106" s="101"/>
      <c r="AB106" s="96"/>
      <c r="AC106" s="97"/>
    </row>
    <row r="107" spans="1:29">
      <c r="A107" s="92"/>
      <c r="B107" s="93"/>
      <c r="C107" s="93"/>
      <c r="I107" s="93"/>
      <c r="J107" s="93"/>
      <c r="N107" s="93"/>
      <c r="O107" s="93"/>
      <c r="Q107" s="93"/>
      <c r="R107" s="93"/>
      <c r="S107" s="93"/>
      <c r="T107" s="94"/>
      <c r="U107" s="94"/>
      <c r="V107" s="94"/>
      <c r="W107" s="95"/>
      <c r="X107" s="94"/>
      <c r="Y107" s="94"/>
      <c r="Z107" s="94"/>
      <c r="AA107" s="95"/>
      <c r="AB107" s="96"/>
      <c r="AC107" s="97"/>
    </row>
    <row r="108" spans="1:29">
      <c r="A108" s="92"/>
      <c r="B108" s="93"/>
      <c r="C108" s="93"/>
      <c r="I108" s="93"/>
      <c r="J108" s="93"/>
      <c r="N108" s="93"/>
      <c r="O108" s="93"/>
      <c r="Q108" s="93"/>
      <c r="R108" s="93"/>
      <c r="S108" s="93"/>
      <c r="T108" s="94"/>
      <c r="U108" s="94"/>
      <c r="V108" s="94"/>
      <c r="W108" s="95"/>
      <c r="X108" s="94"/>
      <c r="Y108" s="94"/>
      <c r="Z108" s="94"/>
      <c r="AA108" s="95"/>
      <c r="AB108" s="96"/>
      <c r="AC108" s="97"/>
    </row>
    <row r="109" spans="1:29">
      <c r="A109" s="92"/>
      <c r="B109" s="102"/>
      <c r="C109" s="98"/>
      <c r="D109" s="99"/>
      <c r="E109" s="99"/>
      <c r="F109" s="99"/>
      <c r="G109" s="99"/>
      <c r="H109" s="99"/>
      <c r="I109" s="98"/>
      <c r="J109" s="98"/>
      <c r="K109" s="99"/>
      <c r="L109" s="99"/>
      <c r="M109" s="99"/>
      <c r="N109" s="98"/>
      <c r="O109" s="98"/>
      <c r="P109" s="99"/>
      <c r="Q109" s="98"/>
      <c r="R109" s="102"/>
      <c r="S109" s="102"/>
      <c r="T109" s="103"/>
      <c r="U109" s="103"/>
      <c r="V109" s="103"/>
      <c r="W109" s="104"/>
      <c r="X109" s="103"/>
      <c r="Y109" s="103"/>
      <c r="Z109" s="103"/>
      <c r="AA109" s="104"/>
      <c r="AB109" s="96"/>
      <c r="AC109" s="97"/>
    </row>
    <row r="110" spans="1:29">
      <c r="A110" s="92"/>
      <c r="B110" s="106"/>
      <c r="C110" s="107"/>
      <c r="D110" s="108"/>
      <c r="E110" s="108"/>
      <c r="F110" s="108"/>
      <c r="G110" s="108"/>
      <c r="H110" s="108"/>
      <c r="I110" s="107"/>
      <c r="J110" s="107"/>
      <c r="K110" s="108"/>
      <c r="L110" s="108"/>
      <c r="M110" s="108"/>
      <c r="N110" s="107"/>
      <c r="O110" s="107"/>
      <c r="P110" s="108"/>
      <c r="Q110" s="107"/>
      <c r="R110" s="107"/>
      <c r="S110" s="107"/>
      <c r="T110" s="109"/>
      <c r="U110" s="109"/>
      <c r="V110" s="109"/>
      <c r="W110" s="110"/>
      <c r="X110" s="109"/>
      <c r="Y110" s="109"/>
      <c r="Z110" s="109"/>
      <c r="AA110" s="110"/>
      <c r="AB110" s="96"/>
      <c r="AC110" s="97"/>
    </row>
    <row r="111" spans="1:29">
      <c r="A111" s="91"/>
      <c r="B111" s="75"/>
      <c r="C111" s="75"/>
      <c r="D111" s="87"/>
      <c r="E111" s="87"/>
      <c r="F111" s="87"/>
      <c r="G111" s="87"/>
      <c r="H111" s="87"/>
      <c r="I111" s="75"/>
      <c r="J111" s="75"/>
      <c r="K111" s="87"/>
      <c r="L111" s="87"/>
      <c r="M111" s="87"/>
      <c r="N111" s="75"/>
      <c r="O111" s="75"/>
      <c r="P111" s="87"/>
      <c r="Q111" s="75"/>
      <c r="R111" s="75"/>
      <c r="S111" s="75"/>
      <c r="T111" s="83"/>
      <c r="U111" s="83"/>
      <c r="V111" s="83"/>
      <c r="W111" s="84"/>
      <c r="X111" s="83"/>
      <c r="Y111" s="83"/>
      <c r="Z111" s="83"/>
      <c r="AA111" s="84"/>
      <c r="AB111" s="85"/>
      <c r="AC111" s="86"/>
    </row>
    <row r="112" spans="1:29">
      <c r="A112" s="92"/>
      <c r="B112" s="93"/>
      <c r="C112" s="93"/>
      <c r="I112" s="93"/>
      <c r="J112" s="93"/>
      <c r="N112" s="93"/>
      <c r="O112" s="93"/>
      <c r="Q112" s="93"/>
      <c r="R112" s="93"/>
      <c r="S112" s="93"/>
      <c r="T112" s="94"/>
      <c r="U112" s="94"/>
      <c r="V112" s="94"/>
      <c r="W112" s="95"/>
      <c r="X112" s="94"/>
      <c r="Y112" s="94"/>
      <c r="Z112" s="94"/>
      <c r="AA112" s="95"/>
      <c r="AB112" s="96"/>
      <c r="AC112" s="97"/>
    </row>
    <row r="113" spans="1:29">
      <c r="A113" s="92"/>
      <c r="B113" s="98"/>
      <c r="C113" s="98"/>
      <c r="D113" s="99"/>
      <c r="E113" s="99"/>
      <c r="F113" s="99"/>
      <c r="G113" s="99"/>
      <c r="H113" s="99"/>
      <c r="I113" s="98"/>
      <c r="J113" s="98"/>
      <c r="K113" s="99"/>
      <c r="L113" s="99"/>
      <c r="M113" s="99"/>
      <c r="N113" s="98"/>
      <c r="O113" s="98"/>
      <c r="P113" s="99"/>
      <c r="Q113" s="98"/>
      <c r="R113" s="98"/>
      <c r="S113" s="98"/>
      <c r="T113" s="100"/>
      <c r="U113" s="100"/>
      <c r="V113" s="100"/>
      <c r="W113" s="101"/>
      <c r="X113" s="100"/>
      <c r="Y113" s="100"/>
      <c r="Z113" s="100"/>
      <c r="AA113" s="101"/>
      <c r="AB113" s="96"/>
      <c r="AC113" s="97"/>
    </row>
    <row r="114" spans="1:29">
      <c r="A114" s="92"/>
      <c r="B114" s="93"/>
      <c r="C114" s="93"/>
      <c r="I114" s="93"/>
      <c r="J114" s="93"/>
      <c r="N114" s="93"/>
      <c r="O114" s="93"/>
      <c r="Q114" s="93"/>
      <c r="R114" s="93"/>
      <c r="S114" s="93"/>
      <c r="T114" s="94"/>
      <c r="U114" s="94"/>
      <c r="V114" s="94"/>
      <c r="W114" s="95"/>
      <c r="X114" s="94"/>
      <c r="Y114" s="94"/>
      <c r="Z114" s="94"/>
      <c r="AA114" s="95"/>
      <c r="AB114" s="96"/>
      <c r="AC114" s="97"/>
    </row>
    <row r="115" spans="1:29">
      <c r="A115" s="92"/>
      <c r="B115" s="93"/>
      <c r="C115" s="93"/>
      <c r="I115" s="93"/>
      <c r="J115" s="93"/>
      <c r="N115" s="93"/>
      <c r="O115" s="93"/>
      <c r="Q115" s="93"/>
      <c r="R115" s="93"/>
      <c r="S115" s="93"/>
      <c r="T115" s="94"/>
      <c r="U115" s="94"/>
      <c r="V115" s="94"/>
      <c r="W115" s="95"/>
      <c r="X115" s="94"/>
      <c r="Y115" s="94"/>
      <c r="Z115" s="94"/>
      <c r="AA115" s="95"/>
      <c r="AB115" s="96"/>
      <c r="AC115" s="97"/>
    </row>
    <row r="116" spans="1:29">
      <c r="A116" s="92"/>
      <c r="B116" s="102"/>
      <c r="C116" s="98"/>
      <c r="D116" s="99"/>
      <c r="E116" s="99"/>
      <c r="F116" s="99"/>
      <c r="G116" s="99"/>
      <c r="H116" s="99"/>
      <c r="I116" s="98"/>
      <c r="J116" s="98"/>
      <c r="K116" s="99"/>
      <c r="L116" s="99"/>
      <c r="M116" s="99"/>
      <c r="N116" s="98"/>
      <c r="O116" s="98"/>
      <c r="P116" s="99"/>
      <c r="Q116" s="98"/>
      <c r="R116" s="102"/>
      <c r="S116" s="102"/>
      <c r="T116" s="103"/>
      <c r="U116" s="103"/>
      <c r="V116" s="103"/>
      <c r="W116" s="104"/>
      <c r="X116" s="103"/>
      <c r="Y116" s="103"/>
      <c r="Z116" s="103"/>
      <c r="AA116" s="104"/>
      <c r="AB116" s="96"/>
      <c r="AC116" s="97"/>
    </row>
    <row r="117" spans="1:29">
      <c r="A117" s="92"/>
      <c r="B117" s="106"/>
      <c r="C117" s="107"/>
      <c r="D117" s="108"/>
      <c r="E117" s="108"/>
      <c r="F117" s="108"/>
      <c r="G117" s="108"/>
      <c r="H117" s="108"/>
      <c r="I117" s="107"/>
      <c r="J117" s="107"/>
      <c r="K117" s="108"/>
      <c r="L117" s="108"/>
      <c r="M117" s="108"/>
      <c r="N117" s="107"/>
      <c r="O117" s="107"/>
      <c r="P117" s="108"/>
      <c r="Q117" s="107"/>
      <c r="R117" s="107"/>
      <c r="S117" s="107"/>
      <c r="T117" s="109"/>
      <c r="U117" s="109"/>
      <c r="V117" s="109"/>
      <c r="W117" s="110"/>
      <c r="X117" s="109"/>
      <c r="Y117" s="109"/>
      <c r="Z117" s="109"/>
      <c r="AA117" s="110"/>
      <c r="AB117" s="96"/>
      <c r="AC117" s="97"/>
    </row>
    <row r="118" spans="1:29">
      <c r="A118" s="91"/>
      <c r="B118" s="75"/>
      <c r="C118" s="75"/>
      <c r="D118" s="87"/>
      <c r="E118" s="87"/>
      <c r="F118" s="87"/>
      <c r="G118" s="87"/>
      <c r="H118" s="87"/>
      <c r="I118" s="75"/>
      <c r="J118" s="75"/>
      <c r="K118" s="87"/>
      <c r="L118" s="87"/>
      <c r="M118" s="87"/>
      <c r="N118" s="75"/>
      <c r="O118" s="75"/>
      <c r="P118" s="87"/>
      <c r="Q118" s="75"/>
      <c r="R118" s="75"/>
      <c r="S118" s="75"/>
      <c r="T118" s="83"/>
      <c r="U118" s="83"/>
      <c r="V118" s="83"/>
      <c r="W118" s="84"/>
      <c r="X118" s="83"/>
      <c r="Y118" s="83"/>
      <c r="Z118" s="83"/>
      <c r="AA118" s="84"/>
      <c r="AB118" s="85"/>
      <c r="AC118" s="86"/>
    </row>
    <row r="119" spans="1:29">
      <c r="A119" s="92"/>
      <c r="B119" s="93"/>
      <c r="C119" s="93"/>
      <c r="I119" s="93"/>
      <c r="J119" s="93"/>
      <c r="N119" s="93"/>
      <c r="O119" s="93"/>
      <c r="Q119" s="93"/>
      <c r="R119" s="93"/>
      <c r="S119" s="93"/>
      <c r="T119" s="94"/>
      <c r="U119" s="94"/>
      <c r="V119" s="94"/>
      <c r="W119" s="95"/>
      <c r="X119" s="94"/>
      <c r="Y119" s="94"/>
      <c r="Z119" s="94"/>
      <c r="AA119" s="95"/>
      <c r="AB119" s="85"/>
      <c r="AC119" s="86"/>
    </row>
    <row r="120" spans="1:29">
      <c r="A120" s="92"/>
      <c r="B120" s="98"/>
      <c r="C120" s="98"/>
      <c r="D120" s="99"/>
      <c r="E120" s="99"/>
      <c r="F120" s="99"/>
      <c r="G120" s="99"/>
      <c r="H120" s="99"/>
      <c r="I120" s="98"/>
      <c r="J120" s="98"/>
      <c r="K120" s="99"/>
      <c r="L120" s="99"/>
      <c r="M120" s="99"/>
      <c r="N120" s="98"/>
      <c r="O120" s="98"/>
      <c r="P120" s="99"/>
      <c r="Q120" s="98"/>
      <c r="R120" s="98"/>
      <c r="S120" s="98"/>
      <c r="T120" s="100"/>
      <c r="U120" s="100"/>
      <c r="V120" s="100"/>
      <c r="W120" s="101"/>
      <c r="X120" s="100"/>
      <c r="Y120" s="100"/>
      <c r="Z120" s="100"/>
      <c r="AA120" s="101"/>
      <c r="AB120" s="111"/>
      <c r="AC120" s="112"/>
    </row>
    <row r="121" spans="1:29">
      <c r="A121" s="92"/>
      <c r="B121" s="93"/>
      <c r="C121" s="93"/>
      <c r="I121" s="93"/>
      <c r="J121" s="93"/>
      <c r="N121" s="93"/>
      <c r="O121" s="93"/>
      <c r="Q121" s="93"/>
      <c r="R121" s="93"/>
      <c r="S121" s="93"/>
      <c r="T121" s="94"/>
      <c r="U121" s="94"/>
      <c r="V121" s="94"/>
      <c r="W121" s="95"/>
      <c r="X121" s="94"/>
      <c r="Y121" s="94"/>
      <c r="Z121" s="94"/>
      <c r="AA121" s="95"/>
      <c r="AB121" s="85"/>
      <c r="AC121" s="86"/>
    </row>
    <row r="122" spans="1:29">
      <c r="A122" s="92"/>
      <c r="B122" s="93"/>
      <c r="C122" s="93"/>
      <c r="I122" s="93"/>
      <c r="J122" s="93"/>
      <c r="N122" s="93"/>
      <c r="O122" s="93"/>
      <c r="Q122" s="93"/>
      <c r="R122" s="93"/>
      <c r="S122" s="93"/>
      <c r="T122" s="94"/>
      <c r="U122" s="94"/>
      <c r="V122" s="94"/>
      <c r="W122" s="95"/>
      <c r="X122" s="94"/>
      <c r="Y122" s="94"/>
      <c r="Z122" s="94"/>
      <c r="AA122" s="95"/>
      <c r="AB122" s="85"/>
      <c r="AC122" s="86"/>
    </row>
    <row r="123" spans="1:29">
      <c r="A123" s="92"/>
      <c r="B123" s="102"/>
      <c r="C123" s="98"/>
      <c r="D123" s="99"/>
      <c r="E123" s="99"/>
      <c r="F123" s="99"/>
      <c r="G123" s="99"/>
      <c r="H123" s="99"/>
      <c r="I123" s="98"/>
      <c r="J123" s="98"/>
      <c r="K123" s="99"/>
      <c r="L123" s="99"/>
      <c r="M123" s="99"/>
      <c r="N123" s="98"/>
      <c r="O123" s="98"/>
      <c r="P123" s="99"/>
      <c r="Q123" s="98"/>
      <c r="R123" s="102"/>
      <c r="S123" s="102"/>
      <c r="T123" s="103"/>
      <c r="U123" s="103"/>
      <c r="V123" s="103"/>
      <c r="W123" s="104"/>
      <c r="X123" s="103"/>
      <c r="Y123" s="103"/>
      <c r="Z123" s="103"/>
      <c r="AA123" s="104"/>
      <c r="AB123" s="85"/>
      <c r="AC123" s="86"/>
    </row>
    <row r="124" spans="1:29">
      <c r="A124" s="92"/>
      <c r="B124" s="106"/>
      <c r="C124" s="107"/>
      <c r="D124" s="108"/>
      <c r="E124" s="108"/>
      <c r="F124" s="108"/>
      <c r="G124" s="108"/>
      <c r="H124" s="108"/>
      <c r="I124" s="107"/>
      <c r="J124" s="107"/>
      <c r="K124" s="108"/>
      <c r="L124" s="108"/>
      <c r="M124" s="108"/>
      <c r="N124" s="107"/>
      <c r="O124" s="107"/>
      <c r="P124" s="108"/>
      <c r="Q124" s="107"/>
      <c r="R124" s="107"/>
      <c r="S124" s="107"/>
      <c r="T124" s="109"/>
      <c r="U124" s="109"/>
      <c r="V124" s="109"/>
      <c r="W124" s="110"/>
      <c r="X124" s="109"/>
      <c r="Y124" s="109"/>
      <c r="Z124" s="109"/>
      <c r="AA124" s="110"/>
      <c r="AB124" s="113"/>
      <c r="AC124" s="114"/>
    </row>
    <row r="125" spans="1:29">
      <c r="A125" s="115"/>
      <c r="B125"/>
      <c r="C125"/>
      <c r="D125"/>
      <c r="E125"/>
      <c r="F125"/>
      <c r="G125"/>
      <c r="H125"/>
      <c r="I125"/>
      <c r="J125"/>
      <c r="K125"/>
      <c r="L125"/>
      <c r="M125"/>
      <c r="N125"/>
      <c r="O125"/>
      <c r="P125"/>
      <c r="Q125"/>
      <c r="R125"/>
      <c r="S125"/>
      <c r="T125"/>
      <c r="U125"/>
      <c r="V125"/>
      <c r="W125"/>
      <c r="X125"/>
      <c r="Y125"/>
      <c r="Z125"/>
      <c r="AA125"/>
    </row>
    <row r="126" spans="1:29">
      <c r="A126"/>
      <c r="B126"/>
      <c r="C126"/>
      <c r="D126"/>
      <c r="E126"/>
      <c r="F126"/>
      <c r="G126"/>
      <c r="H126"/>
      <c r="I126"/>
      <c r="J126"/>
      <c r="K126"/>
      <c r="L126"/>
      <c r="M126"/>
      <c r="N126"/>
      <c r="O126"/>
      <c r="P126"/>
      <c r="Q126"/>
      <c r="R126"/>
      <c r="S126"/>
      <c r="T126"/>
      <c r="U126"/>
      <c r="V126"/>
      <c r="W126"/>
      <c r="X126"/>
      <c r="Y126"/>
      <c r="Z126"/>
      <c r="AA126"/>
    </row>
    <row r="127" spans="1:29">
      <c r="A127"/>
      <c r="B127"/>
      <c r="C127"/>
      <c r="D127"/>
      <c r="E127"/>
      <c r="F127"/>
      <c r="G127"/>
      <c r="H127"/>
      <c r="I127"/>
      <c r="J127"/>
      <c r="K127"/>
      <c r="L127"/>
      <c r="M127"/>
      <c r="N127"/>
      <c r="O127"/>
      <c r="P127"/>
      <c r="Q127"/>
      <c r="R127"/>
      <c r="S127"/>
      <c r="T127"/>
      <c r="U127"/>
      <c r="V127"/>
      <c r="W127"/>
      <c r="X127"/>
      <c r="Y127"/>
      <c r="Z127"/>
      <c r="AA127"/>
    </row>
    <row r="128" spans="1:29">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1" ma:contentTypeDescription="Create a new document." ma:contentTypeScope="" ma:versionID="1ae8a50db7085f5ae1dcf34ff77a61f1">
  <xsd:schema xmlns:xsd="http://www.w3.org/2001/XMLSchema" xmlns:xs="http://www.w3.org/2001/XMLSchema" xmlns:p="http://schemas.microsoft.com/office/2006/metadata/properties" xmlns:ns2="d3553cee-4ecc-4eb5-80d8-f24f98131822" xmlns:ns3="fc2f2499-f938-4cc0-a2cd-f3e7b3a200ae" targetNamespace="http://schemas.microsoft.com/office/2006/metadata/properties" ma:root="true" ma:fieldsID="17b6e3ff09c248479d51477e5c5657c0" ns2:_="" ns3:_="">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c2f2499-f938-4cc0-a2cd-f3e7b3a200ae">
      <UserInfo>
        <DisplayName>Susan Lounsbury</DisplayName>
        <AccountId>6</AccountId>
        <AccountType/>
      </UserInfo>
    </SharedWithUsers>
  </documentManagement>
</p:properties>
</file>

<file path=customXml/itemProps1.xml><?xml version="1.0" encoding="utf-8"?>
<ds:datastoreItem xmlns:ds="http://schemas.openxmlformats.org/officeDocument/2006/customXml" ds:itemID="{4359ADFD-0402-4D99-AC8D-69362C2C90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53cee-4ecc-4eb5-80d8-f24f98131822"/>
    <ds:schemaRef ds:uri="fc2f2499-f938-4cc0-a2cd-f3e7b3a20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27BC8B-41BF-4624-A0BF-E64460E6172A}">
  <ds:schemaRefs>
    <ds:schemaRef ds:uri="http://schemas.microsoft.com/sharepoint/v3/contenttype/forms"/>
  </ds:schemaRefs>
</ds:datastoreItem>
</file>

<file path=customXml/itemProps3.xml><?xml version="1.0" encoding="utf-8"?>
<ds:datastoreItem xmlns:ds="http://schemas.openxmlformats.org/officeDocument/2006/customXml" ds:itemID="{2487697B-056F-45C0-97AF-5A5D36EFA56B}">
  <ds:schemaRefs>
    <ds:schemaRef ds:uri="http://purl.org/dc/dcmitype/"/>
    <ds:schemaRef ds:uri="http://schemas.openxmlformats.org/package/2006/metadata/core-properties"/>
    <ds:schemaRef ds:uri="http://schemas.microsoft.com/office/2006/documentManagement/types"/>
    <ds:schemaRef ds:uri="fc2f2499-f938-4cc0-a2cd-f3e7b3a200ae"/>
    <ds:schemaRef ds:uri="d3553cee-4ecc-4eb5-80d8-f24f98131822"/>
    <ds:schemaRef ds:uri="http://purl.org/dc/elements/1.1/"/>
    <ds:schemaRef ds:uri="http://schemas.microsoft.com/office/2006/metadata/properties"/>
    <ds:schemaRef ds:uri="http://schemas.microsoft.com/office/infopath/2007/PartnerControls"/>
    <ds:schemaRef ds:uri="http://www.w3.org/XML/1998/namespace"/>
    <ds:schemaRef ds:uri="http://purl.org/dc/terms/"/>
  </ds:schemaRefs>
</ds:datastoreItem>
</file>

<file path=docMetadata/LabelInfo.xml><?xml version="1.0" encoding="utf-8"?>
<clbl:labelList xmlns:clbl="http://schemas.microsoft.com/office/2020/mipLabelMetadata">
  <clbl:label id="{eb20950b-168c-497a-9845-2b099844f3ef}" enabled="0" method="" siteId="{eb20950b-168c-497a-9845-2b099844f3e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NEW-Tables 80-86</vt:lpstr>
      <vt:lpstr>OLD Tables</vt:lpstr>
      <vt:lpstr>Pivot-HS Student % of Undergrad</vt:lpstr>
      <vt:lpstr>FTE Pivot for regular counts</vt:lpstr>
      <vt:lpstr>04SCH_FTE</vt:lpstr>
      <vt:lpstr>Sheet1</vt:lpstr>
      <vt:lpstr>Format for FTE</vt:lpstr>
      <vt:lpstr>Format for HS%</vt:lpstr>
      <vt:lpstr>'04SCH_FTE'!Dual07_1</vt:lpstr>
      <vt:lpstr>'04SCH_FTE'!Dual07_3</vt:lpstr>
      <vt:lpstr>'04SCH_FTE'!Dual07_4</vt:lpstr>
      <vt:lpstr>'04SCH_FTE'!Dual07_5</vt:lpstr>
      <vt:lpstr>'04SCH_FTE'!Print_Area</vt:lpstr>
      <vt:lpstr>'NEW-Tables 80-86'!Print_Area</vt:lpstr>
      <vt:lpstr>'OLD Tables'!Print_Area</vt:lpstr>
      <vt:lpstr>'Pivot-HS Student % of Undergrad'!Print_Area</vt:lpstr>
      <vt:lpstr>'04SCH_FTE'!Print_Titles</vt:lpstr>
      <vt:lpstr>'Pivot-HS Student % of Undergrad'!Print_Titles</vt:lpstr>
      <vt:lpstr>'04SCH_FTE'!SCH15ug1</vt:lpstr>
      <vt:lpstr>'04SCH_FTE'!SCH15ug1_1</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Robert Aycock</cp:lastModifiedBy>
  <cp:lastPrinted>2016-03-17T19:39:44Z</cp:lastPrinted>
  <dcterms:created xsi:type="dcterms:W3CDTF">1999-02-24T13:58:47Z</dcterms:created>
  <dcterms:modified xsi:type="dcterms:W3CDTF">2023-10-18T21:24:32Z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0x0101008C9207C4D8AB6E4A9864D320D8693611</vt:lpwstr>
  </property>
  <property fmtid="{D5CDD505-2E9C-101B-9397-08002B2CF9AE}" pid="3" name="WorkflowChangePath">
    <vt:lpwstr>d414d66f-4701-430f-b564-e4006377633d,2;d414d66f-4701-430f-b564-e4006377633d,2;f6e3247f-53d7-4c4b-9444-023ca256227c,3;f6e3247f-53d7-4c4b-9444-023ca256227c,3;f6e3247f-53d7-4c4b-9444-023ca256227c,3;d414d66f-4701-430f-b564-e4006377633d,2;d414d66f-4701-430f-b5</vt:lpwstr>
  </property>
  <property fmtid="{D5CDD505-2E9C-101B-9397-08002B2CF9AE}" pid="4" name="Agency Code">
    <vt:lpwstr>ACHE</vt:lpwstr>
  </property>
  <property fmtid="{D5CDD505-2E9C-101B-9397-08002B2CF9AE}" pid="5" name="State">
    <vt:lpwstr>AL</vt:lpwstr>
  </property>
  <property fmtid="{D5CDD505-2E9C-101B-9397-08002B2CF9AE}" pid="6" name="Notes to SREB">
    <vt:lpwstr/>
  </property>
  <property fmtid="{D5CDD505-2E9C-101B-9397-08002B2CF9AE}" pid="7" name="Survey Type">
    <vt:lpwstr>04: Student Credit Hours</vt:lpwstr>
  </property>
  <property fmtid="{D5CDD505-2E9C-101B-9397-08002B2CF9AE}" pid="8" name="Notes0">
    <vt:lpwstr/>
  </property>
  <property fmtid="{D5CDD505-2E9C-101B-9397-08002B2CF9AE}" pid="9" name="Status">
    <vt:lpwstr>Validated-2</vt:lpwstr>
  </property>
  <property fmtid="{D5CDD505-2E9C-101B-9397-08002B2CF9AE}" pid="10" name="Done">
    <vt:lpwstr>false</vt:lpwstr>
  </property>
  <property fmtid="{D5CDD505-2E9C-101B-9397-08002B2CF9AE}" pid="11" name="Order">
    <vt:r8>16500</vt:r8>
  </property>
  <property fmtid="{D5CDD505-2E9C-101B-9397-08002B2CF9AE}" pid="12" name="xd_ProgID">
    <vt:lpwstr/>
  </property>
  <property fmtid="{D5CDD505-2E9C-101B-9397-08002B2CF9AE}" pid="13" name="TemplateUrl">
    <vt:lpwstr/>
  </property>
</Properties>
</file>